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Schedule'!$A$1:$AA$5912</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5911</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1184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71040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Motor 1 of 2: control / local station</t>
        </is>
      </c>
      <c r="E4115" s="12" t="inlineStr"/>
      <c r="F4115" s="12" t="inlineStr">
        <is>
          <t>SC-2 PCM + 15 kV GCB</t>
        </is>
      </c>
      <c r="G4115" s="12" t="inlineStr"/>
      <c r="H4115" s="12" t="inlineStr">
        <is>
          <t>Aqueous ammonia (SC units)</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Tray</t>
        </is>
      </c>
      <c r="T4115" s="17" t="n">
        <v>0</v>
      </c>
      <c r="U4115" s="17" t="n">
        <v>98</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Motor 2 of 2: control / local station</t>
        </is>
      </c>
      <c r="E4116" s="12" t="inlineStr"/>
      <c r="F4116" s="12" t="inlineStr">
        <is>
          <t>SC-2 PCM + 15 kV GCB</t>
        </is>
      </c>
      <c r="G4116" s="12" t="inlineStr"/>
      <c r="H4116" s="12" t="inlineStr">
        <is>
          <t>Aqueous ammonia (SC units)</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Tray</t>
        </is>
      </c>
      <c r="T4116" s="17" t="n">
        <v>0</v>
      </c>
      <c r="U4116" s="17" t="n">
        <v>98</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BS black-start switchgear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562</v>
      </c>
      <c r="U4117" s="17" t="n">
        <v>64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BESS black-start alternative</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550</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c r="F4119" s="12" t="inlineStr">
        <is>
          <t>SC-1 PCM + 15 kV GCB</t>
        </is>
      </c>
      <c r="G4119" s="12" t="inlineStr"/>
      <c r="H4119" s="12" t="inlineStr">
        <is>
          <t>CONDITIONAL: SC-1 inlet chiller / evaporative cooler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Tray</t>
        </is>
      </c>
      <c r="T4119" s="17" t="n">
        <v>0</v>
      </c>
      <c r="U4119" s="17" t="n">
        <v>114</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Control</t>
        </is>
      </c>
      <c r="E4120" s="12" t="inlineStr"/>
      <c r="F4120" s="12" t="inlineStr">
        <is>
          <t>SC-2 PCM + 15 kV GCB</t>
        </is>
      </c>
      <c r="G4120" s="12" t="inlineStr"/>
      <c r="H4120" s="12" t="inlineStr">
        <is>
          <t>CONDITIONAL: SC-2 inlet chiller / evaporative cooler</t>
        </is>
      </c>
      <c r="I4120" s="12" t="inlineStr">
        <is>
          <t>Control</t>
        </is>
      </c>
      <c r="J4120" s="12" t="inlineStr">
        <is>
          <t>Control cable 600 V Type TC-ER, Cu #14 AWG, PVC jacket</t>
        </is>
      </c>
      <c r="K4120" s="12" t="inlineStr">
        <is>
          <t>CT|7/C|14</t>
        </is>
      </c>
      <c r="L4120" s="12" t="inlineStr">
        <is>
          <t>7/C</t>
        </is>
      </c>
      <c r="M4120" s="12" t="inlineStr">
        <is>
          <t>14</t>
        </is>
      </c>
      <c r="N4120" s="12" t="n">
        <v>1</v>
      </c>
      <c r="O4120" s="12" t="n">
        <v>1</v>
      </c>
      <c r="P4120" s="12" t="n"/>
      <c r="Q4120" s="12" t="n"/>
      <c r="R4120" s="12" t="n"/>
      <c r="S4120" s="12" t="inlineStr">
        <is>
          <t>Duct bank</t>
        </is>
      </c>
      <c r="T4120" s="17" t="n">
        <v>75</v>
      </c>
      <c r="U4120" s="17" t="n">
        <v>32</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Control</t>
        </is>
      </c>
      <c r="E4121" s="12" t="inlineStr">
        <is>
          <t>PAD-EH</t>
        </is>
      </c>
      <c r="F4121" s="12" t="inlineStr">
        <is>
          <t>PAD-EH 13.8 kV switchgear e-house</t>
        </is>
      </c>
      <c r="G4121" s="12" t="inlineStr"/>
      <c r="H4121" s="12" t="inlineStr">
        <is>
          <t>FC-5..12 inverter / AC cabinet / desulfurizer</t>
        </is>
      </c>
      <c r="I4121" s="12" t="inlineStr">
        <is>
          <t>Control</t>
        </is>
      </c>
      <c r="J4121" s="12" t="inlineStr">
        <is>
          <t>Control cable 600 V Type TC-ER, Cu #14 AWG, PVC jacket</t>
        </is>
      </c>
      <c r="K4121" s="12" t="inlineStr">
        <is>
          <t>CT|7/C|14</t>
        </is>
      </c>
      <c r="L4121" s="12" t="inlineStr">
        <is>
          <t>7/C</t>
        </is>
      </c>
      <c r="M4121" s="12" t="inlineStr">
        <is>
          <t>14</t>
        </is>
      </c>
      <c r="N4121" s="12" t="n">
        <v>1</v>
      </c>
      <c r="O4121" s="12" t="n">
        <v>1</v>
      </c>
      <c r="P4121" s="12" t="n"/>
      <c r="Q4121" s="12" t="n"/>
      <c r="R4121" s="12" t="n"/>
      <c r="S4121" s="12" t="inlineStr">
        <is>
          <t>Surface</t>
        </is>
      </c>
      <c r="T4121" s="17" t="n">
        <v>202</v>
      </c>
      <c r="U4121" s="17" t="n">
        <v>37</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1 of 6: control / local station</t>
        </is>
      </c>
      <c r="E4122" s="12" t="inlineStr"/>
      <c r="F4122" s="12" t="inlineStr">
        <is>
          <t>SC-2 PCM + 15 kV GCB</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Duct bank</t>
        </is>
      </c>
      <c r="T4122" s="17" t="n">
        <v>8</v>
      </c>
      <c r="U4122" s="17" t="n">
        <v>108</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2 of 6: control / local station</t>
        </is>
      </c>
      <c r="E4123" s="12" t="inlineStr"/>
      <c r="F4123" s="12" t="inlineStr">
        <is>
          <t>SC-2 PCM + 15 kV GCB</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Duct bank</t>
        </is>
      </c>
      <c r="T4123" s="17" t="n">
        <v>8</v>
      </c>
      <c r="U4123" s="17" t="n">
        <v>108</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3 of 6: control / local station</t>
        </is>
      </c>
      <c r="E4124" s="12" t="inlineStr"/>
      <c r="F4124" s="12" t="inlineStr">
        <is>
          <t>SC-2 PCM + 15 kV GCB</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Duct bank</t>
        </is>
      </c>
      <c r="T4124" s="17" t="n">
        <v>8</v>
      </c>
      <c r="U4124" s="17" t="n">
        <v>108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4 of 6: control / local station</t>
        </is>
      </c>
      <c r="E4125" s="12" t="inlineStr"/>
      <c r="F4125" s="12" t="inlineStr">
        <is>
          <t>SC-2 PCM + 15 kV GCB</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Duct bank</t>
        </is>
      </c>
      <c r="T4125" s="17" t="n">
        <v>8</v>
      </c>
      <c r="U4125" s="17" t="n">
        <v>108</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Motor 5 of 6: control / local station</t>
        </is>
      </c>
      <c r="E4126" s="12" t="inlineStr"/>
      <c r="F4126" s="12" t="inlineStr">
        <is>
          <t>SC-2 PCM + 15 kV GCB</t>
        </is>
      </c>
      <c r="G4126" s="12" t="inlineStr"/>
      <c r="H4126" s="12" t="inlineStr">
        <is>
          <t>Fuel-gas compressors 3 x 100% electric</t>
        </is>
      </c>
      <c r="I4126" s="12" t="inlineStr">
        <is>
          <t>Control</t>
        </is>
      </c>
      <c r="J4126" s="12" t="inlineStr">
        <is>
          <t>ARMOR-X MC-HL 600 V control, Cu #14 AWG (Class I Div 2)</t>
        </is>
      </c>
      <c r="K4126" s="12" t="inlineStr">
        <is>
          <t>CTAX|7/C|14</t>
        </is>
      </c>
      <c r="L4126" s="12" t="inlineStr">
        <is>
          <t>7/C</t>
        </is>
      </c>
      <c r="M4126" s="12" t="inlineStr">
        <is>
          <t>14</t>
        </is>
      </c>
      <c r="N4126" s="12" t="n">
        <v>1</v>
      </c>
      <c r="O4126" s="12" t="n">
        <v>1</v>
      </c>
      <c r="P4126" s="12" t="n"/>
      <c r="Q4126" s="12" t="n"/>
      <c r="R4126" s="12" t="n"/>
      <c r="S4126" s="12" t="inlineStr">
        <is>
          <t>Duct bank</t>
        </is>
      </c>
      <c r="T4126" s="17" t="n">
        <v>8</v>
      </c>
      <c r="U4126" s="17" t="n">
        <v>108</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Motor 6 of 6: control / local station</t>
        </is>
      </c>
      <c r="E4127" s="12" t="inlineStr"/>
      <c r="F4127" s="12" t="inlineStr">
        <is>
          <t>SC-2 PCM + 15 kV GCB</t>
        </is>
      </c>
      <c r="G4127" s="12" t="inlineStr"/>
      <c r="H4127" s="12" t="inlineStr">
        <is>
          <t>Fuel-gas compressors 3 x 100% electric</t>
        </is>
      </c>
      <c r="I4127" s="12" t="inlineStr">
        <is>
          <t>Control</t>
        </is>
      </c>
      <c r="J4127" s="12" t="inlineStr">
        <is>
          <t>ARMOR-X MC-HL 600 V control, Cu #14 AWG (Class I Div 2)</t>
        </is>
      </c>
      <c r="K4127" s="12" t="inlineStr">
        <is>
          <t>CTAX|7/C|14</t>
        </is>
      </c>
      <c r="L4127" s="12" t="inlineStr">
        <is>
          <t>7/C</t>
        </is>
      </c>
      <c r="M4127" s="12" t="inlineStr">
        <is>
          <t>14</t>
        </is>
      </c>
      <c r="N4127" s="12" t="n">
        <v>1</v>
      </c>
      <c r="O4127" s="12" t="n">
        <v>1</v>
      </c>
      <c r="P4127" s="12" t="n"/>
      <c r="Q4127" s="12" t="n"/>
      <c r="R4127" s="12" t="n"/>
      <c r="S4127" s="12" t="inlineStr">
        <is>
          <t>Duct bank</t>
        </is>
      </c>
      <c r="T4127" s="17" t="n">
        <v>8</v>
      </c>
      <c r="U4127" s="17" t="n">
        <v>108</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Control</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#14 AWG, PVC jacket</t>
        </is>
      </c>
      <c r="K4129" s="12" t="inlineStr">
        <is>
          <t>CT|12/C|14</t>
        </is>
      </c>
      <c r="L4129" s="12" t="inlineStr">
        <is>
          <t>12/C</t>
        </is>
      </c>
      <c r="M4129" s="12" t="inlineStr">
        <is>
          <t>14</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Control</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#14 AWG, PVC jacket</t>
        </is>
      </c>
      <c r="K4130" s="12" t="inlineStr">
        <is>
          <t>CT|12/C|14</t>
        </is>
      </c>
      <c r="L4130" s="12" t="inlineStr">
        <is>
          <t>12/C</t>
        </is>
      </c>
      <c r="M4130" s="12" t="inlineStr">
        <is>
          <t>14</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CT / VT</t>
        </is>
      </c>
      <c r="E4133" s="12" t="inlineStr">
        <is>
          <t>PAD-EH</t>
        </is>
      </c>
      <c r="F4133" s="12" t="inlineStr">
        <is>
          <t>PAD-EH 13.8 kV switchgear e-house</t>
        </is>
      </c>
      <c r="G4133" s="12" t="inlineStr">
        <is>
          <t>GSP-1</t>
        </is>
      </c>
      <c r="H4133" s="12" t="inlineStr">
        <is>
          <t>GSP-1: generator breaker / protection</t>
        </is>
      </c>
      <c r="I4133" s="12" t="inlineStr">
        <is>
          <t>Control</t>
        </is>
      </c>
      <c r="J4133" s="12" t="inlineStr">
        <is>
          <t>Control cable 600 V Type TC-ER, Cu #10 AWG (CT / VT circuits)</t>
        </is>
      </c>
      <c r="K4133" s="12" t="inlineStr">
        <is>
          <t>CTCT|4/C|10</t>
        </is>
      </c>
      <c r="L4133" s="12" t="inlineStr">
        <is>
          <t>4/C</t>
        </is>
      </c>
      <c r="M4133" s="12" t="inlineStr">
        <is>
          <t>10</t>
        </is>
      </c>
      <c r="N4133" s="12" t="n">
        <v>1</v>
      </c>
      <c r="O4133" s="12" t="n">
        <v>1</v>
      </c>
      <c r="P4133" s="12" t="n"/>
      <c r="Q4133" s="12" t="n"/>
      <c r="R4133" s="12" t="n"/>
      <c r="S4133" s="12" t="inlineStr">
        <is>
          <t>Surface</t>
        </is>
      </c>
      <c r="T4133" s="17" t="n">
        <v>269</v>
      </c>
      <c r="U4133" s="17" t="n">
        <v>66</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CT / VT</t>
        </is>
      </c>
      <c r="E4134" s="12" t="inlineStr">
        <is>
          <t>PAD-EH</t>
        </is>
      </c>
      <c r="F4134" s="12" t="inlineStr">
        <is>
          <t>PAD-EH 13.8 kV switchgear e-house</t>
        </is>
      </c>
      <c r="G4134" s="12" t="inlineStr">
        <is>
          <t>GSP-1</t>
        </is>
      </c>
      <c r="H4134" s="12" t="inlineStr">
        <is>
          <t>GSP-1: generator breaker / protection</t>
        </is>
      </c>
      <c r="I4134" s="12" t="inlineStr">
        <is>
          <t>Control</t>
        </is>
      </c>
      <c r="J4134" s="12" t="inlineStr">
        <is>
          <t>Control cable 600 V Type TC-ER, Cu #10 AWG (CT / VT circuits)</t>
        </is>
      </c>
      <c r="K4134" s="12" t="inlineStr">
        <is>
          <t>CTCT|4/C|10</t>
        </is>
      </c>
      <c r="L4134" s="12" t="inlineStr">
        <is>
          <t>4/C</t>
        </is>
      </c>
      <c r="M4134" s="12" t="inlineStr">
        <is>
          <t>10</t>
        </is>
      </c>
      <c r="N4134" s="12" t="n">
        <v>1</v>
      </c>
      <c r="O4134" s="12" t="n">
        <v>1</v>
      </c>
      <c r="P4134" s="12" t="n"/>
      <c r="Q4134" s="12" t="n"/>
      <c r="R4134" s="12" t="n"/>
      <c r="S4134" s="12" t="inlineStr">
        <is>
          <t>Surface</t>
        </is>
      </c>
      <c r="T4134" s="17" t="n">
        <v>269</v>
      </c>
      <c r="U4134" s="17" t="n">
        <v>66</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Control</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#14 AWG, PVC jacket</t>
        </is>
      </c>
      <c r="K4136" s="12" t="inlineStr">
        <is>
          <t>CT|12/C|14</t>
        </is>
      </c>
      <c r="L4136" s="12" t="inlineStr">
        <is>
          <t>12/C</t>
        </is>
      </c>
      <c r="M4136" s="12" t="inlineStr">
        <is>
          <t>14</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Control</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#14 AWG, PVC jacket</t>
        </is>
      </c>
      <c r="K4137" s="12" t="inlineStr">
        <is>
          <t>CT|12/C|14</t>
        </is>
      </c>
      <c r="L4137" s="12" t="inlineStr">
        <is>
          <t>12/C</t>
        </is>
      </c>
      <c r="M4137" s="12" t="inlineStr">
        <is>
          <t>14</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CT / VT</t>
        </is>
      </c>
      <c r="E4140" s="12" t="inlineStr">
        <is>
          <t>PAD-EH</t>
        </is>
      </c>
      <c r="F4140" s="12" t="inlineStr">
        <is>
          <t>PAD-EH 13.8 kV switchgear e-house</t>
        </is>
      </c>
      <c r="G4140" s="12" t="inlineStr">
        <is>
          <t>GSP-2</t>
        </is>
      </c>
      <c r="H4140" s="12" t="inlineStr">
        <is>
          <t>GSP-2: generator breaker / protection</t>
        </is>
      </c>
      <c r="I4140" s="12" t="inlineStr">
        <is>
          <t>Control</t>
        </is>
      </c>
      <c r="J4140" s="12" t="inlineStr">
        <is>
          <t>Control cable 600 V Type TC-ER, Cu #10 AWG (CT / VT circuits)</t>
        </is>
      </c>
      <c r="K4140" s="12" t="inlineStr">
        <is>
          <t>CTCT|4/C|10</t>
        </is>
      </c>
      <c r="L4140" s="12" t="inlineStr">
        <is>
          <t>4/C</t>
        </is>
      </c>
      <c r="M4140" s="12" t="inlineStr">
        <is>
          <t>10</t>
        </is>
      </c>
      <c r="N4140" s="12" t="n">
        <v>1</v>
      </c>
      <c r="O4140" s="12" t="n">
        <v>1</v>
      </c>
      <c r="P4140" s="12" t="n"/>
      <c r="Q4140" s="12" t="n"/>
      <c r="R4140" s="12" t="n"/>
      <c r="S4140" s="12" t="inlineStr">
        <is>
          <t>Surface</t>
        </is>
      </c>
      <c r="T4140" s="17" t="n">
        <v>269</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CT / VT</t>
        </is>
      </c>
      <c r="E4141" s="12" t="inlineStr">
        <is>
          <t>PAD-EH</t>
        </is>
      </c>
      <c r="F4141" s="12" t="inlineStr">
        <is>
          <t>PAD-EH 13.8 kV switchgear e-house</t>
        </is>
      </c>
      <c r="G4141" s="12" t="inlineStr">
        <is>
          <t>GSP-2</t>
        </is>
      </c>
      <c r="H4141" s="12" t="inlineStr">
        <is>
          <t>GSP-2: generator breaker / protection</t>
        </is>
      </c>
      <c r="I4141" s="12" t="inlineStr">
        <is>
          <t>Control</t>
        </is>
      </c>
      <c r="J4141" s="12" t="inlineStr">
        <is>
          <t>Control cable 600 V Type TC-ER, Cu #10 AWG (CT / VT circuits)</t>
        </is>
      </c>
      <c r="K4141" s="12" t="inlineStr">
        <is>
          <t>CTCT|4/C|10</t>
        </is>
      </c>
      <c r="L4141" s="12" t="inlineStr">
        <is>
          <t>4/C</t>
        </is>
      </c>
      <c r="M4141" s="12" t="inlineStr">
        <is>
          <t>10</t>
        </is>
      </c>
      <c r="N4141" s="12" t="n">
        <v>1</v>
      </c>
      <c r="O4141" s="12" t="n">
        <v>1</v>
      </c>
      <c r="P4141" s="12" t="n"/>
      <c r="Q4141" s="12" t="n"/>
      <c r="R4141" s="12" t="n"/>
      <c r="S4141" s="12" t="inlineStr">
        <is>
          <t>Surface</t>
        </is>
      </c>
      <c r="T4141" s="17" t="n">
        <v>269</v>
      </c>
      <c r="U4141" s="17" t="n">
        <v>37</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Gas conditioning skid</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Tray</t>
        </is>
      </c>
      <c r="T4142" s="17" t="n">
        <v>40</v>
      </c>
      <c r="U4142" s="17" t="n">
        <v>94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is>
          <t>PAD-EH</t>
        </is>
      </c>
      <c r="F4143" s="12" t="inlineStr">
        <is>
          <t>PAD-EH 13.8 kV switchgear e-house</t>
        </is>
      </c>
      <c r="G4143" s="12" t="inlineStr">
        <is>
          <t>LB</t>
        </is>
      </c>
      <c r="H4143" s="12" t="inlineStr">
        <is>
          <t>LB: commissioning load bank (trailer)</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Surface</t>
        </is>
      </c>
      <c r="T4143" s="17" t="n">
        <v>169</v>
      </c>
      <c r="U4143" s="17" t="n">
        <v>73</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Lube oil / starting air / oily water building</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7" t="n">
        <v>40</v>
      </c>
      <c r="U4144" s="17" t="n">
        <v>164</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is>
          <t>MOD-EH</t>
        </is>
      </c>
      <c r="H4145" s="12" t="inlineStr">
        <is>
          <t>MOD-EH: 13.8 kV modular collector e-house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7" t="n">
        <v>355</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Control</t>
        </is>
      </c>
      <c r="E4146" s="12" t="inlineStr"/>
      <c r="F4146" s="12" t="inlineStr">
        <is>
          <t>PCM: power control module</t>
        </is>
      </c>
      <c r="G4146" s="12" t="inlineStr"/>
      <c r="H4146" s="12" t="inlineStr">
        <is>
          <t>MOD-LV 480 V board + 480 V : 13.8 kV step-up</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757</v>
      </c>
      <c r="U4146" s="17" t="n">
        <v>32</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Control</t>
        </is>
      </c>
      <c r="E4147" s="12" t="inlineStr"/>
      <c r="F4147" s="12" t="inlineStr">
        <is>
          <t>PCM: power control module</t>
        </is>
      </c>
      <c r="G4147" s="12" t="inlineStr"/>
      <c r="H4147" s="12" t="inlineStr">
        <is>
          <t>PCM: power control module</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7" t="n">
        <v>0</v>
      </c>
      <c r="U4147" s="17" t="n">
        <v>32</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1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470</v>
      </c>
      <c r="U4148" s="17" t="n">
        <v>160</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1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745</v>
      </c>
      <c r="U4152" s="17" t="n">
        <v>139</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1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745</v>
      </c>
      <c r="U4153" s="17" t="n">
        <v>139</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2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470</v>
      </c>
      <c r="U4154" s="17" t="n">
        <v>132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2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550</v>
      </c>
      <c r="U4158" s="17" t="n">
        <v>192</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2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7" t="n">
        <v>550</v>
      </c>
      <c r="U4159" s="17" t="n">
        <v>192</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3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7" t="n">
        <v>470</v>
      </c>
      <c r="U4160" s="17" t="n">
        <v>104</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3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40</v>
      </c>
      <c r="U4164" s="17" t="n">
        <v>240</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3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40</v>
      </c>
      <c r="U4165" s="17" t="n">
        <v>240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4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470</v>
      </c>
      <c r="U4166" s="17" t="n">
        <v>76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4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7" t="n">
        <v>0</v>
      </c>
      <c r="U4170" s="17" t="n">
        <v>206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4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206</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5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322</v>
      </c>
      <c r="U4172" s="17" t="n">
        <v>196</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5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7" t="n">
        <v>0</v>
      </c>
      <c r="U4176" s="17" t="n">
        <v>178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5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178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1 of 1: control / local station</t>
        </is>
      </c>
      <c r="E4178" s="12" t="inlineStr"/>
      <c r="F4178" s="12" t="inlineStr">
        <is>
          <t>PCM: power control module</t>
        </is>
      </c>
      <c r="G4178" s="12" t="inlineStr"/>
      <c r="H4178" s="12" t="inlineStr">
        <is>
          <t>RICE 6 SCR + oxidation catalyst and stack</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7" t="n">
        <v>322</v>
      </c>
      <c r="U4178" s="17" t="n">
        <v>168</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1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2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3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4 of 5: control / local station</t>
        </is>
      </c>
      <c r="E4182" s="12" t="inlineStr"/>
      <c r="F4182" s="12" t="inlineStr">
        <is>
          <t>PCM: power control module</t>
        </is>
      </c>
      <c r="G4182" s="12" t="inlineStr"/>
      <c r="H4182" s="12" t="inlineStr">
        <is>
          <t>RICE 6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0</v>
      </c>
      <c r="U4182" s="17" t="n">
        <v>150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5 of 5: control / local station</t>
        </is>
      </c>
      <c r="E4183" s="12" t="inlineStr"/>
      <c r="F4183" s="12" t="inlineStr">
        <is>
          <t>PCM: power control module</t>
        </is>
      </c>
      <c r="G4183" s="12" t="inlineStr"/>
      <c r="H4183" s="12" t="inlineStr">
        <is>
          <t>RICE 6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150</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1 of 1: control / local station</t>
        </is>
      </c>
      <c r="E4184" s="12" t="inlineStr"/>
      <c r="F4184" s="12" t="inlineStr">
        <is>
          <t>PCM: power control module</t>
        </is>
      </c>
      <c r="G4184" s="12" t="inlineStr"/>
      <c r="H4184" s="12" t="inlineStr">
        <is>
          <t>RICE 7 SCR + oxidation catalyst and stack</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7" t="n">
        <v>322</v>
      </c>
      <c r="U4184" s="17" t="n">
        <v>140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1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2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3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4 of 5: control / local station</t>
        </is>
      </c>
      <c r="E4188" s="12" t="inlineStr"/>
      <c r="F4188" s="12" t="inlineStr">
        <is>
          <t>PCM: power control module</t>
        </is>
      </c>
      <c r="G4188" s="12" t="inlineStr"/>
      <c r="H4188" s="12" t="inlineStr">
        <is>
          <t>RICE 7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122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5 of 5: control / local station</t>
        </is>
      </c>
      <c r="E4189" s="12" t="inlineStr"/>
      <c r="F4189" s="12" t="inlineStr">
        <is>
          <t>PCM: power control module</t>
        </is>
      </c>
      <c r="G4189" s="12" t="inlineStr"/>
      <c r="H4189" s="12" t="inlineStr">
        <is>
          <t>RICE 7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122</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1 of 1: control / local station</t>
        </is>
      </c>
      <c r="E4190" s="12" t="inlineStr"/>
      <c r="F4190" s="12" t="inlineStr">
        <is>
          <t>PCM: power control module</t>
        </is>
      </c>
      <c r="G4190" s="12" t="inlineStr"/>
      <c r="H4190" s="12" t="inlineStr">
        <is>
          <t>RICE 8 SCR + oxidation catalyst and stack</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7" t="n">
        <v>322</v>
      </c>
      <c r="U4190" s="17" t="n">
        <v>112</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1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2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3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Motor 4 of 5: control / local station</t>
        </is>
      </c>
      <c r="E4194" s="12" t="inlineStr"/>
      <c r="F4194" s="12" t="inlineStr">
        <is>
          <t>PCM: power control module</t>
        </is>
      </c>
      <c r="G4194" s="12" t="inlineStr"/>
      <c r="H4194" s="12" t="inlineStr">
        <is>
          <t>RICE 8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94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Motor 5 of 5: control / local station</t>
        </is>
      </c>
      <c r="E4195" s="12" t="inlineStr"/>
      <c r="F4195" s="12" t="inlineStr">
        <is>
          <t>PCM: power control module</t>
        </is>
      </c>
      <c r="G4195" s="12" t="inlineStr"/>
      <c r="H4195" s="12" t="inlineStr">
        <is>
          <t>RICE 8 radiators (5)</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7" t="n">
        <v>0</v>
      </c>
      <c r="U4195" s="17" t="n">
        <v>94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c r="H4196" s="12" t="inlineStr">
        <is>
          <t>RICE CEMS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260</v>
      </c>
      <c r="U4196" s="17" t="n">
        <v>131</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Control</t>
        </is>
      </c>
      <c r="E4203" s="12" t="inlineStr"/>
      <c r="F4203" s="12" t="inlineStr">
        <is>
          <t>PCM: power control module</t>
        </is>
      </c>
      <c r="G4203" s="12" t="inlineStr">
        <is>
          <t>RICE</t>
        </is>
      </c>
      <c r="H4203" s="12" t="inlineStr">
        <is>
          <t>RICE engine hall (8 engines)</t>
        </is>
      </c>
      <c r="I4203" s="12" t="inlineStr">
        <is>
          <t>Control</t>
        </is>
      </c>
      <c r="J4203" s="12" t="inlineStr">
        <is>
          <t>Control cable 600 V Type TC-ER, Cu #14 AWG, PVC jacket</t>
        </is>
      </c>
      <c r="K4203" s="12" t="inlineStr">
        <is>
          <t>CT|12/C|14</t>
        </is>
      </c>
      <c r="L4203" s="12" t="inlineStr">
        <is>
          <t>12/C</t>
        </is>
      </c>
      <c r="M4203" s="12" t="inlineStr">
        <is>
          <t>14</t>
        </is>
      </c>
      <c r="N4203" s="12" t="n">
        <v>1</v>
      </c>
      <c r="O4203" s="12" t="n">
        <v>1</v>
      </c>
      <c r="P4203" s="12" t="n"/>
      <c r="Q4203" s="12" t="n"/>
      <c r="R4203" s="12" t="n"/>
      <c r="S4203" s="12" t="inlineStr">
        <is>
          <t>Duct bank</t>
        </is>
      </c>
      <c r="T4203" s="17" t="n">
        <v>367</v>
      </c>
      <c r="U4203" s="17" t="n">
        <v>95</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Control</t>
        </is>
      </c>
      <c r="E4204" s="12" t="inlineStr"/>
      <c r="F4204" s="12" t="inlineStr">
        <is>
          <t>PCM: power control module</t>
        </is>
      </c>
      <c r="G4204" s="12" t="inlineStr">
        <is>
          <t>RICE</t>
        </is>
      </c>
      <c r="H4204" s="12" t="inlineStr">
        <is>
          <t>RICE engine hall (8 engines)</t>
        </is>
      </c>
      <c r="I4204" s="12" t="inlineStr">
        <is>
          <t>Control</t>
        </is>
      </c>
      <c r="J4204" s="12" t="inlineStr">
        <is>
          <t>Control cable 600 V Type TC-ER, Cu #14 AWG, PVC jacket</t>
        </is>
      </c>
      <c r="K4204" s="12" t="inlineStr">
        <is>
          <t>CT|12/C|14</t>
        </is>
      </c>
      <c r="L4204" s="12" t="inlineStr">
        <is>
          <t>12/C</t>
        </is>
      </c>
      <c r="M4204" s="12" t="inlineStr">
        <is>
          <t>14</t>
        </is>
      </c>
      <c r="N4204" s="12" t="n">
        <v>1</v>
      </c>
      <c r="O4204" s="12" t="n">
        <v>1</v>
      </c>
      <c r="P4204" s="12" t="n"/>
      <c r="Q4204" s="12" t="n"/>
      <c r="R4204" s="12" t="n"/>
      <c r="S4204" s="12" t="inlineStr">
        <is>
          <t>Duct bank</t>
        </is>
      </c>
      <c r="T4204" s="17" t="n">
        <v>367</v>
      </c>
      <c r="U4204" s="17" t="n">
        <v>95</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RICE-1</t>
        </is>
      </c>
      <c r="H4209" s="12" t="inlineStr">
        <is>
          <t>RICE engine-generator 1</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137</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RICE-1</t>
        </is>
      </c>
      <c r="H4210" s="12" t="inlineStr">
        <is>
          <t>RICE engine-generator 1</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137</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RICE-2</t>
        </is>
      </c>
      <c r="H4215" s="12" t="inlineStr">
        <is>
          <t>RICE engine-generator 2</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109</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RICE-2</t>
        </is>
      </c>
      <c r="H4216" s="12" t="inlineStr">
        <is>
          <t>RICE engine-generator 2</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109</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RICE-3</t>
        </is>
      </c>
      <c r="H4221" s="12" t="inlineStr">
        <is>
          <t>RICE engine-generator 3</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81</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RICE-3</t>
        </is>
      </c>
      <c r="H4222" s="12" t="inlineStr">
        <is>
          <t>RICE engine-generator 3</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81</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RICE-4</t>
        </is>
      </c>
      <c r="H4227" s="12" t="inlineStr">
        <is>
          <t>RICE engine-generator 4</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53</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RICE-4</t>
        </is>
      </c>
      <c r="H4228" s="12" t="inlineStr">
        <is>
          <t>RICE engine-generator 4</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53</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RICE-5</t>
        </is>
      </c>
      <c r="H4233" s="12" t="inlineStr">
        <is>
          <t>RICE engine-generator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208</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RICE-5</t>
        </is>
      </c>
      <c r="H4234" s="12" t="inlineStr">
        <is>
          <t>RICE engine-generator 5</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208</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1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2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3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4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5 of 6: control / local station</t>
        </is>
      </c>
      <c r="E4239" s="12" t="inlineStr"/>
      <c r="F4239" s="12" t="inlineStr">
        <is>
          <t>PCM: power control module</t>
        </is>
      </c>
      <c r="G4239" s="12" t="inlineStr">
        <is>
          <t>RICE-6</t>
        </is>
      </c>
      <c r="H4239" s="12" t="inlineStr">
        <is>
          <t>RICE engine-generator 6</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367</v>
      </c>
      <c r="U4239" s="17" t="n">
        <v>180</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6 of 6: control / local station</t>
        </is>
      </c>
      <c r="E4240" s="12" t="inlineStr"/>
      <c r="F4240" s="12" t="inlineStr">
        <is>
          <t>PCM: power control module</t>
        </is>
      </c>
      <c r="G4240" s="12" t="inlineStr">
        <is>
          <t>RICE-6</t>
        </is>
      </c>
      <c r="H4240" s="12" t="inlineStr">
        <is>
          <t>RICE engine-generator 6</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367</v>
      </c>
      <c r="U4240" s="17" t="n">
        <v>180</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1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2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3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4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5 of 6: control / local station</t>
        </is>
      </c>
      <c r="E4245" s="12" t="inlineStr"/>
      <c r="F4245" s="12" t="inlineStr">
        <is>
          <t>PCM: power control module</t>
        </is>
      </c>
      <c r="G4245" s="12" t="inlineStr">
        <is>
          <t>RICE-7</t>
        </is>
      </c>
      <c r="H4245" s="12" t="inlineStr">
        <is>
          <t>RICE engine-generator 7</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189</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6 of 6: control / local station</t>
        </is>
      </c>
      <c r="E4246" s="12" t="inlineStr"/>
      <c r="F4246" s="12" t="inlineStr">
        <is>
          <t>PCM: power control module</t>
        </is>
      </c>
      <c r="G4246" s="12" t="inlineStr">
        <is>
          <t>RICE-7</t>
        </is>
      </c>
      <c r="H4246" s="12" t="inlineStr">
        <is>
          <t>RICE engine-generator 7</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189</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1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2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3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4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Motor 5 of 6: control / local station</t>
        </is>
      </c>
      <c r="E4251" s="12" t="inlineStr"/>
      <c r="F4251" s="12" t="inlineStr">
        <is>
          <t>PCM: power control module</t>
        </is>
      </c>
      <c r="G4251" s="12" t="inlineStr">
        <is>
          <t>RICE-8</t>
        </is>
      </c>
      <c r="H4251" s="12" t="inlineStr">
        <is>
          <t>RICE engine-generator 8</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0</v>
      </c>
      <c r="U4251" s="17" t="n">
        <v>161</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6 of 6: control / local station</t>
        </is>
      </c>
      <c r="E4252" s="12" t="inlineStr"/>
      <c r="F4252" s="12" t="inlineStr">
        <is>
          <t>PCM: power control module</t>
        </is>
      </c>
      <c r="G4252" s="12" t="inlineStr">
        <is>
          <t>RICE-8</t>
        </is>
      </c>
      <c r="H4252" s="12" t="inlineStr">
        <is>
          <t>RICE engine-generator 8</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161</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Control</t>
        </is>
      </c>
      <c r="E4253" s="12" t="inlineStr"/>
      <c r="F4253" s="12" t="inlineStr">
        <is>
          <t>PCM: power control module</t>
        </is>
      </c>
      <c r="G4253" s="12" t="inlineStr"/>
      <c r="H4253" s="12" t="inlineStr">
        <is>
          <t>Reagent storage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40</v>
      </c>
      <c r="U4253" s="17" t="n">
        <v>32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2: control / local station</t>
        </is>
      </c>
      <c r="E4254" s="12" t="inlineStr"/>
      <c r="F4254" s="12" t="inlineStr">
        <is>
          <t>SC-1 PCM + 15 kV GCB</t>
        </is>
      </c>
      <c r="G4254" s="12" t="inlineStr"/>
      <c r="H4254" s="12" t="inlineStr">
        <is>
          <t>SC-1 CEMS shelter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7" t="n">
        <v>0</v>
      </c>
      <c r="U4254" s="17" t="n">
        <v>229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2: control / local station</t>
        </is>
      </c>
      <c r="E4255" s="12" t="inlineStr"/>
      <c r="F4255" s="12" t="inlineStr">
        <is>
          <t>SC-1 PCM + 15 kV GCB</t>
        </is>
      </c>
      <c r="G4255" s="12" t="inlineStr"/>
      <c r="H4255" s="12" t="inlineStr">
        <is>
          <t>SC-1 CEMS shelter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229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SC-1 generator CT / VT secondaries to the PCM protection</t>
        </is>
      </c>
      <c r="E4256" s="12" t="inlineStr">
        <is>
          <t>SC-1</t>
        </is>
      </c>
      <c r="F4256" s="12" t="inlineStr">
        <is>
          <t>SC-1: aeroderivative simple-cycle unit (LM6000 class)</t>
        </is>
      </c>
      <c r="G4256" s="12" t="inlineStr"/>
      <c r="H4256" s="12" t="inlineStr">
        <is>
          <t>SC-1 PCM + 15 kV GCB</t>
        </is>
      </c>
      <c r="I4256" s="12" t="inlineStr">
        <is>
          <t>Control</t>
        </is>
      </c>
      <c r="J4256" s="12" t="inlineStr">
        <is>
          <t>Control cable 600 V Type TC-ER, Cu #10 AWG (CT / VT circuits)</t>
        </is>
      </c>
      <c r="K4256" s="12" t="inlineStr">
        <is>
          <t>CTCT|12/C|10</t>
        </is>
      </c>
      <c r="L4256" s="12" t="inlineStr">
        <is>
          <t>12/C</t>
        </is>
      </c>
      <c r="M4256" s="12" t="inlineStr">
        <is>
          <t>10</t>
        </is>
      </c>
      <c r="N4256" s="12" t="n">
        <v>2</v>
      </c>
      <c r="O4256" s="12" t="n">
        <v>1</v>
      </c>
      <c r="P4256" s="12" t="n"/>
      <c r="Q4256" s="12" t="n"/>
      <c r="R4256" s="12" t="n"/>
      <c r="S4256" s="12" t="inlineStr">
        <is>
          <t>Tray</t>
        </is>
      </c>
      <c r="T4256" s="17" t="n">
        <v>12</v>
      </c>
      <c r="U4256" s="17" t="n">
        <v>52</v>
      </c>
      <c r="V4256" s="17">
        <f>ROUNDUP((T4256+U4256+2*'Read Me'!$B$13)*(1+'Read Me'!$B$12),-1)</f>
        <v/>
      </c>
      <c r="W4256" s="17">
        <f>V4256*N4256*O4256</f>
        <v/>
      </c>
      <c r="X4256" s="12">
        <f>IF(LEFT(I4256,2)="MV",2*N4256*IF(L4256="1/C",O4256,1),0)</f>
        <v/>
      </c>
      <c r="Y4256" s="12">
        <f>IF(OR(LEFT(K4256,4)="LVAX",LEFT(K4256,6)="MV15AX",LEFT(K4256,4)="CTAX",LEFT(K4256,2)="W|"),2*N4256*O4256,0)</f>
        <v/>
      </c>
      <c r="Z4256" s="12" t="inlineStr">
        <is>
          <t>line-side and neutral CTs, VTs in the terminal box</t>
        </is>
      </c>
      <c r="AA4256" s="12">
        <f>N4256*O4256</f>
        <v/>
      </c>
    </row>
    <row r="4257">
      <c r="A4257" s="12" t="inlineStr">
        <is>
          <t>I-C-0143</t>
        </is>
      </c>
      <c r="B4257" s="12" t="inlineStr">
        <is>
          <t>I</t>
        </is>
      </c>
      <c r="C4257" s="12" t="inlineStr">
        <is>
          <t>Modular / portable power</t>
        </is>
      </c>
      <c r="D4257" s="12" t="inlineStr">
        <is>
          <t>Motor 1 of 2: control / local station</t>
        </is>
      </c>
      <c r="E4257" s="12" t="inlineStr"/>
      <c r="F4257" s="12" t="inlineStr">
        <is>
          <t>SC-1 PCM + 15 kV GCB</t>
        </is>
      </c>
      <c r="G4257" s="12" t="inlineStr"/>
      <c r="H4257" s="12" t="inlineStr">
        <is>
          <t>SC-1 ammonia flow-control unit</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7" t="n">
        <v>0</v>
      </c>
      <c r="U4257" s="17" t="n">
        <v>152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2 of 2: control / local station</t>
        </is>
      </c>
      <c r="E4258" s="12" t="inlineStr"/>
      <c r="F4258" s="12" t="inlineStr">
        <is>
          <t>SC-1 PCM + 15 kV GCB</t>
        </is>
      </c>
      <c r="G4258" s="12" t="inlineStr"/>
      <c r="H4258" s="12" t="inlineStr">
        <is>
          <t>SC-1 ammonia flow-control unit</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Solenoid to JB JB-SC-1 ammonia flow--SOL01: 4 x 2/C (field cables)</t>
        </is>
      </c>
      <c r="E4259" s="12" t="inlineStr"/>
      <c r="F4259" s="12" t="inlineStr">
        <is>
          <t>SC-1 ammonia flow-control unit</t>
        </is>
      </c>
      <c r="G4259" s="12" t="inlineStr">
        <is>
          <t>JB-SC-1 ammonia flow--SOL01</t>
        </is>
      </c>
      <c r="H4259" s="12" t="inlineStr">
        <is>
          <t>SC-1 ammonia flow-control unit</t>
        </is>
      </c>
      <c r="I4259" s="12" t="inlineStr">
        <is>
          <t>Control</t>
        </is>
      </c>
      <c r="J4259" s="12" t="inlineStr">
        <is>
          <t>Control cable 600 V Type TC-ER, Cu #14 AWG, PVC jacket</t>
        </is>
      </c>
      <c r="K4259" s="12" t="inlineStr">
        <is>
          <t>CT|2/C|14</t>
        </is>
      </c>
      <c r="L4259" s="12" t="inlineStr">
        <is>
          <t>2/C</t>
        </is>
      </c>
      <c r="M4259" s="12" t="inlineStr">
        <is>
          <t>14</t>
        </is>
      </c>
      <c r="N4259" s="12" t="n">
        <v>4</v>
      </c>
      <c r="O4259" s="12" t="n">
        <v>1</v>
      </c>
      <c r="P4259" s="12" t="n"/>
      <c r="Q4259" s="12" t="n"/>
      <c r="R4259" s="12" t="n"/>
      <c r="S4259" s="12" t="inlineStr">
        <is>
          <t>Tray / conduit</t>
        </is>
      </c>
      <c r="T4259" s="17" t="n">
        <v>40</v>
      </c>
      <c r="U4259" s="17" t="n">
        <v>10</v>
      </c>
      <c r="V4259" s="17">
        <f>ROUNDUP((T4259+U4259+2*'Read Me'!$B$13)*(1+'Read Me'!$B$12),-1)</f>
        <v/>
      </c>
      <c r="W4259" s="17">
        <f>V4259*N4259*O4259</f>
        <v/>
      </c>
      <c r="X4259" s="12">
        <f>IF(LEFT(I4259,2)="MV",2*N4259*IF(L4259="1/C",O4259,1),0)</f>
        <v/>
      </c>
      <c r="Y4259" s="12">
        <f>IF(OR(LEFT(K4259,4)="LVAX",LEFT(K4259,6)="MV15AX",LEFT(K4259,4)="CTAX",LEFT(K4259,2)="W|"),2*N4259*O4259,0)</f>
        <v/>
      </c>
      <c r="Z4259" s="12" t="inlineStr">
        <is>
          <t>device-to-JB field wiring, one cable per device</t>
        </is>
      </c>
      <c r="AA4259" s="12">
        <f>N4259*O4259</f>
        <v/>
      </c>
    </row>
    <row r="4260">
      <c r="A4260" s="12" t="inlineStr">
        <is>
          <t>I-C-0146</t>
        </is>
      </c>
      <c r="B4260" s="12" t="inlineStr">
        <is>
          <t>I</t>
        </is>
      </c>
      <c r="C4260" s="12" t="inlineStr">
        <is>
          <t>Modular / portable power</t>
        </is>
      </c>
      <c r="D4260" s="12" t="inlineStr">
        <is>
          <t>Home run JB-SC-1 ammonia flow--SOL01 to the control / marshalling room</t>
        </is>
      </c>
      <c r="E4260" s="12" t="inlineStr"/>
      <c r="F4260" s="12" t="inlineStr">
        <is>
          <t>SC-1 PCM + 15 kV GCB</t>
        </is>
      </c>
      <c r="G4260" s="12" t="inlineStr">
        <is>
          <t>JB-SC-1 ammonia flow--SOL01</t>
        </is>
      </c>
      <c r="H4260" s="12" t="inlineStr">
        <is>
          <t>SC-1 ammonia flow-control unit</t>
        </is>
      </c>
      <c r="I4260" s="12" t="inlineStr">
        <is>
          <t>Control</t>
        </is>
      </c>
      <c r="J4260" s="12" t="inlineStr">
        <is>
          <t>Control cable 600 V Type TC-ER, Cu #14 AWG, PVC jacket</t>
        </is>
      </c>
      <c r="K4260" s="12" t="inlineStr">
        <is>
          <t>CT|25/C|14</t>
        </is>
      </c>
      <c r="L4260" s="12" t="inlineStr">
        <is>
          <t>25/C</t>
        </is>
      </c>
      <c r="M4260" s="12" t="inlineStr">
        <is>
          <t>14</t>
        </is>
      </c>
      <c r="N4260" s="12" t="n">
        <v>1</v>
      </c>
      <c r="O4260" s="12" t="n">
        <v>1</v>
      </c>
      <c r="P4260" s="12" t="n"/>
      <c r="Q4260" s="12" t="n"/>
      <c r="R4260" s="12" t="n"/>
      <c r="S4260" s="12" t="inlineStr">
        <is>
          <t>Tray</t>
        </is>
      </c>
      <c r="T4260" s="17" t="n">
        <v>0</v>
      </c>
      <c r="U4260" s="17" t="n">
        <v>152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1 of 1: control / local station</t>
        </is>
      </c>
      <c r="E4261" s="12" t="inlineStr"/>
      <c r="F4261" s="12" t="inlineStr">
        <is>
          <t>SC-1 PCM + 15 kV GCB</t>
        </is>
      </c>
      <c r="G4261" s="12" t="inlineStr"/>
      <c r="H4261" s="12" t="inlineStr">
        <is>
          <t>SC-1 auxiliary skids: fuel-gas module, water-wash skid</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Solenoid to JB JB-SC-1 auxiliary ski-SOL01: 4 x 2/C (field cables)</t>
        </is>
      </c>
      <c r="E4262" s="12" t="inlineStr"/>
      <c r="F4262" s="12" t="inlineStr">
        <is>
          <t>SC-1 auxiliary skids: fuel-gas module, water-wash skid</t>
        </is>
      </c>
      <c r="G4262" s="12" t="inlineStr">
        <is>
          <t>JB-SC-1 auxiliary ski-SOL01</t>
        </is>
      </c>
      <c r="H4262" s="12" t="inlineStr">
        <is>
          <t>SC-1 auxiliary skids: fuel-gas module, water-wash skid</t>
        </is>
      </c>
      <c r="I4262" s="12" t="inlineStr">
        <is>
          <t>Control</t>
        </is>
      </c>
      <c r="J4262" s="12" t="inlineStr">
        <is>
          <t>ARMOR-X MC-HL 600 V control, Cu #14 AWG (Class I Div 2)</t>
        </is>
      </c>
      <c r="K4262" s="12" t="inlineStr">
        <is>
          <t>CTAX|2/C|14</t>
        </is>
      </c>
      <c r="L4262" s="12" t="inlineStr">
        <is>
          <t>2/C</t>
        </is>
      </c>
      <c r="M4262" s="12" t="inlineStr">
        <is>
          <t>14</t>
        </is>
      </c>
      <c r="N4262" s="12" t="n">
        <v>4</v>
      </c>
      <c r="O4262" s="12" t="n">
        <v>1</v>
      </c>
      <c r="P4262" s="12" t="n"/>
      <c r="Q4262" s="12" t="n"/>
      <c r="R4262" s="12" t="n"/>
      <c r="S4262" s="12" t="inlineStr">
        <is>
          <t>Tray / conduit</t>
        </is>
      </c>
      <c r="T4262" s="17" t="n">
        <v>63</v>
      </c>
      <c r="U4262" s="17" t="n">
        <v>10</v>
      </c>
      <c r="V4262" s="17">
        <f>ROUNDUP((T4262+U4262+2*'Read Me'!$B$13)*(1+'Read Me'!$B$12),-1)</f>
        <v/>
      </c>
      <c r="W4262" s="17">
        <f>V4262*N4262*O4262</f>
        <v/>
      </c>
      <c r="X4262" s="12">
        <f>IF(LEFT(I4262,2)="MV",2*N4262*IF(L4262="1/C",O4262,1),0)</f>
        <v/>
      </c>
      <c r="Y4262" s="12">
        <f>IF(OR(LEFT(K4262,4)="LVAX",LEFT(K4262,6)="MV15AX",LEFT(K4262,4)="CTAX",LEFT(K4262,2)="W|"),2*N4262*O4262,0)</f>
        <v/>
      </c>
      <c r="Z4262" s="12" t="inlineStr">
        <is>
          <t>device-to-JB field wiring, one cable per device</t>
        </is>
      </c>
      <c r="AA4262" s="12">
        <f>N4262*O4262</f>
        <v/>
      </c>
    </row>
    <row r="4263">
      <c r="A4263" s="12" t="inlineStr">
        <is>
          <t>I-C-0149</t>
        </is>
      </c>
      <c r="B4263" s="12" t="inlineStr">
        <is>
          <t>I</t>
        </is>
      </c>
      <c r="C4263" s="12" t="inlineStr">
        <is>
          <t>Modular / portable power</t>
        </is>
      </c>
      <c r="D4263" s="12" t="inlineStr">
        <is>
          <t>Home run JB-SC-1 auxiliary ski-SOL01 to the control / marshalling room</t>
        </is>
      </c>
      <c r="E4263" s="12" t="inlineStr"/>
      <c r="F4263" s="12" t="inlineStr">
        <is>
          <t>SC-1 PCM + 15 kV GCB</t>
        </is>
      </c>
      <c r="G4263" s="12" t="inlineStr">
        <is>
          <t>JB-SC-1 auxiliary ski-SOL01</t>
        </is>
      </c>
      <c r="H4263" s="12" t="inlineStr">
        <is>
          <t>SC-1 auxiliary skids: fuel-gas module, water-wash skid</t>
        </is>
      </c>
      <c r="I4263" s="12" t="inlineStr">
        <is>
          <t>Control</t>
        </is>
      </c>
      <c r="J4263" s="12" t="inlineStr">
        <is>
          <t>ARMOR-X MC-HL 600 V control, Cu #14 AWG (Class I Div 2)</t>
        </is>
      </c>
      <c r="K4263" s="12" t="inlineStr">
        <is>
          <t>CTAX|25/C|14</t>
        </is>
      </c>
      <c r="L4263" s="12" t="inlineStr">
        <is>
          <t>25/C</t>
        </is>
      </c>
      <c r="M4263" s="12" t="inlineStr">
        <is>
          <t>14</t>
        </is>
      </c>
      <c r="N4263" s="12" t="n">
        <v>1</v>
      </c>
      <c r="O4263" s="12" t="n">
        <v>1</v>
      </c>
      <c r="P4263" s="12" t="n"/>
      <c r="Q4263" s="12" t="n"/>
      <c r="R4263" s="12" t="n"/>
      <c r="S4263" s="12" t="inlineStr">
        <is>
          <t>Tray</t>
        </is>
      </c>
      <c r="T4263" s="17" t="n">
        <v>0</v>
      </c>
      <c r="U4263" s="17" t="n">
        <v>77</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1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2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3 of 4: control / local station</t>
        </is>
      </c>
      <c r="E4266" s="12" t="inlineStr"/>
      <c r="F4266" s="12" t="inlineStr">
        <is>
          <t>SC-1 PCM + 15 kV GCB</t>
        </is>
      </c>
      <c r="G4266" s="12" t="inlineStr"/>
      <c r="H4266" s="12" t="inlineStr">
        <is>
          <t>SC-1 lube-oil fin-fan cooler</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82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4 of 4: control / local station</t>
        </is>
      </c>
      <c r="E4267" s="12" t="inlineStr"/>
      <c r="F4267" s="12" t="inlineStr">
        <is>
          <t>SC-1 PCM + 15 kV GCB</t>
        </is>
      </c>
      <c r="G4267" s="12" t="inlineStr"/>
      <c r="H4267" s="12" t="inlineStr">
        <is>
          <t>SC-1 lube-oil fin-fan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82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SC-1 PCM + 15 kV GCB</t>
        </is>
      </c>
      <c r="G4268" s="12" t="inlineStr"/>
      <c r="H4268" s="12" t="inlineStr">
        <is>
          <t>SC-1 tempering-air fans (2 x 100 %)</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156</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SC-1 PCM + 15 kV GCB</t>
        </is>
      </c>
      <c r="G4269" s="12" t="inlineStr"/>
      <c r="H4269" s="12" t="inlineStr">
        <is>
          <t>SC-1 tempering-air fans (2 x 100 %)</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156</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5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6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7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8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9 of 10: control / local station</t>
        </is>
      </c>
      <c r="E4278" s="12" t="inlineStr"/>
      <c r="F4278" s="12" t="inlineStr">
        <is>
          <t>SC-1 PCM + 15 kV GCB</t>
        </is>
      </c>
      <c r="G4278" s="12" t="inlineStr">
        <is>
          <t>SC-1</t>
        </is>
      </c>
      <c r="H4278" s="12" t="inlineStr">
        <is>
          <t>SC-1: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0</v>
      </c>
      <c r="U4278" s="17" t="n">
        <v>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10 of 10: control / local station</t>
        </is>
      </c>
      <c r="E4279" s="12" t="inlineStr"/>
      <c r="F4279" s="12" t="inlineStr">
        <is>
          <t>SC-1 PCM + 15 kV GCB</t>
        </is>
      </c>
      <c r="G4279" s="12" t="inlineStr">
        <is>
          <t>SC-1</t>
        </is>
      </c>
      <c r="H4279" s="12" t="inlineStr">
        <is>
          <t>SC-1: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7" t="n">
        <v>0</v>
      </c>
      <c r="U4279" s="17" t="n">
        <v>64</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1 of 2: control / local station</t>
        </is>
      </c>
      <c r="E4280" s="12" t="inlineStr"/>
      <c r="F4280" s="12" t="inlineStr">
        <is>
          <t>SC-2 PCM + 15 kV GCB</t>
        </is>
      </c>
      <c r="G4280" s="12" t="inlineStr"/>
      <c r="H4280" s="12" t="inlineStr">
        <is>
          <t>SC-2 CEMS shelter</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25</v>
      </c>
      <c r="U4280" s="17" t="n">
        <v>197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2 of 2: control / local station</t>
        </is>
      </c>
      <c r="E4281" s="12" t="inlineStr"/>
      <c r="F4281" s="12" t="inlineStr">
        <is>
          <t>SC-2 PCM + 15 kV GCB</t>
        </is>
      </c>
      <c r="G4281" s="12" t="inlineStr"/>
      <c r="H4281" s="12" t="inlineStr">
        <is>
          <t>SC-2 CEMS shelter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25</v>
      </c>
      <c r="U4281" s="17" t="n">
        <v>197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SC-2 generator CT / VT secondaries to the PCM protection</t>
        </is>
      </c>
      <c r="E4282" s="12" t="inlineStr">
        <is>
          <t>SC-2</t>
        </is>
      </c>
      <c r="F4282" s="12" t="inlineStr">
        <is>
          <t>SC-2: aeroderivative simple-cycle unit (LM6000 class)</t>
        </is>
      </c>
      <c r="G4282" s="12" t="inlineStr"/>
      <c r="H4282" s="12" t="inlineStr">
        <is>
          <t>SC-2 PCM + 15 kV GCB</t>
        </is>
      </c>
      <c r="I4282" s="12" t="inlineStr">
        <is>
          <t>Control</t>
        </is>
      </c>
      <c r="J4282" s="12" t="inlineStr">
        <is>
          <t>Control cable 600 V Type TC-ER, Cu #10 AWG (CT / VT circuits)</t>
        </is>
      </c>
      <c r="K4282" s="12" t="inlineStr">
        <is>
          <t>CTCT|12/C|10</t>
        </is>
      </c>
      <c r="L4282" s="12" t="inlineStr">
        <is>
          <t>12/C</t>
        </is>
      </c>
      <c r="M4282" s="12" t="inlineStr">
        <is>
          <t>10</t>
        </is>
      </c>
      <c r="N4282" s="12" t="n">
        <v>2</v>
      </c>
      <c r="O4282" s="12" t="n">
        <v>1</v>
      </c>
      <c r="P4282" s="12" t="n"/>
      <c r="Q4282" s="12" t="n"/>
      <c r="R4282" s="12" t="n"/>
      <c r="S4282" s="12" t="inlineStr">
        <is>
          <t>Tray</t>
        </is>
      </c>
      <c r="T4282" s="17" t="n">
        <v>0</v>
      </c>
      <c r="U4282" s="17" t="n">
        <v>57</v>
      </c>
      <c r="V4282" s="17">
        <f>ROUNDUP((T4282+U4282+2*'Read Me'!$B$13)*(1+'Read Me'!$B$12),-1)</f>
        <v/>
      </c>
      <c r="W4282" s="17">
        <f>V4282*N4282*O4282</f>
        <v/>
      </c>
      <c r="X4282" s="12">
        <f>IF(LEFT(I4282,2)="MV",2*N4282*IF(L4282="1/C",O4282,1),0)</f>
        <v/>
      </c>
      <c r="Y4282" s="12">
        <f>IF(OR(LEFT(K4282,4)="LVAX",LEFT(K4282,6)="MV15AX",LEFT(K4282,4)="CTAX",LEFT(K4282,2)="W|"),2*N4282*O4282,0)</f>
        <v/>
      </c>
      <c r="Z4282" s="12" t="inlineStr">
        <is>
          <t>line-side and neutral CTs, VTs in the terminal box</t>
        </is>
      </c>
      <c r="AA4282" s="12">
        <f>N4282*O4282</f>
        <v/>
      </c>
    </row>
    <row r="4283">
      <c r="A4283" s="12" t="inlineStr">
        <is>
          <t>I-C-0169</t>
        </is>
      </c>
      <c r="B4283" s="12" t="inlineStr">
        <is>
          <t>I</t>
        </is>
      </c>
      <c r="C4283" s="12" t="inlineStr">
        <is>
          <t>Modular / portable power</t>
        </is>
      </c>
      <c r="D4283" s="12" t="inlineStr">
        <is>
          <t>Motor 1 of 2: control / local station</t>
        </is>
      </c>
      <c r="E4283" s="12" t="inlineStr"/>
      <c r="F4283" s="12" t="inlineStr">
        <is>
          <t>SC-2 PCM + 15 kV GCB</t>
        </is>
      </c>
      <c r="G4283" s="12" t="inlineStr"/>
      <c r="H4283" s="12" t="inlineStr">
        <is>
          <t>SC-2 ammonia flow-control unit</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152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2 of 2: control / local station</t>
        </is>
      </c>
      <c r="E4284" s="12" t="inlineStr"/>
      <c r="F4284" s="12" t="inlineStr">
        <is>
          <t>SC-2 PCM + 15 kV GCB</t>
        </is>
      </c>
      <c r="G4284" s="12" t="inlineStr"/>
      <c r="H4284" s="12" t="inlineStr">
        <is>
          <t>SC-2 ammonia flow-control unit</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Solenoid to JB JB-SC-2 ammonia flow--SOL01: 4 x 2/C (field cables)</t>
        </is>
      </c>
      <c r="E4285" s="12" t="inlineStr"/>
      <c r="F4285" s="12" t="inlineStr">
        <is>
          <t>SC-2 ammonia flow-control unit</t>
        </is>
      </c>
      <c r="G4285" s="12" t="inlineStr">
        <is>
          <t>JB-SC-2 ammonia flow--SOL01</t>
        </is>
      </c>
      <c r="H4285" s="12" t="inlineStr">
        <is>
          <t>SC-2 ammonia flow-control unit</t>
        </is>
      </c>
      <c r="I4285" s="12" t="inlineStr">
        <is>
          <t>Control</t>
        </is>
      </c>
      <c r="J4285" s="12" t="inlineStr">
        <is>
          <t>Control cable 600 V Type TC-ER, Cu #14 AWG, PVC jacket</t>
        </is>
      </c>
      <c r="K4285" s="12" t="inlineStr">
        <is>
          <t>CT|2/C|14</t>
        </is>
      </c>
      <c r="L4285" s="12" t="inlineStr">
        <is>
          <t>2/C</t>
        </is>
      </c>
      <c r="M4285" s="12" t="inlineStr">
        <is>
          <t>14</t>
        </is>
      </c>
      <c r="N4285" s="12" t="n">
        <v>4</v>
      </c>
      <c r="O4285" s="12" t="n">
        <v>1</v>
      </c>
      <c r="P4285" s="12" t="n"/>
      <c r="Q4285" s="12" t="n"/>
      <c r="R4285" s="12" t="n"/>
      <c r="S4285" s="12" t="inlineStr">
        <is>
          <t>Tray / conduit</t>
        </is>
      </c>
      <c r="T4285" s="17" t="n">
        <v>40</v>
      </c>
      <c r="U4285" s="17" t="n">
        <v>10</v>
      </c>
      <c r="V4285" s="17">
        <f>ROUNDUP((T4285+U4285+2*'Read Me'!$B$13)*(1+'Read Me'!$B$12),-1)</f>
        <v/>
      </c>
      <c r="W4285" s="17">
        <f>V4285*N4285*O4285</f>
        <v/>
      </c>
      <c r="X4285" s="12">
        <f>IF(LEFT(I4285,2)="MV",2*N4285*IF(L4285="1/C",O4285,1),0)</f>
        <v/>
      </c>
      <c r="Y4285" s="12">
        <f>IF(OR(LEFT(K4285,4)="LVAX",LEFT(K4285,6)="MV15AX",LEFT(K4285,4)="CTAX",LEFT(K4285,2)="W|"),2*N4285*O4285,0)</f>
        <v/>
      </c>
      <c r="Z4285" s="12" t="inlineStr">
        <is>
          <t>device-to-JB field wiring, one cable per device</t>
        </is>
      </c>
      <c r="AA4285" s="12">
        <f>N4285*O4285</f>
        <v/>
      </c>
    </row>
    <row r="4286">
      <c r="A4286" s="12" t="inlineStr">
        <is>
          <t>I-C-0172</t>
        </is>
      </c>
      <c r="B4286" s="12" t="inlineStr">
        <is>
          <t>I</t>
        </is>
      </c>
      <c r="C4286" s="12" t="inlineStr">
        <is>
          <t>Modular / portable power</t>
        </is>
      </c>
      <c r="D4286" s="12" t="inlineStr">
        <is>
          <t>Home run JB-SC-2 ammonia flow--SOL01 to the control / marshalling room</t>
        </is>
      </c>
      <c r="E4286" s="12" t="inlineStr"/>
      <c r="F4286" s="12" t="inlineStr">
        <is>
          <t>SC-2 PCM + 15 kV GCB</t>
        </is>
      </c>
      <c r="G4286" s="12" t="inlineStr">
        <is>
          <t>JB-SC-2 ammonia flow--SOL01</t>
        </is>
      </c>
      <c r="H4286" s="12" t="inlineStr">
        <is>
          <t>SC-2 ammonia flow-control unit</t>
        </is>
      </c>
      <c r="I4286" s="12" t="inlineStr">
        <is>
          <t>Control</t>
        </is>
      </c>
      <c r="J4286" s="12" t="inlineStr">
        <is>
          <t>Control cable 600 V Type TC-ER, Cu #14 AWG, PVC jacket</t>
        </is>
      </c>
      <c r="K4286" s="12" t="inlineStr">
        <is>
          <t>CT|25/C|14</t>
        </is>
      </c>
      <c r="L4286" s="12" t="inlineStr">
        <is>
          <t>25/C</t>
        </is>
      </c>
      <c r="M4286" s="12" t="inlineStr">
        <is>
          <t>14</t>
        </is>
      </c>
      <c r="N4286" s="12" t="n">
        <v>1</v>
      </c>
      <c r="O4286" s="12" t="n">
        <v>1</v>
      </c>
      <c r="P4286" s="12" t="n"/>
      <c r="Q4286" s="12" t="n"/>
      <c r="R4286" s="12" t="n"/>
      <c r="S4286" s="12" t="inlineStr">
        <is>
          <t>Tray</t>
        </is>
      </c>
      <c r="T4286" s="17" t="n">
        <v>0</v>
      </c>
      <c r="U4286" s="17" t="n">
        <v>152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1 of 1: control / local station</t>
        </is>
      </c>
      <c r="E4287" s="12" t="inlineStr"/>
      <c r="F4287" s="12" t="inlineStr">
        <is>
          <t>SC-2 PCM + 15 kV GCB</t>
        </is>
      </c>
      <c r="G4287" s="12" t="inlineStr"/>
      <c r="H4287" s="12" t="inlineStr">
        <is>
          <t>SC-2 auxiliary skids: fuel-gas module, water-wash skid</t>
        </is>
      </c>
      <c r="I4287" s="12" t="inlineStr">
        <is>
          <t>Control</t>
        </is>
      </c>
      <c r="J4287" s="12" t="inlineStr">
        <is>
          <t>ARMOR-X MC-HL 600 V control, Cu #14 AWG (Class I Div 2)</t>
        </is>
      </c>
      <c r="K4287" s="12" t="inlineStr">
        <is>
          <t>CTAX|7/C|14</t>
        </is>
      </c>
      <c r="L4287" s="12" t="inlineStr">
        <is>
          <t>7/C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Solenoid to JB JB-SC-2 auxiliary ski-SOL01: 4 x 2/C (field cables)</t>
        </is>
      </c>
      <c r="E4288" s="12" t="inlineStr"/>
      <c r="F4288" s="12" t="inlineStr">
        <is>
          <t>SC-2 auxiliary skids: fuel-gas module, water-wash skid</t>
        </is>
      </c>
      <c r="G4288" s="12" t="inlineStr">
        <is>
          <t>JB-SC-2 auxiliary ski-SOL01</t>
        </is>
      </c>
      <c r="H4288" s="12" t="inlineStr">
        <is>
          <t>SC-2 auxiliary skids: fuel-gas module, water-wash skid</t>
        </is>
      </c>
      <c r="I4288" s="12" t="inlineStr">
        <is>
          <t>Control</t>
        </is>
      </c>
      <c r="J4288" s="12" t="inlineStr">
        <is>
          <t>ARMOR-X MC-HL 600 V control, Cu #14 AWG (Class I Div 2)</t>
        </is>
      </c>
      <c r="K4288" s="12" t="inlineStr">
        <is>
          <t>CTAX|2/C|14</t>
        </is>
      </c>
      <c r="L4288" s="12" t="inlineStr">
        <is>
          <t>2/C</t>
        </is>
      </c>
      <c r="M4288" s="12" t="inlineStr">
        <is>
          <t>14</t>
        </is>
      </c>
      <c r="N4288" s="12" t="n">
        <v>4</v>
      </c>
      <c r="O4288" s="12" t="n">
        <v>1</v>
      </c>
      <c r="P4288" s="12" t="n"/>
      <c r="Q4288" s="12" t="n"/>
      <c r="R4288" s="12" t="n"/>
      <c r="S4288" s="12" t="inlineStr">
        <is>
          <t>Tray / conduit</t>
        </is>
      </c>
      <c r="T4288" s="17" t="n">
        <v>63</v>
      </c>
      <c r="U4288" s="17" t="n">
        <v>10</v>
      </c>
      <c r="V4288" s="17">
        <f>ROUNDUP((T4288+U4288+2*'Read Me'!$B$13)*(1+'Read Me'!$B$12),-1)</f>
        <v/>
      </c>
      <c r="W4288" s="17">
        <f>V4288*N4288*O4288</f>
        <v/>
      </c>
      <c r="X4288" s="12">
        <f>IF(LEFT(I4288,2)="MV",2*N4288*IF(L4288="1/C",O4288,1),0)</f>
        <v/>
      </c>
      <c r="Y4288" s="12">
        <f>IF(OR(LEFT(K4288,4)="LVAX",LEFT(K4288,6)="MV15AX",LEFT(K4288,4)="CTAX",LEFT(K4288,2)="W|"),2*N4288*O4288,0)</f>
        <v/>
      </c>
      <c r="Z4288" s="12" t="inlineStr">
        <is>
          <t>device-to-JB field wiring, one cable per device</t>
        </is>
      </c>
      <c r="AA4288" s="12">
        <f>N4288*O4288</f>
        <v/>
      </c>
    </row>
    <row r="4289">
      <c r="A4289" s="12" t="inlineStr">
        <is>
          <t>I-C-0175</t>
        </is>
      </c>
      <c r="B4289" s="12" t="inlineStr">
        <is>
          <t>I</t>
        </is>
      </c>
      <c r="C4289" s="12" t="inlineStr">
        <is>
          <t>Modular / portable power</t>
        </is>
      </c>
      <c r="D4289" s="12" t="inlineStr">
        <is>
          <t>Home run JB-SC-2 auxiliary ski-SOL01 to the control / marshalling room</t>
        </is>
      </c>
      <c r="E4289" s="12" t="inlineStr"/>
      <c r="F4289" s="12" t="inlineStr">
        <is>
          <t>SC-2 PCM + 15 kV GCB</t>
        </is>
      </c>
      <c r="G4289" s="12" t="inlineStr">
        <is>
          <t>JB-SC-2 auxiliary ski-SOL01</t>
        </is>
      </c>
      <c r="H4289" s="12" t="inlineStr">
        <is>
          <t>SC-2 auxiliary skids: fuel-gas module, water-wash skid</t>
        </is>
      </c>
      <c r="I4289" s="12" t="inlineStr">
        <is>
          <t>Control</t>
        </is>
      </c>
      <c r="J4289" s="12" t="inlineStr">
        <is>
          <t>ARMOR-X MC-HL 600 V control, Cu #14 AWG (Class I Div 2)</t>
        </is>
      </c>
      <c r="K4289" s="12" t="inlineStr">
        <is>
          <t>CTAX|25/C|14</t>
        </is>
      </c>
      <c r="L4289" s="12" t="inlineStr">
        <is>
          <t>25/C</t>
        </is>
      </c>
      <c r="M4289" s="12" t="inlineStr">
        <is>
          <t>14</t>
        </is>
      </c>
      <c r="N4289" s="12" t="n">
        <v>1</v>
      </c>
      <c r="O4289" s="12" t="n">
        <v>1</v>
      </c>
      <c r="P4289" s="12" t="n"/>
      <c r="Q4289" s="12" t="n"/>
      <c r="R4289" s="12" t="n"/>
      <c r="S4289" s="12" t="inlineStr">
        <is>
          <t>Tray</t>
        </is>
      </c>
      <c r="T4289" s="17" t="n">
        <v>0</v>
      </c>
      <c r="U4289" s="17" t="n">
        <v>77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4: control / local station</t>
        </is>
      </c>
      <c r="E4292" s="12" t="inlineStr"/>
      <c r="F4292" s="12" t="inlineStr">
        <is>
          <t>SC-2 PCM + 15 kV GCB</t>
        </is>
      </c>
      <c r="G4292" s="12" t="inlineStr"/>
      <c r="H4292" s="12" t="inlineStr">
        <is>
          <t>SC-2 lube-oil fin-fan cooler</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82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4: control / local station</t>
        </is>
      </c>
      <c r="E4293" s="12" t="inlineStr"/>
      <c r="F4293" s="12" t="inlineStr">
        <is>
          <t>SC-2 PCM + 15 kV GCB</t>
        </is>
      </c>
      <c r="G4293" s="12" t="inlineStr"/>
      <c r="H4293" s="12" t="inlineStr">
        <is>
          <t>SC-2 lube-oil fin-fan cooler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82</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2: control / local station</t>
        </is>
      </c>
      <c r="E4294" s="12" t="inlineStr"/>
      <c r="F4294" s="12" t="inlineStr">
        <is>
          <t>SC-2 PCM + 15 kV GCB</t>
        </is>
      </c>
      <c r="G4294" s="12" t="inlineStr"/>
      <c r="H4294" s="12" t="inlineStr">
        <is>
          <t>SC-2 tempering-air fans (2 x 100 %)</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124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2: control / local station</t>
        </is>
      </c>
      <c r="E4295" s="12" t="inlineStr"/>
      <c r="F4295" s="12" t="inlineStr">
        <is>
          <t>SC-2 PCM + 15 kV GCB</t>
        </is>
      </c>
      <c r="G4295" s="12" t="inlineStr"/>
      <c r="H4295" s="12" t="inlineStr">
        <is>
          <t>SC-2 tempering-air fans (2 x 100 %)</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124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7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8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9 of 10: control / local station</t>
        </is>
      </c>
      <c r="E4304" s="12" t="inlineStr"/>
      <c r="F4304" s="12" t="inlineStr">
        <is>
          <t>SC-2 PCM + 15 kV GCB</t>
        </is>
      </c>
      <c r="G4304" s="12" t="inlineStr">
        <is>
          <t>SC-2</t>
        </is>
      </c>
      <c r="H4304" s="12" t="inlineStr">
        <is>
          <t>SC-2: aeroderivative simple-cycle unit (LM6000 class)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25</v>
      </c>
      <c r="U4304" s="17" t="n">
        <v>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10 of 10: control / local station</t>
        </is>
      </c>
      <c r="E4305" s="12" t="inlineStr"/>
      <c r="F4305" s="12" t="inlineStr">
        <is>
          <t>SC-2 PCM + 15 kV GCB</t>
        </is>
      </c>
      <c r="G4305" s="12" t="inlineStr">
        <is>
          <t>SC-2</t>
        </is>
      </c>
      <c r="H4305" s="12" t="inlineStr">
        <is>
          <t>SC-2: aeroderivative simple-cycle unit (LM6000 class)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25</v>
      </c>
      <c r="U4305" s="17" t="n">
        <v>32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1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2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3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4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5 of 6: control / local station</t>
        </is>
      </c>
      <c r="E4310" s="12" t="inlineStr"/>
      <c r="F4310" s="12" t="inlineStr">
        <is>
          <t>MOD-LV 480 V board + 480 V : 13.8 kV step-up</t>
        </is>
      </c>
      <c r="G4310" s="12" t="inlineStr"/>
      <c r="H4310" s="12" t="inlineStr">
        <is>
          <t>T-MOD 230 kV take-off gantry with arresters</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370</v>
      </c>
      <c r="U4310" s="17" t="n">
        <v>128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6 of 6: control / local station</t>
        </is>
      </c>
      <c r="E4311" s="12" t="inlineStr"/>
      <c r="F4311" s="12" t="inlineStr">
        <is>
          <t>MOD-LV 480 V board + 480 V : 13.8 kV step-up</t>
        </is>
      </c>
      <c r="G4311" s="12" t="inlineStr"/>
      <c r="H4311" s="12" t="inlineStr">
        <is>
          <t>T-MOD 230 kV take-off gantry with arresters</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370</v>
      </c>
      <c r="U4311" s="17" t="n">
        <v>128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1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2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3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4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5 of 6: control / local station</t>
        </is>
      </c>
      <c r="E4316" s="12" t="inlineStr"/>
      <c r="F4316" s="12" t="inlineStr">
        <is>
          <t>MOD-LV 480 V board + 480 V : 13.8 kV step-up</t>
        </is>
      </c>
      <c r="G4316" s="12" t="inlineStr"/>
      <c r="H4316" s="12" t="inlineStr">
        <is>
          <t>T-MOD-1 / T-MOD-2 firewall</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130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6 of 6: control / local station</t>
        </is>
      </c>
      <c r="E4317" s="12" t="inlineStr"/>
      <c r="F4317" s="12" t="inlineStr">
        <is>
          <t>MOD-LV 480 V board + 480 V : 13.8 kV step-up</t>
        </is>
      </c>
      <c r="G4317" s="12" t="inlineStr"/>
      <c r="H4317" s="12" t="inlineStr">
        <is>
          <t>T-MOD-1 / T-MOD-2 firewall</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130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1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2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3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4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5 of 6: control / local station</t>
        </is>
      </c>
      <c r="E4322" s="12" t="inlineStr"/>
      <c r="F4322" s="12" t="inlineStr">
        <is>
          <t>MOD-LV 480 V board + 480 V : 13.8 kV step-up</t>
        </is>
      </c>
      <c r="G4322" s="12" t="inlineStr">
        <is>
          <t>T-MOD-1</t>
        </is>
      </c>
      <c r="H4322" s="12" t="inlineStr">
        <is>
          <t>T-MOD-1: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362</v>
      </c>
      <c r="U4322" s="17" t="n">
        <v>82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6 of 6: control / local station</t>
        </is>
      </c>
      <c r="E4323" s="12" t="inlineStr"/>
      <c r="F4323" s="12" t="inlineStr">
        <is>
          <t>MOD-LV 480 V board + 480 V : 13.8 kV step-up</t>
        </is>
      </c>
      <c r="G4323" s="12" t="inlineStr">
        <is>
          <t>T-MOD-1</t>
        </is>
      </c>
      <c r="H4323" s="12" t="inlineStr">
        <is>
          <t>T-MOD-1: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362</v>
      </c>
      <c r="U4323" s="17" t="n">
        <v>82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1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2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3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4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5 of 6: control / local station</t>
        </is>
      </c>
      <c r="E4328" s="12" t="inlineStr"/>
      <c r="F4328" s="12" t="inlineStr">
        <is>
          <t>MOD-LV 480 V board + 480 V : 13.8 kV step-up</t>
        </is>
      </c>
      <c r="G4328" s="12" t="inlineStr">
        <is>
          <t>T-MOD-2</t>
        </is>
      </c>
      <c r="H4328" s="12" t="inlineStr">
        <is>
          <t>T-MOD-2: 13.8/230 kV</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3219</v>
      </c>
      <c r="U4328" s="17" t="n">
        <v>165</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6 of 6: control / local station</t>
        </is>
      </c>
      <c r="E4329" s="12" t="inlineStr"/>
      <c r="F4329" s="12" t="inlineStr">
        <is>
          <t>MOD-LV 480 V board + 480 V : 13.8 kV step-up</t>
        </is>
      </c>
      <c r="G4329" s="12" t="inlineStr">
        <is>
          <t>T-MOD-2</t>
        </is>
      </c>
      <c r="H4329" s="12" t="inlineStr">
        <is>
          <t>T-MOD-2: 13.8/230 kV</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3219</v>
      </c>
      <c r="U4329" s="17" t="n">
        <v>165</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1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2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3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4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5 of 6: control / local station</t>
        </is>
      </c>
      <c r="E4334" s="12" t="inlineStr"/>
      <c r="F4334" s="12" t="inlineStr">
        <is>
          <t>MOD-LV 480 V board + 480 V : 13.8 kV step-up</t>
        </is>
      </c>
      <c r="G4334" s="12" t="inlineStr">
        <is>
          <t>TM-1</t>
        </is>
      </c>
      <c r="H4334" s="12" t="inlineStr">
        <is>
          <t>TM-1: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68</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6 of 6: control / local station</t>
        </is>
      </c>
      <c r="E4335" s="12" t="inlineStr"/>
      <c r="F4335" s="12" t="inlineStr">
        <is>
          <t>MOD-LV 480 V board + 480 V : 13.8 kV step-up</t>
        </is>
      </c>
      <c r="G4335" s="12" t="inlineStr">
        <is>
          <t>TM-1</t>
        </is>
      </c>
      <c r="H4335" s="12" t="inlineStr">
        <is>
          <t>TM-1: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68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1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2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3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4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Motor 5 of 6: control / local station</t>
        </is>
      </c>
      <c r="E4340" s="12" t="inlineStr"/>
      <c r="F4340" s="12" t="inlineStr">
        <is>
          <t>MOD-LV 480 V board + 480 V : 13.8 kV step-up</t>
        </is>
      </c>
      <c r="G4340" s="12" t="inlineStr">
        <is>
          <t>TM-2</t>
        </is>
      </c>
      <c r="H4340" s="12" t="inlineStr">
        <is>
          <t>TM-2: trailer-mounted aeroderivative GT (TM2500 class, ~35 MW)</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3178</v>
      </c>
      <c r="U4340" s="17" t="n">
        <v>74</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I-C-0227</t>
        </is>
      </c>
      <c r="B4341" s="12" t="inlineStr">
        <is>
          <t>I</t>
        </is>
      </c>
      <c r="C4341" s="12" t="inlineStr">
        <is>
          <t>Modular / portable power</t>
        </is>
      </c>
      <c r="D4341" s="12" t="inlineStr">
        <is>
          <t>Motor 6 of 6: control / local station</t>
        </is>
      </c>
      <c r="E4341" s="12" t="inlineStr"/>
      <c r="F4341" s="12" t="inlineStr">
        <is>
          <t>MOD-LV 480 V board + 480 V : 13.8 kV step-up</t>
        </is>
      </c>
      <c r="G4341" s="12" t="inlineStr">
        <is>
          <t>TM-2</t>
        </is>
      </c>
      <c r="H4341" s="12" t="inlineStr">
        <is>
          <t>TM-2: trailer-mounted aeroderivative GT (TM2500 class, ~35 MW)</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3178</v>
      </c>
      <c r="U4341" s="17" t="n">
        <v>74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I-C-0228</t>
        </is>
      </c>
      <c r="B4342" s="12" t="inlineStr">
        <is>
          <t>I</t>
        </is>
      </c>
      <c r="C4342" s="12" t="inlineStr">
        <is>
          <t>Modular / portable power</t>
        </is>
      </c>
      <c r="D4342" s="12" t="inlineStr">
        <is>
          <t>Motor 1 of 2: control / local station</t>
        </is>
      </c>
      <c r="E4342" s="12" t="inlineStr"/>
      <c r="F4342" s="12" t="inlineStr">
        <is>
          <t>SC-2 PCM + 15 kV GCB</t>
        </is>
      </c>
      <c r="G4342" s="12" t="inlineStr"/>
      <c r="H4342" s="12" t="inlineStr">
        <is>
          <t>Water-injection skid</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60</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I-C-0229</t>
        </is>
      </c>
      <c r="B4343" s="12" t="inlineStr">
        <is>
          <t>I</t>
        </is>
      </c>
      <c r="C4343" s="12" t="inlineStr">
        <is>
          <t>Modular / portable power</t>
        </is>
      </c>
      <c r="D4343" s="12" t="inlineStr">
        <is>
          <t>Motor 2 of 2: control / local station</t>
        </is>
      </c>
      <c r="E4343" s="12" t="inlineStr"/>
      <c r="F4343" s="12" t="inlineStr">
        <is>
          <t>SC-2 PCM + 15 kV GCB</t>
        </is>
      </c>
      <c r="G4343" s="12" t="inlineStr"/>
      <c r="H4343" s="12" t="inlineStr">
        <is>
          <t>Water-injection skid</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60</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I-C-0230</t>
        </is>
      </c>
      <c r="B4344" s="12" t="inlineStr">
        <is>
          <t>I</t>
        </is>
      </c>
      <c r="C4344" s="12" t="inlineStr">
        <is>
          <t>Modular / portable power</t>
        </is>
      </c>
      <c r="D4344" s="12" t="inlineStr">
        <is>
          <t>Solenoid to JB JB-Water-injection sk-SOL01: 2 x 2/C (field cables)</t>
        </is>
      </c>
      <c r="E4344" s="12" t="inlineStr"/>
      <c r="F4344" s="12" t="inlineStr">
        <is>
          <t>Water-injection skid</t>
        </is>
      </c>
      <c r="G4344" s="12" t="inlineStr">
        <is>
          <t>JB-Water-injection sk-SOL01</t>
        </is>
      </c>
      <c r="H4344" s="12" t="inlineStr">
        <is>
          <t>Water-injection skid</t>
        </is>
      </c>
      <c r="I4344" s="12" t="inlineStr">
        <is>
          <t>Control</t>
        </is>
      </c>
      <c r="J4344" s="12" t="inlineStr">
        <is>
          <t>Control cable 600 V Type TC-ER, Cu #14 AWG, PVC jacket</t>
        </is>
      </c>
      <c r="K4344" s="12" t="inlineStr">
        <is>
          <t>CT|2/C|14</t>
        </is>
      </c>
      <c r="L4344" s="12" t="inlineStr">
        <is>
          <t>2/C</t>
        </is>
      </c>
      <c r="M4344" s="12" t="inlineStr">
        <is>
          <t>14</t>
        </is>
      </c>
      <c r="N4344" s="12" t="n">
        <v>2</v>
      </c>
      <c r="O4344" s="12" t="n">
        <v>1</v>
      </c>
      <c r="P4344" s="12" t="n"/>
      <c r="Q4344" s="12" t="n"/>
      <c r="R4344" s="12" t="n"/>
      <c r="S4344" s="12" t="inlineStr">
        <is>
          <t>Tray / conduit</t>
        </is>
      </c>
      <c r="T4344" s="17" t="n">
        <v>43</v>
      </c>
      <c r="U4344" s="17" t="n">
        <v>10</v>
      </c>
      <c r="V4344" s="17">
        <f>ROUNDUP((T4344+U4344+2*'Read Me'!$B$13)*(1+'Read Me'!$B$12),-1)</f>
        <v/>
      </c>
      <c r="W4344" s="17">
        <f>V4344*N4344*O4344</f>
        <v/>
      </c>
      <c r="X4344" s="12">
        <f>IF(LEFT(I4344,2)="MV",2*N4344*IF(L4344="1/C",O4344,1),0)</f>
        <v/>
      </c>
      <c r="Y4344" s="12">
        <f>IF(OR(LEFT(K4344,4)="LVAX",LEFT(K4344,6)="MV15AX",LEFT(K4344,4)="CTAX",LEFT(K4344,2)="W|"),2*N4344*O4344,0)</f>
        <v/>
      </c>
      <c r="Z4344" s="12" t="inlineStr">
        <is>
          <t>device-to-JB field wiring, one cable per device</t>
        </is>
      </c>
      <c r="AA4344" s="12">
        <f>N4344*O4344</f>
        <v/>
      </c>
    </row>
    <row r="4345">
      <c r="A4345" s="12" t="inlineStr">
        <is>
          <t>I-C-0231</t>
        </is>
      </c>
      <c r="B4345" s="12" t="inlineStr">
        <is>
          <t>I</t>
        </is>
      </c>
      <c r="C4345" s="12" t="inlineStr">
        <is>
          <t>Modular / portable power</t>
        </is>
      </c>
      <c r="D4345" s="12" t="inlineStr">
        <is>
          <t>Home run JB-Water-injection sk-SOL01 to the control / marshalling room</t>
        </is>
      </c>
      <c r="E4345" s="12" t="inlineStr"/>
      <c r="F4345" s="12" t="inlineStr">
        <is>
          <t>SC-2 PCM + 15 kV GCB</t>
        </is>
      </c>
      <c r="G4345" s="12" t="inlineStr">
        <is>
          <t>JB-Water-injection sk-SOL01</t>
        </is>
      </c>
      <c r="H4345" s="12" t="inlineStr">
        <is>
          <t>Water-injection skid</t>
        </is>
      </c>
      <c r="I4345" s="12" t="inlineStr">
        <is>
          <t>Control</t>
        </is>
      </c>
      <c r="J4345" s="12" t="inlineStr">
        <is>
          <t>Control cable 600 V Type TC-ER, Cu #14 AWG, PVC jacket</t>
        </is>
      </c>
      <c r="K4345" s="12" t="inlineStr">
        <is>
          <t>CT|25/C|14</t>
        </is>
      </c>
      <c r="L4345" s="12" t="inlineStr">
        <is>
          <t>25/C</t>
        </is>
      </c>
      <c r="M4345" s="12" t="inlineStr">
        <is>
          <t>14</t>
        </is>
      </c>
      <c r="N4345" s="12" t="n">
        <v>1</v>
      </c>
      <c r="O4345" s="12" t="n">
        <v>1</v>
      </c>
      <c r="P4345" s="12" t="n"/>
      <c r="Q4345" s="12" t="n"/>
      <c r="R4345" s="12" t="n"/>
      <c r="S4345" s="12" t="inlineStr">
        <is>
          <t>Tray</t>
        </is>
      </c>
      <c r="T4345" s="17" t="n">
        <v>0</v>
      </c>
      <c r="U4345" s="17" t="n">
        <v>60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I-F-0001</t>
        </is>
      </c>
      <c r="B4346" s="12" t="inlineStr">
        <is>
          <t>I</t>
        </is>
      </c>
      <c r="C4346" s="12" t="inlineStr">
        <is>
          <t>Modular / portable power</t>
        </is>
      </c>
      <c r="D4346" s="12" t="inlineStr">
        <is>
          <t>Plant network / DCS fibre</t>
        </is>
      </c>
      <c r="E4346" s="12" t="inlineStr">
        <is>
          <t>CR</t>
        </is>
      </c>
      <c r="F4346" s="12" t="inlineStr">
        <is>
          <t>Control / admin building (main control room)</t>
        </is>
      </c>
      <c r="G4346" s="12" t="inlineStr"/>
      <c r="H4346" s="12" t="inlineStr">
        <is>
          <t>Lube oil / starting air / oily water building</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Duct bank</t>
        </is>
      </c>
      <c r="T4346" s="17" t="n">
        <v>2703</v>
      </c>
      <c r="U4346" s="17" t="n">
        <v>394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I-F-0002</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MOD-EH</t>
        </is>
      </c>
      <c r="H4347" s="12" t="inlineStr">
        <is>
          <t>MOD-EH: 13.8 kV modular collector e-house</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Trench</t>
        </is>
      </c>
      <c r="T4347" s="17" t="n">
        <v>4273</v>
      </c>
      <c r="U4347" s="17" t="n">
        <v>36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I-F-0003</t>
        </is>
      </c>
      <c r="B4348" s="12" t="inlineStr">
        <is>
          <t>I</t>
        </is>
      </c>
      <c r="C4348" s="12" t="inlineStr">
        <is>
          <t>Modular / portable power</t>
        </is>
      </c>
      <c r="D4348" s="12" t="inlineStr">
        <is>
          <t>Plant network / DCS fibre</t>
        </is>
      </c>
      <c r="E4348" s="12" t="inlineStr">
        <is>
          <t>CR</t>
        </is>
      </c>
      <c r="F4348" s="12" t="inlineStr">
        <is>
          <t>Control / admin building (main control room)</t>
        </is>
      </c>
      <c r="G4348" s="12" t="inlineStr"/>
      <c r="H4348" s="12" t="inlineStr">
        <is>
          <t>PCM: power control module</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4696</v>
      </c>
      <c r="U4348" s="17" t="n">
        <v>36</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I-F-0004</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c r="H4349" s="12" t="inlineStr">
        <is>
          <t>RICE CEMS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Duct bank</t>
        </is>
      </c>
      <c r="T4349" s="17" t="n">
        <v>4436</v>
      </c>
      <c r="U4349" s="17" t="n">
        <v>135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I-F-0005</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RICE</t>
        </is>
      </c>
      <c r="H4350" s="12" t="inlineStr">
        <is>
          <t>RICE engine hall (8 engines)</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Tray</t>
        </is>
      </c>
      <c r="T4350" s="17" t="n">
        <v>2186</v>
      </c>
      <c r="U4350" s="17" t="n">
        <v>334</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I-F-0006</t>
        </is>
      </c>
      <c r="B4351" s="12" t="inlineStr">
        <is>
          <t>I</t>
        </is>
      </c>
      <c r="C4351" s="12" t="inlineStr">
        <is>
          <t>Modular / portable power</t>
        </is>
      </c>
      <c r="D4351" s="12" t="inlineStr">
        <is>
          <t>SC-1 CEMS data to the unit control (Modbus TCP)</t>
        </is>
      </c>
      <c r="E4351" s="12" t="inlineStr"/>
      <c r="F4351" s="12" t="inlineStr">
        <is>
          <t>SC-1 PCM + 15 kV GCB</t>
        </is>
      </c>
      <c r="G4351" s="12" t="inlineStr"/>
      <c r="H4351" s="12" t="inlineStr">
        <is>
          <t>SC-1 CEMS shelter</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Tray</t>
        </is>
      </c>
      <c r="T4351" s="17" t="n">
        <v>0</v>
      </c>
      <c r="U4351" s="17" t="n">
        <v>229</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I-F-0007</t>
        </is>
      </c>
      <c r="B4352" s="12" t="inlineStr">
        <is>
          <t>I</t>
        </is>
      </c>
      <c r="C4352" s="12" t="inlineStr">
        <is>
          <t>Modular / portable power</t>
        </is>
      </c>
      <c r="D4352" s="12" t="inlineStr">
        <is>
          <t>SC-1 unit control panel: plant network / DCS fibre</t>
        </is>
      </c>
      <c r="E4352" s="12" t="inlineStr">
        <is>
          <t>CR</t>
        </is>
      </c>
      <c r="F4352" s="12" t="inlineStr">
        <is>
          <t>Control / admin building (main control room)</t>
        </is>
      </c>
      <c r="G4352" s="12" t="inlineStr"/>
      <c r="H4352" s="12" t="inlineStr">
        <is>
          <t>SC-1 PCM + 15 kV GCB</t>
        </is>
      </c>
      <c r="I4352" s="12" t="inlineStr">
        <is>
          <t>Fibre / data</t>
        </is>
      </c>
      <c r="J4352" s="12" t="inlineStr">
        <is>
          <t>Fibre optic, single-mode, 12-fibre, armored, orange jacket</t>
        </is>
      </c>
      <c r="K4352" s="12" t="inlineStr">
        <is>
          <t>FO|12 SM|-</t>
        </is>
      </c>
      <c r="L4352" s="12" t="inlineStr">
        <is>
          <t>12 SM</t>
        </is>
      </c>
      <c r="M4352" s="12" t="inlineStr">
        <is>
          <t>-</t>
        </is>
      </c>
      <c r="N4352" s="12" t="n">
        <v>1</v>
      </c>
      <c r="O4352" s="12" t="n">
        <v>1</v>
      </c>
      <c r="P4352" s="12" t="n"/>
      <c r="Q4352" s="12" t="n"/>
      <c r="R4352" s="12" t="n"/>
      <c r="S4352" s="12" t="inlineStr">
        <is>
          <t>Duct bank</t>
        </is>
      </c>
      <c r="T4352" s="17" t="n">
        <v>4738</v>
      </c>
      <c r="U4352" s="17" t="n">
        <v>36</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I-F-0008</t>
        </is>
      </c>
      <c r="B4353" s="12" t="inlineStr">
        <is>
          <t>I</t>
        </is>
      </c>
      <c r="C4353" s="12" t="inlineStr">
        <is>
          <t>Modular / portable power</t>
        </is>
      </c>
      <c r="D4353" s="12" t="inlineStr">
        <is>
          <t>Plant network / DCS fibre</t>
        </is>
      </c>
      <c r="E4353" s="12" t="inlineStr">
        <is>
          <t>CR</t>
        </is>
      </c>
      <c r="F4353" s="12" t="inlineStr">
        <is>
          <t>Control / admin building (main control room)</t>
        </is>
      </c>
      <c r="G4353" s="12" t="inlineStr">
        <is>
          <t>SC-1</t>
        </is>
      </c>
      <c r="H4353" s="12" t="inlineStr">
        <is>
          <t>SC-1: aeroderivative simple-cycle unit (LM6000 class)</t>
        </is>
      </c>
      <c r="I4353" s="12" t="inlineStr">
        <is>
          <t>Fibre / data</t>
        </is>
      </c>
      <c r="J4353" s="12" t="inlineStr">
        <is>
          <t>Fibre optic, single-mode, 12-fibre, armored, orange jacket</t>
        </is>
      </c>
      <c r="K4353" s="12" t="inlineStr">
        <is>
          <t>FO|12 SM|-</t>
        </is>
      </c>
      <c r="L4353" s="12" t="inlineStr">
        <is>
          <t>12 SM</t>
        </is>
      </c>
      <c r="M4353" s="12" t="inlineStr">
        <is>
          <t>-</t>
        </is>
      </c>
      <c r="N4353" s="12" t="n">
        <v>1</v>
      </c>
      <c r="O4353" s="12" t="n">
        <v>1</v>
      </c>
      <c r="P4353" s="12" t="n"/>
      <c r="Q4353" s="12" t="n"/>
      <c r="R4353" s="12" t="n"/>
      <c r="S4353" s="12" t="inlineStr">
        <is>
          <t>Duct bank</t>
        </is>
      </c>
      <c r="T4353" s="17" t="n">
        <v>4656</v>
      </c>
      <c r="U4353" s="17" t="n">
        <v>56</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I-F-0009</t>
        </is>
      </c>
      <c r="B4354" s="12" t="inlineStr">
        <is>
          <t>I</t>
        </is>
      </c>
      <c r="C4354" s="12" t="inlineStr">
        <is>
          <t>Modular / portable power</t>
        </is>
      </c>
      <c r="D4354" s="12" t="inlineStr">
        <is>
          <t>SC-2 CEMS data to the unit control (Modbus TCP)</t>
        </is>
      </c>
      <c r="E4354" s="12" t="inlineStr"/>
      <c r="F4354" s="12" t="inlineStr">
        <is>
          <t>SC-2 PCM + 15 kV GCB</t>
        </is>
      </c>
      <c r="G4354" s="12" t="inlineStr"/>
      <c r="H4354" s="12" t="inlineStr">
        <is>
          <t>SC-2 CEMS shelter</t>
        </is>
      </c>
      <c r="I4354" s="12" t="inlineStr">
        <is>
          <t>Fibre / data</t>
        </is>
      </c>
      <c r="J4354" s="12" t="inlineStr">
        <is>
          <t>Fibre optic, single-mode, 12-fibre, armored, orange jacket</t>
        </is>
      </c>
      <c r="K4354" s="12" t="inlineStr">
        <is>
          <t>FO|12 SM|-</t>
        </is>
      </c>
      <c r="L4354" s="12" t="inlineStr">
        <is>
          <t>12 SM</t>
        </is>
      </c>
      <c r="M4354" s="12" t="inlineStr">
        <is>
          <t>-</t>
        </is>
      </c>
      <c r="N4354" s="12" t="n">
        <v>1</v>
      </c>
      <c r="O4354" s="12" t="n">
        <v>1</v>
      </c>
      <c r="P4354" s="12" t="n"/>
      <c r="Q4354" s="12" t="n"/>
      <c r="R4354" s="12" t="n"/>
      <c r="S4354" s="12" t="inlineStr">
        <is>
          <t>Duct bank</t>
        </is>
      </c>
      <c r="T4354" s="17" t="n">
        <v>25</v>
      </c>
      <c r="U4354" s="17" t="n">
        <v>197</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I-F-0010</t>
        </is>
      </c>
      <c r="B4355" s="12" t="inlineStr">
        <is>
          <t>I</t>
        </is>
      </c>
      <c r="C4355" s="12" t="inlineStr">
        <is>
          <t>Modular / portable power</t>
        </is>
      </c>
      <c r="D4355" s="12" t="inlineStr">
        <is>
          <t>SC-2 unit control panel: plant network / DCS fibre</t>
        </is>
      </c>
      <c r="E4355" s="12" t="inlineStr">
        <is>
          <t>CR</t>
        </is>
      </c>
      <c r="F4355" s="12" t="inlineStr">
        <is>
          <t>Control / admin building (main control room)</t>
        </is>
      </c>
      <c r="G4355" s="12" t="inlineStr"/>
      <c r="H4355" s="12" t="inlineStr">
        <is>
          <t>SC-2 PCM + 15 kV GCB</t>
        </is>
      </c>
      <c r="I4355" s="12" t="inlineStr">
        <is>
          <t>Fibre / data</t>
        </is>
      </c>
      <c r="J4355" s="12" t="inlineStr">
        <is>
          <t>Fibre optic, single-mode, 12-fibre, armored, orange jacket</t>
        </is>
      </c>
      <c r="K4355" s="12" t="inlineStr">
        <is>
          <t>FO|12 SM|-</t>
        </is>
      </c>
      <c r="L4355" s="12" t="inlineStr">
        <is>
          <t>12 SM</t>
        </is>
      </c>
      <c r="M4355" s="12" t="inlineStr">
        <is>
          <t>-</t>
        </is>
      </c>
      <c r="N4355" s="12" t="n">
        <v>1</v>
      </c>
      <c r="O4355" s="12" t="n">
        <v>1</v>
      </c>
      <c r="P4355" s="12" t="n"/>
      <c r="Q4355" s="12" t="n"/>
      <c r="R4355" s="12" t="n"/>
      <c r="S4355" s="12" t="inlineStr">
        <is>
          <t>Trench</t>
        </is>
      </c>
      <c r="T4355" s="17" t="n">
        <v>4547</v>
      </c>
      <c r="U4355" s="17" t="n">
        <v>90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I-F-0011</t>
        </is>
      </c>
      <c r="B4356" s="12" t="inlineStr">
        <is>
          <t>I</t>
        </is>
      </c>
      <c r="C4356" s="12" t="inlineStr">
        <is>
          <t>Modular / portable power</t>
        </is>
      </c>
      <c r="D4356" s="12" t="inlineStr">
        <is>
          <t>Plant network / DCS fibre</t>
        </is>
      </c>
      <c r="E4356" s="12" t="inlineStr">
        <is>
          <t>CR</t>
        </is>
      </c>
      <c r="F4356" s="12" t="inlineStr">
        <is>
          <t>Control / admin building (main control room)</t>
        </is>
      </c>
      <c r="G4356" s="12" t="inlineStr">
        <is>
          <t>SC-2</t>
        </is>
      </c>
      <c r="H4356" s="12" t="inlineStr">
        <is>
          <t>SC-2: aeroderivative simple-cycle unit (LM6000 class)</t>
        </is>
      </c>
      <c r="I4356" s="12" t="inlineStr">
        <is>
          <t>Fibre / data</t>
        </is>
      </c>
      <c r="J4356" s="12" t="inlineStr">
        <is>
          <t>Fibre optic, single-mode, 12-fibre, armored, orange jacket</t>
        </is>
      </c>
      <c r="K4356" s="12" t="inlineStr">
        <is>
          <t>FO|12 SM|-</t>
        </is>
      </c>
      <c r="L4356" s="12" t="inlineStr">
        <is>
          <t>12 SM</t>
        </is>
      </c>
      <c r="M4356" s="12" t="inlineStr">
        <is>
          <t>-</t>
        </is>
      </c>
      <c r="N4356" s="12" t="n">
        <v>1</v>
      </c>
      <c r="O4356" s="12" t="n">
        <v>1</v>
      </c>
      <c r="P4356" s="12" t="n"/>
      <c r="Q4356" s="12" t="n"/>
      <c r="R4356" s="12" t="n"/>
      <c r="S4356" s="12" t="inlineStr">
        <is>
          <t>Trench</t>
        </is>
      </c>
      <c r="T4356" s="17" t="n">
        <v>4640</v>
      </c>
      <c r="U4356" s="17" t="n">
        <v>36</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I-F-0012</t>
        </is>
      </c>
      <c r="B4357" s="12" t="inlineStr">
        <is>
          <t>I</t>
        </is>
      </c>
      <c r="C4357" s="12" t="inlineStr">
        <is>
          <t>Modular / portable power</t>
        </is>
      </c>
      <c r="D4357" s="12" t="inlineStr">
        <is>
          <t>Plant network / DCS fibre</t>
        </is>
      </c>
      <c r="E4357" s="12" t="inlineStr">
        <is>
          <t>CR</t>
        </is>
      </c>
      <c r="F4357" s="12" t="inlineStr">
        <is>
          <t>Control / admin building (main control room)</t>
        </is>
      </c>
      <c r="G4357" s="12" t="inlineStr">
        <is>
          <t>TM-1</t>
        </is>
      </c>
      <c r="H4357" s="12" t="inlineStr">
        <is>
          <t>TM-1: trailer-mounted aeroderivative GT (TM2500 class, ~35 MW)</t>
        </is>
      </c>
      <c r="I4357" s="12" t="inlineStr">
        <is>
          <t>Fibre / data</t>
        </is>
      </c>
      <c r="J4357" s="12" t="inlineStr">
        <is>
          <t>Fibre optic, single-mode, 12-fibre, armored, orange jacket</t>
        </is>
      </c>
      <c r="K4357" s="12" t="inlineStr">
        <is>
          <t>FO|12 SM|-</t>
        </is>
      </c>
      <c r="L4357" s="12" t="inlineStr">
        <is>
          <t>12 SM</t>
        </is>
      </c>
      <c r="M4357" s="12" t="inlineStr">
        <is>
          <t>-</t>
        </is>
      </c>
      <c r="N4357" s="12" t="n">
        <v>1</v>
      </c>
      <c r="O4357" s="12" t="n">
        <v>1</v>
      </c>
      <c r="P4357" s="12" t="n"/>
      <c r="Q4357" s="12" t="n"/>
      <c r="R4357" s="12" t="n"/>
      <c r="S4357" s="12" t="inlineStr">
        <is>
          <t>Trench</t>
        </is>
      </c>
      <c r="T4357" s="17" t="n">
        <v>3434</v>
      </c>
      <c r="U4357" s="17" t="n">
        <v>66</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I-F-0013</t>
        </is>
      </c>
      <c r="B4358" s="12" t="inlineStr">
        <is>
          <t>I</t>
        </is>
      </c>
      <c r="C4358" s="12" t="inlineStr">
        <is>
          <t>Modular / portable power</t>
        </is>
      </c>
      <c r="D4358" s="12" t="inlineStr">
        <is>
          <t>Plant network / DCS fibre</t>
        </is>
      </c>
      <c r="E4358" s="12" t="inlineStr">
        <is>
          <t>CR</t>
        </is>
      </c>
      <c r="F4358" s="12" t="inlineStr">
        <is>
          <t>Control / admin building (main control room)</t>
        </is>
      </c>
      <c r="G4358" s="12" t="inlineStr">
        <is>
          <t>TM-2</t>
        </is>
      </c>
      <c r="H4358" s="12" t="inlineStr">
        <is>
          <t>TM-2: trailer-mounted aeroderivative GT (TM2500 class, ~35 MW)</t>
        </is>
      </c>
      <c r="I4358" s="12" t="inlineStr">
        <is>
          <t>Fibre / data</t>
        </is>
      </c>
      <c r="J4358" s="12" t="inlineStr">
        <is>
          <t>Fibre optic, single-mode, 12-fibre, armored, orange jacket</t>
        </is>
      </c>
      <c r="K4358" s="12" t="inlineStr">
        <is>
          <t>FO|12 SM|-</t>
        </is>
      </c>
      <c r="L4358" s="12" t="inlineStr">
        <is>
          <t>12 SM</t>
        </is>
      </c>
      <c r="M4358" s="12" t="inlineStr">
        <is>
          <t>-</t>
        </is>
      </c>
      <c r="N4358" s="12" t="n">
        <v>1</v>
      </c>
      <c r="O4358" s="12" t="n">
        <v>1</v>
      </c>
      <c r="P4358" s="12" t="n"/>
      <c r="Q4358" s="12" t="n"/>
      <c r="R4358" s="12" t="n"/>
      <c r="S4358" s="12" t="inlineStr">
        <is>
          <t>Trench</t>
        </is>
      </c>
      <c r="T4358" s="17" t="n">
        <v>3434</v>
      </c>
      <c r="U4358" s="17" t="n">
        <v>72</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I-FA-0001</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c r="H4359" s="12" t="inlineStr">
        <is>
          <t>BS black-start switchgear</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7" t="n">
        <v>562</v>
      </c>
      <c r="U4359" s="17" t="n">
        <v>64</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I-FA-0002</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c r="H4360" s="12" t="inlineStr">
        <is>
          <t>Black-start genset (proposed; requires study)</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Duct bank</t>
        </is>
      </c>
      <c r="T4360" s="17" t="n">
        <v>624</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I-FA-0003</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Black-start genset (proposed; requires study)</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624</v>
      </c>
      <c r="U4361" s="17" t="n">
        <v>40</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I-FA-0004</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CONDITIONAL: BESS black-start alternative</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550</v>
      </c>
      <c r="U4362" s="17" t="n">
        <v>32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I-FA-0005</t>
        </is>
      </c>
      <c r="B4363" s="12" t="inlineStr">
        <is>
          <t>I</t>
        </is>
      </c>
      <c r="C4363" s="12" t="inlineStr">
        <is>
          <t>Modular / portable power</t>
        </is>
      </c>
      <c r="D4363" s="12" t="inlineStr">
        <is>
          <t>Fire alarm / F&amp;G loop (to the local FACP / F&amp;G node)</t>
        </is>
      </c>
      <c r="E4363" s="12" t="inlineStr"/>
      <c r="F4363" s="12" t="inlineStr">
        <is>
          <t>SC-1 PCM + 15 kV GCB</t>
        </is>
      </c>
      <c r="G4363" s="12" t="inlineStr"/>
      <c r="H4363" s="12" t="inlineStr">
        <is>
          <t>CONDITIONAL: SC-1 inlet chiller / evaporative cooler</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Tray</t>
        </is>
      </c>
      <c r="T4363" s="17" t="n">
        <v>0</v>
      </c>
      <c r="U4363" s="17" t="n">
        <v>114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I-FA-0006</t>
        </is>
      </c>
      <c r="B4364" s="12" t="inlineStr">
        <is>
          <t>I</t>
        </is>
      </c>
      <c r="C4364" s="12" t="inlineStr">
        <is>
          <t>Modular / portable power</t>
        </is>
      </c>
      <c r="D4364" s="12" t="inlineStr">
        <is>
          <t>Fire alarm / F&amp;G loop (to the local FACP / F&amp;G node)</t>
        </is>
      </c>
      <c r="E4364" s="12" t="inlineStr"/>
      <c r="F4364" s="12" t="inlineStr">
        <is>
          <t>SC-2 PCM + 15 kV GCB</t>
        </is>
      </c>
      <c r="G4364" s="12" t="inlineStr"/>
      <c r="H4364" s="12" t="inlineStr">
        <is>
          <t>CONDITIONAL: SC-2 inlet chiller / evaporative cooler</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75</v>
      </c>
      <c r="U4364" s="17" t="n">
        <v>32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I-FA-0007</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CONT-1</t>
        </is>
      </c>
      <c r="H4365" s="12" t="inlineStr">
        <is>
          <t>CONT-1: containerized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298</v>
      </c>
      <c r="U4365" s="17" t="n">
        <v>37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I-FA-0008</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CONT-2</t>
        </is>
      </c>
      <c r="H4366" s="12" t="inlineStr">
        <is>
          <t>CONT-2: containerized genset 13.8 kV (40 ft)</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267</v>
      </c>
      <c r="U4366" s="17" t="n">
        <v>37</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I-FA-0009</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CONT-3</t>
        </is>
      </c>
      <c r="H4367" s="12" t="inlineStr">
        <is>
          <t>CONT-3: containerized gas genset 13.8 kV (40 ft)</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191</v>
      </c>
      <c r="U4367" s="17" t="n">
        <v>32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I-FA-0010</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CONT-4</t>
        </is>
      </c>
      <c r="H4368" s="12" t="inlineStr">
        <is>
          <t>CONT-4: containerized gas genset 13.8 kV (40 ft)</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62</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I-FA-0011</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is>
          <t>CONT-5</t>
        </is>
      </c>
      <c r="H4369" s="12" t="inlineStr">
        <is>
          <t>CONT-5: containerized gas genset 13.8 kV (40 ft)</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Duct bank</t>
        </is>
      </c>
      <c r="T4369" s="17" t="n">
        <v>25</v>
      </c>
      <c r="U4369" s="17" t="n">
        <v>58</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I-FA-0012</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CONT-6</t>
        </is>
      </c>
      <c r="H4370" s="12" t="inlineStr">
        <is>
          <t>CONT-6: containerized gas genset 13.8 kV (40 ft)</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Surface</t>
        </is>
      </c>
      <c r="T4370" s="17" t="n">
        <v>228</v>
      </c>
      <c r="U4370" s="17" t="n">
        <v>46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I-FA-0013</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CONT-7</t>
        </is>
      </c>
      <c r="H4371" s="12" t="inlineStr">
        <is>
          <t>CONT-7: containerized gas genset 13.8 kV (40 ft)</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Surface</t>
        </is>
      </c>
      <c r="T4371" s="17" t="n">
        <v>228</v>
      </c>
      <c r="U4371" s="17" t="n">
        <v>46</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I-FA-0014</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CONT-8</t>
        </is>
      </c>
      <c r="H4372" s="12" t="inlineStr">
        <is>
          <t>CONT-8: containerized gas genset 13.8 kV (40 ft)</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Surface</t>
        </is>
      </c>
      <c r="T4372" s="17" t="n">
        <v>16</v>
      </c>
      <c r="U4372" s="17" t="n">
        <v>117</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I-FA-0015</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FC-10</t>
        </is>
      </c>
      <c r="H4373" s="12" t="inlineStr">
        <is>
          <t>FC-10: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286</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I-FA-0016</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FC-11</t>
        </is>
      </c>
      <c r="H4374" s="12" t="inlineStr">
        <is>
          <t>FC-11: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272</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I-FA-0017</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FC-12</t>
        </is>
      </c>
      <c r="H4375" s="12" t="inlineStr">
        <is>
          <t>FC-12: SOFC module (Bloom ES5 class, 200-300 kW)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Duct bank</t>
        </is>
      </c>
      <c r="T4375" s="17" t="n">
        <v>272</v>
      </c>
      <c r="U4375" s="17" t="n">
        <v>41</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I-FA-0018</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c r="H4376" s="12" t="inlineStr">
        <is>
          <t>FC-5..12 inverter / AC cabinet / desulfurizer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202</v>
      </c>
      <c r="U4376" s="17" t="n">
        <v>37</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I-FA-0019</t>
        </is>
      </c>
      <c r="B4377" s="12" t="inlineStr">
        <is>
          <t>I</t>
        </is>
      </c>
      <c r="C4377" s="12" t="inlineStr">
        <is>
          <t>Modular / portable power</t>
        </is>
      </c>
      <c r="D4377" s="12" t="inlineStr">
        <is>
          <t>Fire alarm / F&amp;G loop (to the local FACP / F&amp;G node)</t>
        </is>
      </c>
      <c r="E4377" s="12" t="inlineStr">
        <is>
          <t>PAD-EH</t>
        </is>
      </c>
      <c r="F4377" s="12" t="inlineStr">
        <is>
          <t>PAD-EH 13.8 kV switchgear e-house</t>
        </is>
      </c>
      <c r="G4377" s="12" t="inlineStr">
        <is>
          <t>FC-5</t>
        </is>
      </c>
      <c r="H4377" s="12" t="inlineStr">
        <is>
          <t>FC-5: SOFC module (Bloom ES5 class, 200-300 kW)</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356</v>
      </c>
      <c r="U4377" s="17" t="n">
        <v>50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I-FA-0020</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FC-6</t>
        </is>
      </c>
      <c r="H4378" s="12" t="inlineStr">
        <is>
          <t>FC-6: SOFC module (Bloom ES5 class, 200-300 kW)</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342</v>
      </c>
      <c r="U4378" s="17" t="n">
        <v>50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I-FA-0021</t>
        </is>
      </c>
      <c r="B4379" s="12" t="inlineStr">
        <is>
          <t>I</t>
        </is>
      </c>
      <c r="C4379" s="12" t="inlineStr">
        <is>
          <t>Modular / portable power</t>
        </is>
      </c>
      <c r="D4379" s="12" t="inlineStr">
        <is>
          <t>Fire alarm / F&amp;G loop (to the local FACP / F&amp;G node)</t>
        </is>
      </c>
      <c r="E4379" s="12" t="inlineStr">
        <is>
          <t>PAD-EH</t>
        </is>
      </c>
      <c r="F4379" s="12" t="inlineStr">
        <is>
          <t>PAD-EH 13.8 kV switchgear e-house</t>
        </is>
      </c>
      <c r="G4379" s="12" t="inlineStr">
        <is>
          <t>FC-7</t>
        </is>
      </c>
      <c r="H4379" s="12" t="inlineStr">
        <is>
          <t>FC-7: SOFC module (Bloom ES5 class, 200-300 kW)</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328</v>
      </c>
      <c r="U4379" s="17" t="n">
        <v>50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I-FA-0022</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FC-8</t>
        </is>
      </c>
      <c r="H4380" s="12" t="inlineStr">
        <is>
          <t>FC-8: SOFC module (Bloom ES5 class, 200-300 kW)</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Duct bank</t>
        </is>
      </c>
      <c r="T4380" s="17" t="n">
        <v>314</v>
      </c>
      <c r="U4380" s="17" t="n">
        <v>50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I-FA-0023</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FC-9</t>
        </is>
      </c>
      <c r="H4381" s="12" t="inlineStr">
        <is>
          <t>FC-9: SOFC module (Bloom ES5 class, 200-300 kW)</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300</v>
      </c>
      <c r="U4381" s="17" t="n">
        <v>50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I-FA-0024</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GEN-E</t>
        </is>
      </c>
      <c r="H4382" s="12" t="inlineStr">
        <is>
          <t>GEN-E: enclosed industrial gas genset 2 MW</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153</v>
      </c>
      <c r="U4382" s="17" t="n">
        <v>32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I-FA-0025</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GEN-O</t>
        </is>
      </c>
      <c r="H4383" s="12" t="inlineStr">
        <is>
          <t>GEN-O: open engine-generator skid</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153</v>
      </c>
      <c r="U4383" s="17" t="n">
        <v>79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I-FA-0026</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Lube oil / starting air / oily water building</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Tray</t>
        </is>
      </c>
      <c r="T4384" s="17" t="n">
        <v>40</v>
      </c>
      <c r="U4384" s="17" t="n">
        <v>164</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I-FA-0027</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MOB-1</t>
        </is>
      </c>
      <c r="H4385" s="12" t="inlineStr">
        <is>
          <t>MOB-1: trailer genset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Surface</t>
        </is>
      </c>
      <c r="T4385" s="17" t="n">
        <v>113</v>
      </c>
      <c r="U4385" s="17" t="n">
        <v>160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I-FA-0028</t>
        </is>
      </c>
      <c r="B4386" s="12" t="inlineStr">
        <is>
          <t>I</t>
        </is>
      </c>
      <c r="C4386" s="12" t="inlineStr">
        <is>
          <t>Modular / portable power</t>
        </is>
      </c>
      <c r="D4386" s="12" t="inlineStr">
        <is>
          <t>Fire alarm / F&amp;G loop (to the local FACP / F&amp;G node)</t>
        </is>
      </c>
      <c r="E4386" s="12" t="inlineStr"/>
      <c r="F4386" s="12" t="inlineStr">
        <is>
          <t>PCM: power control module</t>
        </is>
      </c>
      <c r="G4386" s="12" t="inlineStr">
        <is>
          <t>MOD-EH</t>
        </is>
      </c>
      <c r="H4386" s="12" t="inlineStr">
        <is>
          <t>MOD-EH: 13.8 kV modular collector e-house</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355</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I-FA-0029</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MT-4</t>
        </is>
      </c>
      <c r="H4387" s="12" t="inlineStr">
        <is>
          <t>MT-4: microturbine 1 MW (Capstone C1000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198</v>
      </c>
      <c r="U4387" s="17" t="n">
        <v>47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I-FA-0030</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MT-5</t>
        </is>
      </c>
      <c r="H4388" s="12" t="inlineStr">
        <is>
          <t>MT-5: microturbine 1 MW (Capstone C1000 class)</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198</v>
      </c>
      <c r="U4388" s="17" t="n">
        <v>37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I-FA-0031</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MT-6</t>
        </is>
      </c>
      <c r="H4389" s="12" t="inlineStr">
        <is>
          <t>MT-6: microturbine 1 MW (Capstone C1000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67</v>
      </c>
      <c r="U4389" s="17" t="n">
        <v>90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I-FA-0032</t>
        </is>
      </c>
      <c r="B4390" s="12" t="inlineStr">
        <is>
          <t>I</t>
        </is>
      </c>
      <c r="C4390" s="12" t="inlineStr">
        <is>
          <t>Modular / portable power</t>
        </is>
      </c>
      <c r="D4390" s="12" t="inlineStr">
        <is>
          <t>Fire alarm / F&amp;G loop (to the local FACP / F&amp;G node)</t>
        </is>
      </c>
      <c r="E4390" s="12" t="inlineStr"/>
      <c r="F4390" s="12" t="inlineStr">
        <is>
          <t>PCM: power control module</t>
        </is>
      </c>
      <c r="G4390" s="12" t="inlineStr"/>
      <c r="H4390" s="12" t="inlineStr">
        <is>
          <t>PCM: power control module</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Tray</t>
        </is>
      </c>
      <c r="T4390" s="17" t="n">
        <v>0</v>
      </c>
      <c r="U4390" s="17" t="n">
        <v>32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I-FA-0033</t>
        </is>
      </c>
      <c r="B4391" s="12" t="inlineStr">
        <is>
          <t>I</t>
        </is>
      </c>
      <c r="C4391" s="12" t="inlineStr">
        <is>
          <t>Modular / portable power</t>
        </is>
      </c>
      <c r="D4391" s="12" t="inlineStr">
        <is>
          <t>Fire alarm / F&amp;G loop (to the local FACP / F&amp;G node)</t>
        </is>
      </c>
      <c r="E4391" s="12" t="inlineStr"/>
      <c r="F4391" s="12" t="inlineStr">
        <is>
          <t>PCM: power control module</t>
        </is>
      </c>
      <c r="G4391" s="12" t="inlineStr"/>
      <c r="H4391" s="12" t="inlineStr">
        <is>
          <t>RICE CEMS</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260</v>
      </c>
      <c r="U4391" s="17" t="n">
        <v>131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I-FA-0034</t>
        </is>
      </c>
      <c r="B4392" s="12" t="inlineStr">
        <is>
          <t>I</t>
        </is>
      </c>
      <c r="C4392" s="12" t="inlineStr">
        <is>
          <t>Modular / portable power</t>
        </is>
      </c>
      <c r="D4392" s="12" t="inlineStr">
        <is>
          <t>Fire alarm / F&amp;G loop (to the local FACP / F&amp;G node)</t>
        </is>
      </c>
      <c r="E4392" s="12" t="inlineStr"/>
      <c r="F4392" s="12" t="inlineStr">
        <is>
          <t>PCM: power control module</t>
        </is>
      </c>
      <c r="G4392" s="12" t="inlineStr">
        <is>
          <t>RICE</t>
        </is>
      </c>
      <c r="H4392" s="12" t="inlineStr">
        <is>
          <t>RICE engine hall (8 engines)</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367</v>
      </c>
      <c r="U4392" s="17" t="n">
        <v>95</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I-FA-0035</t>
        </is>
      </c>
      <c r="B4393" s="12" t="inlineStr">
        <is>
          <t>I</t>
        </is>
      </c>
      <c r="C4393" s="12" t="inlineStr">
        <is>
          <t>Modular / portable power</t>
        </is>
      </c>
      <c r="D4393" s="12" t="inlineStr">
        <is>
          <t>SC-1 CEMS shelter fire alarm loop</t>
        </is>
      </c>
      <c r="E4393" s="12" t="inlineStr"/>
      <c r="F4393" s="12" t="inlineStr">
        <is>
          <t>SC-1 PCM + 15 kV GCB</t>
        </is>
      </c>
      <c r="G4393" s="12" t="inlineStr"/>
      <c r="H4393" s="12" t="inlineStr">
        <is>
          <t>SC-1 CEMS shelter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Tray</t>
        </is>
      </c>
      <c r="T4393" s="17" t="n">
        <v>0</v>
      </c>
      <c r="U4393" s="17" t="n">
        <v>229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I-FA-0036</t>
        </is>
      </c>
      <c r="B4394" s="12" t="inlineStr">
        <is>
          <t>I</t>
        </is>
      </c>
      <c r="C4394" s="12" t="inlineStr">
        <is>
          <t>Modular / portable power</t>
        </is>
      </c>
      <c r="D4394" s="12" t="inlineStr">
        <is>
          <t>SC-1 PCM fire alarm / F&amp;G node to the plant FACP</t>
        </is>
      </c>
      <c r="E4394" s="12" t="inlineStr">
        <is>
          <t>CR</t>
        </is>
      </c>
      <c r="F4394" s="12" t="inlineStr">
        <is>
          <t>Control / admin building (main control room)</t>
        </is>
      </c>
      <c r="G4394" s="12" t="inlineStr"/>
      <c r="H4394" s="12" t="inlineStr">
        <is>
          <t>SC-1 PCM + 15 kV GCB</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4738</v>
      </c>
      <c r="U4394" s="17" t="n">
        <v>36</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I-FA-0037</t>
        </is>
      </c>
      <c r="B4395" s="12" t="inlineStr">
        <is>
          <t>I</t>
        </is>
      </c>
      <c r="C4395" s="12" t="inlineStr">
        <is>
          <t>Modular / portable power</t>
        </is>
      </c>
      <c r="D4395" s="12" t="inlineStr">
        <is>
          <t>Fire alarm / F&amp;G loop (to the local FACP / F&amp;G node)</t>
        </is>
      </c>
      <c r="E4395" s="12" t="inlineStr"/>
      <c r="F4395" s="12" t="inlineStr">
        <is>
          <t>SC-1 PCM + 15 kV GCB</t>
        </is>
      </c>
      <c r="G4395" s="12" t="inlineStr">
        <is>
          <t>SC-1</t>
        </is>
      </c>
      <c r="H4395" s="12" t="inlineStr">
        <is>
          <t>SC-1: aeroderivative simple-cycle unit (LM6000 class)</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Tray</t>
        </is>
      </c>
      <c r="T4395" s="17" t="n">
        <v>0</v>
      </c>
      <c r="U4395" s="17" t="n">
        <v>64</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I-FA-0038</t>
        </is>
      </c>
      <c r="B4396" s="12" t="inlineStr">
        <is>
          <t>I</t>
        </is>
      </c>
      <c r="C4396" s="12" t="inlineStr">
        <is>
          <t>Modular / portable power</t>
        </is>
      </c>
      <c r="D4396" s="12" t="inlineStr">
        <is>
          <t>SC-2 CEMS shelter fire alarm loop</t>
        </is>
      </c>
      <c r="E4396" s="12" t="inlineStr"/>
      <c r="F4396" s="12" t="inlineStr">
        <is>
          <t>SC-2 PCM + 15 kV GCB</t>
        </is>
      </c>
      <c r="G4396" s="12" t="inlineStr"/>
      <c r="H4396" s="12" t="inlineStr">
        <is>
          <t>SC-2 CEMS shelter</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25</v>
      </c>
      <c r="U4396" s="17" t="n">
        <v>197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I-FA-0039</t>
        </is>
      </c>
      <c r="B4397" s="12" t="inlineStr">
        <is>
          <t>I</t>
        </is>
      </c>
      <c r="C4397" s="12" t="inlineStr">
        <is>
          <t>Modular / portable power</t>
        </is>
      </c>
      <c r="D4397" s="12" t="inlineStr">
        <is>
          <t>SC-2 PCM fire alarm / F&amp;G node to the plant FACP</t>
        </is>
      </c>
      <c r="E4397" s="12" t="inlineStr">
        <is>
          <t>CR</t>
        </is>
      </c>
      <c r="F4397" s="12" t="inlineStr">
        <is>
          <t>Control / admin building (main control room)</t>
        </is>
      </c>
      <c r="G4397" s="12" t="inlineStr"/>
      <c r="H4397" s="12" t="inlineStr">
        <is>
          <t>SC-2 PCM + 15 kV GCB</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Trench</t>
        </is>
      </c>
      <c r="T4397" s="17" t="n">
        <v>4547</v>
      </c>
      <c r="U4397" s="17" t="n">
        <v>90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I-FA-0040</t>
        </is>
      </c>
      <c r="B4398" s="12" t="inlineStr">
        <is>
          <t>I</t>
        </is>
      </c>
      <c r="C4398" s="12" t="inlineStr">
        <is>
          <t>Modular / portable power</t>
        </is>
      </c>
      <c r="D4398" s="12" t="inlineStr">
        <is>
          <t>Fire alarm / F&amp;G loop (to the local FACP / F&amp;G node)</t>
        </is>
      </c>
      <c r="E4398" s="12" t="inlineStr"/>
      <c r="F4398" s="12" t="inlineStr">
        <is>
          <t>SC-2 PCM + 15 kV GCB</t>
        </is>
      </c>
      <c r="G4398" s="12" t="inlineStr">
        <is>
          <t>SC-2</t>
        </is>
      </c>
      <c r="H4398" s="12" t="inlineStr">
        <is>
          <t>SC-2: aeroderivative simple-cycle unit (LM6000 class)</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25</v>
      </c>
      <c r="U4398" s="17" t="n">
        <v>32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I-FA-0041</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TM-1</t>
        </is>
      </c>
      <c r="H4399" s="12" t="inlineStr">
        <is>
          <t>TM-1: trailer-mounted aeroderivative GT (TM2500 class, ~35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382</v>
      </c>
      <c r="U4399" s="17" t="n">
        <v>50</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I-FA-0042</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TM-2</t>
        </is>
      </c>
      <c r="H4400" s="12" t="inlineStr">
        <is>
          <t>TM-2: trailer-mounted aeroderivative GT (TM2500 class, ~35 MW)</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386</v>
      </c>
      <c r="U4400" s="17" t="n">
        <v>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I-I-0001</t>
        </is>
      </c>
      <c r="B4401" s="12" t="inlineStr">
        <is>
          <t>I</t>
        </is>
      </c>
      <c r="C4401" s="12" t="inlineStr">
        <is>
          <t>Modular / portable power</t>
        </is>
      </c>
      <c r="D4401" s="12" t="inlineStr">
        <is>
          <t>Analog instrument to JB JB-Aqueous ammonia (S-AI01: 6 x 1 pr (field cables)</t>
        </is>
      </c>
      <c r="E4401" s="12" t="inlineStr"/>
      <c r="F4401" s="12" t="inlineStr">
        <is>
          <t>Aqueous ammonia (SC units)</t>
        </is>
      </c>
      <c r="G4401" s="12" t="inlineStr">
        <is>
          <t>JB-Aqueous ammonia (S-AI01</t>
        </is>
      </c>
      <c r="H4401" s="12" t="inlineStr">
        <is>
          <t>Aqueous ammonia (SC units)</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6</v>
      </c>
      <c r="O4401" s="12" t="n">
        <v>1</v>
      </c>
      <c r="P4401" s="12" t="n"/>
      <c r="Q4401" s="12" t="n"/>
      <c r="R4401" s="12" t="n"/>
      <c r="S4401" s="12" t="inlineStr">
        <is>
          <t>Tray / conduit</t>
        </is>
      </c>
      <c r="T4401" s="17" t="n">
        <v>55</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I-I-0002</t>
        </is>
      </c>
      <c r="B4402" s="12" t="inlineStr">
        <is>
          <t>I</t>
        </is>
      </c>
      <c r="C4402" s="12" t="inlineStr">
        <is>
          <t>Modular / portable power</t>
        </is>
      </c>
      <c r="D4402" s="12" t="inlineStr">
        <is>
          <t>Home run JB-Aqueous ammonia (S-AI01 to the control / marshalling room</t>
        </is>
      </c>
      <c r="E4402" s="12" t="inlineStr"/>
      <c r="F4402" s="12" t="inlineStr">
        <is>
          <t>SC-2 PCM + 15 kV GCB</t>
        </is>
      </c>
      <c r="G4402" s="12" t="inlineStr">
        <is>
          <t>JB-Aqueous ammonia (S-AI01</t>
        </is>
      </c>
      <c r="H4402" s="12" t="inlineStr">
        <is>
          <t>Aqueous ammonia (SC units)</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Tray</t>
        </is>
      </c>
      <c r="T4402" s="17" t="n">
        <v>0</v>
      </c>
      <c r="U4402" s="17" t="n">
        <v>98</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I-I-0003</t>
        </is>
      </c>
      <c r="B4403" s="12" t="inlineStr">
        <is>
          <t>I</t>
        </is>
      </c>
      <c r="C4403" s="12" t="inlineStr">
        <is>
          <t>Modular / portable power</t>
        </is>
      </c>
      <c r="D4403" s="12" t="inlineStr">
        <is>
          <t>Discrete device to JB JB-Aqueous ammonia (S-DI01: 6 x 1 pr (field cables)</t>
        </is>
      </c>
      <c r="E4403" s="12" t="inlineStr"/>
      <c r="F4403" s="12" t="inlineStr">
        <is>
          <t>Aqueous ammonia (SC units)</t>
        </is>
      </c>
      <c r="G4403" s="12" t="inlineStr">
        <is>
          <t>JB-Aqueous ammonia (S-DI01</t>
        </is>
      </c>
      <c r="H4403" s="12" t="inlineStr">
        <is>
          <t>Aqueous ammonia (SC units)</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6</v>
      </c>
      <c r="O4403" s="12" t="n">
        <v>1</v>
      </c>
      <c r="P4403" s="12" t="n"/>
      <c r="Q4403" s="12" t="n"/>
      <c r="R4403" s="12" t="n"/>
      <c r="S4403" s="12" t="inlineStr">
        <is>
          <t>Tray / conduit</t>
        </is>
      </c>
      <c r="T4403" s="17" t="n">
        <v>55</v>
      </c>
      <c r="U4403" s="17" t="n">
        <v>10</v>
      </c>
      <c r="V4403" s="17">
        <f>ROUNDUP((T4403+U4403+2*'Read Me'!$B$13)*(1+'Read Me'!$B$12),-1)</f>
        <v/>
      </c>
      <c r="W4403" s="17">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I-I-0004</t>
        </is>
      </c>
      <c r="B4404" s="12" t="inlineStr">
        <is>
          <t>I</t>
        </is>
      </c>
      <c r="C4404" s="12" t="inlineStr">
        <is>
          <t>Modular / portable power</t>
        </is>
      </c>
      <c r="D4404" s="12" t="inlineStr">
        <is>
          <t>Home run JB-Aqueous ammonia (S-DI01 to the control / marshalling room</t>
        </is>
      </c>
      <c r="E4404" s="12" t="inlineStr"/>
      <c r="F4404" s="12" t="inlineStr">
        <is>
          <t>SC-2 PCM + 15 kV GCB</t>
        </is>
      </c>
      <c r="G4404" s="12" t="inlineStr">
        <is>
          <t>JB-Aqueous ammonia (S-DI01</t>
        </is>
      </c>
      <c r="H4404" s="12" t="inlineStr">
        <is>
          <t>Aqueous ammonia (SC units)</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Tray</t>
        </is>
      </c>
      <c r="T4404" s="17" t="n">
        <v>0</v>
      </c>
      <c r="U4404" s="17" t="n">
        <v>98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I-I-0005</t>
        </is>
      </c>
      <c r="B4405" s="12" t="inlineStr">
        <is>
          <t>I</t>
        </is>
      </c>
      <c r="C4405" s="12" t="inlineStr">
        <is>
          <t>Modular / portable power</t>
        </is>
      </c>
      <c r="D4405" s="12" t="inlineStr">
        <is>
          <t>Analog instrument to JB JB-Black-start genset-AI01: 20 x 1 pr (field cables)</t>
        </is>
      </c>
      <c r="E4405" s="12" t="inlineStr"/>
      <c r="F4405" s="12" t="inlineStr">
        <is>
          <t>Black-start genset (proposed; requires study)</t>
        </is>
      </c>
      <c r="G4405" s="12" t="inlineStr">
        <is>
          <t>JB-Black-start genset-AI01</t>
        </is>
      </c>
      <c r="H4405" s="12" t="inlineStr">
        <is>
          <t>Black-start genset (proposed; requires study)</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7" t="n">
        <v>59</v>
      </c>
      <c r="U4405" s="17" t="n">
        <v>10</v>
      </c>
      <c r="V4405" s="17">
        <f>ROUNDUP((T4405+U4405+2*'Read Me'!$B$13)*(1+'Read Me'!$B$12),-1)</f>
        <v/>
      </c>
      <c r="W4405" s="17">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I-I-0006</t>
        </is>
      </c>
      <c r="B4406" s="12" t="inlineStr">
        <is>
          <t>I</t>
        </is>
      </c>
      <c r="C4406" s="12" t="inlineStr">
        <is>
          <t>Modular / portable power</t>
        </is>
      </c>
      <c r="D4406" s="12" t="inlineStr">
        <is>
          <t>Home run JB-Black-start genset-AI01 to the control / marshalling room</t>
        </is>
      </c>
      <c r="E4406" s="12" t="inlineStr"/>
      <c r="F4406" s="12" t="inlineStr">
        <is>
          <t>PCM: power control module</t>
        </is>
      </c>
      <c r="G4406" s="12" t="inlineStr">
        <is>
          <t>JB-Black-start genset-AI01</t>
        </is>
      </c>
      <c r="H4406" s="12" t="inlineStr">
        <is>
          <t>Black-start genset (proposed; requires study)</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Duct bank</t>
        </is>
      </c>
      <c r="T4406" s="17" t="n">
        <v>624</v>
      </c>
      <c r="U4406" s="17" t="n">
        <v>32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I-I-0007</t>
        </is>
      </c>
      <c r="B4407" s="12" t="inlineStr">
        <is>
          <t>I</t>
        </is>
      </c>
      <c r="C4407" s="12" t="inlineStr">
        <is>
          <t>Modular / portable power</t>
        </is>
      </c>
      <c r="D4407" s="12" t="inlineStr">
        <is>
          <t>Discrete device to JB JB-Black-start genset-DI01: 20 x 1 pr (field cables)</t>
        </is>
      </c>
      <c r="E4407" s="12" t="inlineStr"/>
      <c r="F4407" s="12" t="inlineStr">
        <is>
          <t>Black-start genset (proposed; requires study)</t>
        </is>
      </c>
      <c r="G4407" s="12" t="inlineStr">
        <is>
          <t>JB-Black-start genset-DI01</t>
        </is>
      </c>
      <c r="H4407" s="12" t="inlineStr">
        <is>
          <t>Black-start genset (proposed; requires study)</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7" t="n">
        <v>59</v>
      </c>
      <c r="U4407" s="17" t="n">
        <v>10</v>
      </c>
      <c r="V4407" s="17">
        <f>ROUNDUP((T4407+U4407+2*'Read Me'!$B$13)*(1+'Read Me'!$B$12),-1)</f>
        <v/>
      </c>
      <c r="W4407" s="17">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I-I-0008</t>
        </is>
      </c>
      <c r="B4408" s="12" t="inlineStr">
        <is>
          <t>I</t>
        </is>
      </c>
      <c r="C4408" s="12" t="inlineStr">
        <is>
          <t>Modular / portable power</t>
        </is>
      </c>
      <c r="D4408" s="12" t="inlineStr">
        <is>
          <t>Home run JB-Black-start genset-DI01 to the control / marshalling room</t>
        </is>
      </c>
      <c r="E4408" s="12" t="inlineStr"/>
      <c r="F4408" s="12" t="inlineStr">
        <is>
          <t>PCM: power control module</t>
        </is>
      </c>
      <c r="G4408" s="12" t="inlineStr">
        <is>
          <t>JB-Black-start genset-DI01</t>
        </is>
      </c>
      <c r="H4408" s="12" t="inlineStr">
        <is>
          <t>Black-start genset (proposed; requires study)</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Duct bank</t>
        </is>
      </c>
      <c r="T4408" s="17" t="n">
        <v>624</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I-I-0009</t>
        </is>
      </c>
      <c r="B4409" s="12" t="inlineStr">
        <is>
          <t>I</t>
        </is>
      </c>
      <c r="C4409" s="12" t="inlineStr">
        <is>
          <t>Modular / portable power</t>
        </is>
      </c>
      <c r="D4409" s="12" t="inlineStr">
        <is>
          <t>Analog instrument to JB JB-Black-start genset-AI01: 20 x 1 pr (field cables)</t>
        </is>
      </c>
      <c r="E4409" s="12" t="inlineStr"/>
      <c r="F4409" s="12" t="inlineStr">
        <is>
          <t>Black-start genset (proposed; requires study)</t>
        </is>
      </c>
      <c r="G4409" s="12" t="inlineStr">
        <is>
          <t>JB-Black-start genset-AI01</t>
        </is>
      </c>
      <c r="H4409" s="12" t="inlineStr">
        <is>
          <t>Black-start genset (proposed; requires study)</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7" t="n">
        <v>59</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I-I-0010</t>
        </is>
      </c>
      <c r="B4410" s="12" t="inlineStr">
        <is>
          <t>I</t>
        </is>
      </c>
      <c r="C4410" s="12" t="inlineStr">
        <is>
          <t>Modular / portable power</t>
        </is>
      </c>
      <c r="D4410" s="12" t="inlineStr">
        <is>
          <t>Home run JB-Black-start genset-AI01 to the control / marshalling room</t>
        </is>
      </c>
      <c r="E4410" s="12" t="inlineStr"/>
      <c r="F4410" s="12" t="inlineStr">
        <is>
          <t>PCM: power control module</t>
        </is>
      </c>
      <c r="G4410" s="12" t="inlineStr">
        <is>
          <t>JB-Black-start genset-AI01</t>
        </is>
      </c>
      <c r="H4410" s="12" t="inlineStr">
        <is>
          <t>Black-start genset (proposed; requires study)</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7" t="n">
        <v>624</v>
      </c>
      <c r="U4410" s="17" t="n">
        <v>40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I-I-0011</t>
        </is>
      </c>
      <c r="B4411" s="12" t="inlineStr">
        <is>
          <t>I</t>
        </is>
      </c>
      <c r="C4411" s="12" t="inlineStr">
        <is>
          <t>Modular / portable power</t>
        </is>
      </c>
      <c r="D4411" s="12" t="inlineStr">
        <is>
          <t>Discrete device to JB JB-Black-start genset-DI01: 20 x 1 pr (field cables)</t>
        </is>
      </c>
      <c r="E4411" s="12" t="inlineStr"/>
      <c r="F4411" s="12" t="inlineStr">
        <is>
          <t>Black-start genset (proposed; requires study)</t>
        </is>
      </c>
      <c r="G4411" s="12" t="inlineStr">
        <is>
          <t>JB-Black-start genset-DI01</t>
        </is>
      </c>
      <c r="H4411" s="12" t="inlineStr">
        <is>
          <t>Black-start genset (proposed; requires study)</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7" t="n">
        <v>59</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I-I-0012</t>
        </is>
      </c>
      <c r="B4412" s="12" t="inlineStr">
        <is>
          <t>I</t>
        </is>
      </c>
      <c r="C4412" s="12" t="inlineStr">
        <is>
          <t>Modular / portable power</t>
        </is>
      </c>
      <c r="D4412" s="12" t="inlineStr">
        <is>
          <t>Home run JB-Black-start genset-DI01 to the control / marshalling room</t>
        </is>
      </c>
      <c r="E4412" s="12" t="inlineStr"/>
      <c r="F4412" s="12" t="inlineStr">
        <is>
          <t>PCM: power control module</t>
        </is>
      </c>
      <c r="G4412" s="12" t="inlineStr">
        <is>
          <t>JB-Black-start genset-DI01</t>
        </is>
      </c>
      <c r="H4412" s="12" t="inlineStr">
        <is>
          <t>Black-start genset (proposed; requires study)</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7" t="n">
        <v>624</v>
      </c>
      <c r="U4412" s="17" t="n">
        <v>40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I-I-0013</t>
        </is>
      </c>
      <c r="B4413" s="12" t="inlineStr">
        <is>
          <t>I</t>
        </is>
      </c>
      <c r="C4413" s="12" t="inlineStr">
        <is>
          <t>Modular / portable power</t>
        </is>
      </c>
      <c r="D4413" s="12" t="inlineStr">
        <is>
          <t>Instrumentation</t>
        </is>
      </c>
      <c r="E4413" s="12" t="inlineStr"/>
      <c r="F4413" s="12" t="inlineStr">
        <is>
          <t>PCM: power control module</t>
        </is>
      </c>
      <c r="G4413" s="12" t="inlineStr"/>
      <c r="H4413" s="12" t="inlineStr">
        <is>
          <t>CONDITIONAL: BESS black-start alternative</t>
        </is>
      </c>
      <c r="I4413" s="12" t="inlineStr">
        <is>
          <t>Instrumentation</t>
        </is>
      </c>
      <c r="J4413" s="12" t="inlineStr">
        <is>
          <t>Instrumentation PLTC / TC-ER 300 V, #18 twisted shielded pairs, overall shield</t>
        </is>
      </c>
      <c r="K4413" s="12" t="inlineStr">
        <is>
          <t>PLTC|4 pr|18</t>
        </is>
      </c>
      <c r="L4413" s="12" t="inlineStr">
        <is>
          <t>4 pr</t>
        </is>
      </c>
      <c r="M4413" s="12" t="inlineStr">
        <is>
          <t>18</t>
        </is>
      </c>
      <c r="N4413" s="12" t="n">
        <v>1</v>
      </c>
      <c r="O4413" s="12" t="n">
        <v>1</v>
      </c>
      <c r="P4413" s="12" t="n"/>
      <c r="Q4413" s="12" t="n"/>
      <c r="R4413" s="12" t="n"/>
      <c r="S4413" s="12" t="inlineStr">
        <is>
          <t>Duct bank</t>
        </is>
      </c>
      <c r="T4413" s="17" t="n">
        <v>550</v>
      </c>
      <c r="U4413" s="17" t="n">
        <v>32</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I-I-0014</t>
        </is>
      </c>
      <c r="B4414" s="12" t="inlineStr">
        <is>
          <t>I</t>
        </is>
      </c>
      <c r="C4414" s="12" t="inlineStr">
        <is>
          <t>Modular / portable power</t>
        </is>
      </c>
      <c r="D4414" s="12" t="inlineStr">
        <is>
          <t>Thermocouples</t>
        </is>
      </c>
      <c r="E4414" s="12" t="inlineStr"/>
      <c r="F4414" s="12" t="inlineStr">
        <is>
          <t>PCM: power control module</t>
        </is>
      </c>
      <c r="G4414" s="12" t="inlineStr"/>
      <c r="H4414" s="12" t="inlineStr">
        <is>
          <t>CONDITIONAL: BESS black-start alternative</t>
        </is>
      </c>
      <c r="I4414" s="12" t="inlineStr">
        <is>
          <t>Instrumentation</t>
        </is>
      </c>
      <c r="J4414" s="12" t="inlineStr">
        <is>
          <t>Thermocouple extension KX, #16 shielded pairs, PLTC</t>
        </is>
      </c>
      <c r="K4414" s="12" t="inlineStr">
        <is>
          <t>TCX|12 pr|16</t>
        </is>
      </c>
      <c r="L4414" s="12" t="inlineStr">
        <is>
          <t>12 pr</t>
        </is>
      </c>
      <c r="M4414" s="12" t="inlineStr">
        <is>
          <t>16</t>
        </is>
      </c>
      <c r="N4414" s="12" t="n">
        <v>1</v>
      </c>
      <c r="O4414" s="12" t="n">
        <v>1</v>
      </c>
      <c r="P4414" s="12" t="n"/>
      <c r="Q4414" s="12" t="n"/>
      <c r="R4414" s="12" t="n"/>
      <c r="S4414" s="12" t="inlineStr">
        <is>
          <t>Duct bank</t>
        </is>
      </c>
      <c r="T4414" s="17" t="n">
        <v>550</v>
      </c>
      <c r="U4414" s="17" t="n">
        <v>32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I-I-0015</t>
        </is>
      </c>
      <c r="B4415" s="12" t="inlineStr">
        <is>
          <t>I</t>
        </is>
      </c>
      <c r="C4415" s="12" t="inlineStr">
        <is>
          <t>Modular / portable power</t>
        </is>
      </c>
      <c r="D4415" s="12" t="inlineStr">
        <is>
          <t>Thermocouples</t>
        </is>
      </c>
      <c r="E4415" s="12" t="inlineStr"/>
      <c r="F4415" s="12" t="inlineStr">
        <is>
          <t>PCM: power control module</t>
        </is>
      </c>
      <c r="G4415" s="12" t="inlineStr"/>
      <c r="H4415" s="12" t="inlineStr">
        <is>
          <t>CONDITIONAL: BESS black-start alternative</t>
        </is>
      </c>
      <c r="I4415" s="12" t="inlineStr">
        <is>
          <t>Instrumentation</t>
        </is>
      </c>
      <c r="J4415" s="12" t="inlineStr">
        <is>
          <t>Thermocouple extension KX, #16 shielded pairs, PLTC</t>
        </is>
      </c>
      <c r="K4415" s="12" t="inlineStr">
        <is>
          <t>TCX|12 pr|16</t>
        </is>
      </c>
      <c r="L4415" s="12" t="inlineStr">
        <is>
          <t>12 pr</t>
        </is>
      </c>
      <c r="M4415" s="12" t="inlineStr">
        <is>
          <t>16</t>
        </is>
      </c>
      <c r="N4415" s="12" t="n">
        <v>1</v>
      </c>
      <c r="O4415" s="12" t="n">
        <v>1</v>
      </c>
      <c r="P4415" s="12" t="n"/>
      <c r="Q4415" s="12" t="n"/>
      <c r="R4415" s="12" t="n"/>
      <c r="S4415" s="12" t="inlineStr">
        <is>
          <t>Duct bank</t>
        </is>
      </c>
      <c r="T4415" s="17" t="n">
        <v>550</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I-I-0016</t>
        </is>
      </c>
      <c r="B4416" s="12" t="inlineStr">
        <is>
          <t>I</t>
        </is>
      </c>
      <c r="C4416" s="12" t="inlineStr">
        <is>
          <t>Modular / portable power</t>
        </is>
      </c>
      <c r="D4416" s="12" t="inlineStr">
        <is>
          <t>Instrumentation</t>
        </is>
      </c>
      <c r="E4416" s="12" t="inlineStr"/>
      <c r="F4416" s="12" t="inlineStr">
        <is>
          <t>SC-1 PCM + 15 kV GCB</t>
        </is>
      </c>
      <c r="G4416" s="12" t="inlineStr"/>
      <c r="H4416" s="12" t="inlineStr">
        <is>
          <t>CONDITIONAL: SC-1 inlet chiller / evaporative cooler</t>
        </is>
      </c>
      <c r="I4416" s="12" t="inlineStr">
        <is>
          <t>Instrumentation</t>
        </is>
      </c>
      <c r="J4416" s="12" t="inlineStr">
        <is>
          <t>Instrumentation PLTC / TC-ER 300 V, #18 twisted shielded pairs, overall shield</t>
        </is>
      </c>
      <c r="K4416" s="12" t="inlineStr">
        <is>
          <t>PLTC|4 pr|18</t>
        </is>
      </c>
      <c r="L4416" s="12" t="inlineStr">
        <is>
          <t>4 pr</t>
        </is>
      </c>
      <c r="M4416" s="12" t="inlineStr">
        <is>
          <t>18</t>
        </is>
      </c>
      <c r="N4416" s="12" t="n">
        <v>1</v>
      </c>
      <c r="O4416" s="12" t="n">
        <v>1</v>
      </c>
      <c r="P4416" s="12" t="n"/>
      <c r="Q4416" s="12" t="n"/>
      <c r="R4416" s="12" t="n"/>
      <c r="S4416" s="12" t="inlineStr">
        <is>
          <t>Tray</t>
        </is>
      </c>
      <c r="T4416" s="17" t="n">
        <v>0</v>
      </c>
      <c r="U4416" s="17" t="n">
        <v>114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I-I-0017</t>
        </is>
      </c>
      <c r="B4417" s="12" t="inlineStr">
        <is>
          <t>I</t>
        </is>
      </c>
      <c r="C4417" s="12" t="inlineStr">
        <is>
          <t>Modular / portable power</t>
        </is>
      </c>
      <c r="D4417" s="12" t="inlineStr">
        <is>
          <t>Thermocouples</t>
        </is>
      </c>
      <c r="E4417" s="12" t="inlineStr"/>
      <c r="F4417" s="12" t="inlineStr">
        <is>
          <t>SC-1 PCM + 15 kV GCB</t>
        </is>
      </c>
      <c r="G4417" s="12" t="inlineStr"/>
      <c r="H4417" s="12" t="inlineStr">
        <is>
          <t>CONDITIONAL: SC-1 inlet chiller / evaporative cooler</t>
        </is>
      </c>
      <c r="I4417" s="12" t="inlineStr">
        <is>
          <t>Instrumentation</t>
        </is>
      </c>
      <c r="J4417" s="12" t="inlineStr">
        <is>
          <t>Thermocouple extension KX, #16 shielded pairs, PLTC</t>
        </is>
      </c>
      <c r="K4417" s="12" t="inlineStr">
        <is>
          <t>TCX|12 pr|16</t>
        </is>
      </c>
      <c r="L4417" s="12" t="inlineStr">
        <is>
          <t>12 pr</t>
        </is>
      </c>
      <c r="M4417" s="12" t="inlineStr">
        <is>
          <t>16</t>
        </is>
      </c>
      <c r="N4417" s="12" t="n">
        <v>1</v>
      </c>
      <c r="O4417" s="12" t="n">
        <v>1</v>
      </c>
      <c r="P4417" s="12" t="n"/>
      <c r="Q4417" s="12" t="n"/>
      <c r="R4417" s="12" t="n"/>
      <c r="S4417" s="12" t="inlineStr">
        <is>
          <t>Tray</t>
        </is>
      </c>
      <c r="T4417" s="17" t="n">
        <v>0</v>
      </c>
      <c r="U4417" s="17" t="n">
        <v>114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I-I-0018</t>
        </is>
      </c>
      <c r="B4418" s="12" t="inlineStr">
        <is>
          <t>I</t>
        </is>
      </c>
      <c r="C4418" s="12" t="inlineStr">
        <is>
          <t>Modular / portable power</t>
        </is>
      </c>
      <c r="D4418" s="12" t="inlineStr">
        <is>
          <t>Thermocouples</t>
        </is>
      </c>
      <c r="E4418" s="12" t="inlineStr"/>
      <c r="F4418" s="12" t="inlineStr">
        <is>
          <t>SC-1 PCM + 15 kV GCB</t>
        </is>
      </c>
      <c r="G4418" s="12" t="inlineStr"/>
      <c r="H4418" s="12" t="inlineStr">
        <is>
          <t>CONDITIONAL: SC-1 inlet chiller / evaporative cooler</t>
        </is>
      </c>
      <c r="I4418" s="12" t="inlineStr">
        <is>
          <t>Instrumentation</t>
        </is>
      </c>
      <c r="J4418" s="12" t="inlineStr">
        <is>
          <t>Thermocouple extension KX, #16 shielded pairs, PLTC</t>
        </is>
      </c>
      <c r="K4418" s="12" t="inlineStr">
        <is>
          <t>TCX|12 pr|16</t>
        </is>
      </c>
      <c r="L4418" s="12" t="inlineStr">
        <is>
          <t>12 pr</t>
        </is>
      </c>
      <c r="M4418" s="12" t="inlineStr">
        <is>
          <t>16</t>
        </is>
      </c>
      <c r="N4418" s="12" t="n">
        <v>1</v>
      </c>
      <c r="O4418" s="12" t="n">
        <v>1</v>
      </c>
      <c r="P4418" s="12" t="n"/>
      <c r="Q4418" s="12" t="n"/>
      <c r="R4418" s="12" t="n"/>
      <c r="S4418" s="12" t="inlineStr">
        <is>
          <t>Tray</t>
        </is>
      </c>
      <c r="T4418" s="17" t="n">
        <v>0</v>
      </c>
      <c r="U4418" s="17" t="n">
        <v>114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I-I-0019</t>
        </is>
      </c>
      <c r="B4419" s="12" t="inlineStr">
        <is>
          <t>I</t>
        </is>
      </c>
      <c r="C4419" s="12" t="inlineStr">
        <is>
          <t>Modular / portable power</t>
        </is>
      </c>
      <c r="D4419" s="12" t="inlineStr">
        <is>
          <t>Instrumentation</t>
        </is>
      </c>
      <c r="E4419" s="12" t="inlineStr"/>
      <c r="F4419" s="12" t="inlineStr">
        <is>
          <t>SC-2 PCM + 15 kV GCB</t>
        </is>
      </c>
      <c r="G4419" s="12" t="inlineStr"/>
      <c r="H4419" s="12" t="inlineStr">
        <is>
          <t>CONDITIONAL: SC-2 inlet chiller / evaporative cooler</t>
        </is>
      </c>
      <c r="I4419" s="12" t="inlineStr">
        <is>
          <t>Instrumentation</t>
        </is>
      </c>
      <c r="J4419" s="12" t="inlineStr">
        <is>
          <t>Instrumentation PLTC / TC-ER 300 V, #18 twisted shielded pairs, overall shield</t>
        </is>
      </c>
      <c r="K4419" s="12" t="inlineStr">
        <is>
          <t>PLTC|4 pr|18</t>
        </is>
      </c>
      <c r="L4419" s="12" t="inlineStr">
        <is>
          <t>4 pr</t>
        </is>
      </c>
      <c r="M4419" s="12" t="inlineStr">
        <is>
          <t>18</t>
        </is>
      </c>
      <c r="N4419" s="12" t="n">
        <v>1</v>
      </c>
      <c r="O4419" s="12" t="n">
        <v>1</v>
      </c>
      <c r="P4419" s="12" t="n"/>
      <c r="Q4419" s="12" t="n"/>
      <c r="R4419" s="12" t="n"/>
      <c r="S4419" s="12" t="inlineStr">
        <is>
          <t>Duct bank</t>
        </is>
      </c>
      <c r="T4419" s="17" t="n">
        <v>75</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I-I-0020</t>
        </is>
      </c>
      <c r="B4420" s="12" t="inlineStr">
        <is>
          <t>I</t>
        </is>
      </c>
      <c r="C4420" s="12" t="inlineStr">
        <is>
          <t>Modular / portable power</t>
        </is>
      </c>
      <c r="D4420" s="12" t="inlineStr">
        <is>
          <t>Thermocouples</t>
        </is>
      </c>
      <c r="E4420" s="12" t="inlineStr"/>
      <c r="F4420" s="12" t="inlineStr">
        <is>
          <t>SC-2 PCM + 15 kV GCB</t>
        </is>
      </c>
      <c r="G4420" s="12" t="inlineStr"/>
      <c r="H4420" s="12" t="inlineStr">
        <is>
          <t>CONDITIONAL: SC-2 inlet chiller / evaporative cooler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Duct bank</t>
        </is>
      </c>
      <c r="T4420" s="17" t="n">
        <v>75</v>
      </c>
      <c r="U4420" s="17" t="n">
        <v>32</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I-I-0021</t>
        </is>
      </c>
      <c r="B4421" s="12" t="inlineStr">
        <is>
          <t>I</t>
        </is>
      </c>
      <c r="C4421" s="12" t="inlineStr">
        <is>
          <t>Modular / portable power</t>
        </is>
      </c>
      <c r="D4421" s="12" t="inlineStr">
        <is>
          <t>Thermocouples</t>
        </is>
      </c>
      <c r="E4421" s="12" t="inlineStr"/>
      <c r="F4421" s="12" t="inlineStr">
        <is>
          <t>SC-2 PCM + 15 kV GCB</t>
        </is>
      </c>
      <c r="G4421" s="12" t="inlineStr"/>
      <c r="H4421" s="12" t="inlineStr">
        <is>
          <t>CONDITIONAL: SC-2 inlet chiller / evaporative cooler</t>
        </is>
      </c>
      <c r="I4421" s="12" t="inlineStr">
        <is>
          <t>Instrumentation</t>
        </is>
      </c>
      <c r="J4421" s="12" t="inlineStr">
        <is>
          <t>Thermocouple extension KX, #16 shielded pairs, PLTC</t>
        </is>
      </c>
      <c r="K4421" s="12" t="inlineStr">
        <is>
          <t>TCX|12 pr|16</t>
        </is>
      </c>
      <c r="L4421" s="12" t="inlineStr">
        <is>
          <t>12 pr</t>
        </is>
      </c>
      <c r="M4421" s="12" t="inlineStr">
        <is>
          <t>16</t>
        </is>
      </c>
      <c r="N4421" s="12" t="n">
        <v>1</v>
      </c>
      <c r="O4421" s="12" t="n">
        <v>1</v>
      </c>
      <c r="P4421" s="12" t="n"/>
      <c r="Q4421" s="12" t="n"/>
      <c r="R4421" s="12" t="n"/>
      <c r="S4421" s="12" t="inlineStr">
        <is>
          <t>Duct bank</t>
        </is>
      </c>
      <c r="T4421" s="17" t="n">
        <v>75</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I-I-0022</t>
        </is>
      </c>
      <c r="B4422" s="12" t="inlineStr">
        <is>
          <t>I</t>
        </is>
      </c>
      <c r="C4422" s="12" t="inlineStr">
        <is>
          <t>Modular / portable power</t>
        </is>
      </c>
      <c r="D4422" s="12" t="inlineStr">
        <is>
          <t>Analog instrument to JB JB-CONT-1-AI01: 20 x 1 pr (field cables)</t>
        </is>
      </c>
      <c r="E4422" s="12" t="inlineStr">
        <is>
          <t>CONT-1</t>
        </is>
      </c>
      <c r="F4422" s="12" t="inlineStr">
        <is>
          <t>CONT-1: containerized genset 13.8 kV (40 ft)</t>
        </is>
      </c>
      <c r="G4422" s="12" t="inlineStr">
        <is>
          <t>JB-CONT-1-AI01</t>
        </is>
      </c>
      <c r="H4422" s="12" t="inlineStr">
        <is>
          <t>CONT-1: containerized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I-I-0023</t>
        </is>
      </c>
      <c r="B4423" s="12" t="inlineStr">
        <is>
          <t>I</t>
        </is>
      </c>
      <c r="C4423" s="12" t="inlineStr">
        <is>
          <t>Modular / portable power</t>
        </is>
      </c>
      <c r="D4423" s="12" t="inlineStr">
        <is>
          <t>Home run JB-CONT-1-AI01 to the control / marshalling room</t>
        </is>
      </c>
      <c r="E4423" s="12" t="inlineStr">
        <is>
          <t>PAD-EH</t>
        </is>
      </c>
      <c r="F4423" s="12" t="inlineStr">
        <is>
          <t>PAD-EH 13.8 kV switchgear e-house</t>
        </is>
      </c>
      <c r="G4423" s="12" t="inlineStr">
        <is>
          <t>JB-CONT-1-AI01</t>
        </is>
      </c>
      <c r="H4423" s="12" t="inlineStr">
        <is>
          <t>CONT-1: containerized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Surface</t>
        </is>
      </c>
      <c r="T4423" s="17" t="n">
        <v>298</v>
      </c>
      <c r="U4423" s="17" t="n">
        <v>37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I-I-0024</t>
        </is>
      </c>
      <c r="B4424" s="12" t="inlineStr">
        <is>
          <t>I</t>
        </is>
      </c>
      <c r="C4424" s="12" t="inlineStr">
        <is>
          <t>Modular / portable power</t>
        </is>
      </c>
      <c r="D4424" s="12" t="inlineStr">
        <is>
          <t>Discrete device to JB JB-CONT-1-DI01: 20 x 1 pr (field cables)</t>
        </is>
      </c>
      <c r="E4424" s="12" t="inlineStr">
        <is>
          <t>CONT-1</t>
        </is>
      </c>
      <c r="F4424" s="12" t="inlineStr">
        <is>
          <t>CONT-1: containerized genset 13.8 kV (40 ft)</t>
        </is>
      </c>
      <c r="G4424" s="12" t="inlineStr">
        <is>
          <t>JB-CONT-1-DI01</t>
        </is>
      </c>
      <c r="H4424" s="12" t="inlineStr">
        <is>
          <t>CONT-1: containerized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I-I-0025</t>
        </is>
      </c>
      <c r="B4425" s="12" t="inlineStr">
        <is>
          <t>I</t>
        </is>
      </c>
      <c r="C4425" s="12" t="inlineStr">
        <is>
          <t>Modular / portable power</t>
        </is>
      </c>
      <c r="D4425" s="12" t="inlineStr">
        <is>
          <t>Home run JB-CONT-1-DI01 to the control / marshalling room</t>
        </is>
      </c>
      <c r="E4425" s="12" t="inlineStr">
        <is>
          <t>PAD-EH</t>
        </is>
      </c>
      <c r="F4425" s="12" t="inlineStr">
        <is>
          <t>PAD-EH 13.8 kV switchgear e-house</t>
        </is>
      </c>
      <c r="G4425" s="12" t="inlineStr">
        <is>
          <t>JB-CONT-1-DI01</t>
        </is>
      </c>
      <c r="H4425" s="12" t="inlineStr">
        <is>
          <t>CONT-1: containerized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Surface</t>
        </is>
      </c>
      <c r="T4425" s="17" t="n">
        <v>298</v>
      </c>
      <c r="U4425" s="17" t="n">
        <v>37</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I-I-0026</t>
        </is>
      </c>
      <c r="B4426" s="12" t="inlineStr">
        <is>
          <t>I</t>
        </is>
      </c>
      <c r="C4426" s="12" t="inlineStr">
        <is>
          <t>Modular / portable power</t>
        </is>
      </c>
      <c r="D4426" s="12" t="inlineStr">
        <is>
          <t>Analog instrument to JB JB-CONT-2-AI01: 20 x 1 pr (field cables)</t>
        </is>
      </c>
      <c r="E4426" s="12" t="inlineStr">
        <is>
          <t>CONT-2</t>
        </is>
      </c>
      <c r="F4426" s="12" t="inlineStr">
        <is>
          <t>CONT-2: containerized genset 13.8 kV (40 ft)</t>
        </is>
      </c>
      <c r="G4426" s="12" t="inlineStr">
        <is>
          <t>JB-CONT-2-AI01</t>
        </is>
      </c>
      <c r="H4426" s="12" t="inlineStr">
        <is>
          <t>CONT-2: containerized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I-I-0027</t>
        </is>
      </c>
      <c r="B4427" s="12" t="inlineStr">
        <is>
          <t>I</t>
        </is>
      </c>
      <c r="C4427" s="12" t="inlineStr">
        <is>
          <t>Modular / portable power</t>
        </is>
      </c>
      <c r="D4427" s="12" t="inlineStr">
        <is>
          <t>Home run JB-CONT-2-AI01 to the control / marshalling room</t>
        </is>
      </c>
      <c r="E4427" s="12" t="inlineStr">
        <is>
          <t>PAD-EH</t>
        </is>
      </c>
      <c r="F4427" s="12" t="inlineStr">
        <is>
          <t>PAD-EH 13.8 kV switchgear e-house</t>
        </is>
      </c>
      <c r="G4427" s="12" t="inlineStr">
        <is>
          <t>JB-CONT-2-AI01</t>
        </is>
      </c>
      <c r="H4427" s="12" t="inlineStr">
        <is>
          <t>CONT-2: containerized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Surface</t>
        </is>
      </c>
      <c r="T4427" s="17" t="n">
        <v>267</v>
      </c>
      <c r="U4427" s="17" t="n">
        <v>37</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I-I-0028</t>
        </is>
      </c>
      <c r="B4428" s="12" t="inlineStr">
        <is>
          <t>I</t>
        </is>
      </c>
      <c r="C4428" s="12" t="inlineStr">
        <is>
          <t>Modular / portable power</t>
        </is>
      </c>
      <c r="D4428" s="12" t="inlineStr">
        <is>
          <t>Discrete device to JB JB-CONT-2-DI01: 20 x 1 pr (field cables)</t>
        </is>
      </c>
      <c r="E4428" s="12" t="inlineStr">
        <is>
          <t>CONT-2</t>
        </is>
      </c>
      <c r="F4428" s="12" t="inlineStr">
        <is>
          <t>CONT-2: containerized genset 13.8 kV (40 ft)</t>
        </is>
      </c>
      <c r="G4428" s="12" t="inlineStr">
        <is>
          <t>JB-CONT-2-DI01</t>
        </is>
      </c>
      <c r="H4428" s="12" t="inlineStr">
        <is>
          <t>CONT-2: containerized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I-I-0029</t>
        </is>
      </c>
      <c r="B4429" s="12" t="inlineStr">
        <is>
          <t>I</t>
        </is>
      </c>
      <c r="C4429" s="12" t="inlineStr">
        <is>
          <t>Modular / portable power</t>
        </is>
      </c>
      <c r="D4429" s="12" t="inlineStr">
        <is>
          <t>Home run JB-CONT-2-DI01 to the control / marshalling room</t>
        </is>
      </c>
      <c r="E4429" s="12" t="inlineStr">
        <is>
          <t>PAD-EH</t>
        </is>
      </c>
      <c r="F4429" s="12" t="inlineStr">
        <is>
          <t>PAD-EH 13.8 kV switchgear e-house</t>
        </is>
      </c>
      <c r="G4429" s="12" t="inlineStr">
        <is>
          <t>JB-CONT-2-DI01</t>
        </is>
      </c>
      <c r="H4429" s="12" t="inlineStr">
        <is>
          <t>CONT-2: containerized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Surface</t>
        </is>
      </c>
      <c r="T4429" s="17" t="n">
        <v>267</v>
      </c>
      <c r="U4429" s="17" t="n">
        <v>37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I-I-0030</t>
        </is>
      </c>
      <c r="B4430" s="12" t="inlineStr">
        <is>
          <t>I</t>
        </is>
      </c>
      <c r="C4430" s="12" t="inlineStr">
        <is>
          <t>Modular / portable power</t>
        </is>
      </c>
      <c r="D4430" s="12" t="inlineStr">
        <is>
          <t>Analog instrument to JB JB-CONT-3-AI01: 20 x 1 pr (field cables)</t>
        </is>
      </c>
      <c r="E4430" s="12" t="inlineStr">
        <is>
          <t>CONT-3</t>
        </is>
      </c>
      <c r="F4430" s="12" t="inlineStr">
        <is>
          <t>CONT-3: containerized gas genset 13.8 kV (40 ft)</t>
        </is>
      </c>
      <c r="G4430" s="12" t="inlineStr">
        <is>
          <t>JB-CONT-3-AI01</t>
        </is>
      </c>
      <c r="H4430" s="12" t="inlineStr">
        <is>
          <t>CONT-3: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I-I-0031</t>
        </is>
      </c>
      <c r="B4431" s="12" t="inlineStr">
        <is>
          <t>I</t>
        </is>
      </c>
      <c r="C4431" s="12" t="inlineStr">
        <is>
          <t>Modular / portable power</t>
        </is>
      </c>
      <c r="D4431" s="12" t="inlineStr">
        <is>
          <t>Home run JB-CONT-3-AI01 to the control / marshalling room</t>
        </is>
      </c>
      <c r="E4431" s="12" t="inlineStr">
        <is>
          <t>PAD-EH</t>
        </is>
      </c>
      <c r="F4431" s="12" t="inlineStr">
        <is>
          <t>PAD-EH 13.8 kV switchgear e-house</t>
        </is>
      </c>
      <c r="G4431" s="12" t="inlineStr">
        <is>
          <t>JB-CONT-3-AI01</t>
        </is>
      </c>
      <c r="H4431" s="12" t="inlineStr">
        <is>
          <t>CONT-3: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191</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I-I-0032</t>
        </is>
      </c>
      <c r="B4432" s="12" t="inlineStr">
        <is>
          <t>I</t>
        </is>
      </c>
      <c r="C4432" s="12" t="inlineStr">
        <is>
          <t>Modular / portable power</t>
        </is>
      </c>
      <c r="D4432" s="12" t="inlineStr">
        <is>
          <t>Discrete device to JB JB-CONT-3-DI01: 20 x 1 pr (field cables)</t>
        </is>
      </c>
      <c r="E4432" s="12" t="inlineStr">
        <is>
          <t>CONT-3</t>
        </is>
      </c>
      <c r="F4432" s="12" t="inlineStr">
        <is>
          <t>CONT-3: containerized gas genset 13.8 kV (40 ft)</t>
        </is>
      </c>
      <c r="G4432" s="12" t="inlineStr">
        <is>
          <t>JB-CONT-3-DI01</t>
        </is>
      </c>
      <c r="H4432" s="12" t="inlineStr">
        <is>
          <t>CONT-3: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I-I-0033</t>
        </is>
      </c>
      <c r="B4433" s="12" t="inlineStr">
        <is>
          <t>I</t>
        </is>
      </c>
      <c r="C4433" s="12" t="inlineStr">
        <is>
          <t>Modular / portable power</t>
        </is>
      </c>
      <c r="D4433" s="12" t="inlineStr">
        <is>
          <t>Home run JB-CONT-3-DI01 to the control / marshalling room</t>
        </is>
      </c>
      <c r="E4433" s="12" t="inlineStr">
        <is>
          <t>PAD-EH</t>
        </is>
      </c>
      <c r="F4433" s="12" t="inlineStr">
        <is>
          <t>PAD-EH 13.8 kV switchgear e-house</t>
        </is>
      </c>
      <c r="G4433" s="12" t="inlineStr">
        <is>
          <t>JB-CONT-3-DI01</t>
        </is>
      </c>
      <c r="H4433" s="12" t="inlineStr">
        <is>
          <t>CONT-3: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191</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I-I-0034</t>
        </is>
      </c>
      <c r="B4434" s="12" t="inlineStr">
        <is>
          <t>I</t>
        </is>
      </c>
      <c r="C4434" s="12" t="inlineStr">
        <is>
          <t>Modular / portable power</t>
        </is>
      </c>
      <c r="D4434" s="12" t="inlineStr">
        <is>
          <t>Analog instrument to JB JB-CONT-4-AI01: 20 x 1 pr (field cables)</t>
        </is>
      </c>
      <c r="E4434" s="12" t="inlineStr">
        <is>
          <t>CONT-4</t>
        </is>
      </c>
      <c r="F4434" s="12" t="inlineStr">
        <is>
          <t>CONT-4: containerized gas genset 13.8 kV (40 ft)</t>
        </is>
      </c>
      <c r="G4434" s="12" t="inlineStr">
        <is>
          <t>JB-CONT-4-AI01</t>
        </is>
      </c>
      <c r="H4434" s="12" t="inlineStr">
        <is>
          <t>CONT-4: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I-I-0035</t>
        </is>
      </c>
      <c r="B4435" s="12" t="inlineStr">
        <is>
          <t>I</t>
        </is>
      </c>
      <c r="C4435" s="12" t="inlineStr">
        <is>
          <t>Modular / portable power</t>
        </is>
      </c>
      <c r="D4435" s="12" t="inlineStr">
        <is>
          <t>Home run JB-CONT-4-AI01 to the control / marshalling room</t>
        </is>
      </c>
      <c r="E4435" s="12" t="inlineStr">
        <is>
          <t>PAD-EH</t>
        </is>
      </c>
      <c r="F4435" s="12" t="inlineStr">
        <is>
          <t>PAD-EH 13.8 kV switchgear e-house</t>
        </is>
      </c>
      <c r="G4435" s="12" t="inlineStr">
        <is>
          <t>JB-CONT-4-AI01</t>
        </is>
      </c>
      <c r="H4435" s="12" t="inlineStr">
        <is>
          <t>CONT-4: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Duct bank</t>
        </is>
      </c>
      <c r="T4435" s="17" t="n">
        <v>62</v>
      </c>
      <c r="U4435" s="17" t="n">
        <v>81</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I-I-0036</t>
        </is>
      </c>
      <c r="B4436" s="12" t="inlineStr">
        <is>
          <t>I</t>
        </is>
      </c>
      <c r="C4436" s="12" t="inlineStr">
        <is>
          <t>Modular / portable power</t>
        </is>
      </c>
      <c r="D4436" s="12" t="inlineStr">
        <is>
          <t>Discrete device to JB JB-CONT-4-DI01: 20 x 1 pr (field cables)</t>
        </is>
      </c>
      <c r="E4436" s="12" t="inlineStr">
        <is>
          <t>CONT-4</t>
        </is>
      </c>
      <c r="F4436" s="12" t="inlineStr">
        <is>
          <t>CONT-4: containerized gas genset 13.8 kV (40 ft)</t>
        </is>
      </c>
      <c r="G4436" s="12" t="inlineStr">
        <is>
          <t>JB-CONT-4-DI01</t>
        </is>
      </c>
      <c r="H4436" s="12" t="inlineStr">
        <is>
          <t>CONT-4: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I-I-0037</t>
        </is>
      </c>
      <c r="B4437" s="12" t="inlineStr">
        <is>
          <t>I</t>
        </is>
      </c>
      <c r="C4437" s="12" t="inlineStr">
        <is>
          <t>Modular / portable power</t>
        </is>
      </c>
      <c r="D4437" s="12" t="inlineStr">
        <is>
          <t>Home run JB-CONT-4-DI01 to the control / marshalling room</t>
        </is>
      </c>
      <c r="E4437" s="12" t="inlineStr">
        <is>
          <t>PAD-EH</t>
        </is>
      </c>
      <c r="F4437" s="12" t="inlineStr">
        <is>
          <t>PAD-EH 13.8 kV switchgear e-house</t>
        </is>
      </c>
      <c r="G4437" s="12" t="inlineStr">
        <is>
          <t>JB-CONT-4-DI01</t>
        </is>
      </c>
      <c r="H4437" s="12" t="inlineStr">
        <is>
          <t>CONT-4: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Duct bank</t>
        </is>
      </c>
      <c r="T4437" s="17" t="n">
        <v>62</v>
      </c>
      <c r="U4437" s="17" t="n">
        <v>81</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I-I-0038</t>
        </is>
      </c>
      <c r="B4438" s="12" t="inlineStr">
        <is>
          <t>I</t>
        </is>
      </c>
      <c r="C4438" s="12" t="inlineStr">
        <is>
          <t>Modular / portable power</t>
        </is>
      </c>
      <c r="D4438" s="12" t="inlineStr">
        <is>
          <t>Analog instrument to JB JB-CONT-5-AI01: 20 x 1 pr (field cables)</t>
        </is>
      </c>
      <c r="E4438" s="12" t="inlineStr">
        <is>
          <t>CONT-5</t>
        </is>
      </c>
      <c r="F4438" s="12" t="inlineStr">
        <is>
          <t>CONT-5: containerized gas genset 13.8 kV (40 ft)</t>
        </is>
      </c>
      <c r="G4438" s="12" t="inlineStr">
        <is>
          <t>JB-CONT-5-AI01</t>
        </is>
      </c>
      <c r="H4438" s="12" t="inlineStr">
        <is>
          <t>CONT-5: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I-I-0039</t>
        </is>
      </c>
      <c r="B4439" s="12" t="inlineStr">
        <is>
          <t>I</t>
        </is>
      </c>
      <c r="C4439" s="12" t="inlineStr">
        <is>
          <t>Modular / portable power</t>
        </is>
      </c>
      <c r="D4439" s="12" t="inlineStr">
        <is>
          <t>Home run JB-CONT-5-AI01 to the control / marshalling room</t>
        </is>
      </c>
      <c r="E4439" s="12" t="inlineStr">
        <is>
          <t>PAD-EH</t>
        </is>
      </c>
      <c r="F4439" s="12" t="inlineStr">
        <is>
          <t>PAD-EH 13.8 kV switchgear e-house</t>
        </is>
      </c>
      <c r="G4439" s="12" t="inlineStr">
        <is>
          <t>JB-CONT-5-AI01</t>
        </is>
      </c>
      <c r="H4439" s="12" t="inlineStr">
        <is>
          <t>CONT-5: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Duct bank</t>
        </is>
      </c>
      <c r="T4439" s="17" t="n">
        <v>25</v>
      </c>
      <c r="U4439" s="17" t="n">
        <v>58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I-I-0040</t>
        </is>
      </c>
      <c r="B4440" s="12" t="inlineStr">
        <is>
          <t>I</t>
        </is>
      </c>
      <c r="C4440" s="12" t="inlineStr">
        <is>
          <t>Modular / portable power</t>
        </is>
      </c>
      <c r="D4440" s="12" t="inlineStr">
        <is>
          <t>Discrete device to JB JB-CONT-5-DI01: 20 x 1 pr (field cables)</t>
        </is>
      </c>
      <c r="E4440" s="12" t="inlineStr">
        <is>
          <t>CONT-5</t>
        </is>
      </c>
      <c r="F4440" s="12" t="inlineStr">
        <is>
          <t>CONT-5: containerized gas genset 13.8 kV (40 ft)</t>
        </is>
      </c>
      <c r="G4440" s="12" t="inlineStr">
        <is>
          <t>JB-CONT-5-DI01</t>
        </is>
      </c>
      <c r="H4440" s="12" t="inlineStr">
        <is>
          <t>CONT-5: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I-I-0041</t>
        </is>
      </c>
      <c r="B4441" s="12" t="inlineStr">
        <is>
          <t>I</t>
        </is>
      </c>
      <c r="C4441" s="12" t="inlineStr">
        <is>
          <t>Modular / portable power</t>
        </is>
      </c>
      <c r="D4441" s="12" t="inlineStr">
        <is>
          <t>Home run JB-CONT-5-DI01 to the control / marshalling room</t>
        </is>
      </c>
      <c r="E4441" s="12" t="inlineStr">
        <is>
          <t>PAD-EH</t>
        </is>
      </c>
      <c r="F4441" s="12" t="inlineStr">
        <is>
          <t>PAD-EH 13.8 kV switchgear e-house</t>
        </is>
      </c>
      <c r="G4441" s="12" t="inlineStr">
        <is>
          <t>JB-CONT-5-DI01</t>
        </is>
      </c>
      <c r="H4441" s="12" t="inlineStr">
        <is>
          <t>CONT-5: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Duct bank</t>
        </is>
      </c>
      <c r="T4441" s="17" t="n">
        <v>25</v>
      </c>
      <c r="U4441" s="17" t="n">
        <v>58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I-I-0042</t>
        </is>
      </c>
      <c r="B4442" s="12" t="inlineStr">
        <is>
          <t>I</t>
        </is>
      </c>
      <c r="C4442" s="12" t="inlineStr">
        <is>
          <t>Modular / portable power</t>
        </is>
      </c>
      <c r="D4442" s="12" t="inlineStr">
        <is>
          <t>Analog instrument to JB JB-CONT-6-AI01: 20 x 1 pr (field cables)</t>
        </is>
      </c>
      <c r="E4442" s="12" t="inlineStr">
        <is>
          <t>CONT-6</t>
        </is>
      </c>
      <c r="F4442" s="12" t="inlineStr">
        <is>
          <t>CONT-6: containerized gas genset 13.8 kV (40 ft)</t>
        </is>
      </c>
      <c r="G4442" s="12" t="inlineStr">
        <is>
          <t>JB-CONT-6-AI01</t>
        </is>
      </c>
      <c r="H4442" s="12" t="inlineStr">
        <is>
          <t>CONT-6: containerized gas genset 13.8 kV (40 ft)</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20</v>
      </c>
      <c r="O4442" s="12" t="n">
        <v>1</v>
      </c>
      <c r="P4442" s="12" t="n"/>
      <c r="Q4442" s="12" t="n"/>
      <c r="R4442" s="12" t="n"/>
      <c r="S4442" s="12" t="inlineStr">
        <is>
          <t>Tray / conduit</t>
        </is>
      </c>
      <c r="T4442" s="17" t="n">
        <v>54</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I-I-0043</t>
        </is>
      </c>
      <c r="B4443" s="12" t="inlineStr">
        <is>
          <t>I</t>
        </is>
      </c>
      <c r="C4443" s="12" t="inlineStr">
        <is>
          <t>Modular / portable power</t>
        </is>
      </c>
      <c r="D4443" s="12" t="inlineStr">
        <is>
          <t>Home run JB-CONT-6-AI01 to the control / marshalling room</t>
        </is>
      </c>
      <c r="E4443" s="12" t="inlineStr">
        <is>
          <t>PAD-EH</t>
        </is>
      </c>
      <c r="F4443" s="12" t="inlineStr">
        <is>
          <t>PAD-EH 13.8 kV switchgear e-house</t>
        </is>
      </c>
      <c r="G4443" s="12" t="inlineStr">
        <is>
          <t>JB-CONT-6-AI01</t>
        </is>
      </c>
      <c r="H4443" s="12" t="inlineStr">
        <is>
          <t>CONT-6: containerized gas genset 13.8 kV (40 ft)</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Surface</t>
        </is>
      </c>
      <c r="T4443" s="17" t="n">
        <v>228</v>
      </c>
      <c r="U4443" s="17" t="n">
        <v>46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I-I-0044</t>
        </is>
      </c>
      <c r="B4444" s="12" t="inlineStr">
        <is>
          <t>I</t>
        </is>
      </c>
      <c r="C4444" s="12" t="inlineStr">
        <is>
          <t>Modular / portable power</t>
        </is>
      </c>
      <c r="D4444" s="12" t="inlineStr">
        <is>
          <t>Discrete device to JB JB-CONT-6-DI01: 20 x 1 pr (field cables)</t>
        </is>
      </c>
      <c r="E4444" s="12" t="inlineStr">
        <is>
          <t>CONT-6</t>
        </is>
      </c>
      <c r="F4444" s="12" t="inlineStr">
        <is>
          <t>CONT-6: containerized gas genset 13.8 kV (40 ft)</t>
        </is>
      </c>
      <c r="G4444" s="12" t="inlineStr">
        <is>
          <t>JB-CONT-6-DI01</t>
        </is>
      </c>
      <c r="H4444" s="12" t="inlineStr">
        <is>
          <t>CONT-6: containerized gas genset 13.8 kV (40 ft)</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20</v>
      </c>
      <c r="O4444" s="12" t="n">
        <v>1</v>
      </c>
      <c r="P4444" s="12" t="n"/>
      <c r="Q4444" s="12" t="n"/>
      <c r="R4444" s="12" t="n"/>
      <c r="S4444" s="12" t="inlineStr">
        <is>
          <t>Tray / conduit</t>
        </is>
      </c>
      <c r="T4444" s="17" t="n">
        <v>54</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I-I-0045</t>
        </is>
      </c>
      <c r="B4445" s="12" t="inlineStr">
        <is>
          <t>I</t>
        </is>
      </c>
      <c r="C4445" s="12" t="inlineStr">
        <is>
          <t>Modular / portable power</t>
        </is>
      </c>
      <c r="D4445" s="12" t="inlineStr">
        <is>
          <t>Home run JB-CONT-6-DI01 to the control / marshalling room</t>
        </is>
      </c>
      <c r="E4445" s="12" t="inlineStr">
        <is>
          <t>PAD-EH</t>
        </is>
      </c>
      <c r="F4445" s="12" t="inlineStr">
        <is>
          <t>PAD-EH 13.8 kV switchgear e-house</t>
        </is>
      </c>
      <c r="G4445" s="12" t="inlineStr">
        <is>
          <t>JB-CONT-6-DI01</t>
        </is>
      </c>
      <c r="H4445" s="12" t="inlineStr">
        <is>
          <t>CONT-6: containerized gas genset 13.8 kV (40 ft)</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Surface</t>
        </is>
      </c>
      <c r="T4445" s="17" t="n">
        <v>228</v>
      </c>
      <c r="U4445" s="17" t="n">
        <v>46</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I-I-0046</t>
        </is>
      </c>
      <c r="B4446" s="12" t="inlineStr">
        <is>
          <t>I</t>
        </is>
      </c>
      <c r="C4446" s="12" t="inlineStr">
        <is>
          <t>Modular / portable power</t>
        </is>
      </c>
      <c r="D4446" s="12" t="inlineStr">
        <is>
          <t>Analog instrument to JB JB-CONT-7-AI01: 20 x 1 pr (field cables)</t>
        </is>
      </c>
      <c r="E4446" s="12" t="inlineStr">
        <is>
          <t>CONT-7</t>
        </is>
      </c>
      <c r="F4446" s="12" t="inlineStr">
        <is>
          <t>CONT-7: containerized gas genset 13.8 kV (40 ft)</t>
        </is>
      </c>
      <c r="G4446" s="12" t="inlineStr">
        <is>
          <t>JB-CONT-7-AI01</t>
        </is>
      </c>
      <c r="H4446" s="12" t="inlineStr">
        <is>
          <t>CONT-7: containerized gas genset 13.8 kV (40 ft)</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20</v>
      </c>
      <c r="O4446" s="12" t="n">
        <v>1</v>
      </c>
      <c r="P4446" s="12" t="n"/>
      <c r="Q4446" s="12" t="n"/>
      <c r="R4446" s="12" t="n"/>
      <c r="S4446" s="12" t="inlineStr">
        <is>
          <t>Tray / conduit</t>
        </is>
      </c>
      <c r="T4446" s="17" t="n">
        <v>54</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I-I-0047</t>
        </is>
      </c>
      <c r="B4447" s="12" t="inlineStr">
        <is>
          <t>I</t>
        </is>
      </c>
      <c r="C4447" s="12" t="inlineStr">
        <is>
          <t>Modular / portable power</t>
        </is>
      </c>
      <c r="D4447" s="12" t="inlineStr">
        <is>
          <t>Home run JB-CONT-7-AI01 to the control / marshalling room</t>
        </is>
      </c>
      <c r="E4447" s="12" t="inlineStr">
        <is>
          <t>PAD-EH</t>
        </is>
      </c>
      <c r="F4447" s="12" t="inlineStr">
        <is>
          <t>PAD-EH 13.8 kV switchgear e-house</t>
        </is>
      </c>
      <c r="G4447" s="12" t="inlineStr">
        <is>
          <t>JB-CONT-7-AI01</t>
        </is>
      </c>
      <c r="H4447" s="12" t="inlineStr">
        <is>
          <t>CONT-7: containerized gas genset 13.8 kV (40 ft)</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Surface</t>
        </is>
      </c>
      <c r="T4447" s="17" t="n">
        <v>228</v>
      </c>
      <c r="U4447" s="17" t="n">
        <v>46</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I-I-0048</t>
        </is>
      </c>
      <c r="B4448" s="12" t="inlineStr">
        <is>
          <t>I</t>
        </is>
      </c>
      <c r="C4448" s="12" t="inlineStr">
        <is>
          <t>Modular / portable power</t>
        </is>
      </c>
      <c r="D4448" s="12" t="inlineStr">
        <is>
          <t>Discrete device to JB JB-CONT-7-DI01: 20 x 1 pr (field cables)</t>
        </is>
      </c>
      <c r="E4448" s="12" t="inlineStr">
        <is>
          <t>CONT-7</t>
        </is>
      </c>
      <c r="F4448" s="12" t="inlineStr">
        <is>
          <t>CONT-7: containerized gas genset 13.8 kV (40 ft)</t>
        </is>
      </c>
      <c r="G4448" s="12" t="inlineStr">
        <is>
          <t>JB-CONT-7-DI01</t>
        </is>
      </c>
      <c r="H4448" s="12" t="inlineStr">
        <is>
          <t>CONT-7: containerized gas genset 13.8 kV (40 ft)</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20</v>
      </c>
      <c r="O4448" s="12" t="n">
        <v>1</v>
      </c>
      <c r="P4448" s="12" t="n"/>
      <c r="Q4448" s="12" t="n"/>
      <c r="R4448" s="12" t="n"/>
      <c r="S4448" s="12" t="inlineStr">
        <is>
          <t>Tray / conduit</t>
        </is>
      </c>
      <c r="T4448" s="17" t="n">
        <v>54</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I-I-0049</t>
        </is>
      </c>
      <c r="B4449" s="12" t="inlineStr">
        <is>
          <t>I</t>
        </is>
      </c>
      <c r="C4449" s="12" t="inlineStr">
        <is>
          <t>Modular / portable power</t>
        </is>
      </c>
      <c r="D4449" s="12" t="inlineStr">
        <is>
          <t>Home run JB-CONT-7-DI01 to the control / marshalling room</t>
        </is>
      </c>
      <c r="E4449" s="12" t="inlineStr">
        <is>
          <t>PAD-EH</t>
        </is>
      </c>
      <c r="F4449" s="12" t="inlineStr">
        <is>
          <t>PAD-EH 13.8 kV switchgear e-house</t>
        </is>
      </c>
      <c r="G4449" s="12" t="inlineStr">
        <is>
          <t>JB-CONT-7-DI01</t>
        </is>
      </c>
      <c r="H4449" s="12" t="inlineStr">
        <is>
          <t>CONT-7: containerized gas genset 13.8 kV (40 ft)</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Surface</t>
        </is>
      </c>
      <c r="T4449" s="17" t="n">
        <v>228</v>
      </c>
      <c r="U4449" s="17" t="n">
        <v>46</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I-I-0050</t>
        </is>
      </c>
      <c r="B4450" s="12" t="inlineStr">
        <is>
          <t>I</t>
        </is>
      </c>
      <c r="C4450" s="12" t="inlineStr">
        <is>
          <t>Modular / portable power</t>
        </is>
      </c>
      <c r="D4450" s="12" t="inlineStr">
        <is>
          <t>Analog instrument to JB JB-CONT-8-AI01: 20 x 1 pr (field cables)</t>
        </is>
      </c>
      <c r="E4450" s="12" t="inlineStr">
        <is>
          <t>CONT-8</t>
        </is>
      </c>
      <c r="F4450" s="12" t="inlineStr">
        <is>
          <t>CONT-8: containerized gas genset 13.8 kV (40 ft)</t>
        </is>
      </c>
      <c r="G4450" s="12" t="inlineStr">
        <is>
          <t>JB-CONT-8-AI01</t>
        </is>
      </c>
      <c r="H4450" s="12" t="inlineStr">
        <is>
          <t>CONT-8: containerized gas genset 13.8 kV (40 ft)</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20</v>
      </c>
      <c r="O4450" s="12" t="n">
        <v>1</v>
      </c>
      <c r="P4450" s="12" t="n"/>
      <c r="Q4450" s="12" t="n"/>
      <c r="R4450" s="12" t="n"/>
      <c r="S4450" s="12" t="inlineStr">
        <is>
          <t>Tray / conduit</t>
        </is>
      </c>
      <c r="T4450" s="17" t="n">
        <v>54</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I-I-0051</t>
        </is>
      </c>
      <c r="B4451" s="12" t="inlineStr">
        <is>
          <t>I</t>
        </is>
      </c>
      <c r="C4451" s="12" t="inlineStr">
        <is>
          <t>Modular / portable power</t>
        </is>
      </c>
      <c r="D4451" s="12" t="inlineStr">
        <is>
          <t>Home run JB-CONT-8-AI01 to the control / marshalling room</t>
        </is>
      </c>
      <c r="E4451" s="12" t="inlineStr">
        <is>
          <t>PAD-EH</t>
        </is>
      </c>
      <c r="F4451" s="12" t="inlineStr">
        <is>
          <t>PAD-EH 13.8 kV switchgear e-house</t>
        </is>
      </c>
      <c r="G4451" s="12" t="inlineStr">
        <is>
          <t>JB-CONT-8-AI01</t>
        </is>
      </c>
      <c r="H4451" s="12" t="inlineStr">
        <is>
          <t>CONT-8: containerized gas genset 13.8 kV (40 ft)</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Surface</t>
        </is>
      </c>
      <c r="T4451" s="17" t="n">
        <v>16</v>
      </c>
      <c r="U4451" s="17" t="n">
        <v>117</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I-I-0052</t>
        </is>
      </c>
      <c r="B4452" s="12" t="inlineStr">
        <is>
          <t>I</t>
        </is>
      </c>
      <c r="C4452" s="12" t="inlineStr">
        <is>
          <t>Modular / portable power</t>
        </is>
      </c>
      <c r="D4452" s="12" t="inlineStr">
        <is>
          <t>Discrete device to JB JB-CONT-8-DI01: 20 x 1 pr (field cables)</t>
        </is>
      </c>
      <c r="E4452" s="12" t="inlineStr">
        <is>
          <t>CONT-8</t>
        </is>
      </c>
      <c r="F4452" s="12" t="inlineStr">
        <is>
          <t>CONT-8: containerized gas genset 13.8 kV (40 ft)</t>
        </is>
      </c>
      <c r="G4452" s="12" t="inlineStr">
        <is>
          <t>JB-CONT-8-DI01</t>
        </is>
      </c>
      <c r="H4452" s="12" t="inlineStr">
        <is>
          <t>CONT-8: containerized gas genset 13.8 kV (40 ft)</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20</v>
      </c>
      <c r="O4452" s="12" t="n">
        <v>1</v>
      </c>
      <c r="P4452" s="12" t="n"/>
      <c r="Q4452" s="12" t="n"/>
      <c r="R4452" s="12" t="n"/>
      <c r="S4452" s="12" t="inlineStr">
        <is>
          <t>Tray / conduit</t>
        </is>
      </c>
      <c r="T4452" s="17" t="n">
        <v>54</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I-I-0053</t>
        </is>
      </c>
      <c r="B4453" s="12" t="inlineStr">
        <is>
          <t>I</t>
        </is>
      </c>
      <c r="C4453" s="12" t="inlineStr">
        <is>
          <t>Modular / portable power</t>
        </is>
      </c>
      <c r="D4453" s="12" t="inlineStr">
        <is>
          <t>Home run JB-CONT-8-DI01 to the control / marshalling room</t>
        </is>
      </c>
      <c r="E4453" s="12" t="inlineStr">
        <is>
          <t>PAD-EH</t>
        </is>
      </c>
      <c r="F4453" s="12" t="inlineStr">
        <is>
          <t>PAD-EH 13.8 kV switchgear e-house</t>
        </is>
      </c>
      <c r="G4453" s="12" t="inlineStr">
        <is>
          <t>JB-CONT-8-DI01</t>
        </is>
      </c>
      <c r="H4453" s="12" t="inlineStr">
        <is>
          <t>CONT-8: containerized gas genset 13.8 kV (40 ft)</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Surface</t>
        </is>
      </c>
      <c r="T4453" s="17" t="n">
        <v>16</v>
      </c>
      <c r="U4453" s="17" t="n">
        <v>117</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I-I-0054</t>
        </is>
      </c>
      <c r="B4454" s="12" t="inlineStr">
        <is>
          <t>I</t>
        </is>
      </c>
      <c r="C4454" s="12" t="inlineStr">
        <is>
          <t>Modular / portable power</t>
        </is>
      </c>
      <c r="D4454" s="12" t="inlineStr">
        <is>
          <t>Analog instrument to JB JB-Demin tank + trail-AI01: 4 x 1 pr (field cables)</t>
        </is>
      </c>
      <c r="E4454" s="12" t="inlineStr"/>
      <c r="F4454" s="12" t="inlineStr">
        <is>
          <t>Demin tank + trailer pad</t>
        </is>
      </c>
      <c r="G4454" s="12" t="inlineStr">
        <is>
          <t>JB-Demin tank + trail-AI01</t>
        </is>
      </c>
      <c r="H4454" s="12" t="inlineStr">
        <is>
          <t>Demin tank + trailer pad</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4</v>
      </c>
      <c r="O4454" s="12" t="n">
        <v>1</v>
      </c>
      <c r="P4454" s="12" t="n"/>
      <c r="Q4454" s="12" t="n"/>
      <c r="R4454" s="12" t="n"/>
      <c r="S4454" s="12" t="inlineStr">
        <is>
          <t>Tray / conduit</t>
        </is>
      </c>
      <c r="T4454" s="17" t="n">
        <v>78</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I-I-0055</t>
        </is>
      </c>
      <c r="B4455" s="12" t="inlineStr">
        <is>
          <t>I</t>
        </is>
      </c>
      <c r="C4455" s="12" t="inlineStr">
        <is>
          <t>Modular / portable power</t>
        </is>
      </c>
      <c r="D4455" s="12" t="inlineStr">
        <is>
          <t>Home run JB-Demin tank + trail-AI01 to the control / marshalling room</t>
        </is>
      </c>
      <c r="E4455" s="12" t="inlineStr"/>
      <c r="F4455" s="12" t="inlineStr">
        <is>
          <t>SC-2 PCM + 15 kV GCB</t>
        </is>
      </c>
      <c r="G4455" s="12" t="inlineStr">
        <is>
          <t>JB-Demin tank + trail-AI01</t>
        </is>
      </c>
      <c r="H4455" s="12" t="inlineStr">
        <is>
          <t>Demin tank + trailer pad</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8</v>
      </c>
      <c r="U4455" s="17" t="n">
        <v>64</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I-I-0056</t>
        </is>
      </c>
      <c r="B4456" s="12" t="inlineStr">
        <is>
          <t>I</t>
        </is>
      </c>
      <c r="C4456" s="12" t="inlineStr">
        <is>
          <t>Modular / portable power</t>
        </is>
      </c>
      <c r="D4456" s="12" t="inlineStr">
        <is>
          <t>Discrete device to JB JB-Demin tank + trail-DI01: 4 x 1 pr (field cables)</t>
        </is>
      </c>
      <c r="E4456" s="12" t="inlineStr"/>
      <c r="F4456" s="12" t="inlineStr">
        <is>
          <t>Demin tank + trailer pad</t>
        </is>
      </c>
      <c r="G4456" s="12" t="inlineStr">
        <is>
          <t>JB-Demin tank + trail-DI01</t>
        </is>
      </c>
      <c r="H4456" s="12" t="inlineStr">
        <is>
          <t>Demin tank + trailer pad</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4</v>
      </c>
      <c r="O4456" s="12" t="n">
        <v>1</v>
      </c>
      <c r="P4456" s="12" t="n"/>
      <c r="Q4456" s="12" t="n"/>
      <c r="R4456" s="12" t="n"/>
      <c r="S4456" s="12" t="inlineStr">
        <is>
          <t>Tray / conduit</t>
        </is>
      </c>
      <c r="T4456" s="17" t="n">
        <v>78</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I-I-0057</t>
        </is>
      </c>
      <c r="B4457" s="12" t="inlineStr">
        <is>
          <t>I</t>
        </is>
      </c>
      <c r="C4457" s="12" t="inlineStr">
        <is>
          <t>Modular / portable power</t>
        </is>
      </c>
      <c r="D4457" s="12" t="inlineStr">
        <is>
          <t>Home run JB-Demin tank + trail-DI01 to the control / marshalling room</t>
        </is>
      </c>
      <c r="E4457" s="12" t="inlineStr"/>
      <c r="F4457" s="12" t="inlineStr">
        <is>
          <t>SC-2 PCM + 15 kV GCB</t>
        </is>
      </c>
      <c r="G4457" s="12" t="inlineStr">
        <is>
          <t>JB-Demin tank + trail-DI01</t>
        </is>
      </c>
      <c r="H4457" s="12" t="inlineStr">
        <is>
          <t>Demin tank + trailer pad</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8</v>
      </c>
      <c r="U4457" s="17" t="n">
        <v>64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I-I-0058</t>
        </is>
      </c>
      <c r="B4458" s="12" t="inlineStr">
        <is>
          <t>I</t>
        </is>
      </c>
      <c r="C4458" s="12" t="inlineStr">
        <is>
          <t>Modular / portable power</t>
        </is>
      </c>
      <c r="D4458" s="12" t="inlineStr">
        <is>
          <t>Analog instrument to JB JB-FC-10-AI01: 10 x 1 pr (field cables)</t>
        </is>
      </c>
      <c r="E4458" s="12" t="inlineStr">
        <is>
          <t>FC-10</t>
        </is>
      </c>
      <c r="F4458" s="12" t="inlineStr">
        <is>
          <t>FC-10: SOFC module (Bloom ES5 class, 200-300 kW)</t>
        </is>
      </c>
      <c r="G4458" s="12" t="inlineStr">
        <is>
          <t>JB-FC-10-AI01</t>
        </is>
      </c>
      <c r="H4458" s="12" t="inlineStr">
        <is>
          <t>FC-10: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7" t="n">
        <v>45</v>
      </c>
      <c r="U4458" s="17" t="n">
        <v>10</v>
      </c>
      <c r="V4458" s="17">
        <f>ROUNDUP((T4458+U4458+2*'Read Me'!$B$13)*(1+'Read Me'!$B$12),-1)</f>
        <v/>
      </c>
      <c r="W4458" s="17">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I-I-0059</t>
        </is>
      </c>
      <c r="B4459" s="12" t="inlineStr">
        <is>
          <t>I</t>
        </is>
      </c>
      <c r="C4459" s="12" t="inlineStr">
        <is>
          <t>Modular / portable power</t>
        </is>
      </c>
      <c r="D4459" s="12" t="inlineStr">
        <is>
          <t>Home run JB-FC-10-AI01 to the control / marshalling room</t>
        </is>
      </c>
      <c r="E4459" s="12" t="inlineStr">
        <is>
          <t>PAD-EH</t>
        </is>
      </c>
      <c r="F4459" s="12" t="inlineStr">
        <is>
          <t>PAD-EH 13.8 kV switchgear e-house</t>
        </is>
      </c>
      <c r="G4459" s="12" t="inlineStr">
        <is>
          <t>JB-FC-10-AI01</t>
        </is>
      </c>
      <c r="H4459" s="12" t="inlineStr">
        <is>
          <t>FC-10: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7" t="n">
        <v>286</v>
      </c>
      <c r="U4459" s="17" t="n">
        <v>50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I-I-0060</t>
        </is>
      </c>
      <c r="B4460" s="12" t="inlineStr">
        <is>
          <t>I</t>
        </is>
      </c>
      <c r="C4460" s="12" t="inlineStr">
        <is>
          <t>Modular / portable power</t>
        </is>
      </c>
      <c r="D4460" s="12" t="inlineStr">
        <is>
          <t>Discrete device to JB JB-FC-10-DI01: 10 x 1 pr (field cables)</t>
        </is>
      </c>
      <c r="E4460" s="12" t="inlineStr">
        <is>
          <t>FC-10</t>
        </is>
      </c>
      <c r="F4460" s="12" t="inlineStr">
        <is>
          <t>FC-10: SOFC module (Bloom ES5 class, 200-300 kW)</t>
        </is>
      </c>
      <c r="G4460" s="12" t="inlineStr">
        <is>
          <t>JB-FC-10-DI01</t>
        </is>
      </c>
      <c r="H4460" s="12" t="inlineStr">
        <is>
          <t>FC-10: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7" t="n">
        <v>45</v>
      </c>
      <c r="U4460" s="17" t="n">
        <v>10</v>
      </c>
      <c r="V4460" s="17">
        <f>ROUNDUP((T4460+U4460+2*'Read Me'!$B$13)*(1+'Read Me'!$B$12),-1)</f>
        <v/>
      </c>
      <c r="W4460" s="17">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I-I-0061</t>
        </is>
      </c>
      <c r="B4461" s="12" t="inlineStr">
        <is>
          <t>I</t>
        </is>
      </c>
      <c r="C4461" s="12" t="inlineStr">
        <is>
          <t>Modular / portable power</t>
        </is>
      </c>
      <c r="D4461" s="12" t="inlineStr">
        <is>
          <t>Home run JB-FC-10-DI01 to the control / marshalling room</t>
        </is>
      </c>
      <c r="E4461" s="12" t="inlineStr">
        <is>
          <t>PAD-EH</t>
        </is>
      </c>
      <c r="F4461" s="12" t="inlineStr">
        <is>
          <t>PAD-EH 13.8 kV switchgear e-house</t>
        </is>
      </c>
      <c r="G4461" s="12" t="inlineStr">
        <is>
          <t>JB-FC-10-DI01</t>
        </is>
      </c>
      <c r="H4461" s="12" t="inlineStr">
        <is>
          <t>FC-10: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7" t="n">
        <v>286</v>
      </c>
      <c r="U4461" s="17" t="n">
        <v>50</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I-I-0062</t>
        </is>
      </c>
      <c r="B4462" s="12" t="inlineStr">
        <is>
          <t>I</t>
        </is>
      </c>
      <c r="C4462" s="12" t="inlineStr">
        <is>
          <t>Modular / portable power</t>
        </is>
      </c>
      <c r="D4462" s="12" t="inlineStr">
        <is>
          <t>Analog instrument to JB JB-FC-11-AI01: 10 x 1 pr (field cables)</t>
        </is>
      </c>
      <c r="E4462" s="12" t="inlineStr">
        <is>
          <t>FC-11</t>
        </is>
      </c>
      <c r="F4462" s="12" t="inlineStr">
        <is>
          <t>FC-11: SOFC module (Bloom ES5 class, 200-300 kW)</t>
        </is>
      </c>
      <c r="G4462" s="12" t="inlineStr">
        <is>
          <t>JB-FC-11-AI01</t>
        </is>
      </c>
      <c r="H4462" s="12" t="inlineStr">
        <is>
          <t>FC-11: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7" t="n">
        <v>45</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I-I-0063</t>
        </is>
      </c>
      <c r="B4463" s="12" t="inlineStr">
        <is>
          <t>I</t>
        </is>
      </c>
      <c r="C4463" s="12" t="inlineStr">
        <is>
          <t>Modular / portable power</t>
        </is>
      </c>
      <c r="D4463" s="12" t="inlineStr">
        <is>
          <t>Home run JB-FC-11-AI01 to the control / marshalling room</t>
        </is>
      </c>
      <c r="E4463" s="12" t="inlineStr">
        <is>
          <t>PAD-EH</t>
        </is>
      </c>
      <c r="F4463" s="12" t="inlineStr">
        <is>
          <t>PAD-EH 13.8 kV switchgear e-house</t>
        </is>
      </c>
      <c r="G4463" s="12" t="inlineStr">
        <is>
          <t>JB-FC-11-AI01</t>
        </is>
      </c>
      <c r="H4463" s="12" t="inlineStr">
        <is>
          <t>FC-11: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7" t="n">
        <v>272</v>
      </c>
      <c r="U4463" s="17" t="n">
        <v>50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I-I-0064</t>
        </is>
      </c>
      <c r="B4464" s="12" t="inlineStr">
        <is>
          <t>I</t>
        </is>
      </c>
      <c r="C4464" s="12" t="inlineStr">
        <is>
          <t>Modular / portable power</t>
        </is>
      </c>
      <c r="D4464" s="12" t="inlineStr">
        <is>
          <t>Discrete device to JB JB-FC-11-DI01: 10 x 1 pr (field cables)</t>
        </is>
      </c>
      <c r="E4464" s="12" t="inlineStr">
        <is>
          <t>FC-11</t>
        </is>
      </c>
      <c r="F4464" s="12" t="inlineStr">
        <is>
          <t>FC-11: SOFC module (Bloom ES5 class, 200-300 kW)</t>
        </is>
      </c>
      <c r="G4464" s="12" t="inlineStr">
        <is>
          <t>JB-FC-11-DI01</t>
        </is>
      </c>
      <c r="H4464" s="12" t="inlineStr">
        <is>
          <t>FC-11: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7" t="n">
        <v>45</v>
      </c>
      <c r="U4464" s="17" t="n">
        <v>10</v>
      </c>
      <c r="V4464" s="17">
        <f>ROUNDUP((T4464+U4464+2*'Read Me'!$B$13)*(1+'Read Me'!$B$12),-1)</f>
        <v/>
      </c>
      <c r="W4464" s="17">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I-I-0065</t>
        </is>
      </c>
      <c r="B4465" s="12" t="inlineStr">
        <is>
          <t>I</t>
        </is>
      </c>
      <c r="C4465" s="12" t="inlineStr">
        <is>
          <t>Modular / portable power</t>
        </is>
      </c>
      <c r="D4465" s="12" t="inlineStr">
        <is>
          <t>Home run JB-FC-11-DI01 to the control / marshalling room</t>
        </is>
      </c>
      <c r="E4465" s="12" t="inlineStr">
        <is>
          <t>PAD-EH</t>
        </is>
      </c>
      <c r="F4465" s="12" t="inlineStr">
        <is>
          <t>PAD-EH 13.8 kV switchgear e-house</t>
        </is>
      </c>
      <c r="G4465" s="12" t="inlineStr">
        <is>
          <t>JB-FC-11-DI01</t>
        </is>
      </c>
      <c r="H4465" s="12" t="inlineStr">
        <is>
          <t>FC-11: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Duct bank</t>
        </is>
      </c>
      <c r="T4465" s="17" t="n">
        <v>272</v>
      </c>
      <c r="U4465" s="17" t="n">
        <v>50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I-I-0066</t>
        </is>
      </c>
      <c r="B4466" s="12" t="inlineStr">
        <is>
          <t>I</t>
        </is>
      </c>
      <c r="C4466" s="12" t="inlineStr">
        <is>
          <t>Modular / portable power</t>
        </is>
      </c>
      <c r="D4466" s="12" t="inlineStr">
        <is>
          <t>Analog instrument to JB JB-FC-12-AI01: 10 x 1 pr (field cables)</t>
        </is>
      </c>
      <c r="E4466" s="12" t="inlineStr">
        <is>
          <t>FC-12</t>
        </is>
      </c>
      <c r="F4466" s="12" t="inlineStr">
        <is>
          <t>FC-12: SOFC module (Bloom ES5 class, 200-300 kW)</t>
        </is>
      </c>
      <c r="G4466" s="12" t="inlineStr">
        <is>
          <t>JB-FC-12-AI01</t>
        </is>
      </c>
      <c r="H4466" s="12" t="inlineStr">
        <is>
          <t>FC-12: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7" t="n">
        <v>45</v>
      </c>
      <c r="U4466" s="17" t="n">
        <v>10</v>
      </c>
      <c r="V4466" s="17">
        <f>ROUNDUP((T4466+U4466+2*'Read Me'!$B$13)*(1+'Read Me'!$B$12),-1)</f>
        <v/>
      </c>
      <c r="W4466" s="17">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I-I-0067</t>
        </is>
      </c>
      <c r="B4467" s="12" t="inlineStr">
        <is>
          <t>I</t>
        </is>
      </c>
      <c r="C4467" s="12" t="inlineStr">
        <is>
          <t>Modular / portable power</t>
        </is>
      </c>
      <c r="D4467" s="12" t="inlineStr">
        <is>
          <t>Home run JB-FC-12-AI01 to the control / marshalling room</t>
        </is>
      </c>
      <c r="E4467" s="12" t="inlineStr">
        <is>
          <t>PAD-EH</t>
        </is>
      </c>
      <c r="F4467" s="12" t="inlineStr">
        <is>
          <t>PAD-EH 13.8 kV switchgear e-house</t>
        </is>
      </c>
      <c r="G4467" s="12" t="inlineStr">
        <is>
          <t>JB-FC-12-AI01</t>
        </is>
      </c>
      <c r="H4467" s="12" t="inlineStr">
        <is>
          <t>FC-12: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Duct bank</t>
        </is>
      </c>
      <c r="T4467" s="17" t="n">
        <v>272</v>
      </c>
      <c r="U4467" s="17" t="n">
        <v>41</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I-I-0068</t>
        </is>
      </c>
      <c r="B4468" s="12" t="inlineStr">
        <is>
          <t>I</t>
        </is>
      </c>
      <c r="C4468" s="12" t="inlineStr">
        <is>
          <t>Modular / portable power</t>
        </is>
      </c>
      <c r="D4468" s="12" t="inlineStr">
        <is>
          <t>Discrete device to JB JB-FC-12-DI01: 10 x 1 pr (field cables)</t>
        </is>
      </c>
      <c r="E4468" s="12" t="inlineStr">
        <is>
          <t>FC-12</t>
        </is>
      </c>
      <c r="F4468" s="12" t="inlineStr">
        <is>
          <t>FC-12: SOFC module (Bloom ES5 class, 200-300 kW)</t>
        </is>
      </c>
      <c r="G4468" s="12" t="inlineStr">
        <is>
          <t>JB-FC-12-DI01</t>
        </is>
      </c>
      <c r="H4468" s="12" t="inlineStr">
        <is>
          <t>FC-12: SOFC module (Bloom ES5 class, 200-300 kW)</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10</v>
      </c>
      <c r="O4468" s="12" t="n">
        <v>1</v>
      </c>
      <c r="P4468" s="12" t="n"/>
      <c r="Q4468" s="12" t="n"/>
      <c r="R4468" s="12" t="n"/>
      <c r="S4468" s="12" t="inlineStr">
        <is>
          <t>Tray / conduit</t>
        </is>
      </c>
      <c r="T4468" s="17" t="n">
        <v>45</v>
      </c>
      <c r="U4468" s="17" t="n">
        <v>10</v>
      </c>
      <c r="V4468" s="17">
        <f>ROUNDUP((T4468+U4468+2*'Read Me'!$B$13)*(1+'Read Me'!$B$12),-1)</f>
        <v/>
      </c>
      <c r="W4468" s="17">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I-I-0069</t>
        </is>
      </c>
      <c r="B4469" s="12" t="inlineStr">
        <is>
          <t>I</t>
        </is>
      </c>
      <c r="C4469" s="12" t="inlineStr">
        <is>
          <t>Modular / portable power</t>
        </is>
      </c>
      <c r="D4469" s="12" t="inlineStr">
        <is>
          <t>Home run JB-FC-12-DI01 to the control / marshalling room</t>
        </is>
      </c>
      <c r="E4469" s="12" t="inlineStr">
        <is>
          <t>PAD-EH</t>
        </is>
      </c>
      <c r="F4469" s="12" t="inlineStr">
        <is>
          <t>PAD-EH 13.8 kV switchgear e-house</t>
        </is>
      </c>
      <c r="G4469" s="12" t="inlineStr">
        <is>
          <t>JB-FC-12-DI01</t>
        </is>
      </c>
      <c r="H4469" s="12" t="inlineStr">
        <is>
          <t>FC-12: SOFC module (Bloom ES5 class, 200-300 kW)</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Duct bank</t>
        </is>
      </c>
      <c r="T4469" s="17" t="n">
        <v>272</v>
      </c>
      <c r="U4469" s="17" t="n">
        <v>41</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I-I-0070</t>
        </is>
      </c>
      <c r="B4470" s="12" t="inlineStr">
        <is>
          <t>I</t>
        </is>
      </c>
      <c r="C4470" s="12" t="inlineStr">
        <is>
          <t>Modular / portable power</t>
        </is>
      </c>
      <c r="D4470" s="12" t="inlineStr">
        <is>
          <t>Instrumentation</t>
        </is>
      </c>
      <c r="E4470" s="12" t="inlineStr">
        <is>
          <t>PAD-EH</t>
        </is>
      </c>
      <c r="F4470" s="12" t="inlineStr">
        <is>
          <t>PAD-EH 13.8 kV switchgear e-house</t>
        </is>
      </c>
      <c r="G4470" s="12" t="inlineStr"/>
      <c r="H4470" s="12" t="inlineStr">
        <is>
          <t>FC-5..12 inverter / AC cabinet / desulfurizer</t>
        </is>
      </c>
      <c r="I4470" s="12" t="inlineStr">
        <is>
          <t>Instrumentation</t>
        </is>
      </c>
      <c r="J4470" s="12" t="inlineStr">
        <is>
          <t>Instrumentation PLTC / TC-ER 300 V, #18 twisted shielded pairs, overall shield</t>
        </is>
      </c>
      <c r="K4470" s="12" t="inlineStr">
        <is>
          <t>PLTC|4 pr|18</t>
        </is>
      </c>
      <c r="L4470" s="12" t="inlineStr">
        <is>
          <t>4 pr</t>
        </is>
      </c>
      <c r="M4470" s="12" t="inlineStr">
        <is>
          <t>18</t>
        </is>
      </c>
      <c r="N4470" s="12" t="n">
        <v>1</v>
      </c>
      <c r="O4470" s="12" t="n">
        <v>1</v>
      </c>
      <c r="P4470" s="12" t="n"/>
      <c r="Q4470" s="12" t="n"/>
      <c r="R4470" s="12" t="n"/>
      <c r="S4470" s="12" t="inlineStr">
        <is>
          <t>Surface</t>
        </is>
      </c>
      <c r="T4470" s="17" t="n">
        <v>202</v>
      </c>
      <c r="U4470" s="17" t="n">
        <v>37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I-I-0071</t>
        </is>
      </c>
      <c r="B4471" s="12" t="inlineStr">
        <is>
          <t>I</t>
        </is>
      </c>
      <c r="C4471" s="12" t="inlineStr">
        <is>
          <t>Modular / portable power</t>
        </is>
      </c>
      <c r="D4471" s="12" t="inlineStr">
        <is>
          <t>Thermocouples</t>
        </is>
      </c>
      <c r="E4471" s="12" t="inlineStr">
        <is>
          <t>PAD-EH</t>
        </is>
      </c>
      <c r="F4471" s="12" t="inlineStr">
        <is>
          <t>PAD-EH 13.8 kV switchgear e-house</t>
        </is>
      </c>
      <c r="G4471" s="12" t="inlineStr"/>
      <c r="H4471" s="12" t="inlineStr">
        <is>
          <t>FC-5..12 inverter / AC cabinet / desulfurizer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Surface</t>
        </is>
      </c>
      <c r="T4471" s="17" t="n">
        <v>202</v>
      </c>
      <c r="U4471" s="17" t="n">
        <v>37</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I-I-0072</t>
        </is>
      </c>
      <c r="B4472" s="12" t="inlineStr">
        <is>
          <t>I</t>
        </is>
      </c>
      <c r="C4472" s="12" t="inlineStr">
        <is>
          <t>Modular / portable power</t>
        </is>
      </c>
      <c r="D4472" s="12" t="inlineStr">
        <is>
          <t>Thermocouples</t>
        </is>
      </c>
      <c r="E4472" s="12" t="inlineStr">
        <is>
          <t>PAD-EH</t>
        </is>
      </c>
      <c r="F4472" s="12" t="inlineStr">
        <is>
          <t>PAD-EH 13.8 kV switchgear e-house</t>
        </is>
      </c>
      <c r="G4472" s="12" t="inlineStr"/>
      <c r="H4472" s="12" t="inlineStr">
        <is>
          <t>FC-5..12 inverter / AC cabinet / desulfurizer</t>
        </is>
      </c>
      <c r="I4472" s="12" t="inlineStr">
        <is>
          <t>Instrumentation</t>
        </is>
      </c>
      <c r="J4472" s="12" t="inlineStr">
        <is>
          <t>Thermocouple extension KX, #16 shielded pairs, PLTC</t>
        </is>
      </c>
      <c r="K4472" s="12" t="inlineStr">
        <is>
          <t>TCX|12 pr|16</t>
        </is>
      </c>
      <c r="L4472" s="12" t="inlineStr">
        <is>
          <t>12 pr</t>
        </is>
      </c>
      <c r="M4472" s="12" t="inlineStr">
        <is>
          <t>16</t>
        </is>
      </c>
      <c r="N4472" s="12" t="n">
        <v>1</v>
      </c>
      <c r="O4472" s="12" t="n">
        <v>1</v>
      </c>
      <c r="P4472" s="12" t="n"/>
      <c r="Q4472" s="12" t="n"/>
      <c r="R4472" s="12" t="n"/>
      <c r="S4472" s="12" t="inlineStr">
        <is>
          <t>Surface</t>
        </is>
      </c>
      <c r="T4472" s="17" t="n">
        <v>202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I-I-0073</t>
        </is>
      </c>
      <c r="B4473" s="12" t="inlineStr">
        <is>
          <t>I</t>
        </is>
      </c>
      <c r="C4473" s="12" t="inlineStr">
        <is>
          <t>Modular / portable power</t>
        </is>
      </c>
      <c r="D4473" s="12" t="inlineStr">
        <is>
          <t>Analog instrument to JB JB-FC-5-AI01: 10 x 1 pr (field cables)</t>
        </is>
      </c>
      <c r="E4473" s="12" t="inlineStr">
        <is>
          <t>FC-5</t>
        </is>
      </c>
      <c r="F4473" s="12" t="inlineStr">
        <is>
          <t>FC-5: SOFC module (Bloom ES5 class, 200-300 kW)</t>
        </is>
      </c>
      <c r="G4473" s="12" t="inlineStr">
        <is>
          <t>JB-FC-5-AI01</t>
        </is>
      </c>
      <c r="H4473" s="12" t="inlineStr">
        <is>
          <t>FC-5: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I-I-0074</t>
        </is>
      </c>
      <c r="B4474" s="12" t="inlineStr">
        <is>
          <t>I</t>
        </is>
      </c>
      <c r="C4474" s="12" t="inlineStr">
        <is>
          <t>Modular / portable power</t>
        </is>
      </c>
      <c r="D4474" s="12" t="inlineStr">
        <is>
          <t>Home run JB-FC-5-AI01 to the control / marshalling room</t>
        </is>
      </c>
      <c r="E4474" s="12" t="inlineStr">
        <is>
          <t>PAD-EH</t>
        </is>
      </c>
      <c r="F4474" s="12" t="inlineStr">
        <is>
          <t>PAD-EH 13.8 kV switchgear e-house</t>
        </is>
      </c>
      <c r="G4474" s="12" t="inlineStr">
        <is>
          <t>JB-FC-5-AI01</t>
        </is>
      </c>
      <c r="H4474" s="12" t="inlineStr">
        <is>
          <t>FC-5: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356</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I-I-0075</t>
        </is>
      </c>
      <c r="B4475" s="12" t="inlineStr">
        <is>
          <t>I</t>
        </is>
      </c>
      <c r="C4475" s="12" t="inlineStr">
        <is>
          <t>Modular / portable power</t>
        </is>
      </c>
      <c r="D4475" s="12" t="inlineStr">
        <is>
          <t>Discrete device to JB JB-FC-5-DI01: 10 x 1 pr (field cables)</t>
        </is>
      </c>
      <c r="E4475" s="12" t="inlineStr">
        <is>
          <t>FC-5</t>
        </is>
      </c>
      <c r="F4475" s="12" t="inlineStr">
        <is>
          <t>FC-5: SOFC module (Bloom ES5 class, 200-300 kW)</t>
        </is>
      </c>
      <c r="G4475" s="12" t="inlineStr">
        <is>
          <t>JB-FC-5-DI01</t>
        </is>
      </c>
      <c r="H4475" s="12" t="inlineStr">
        <is>
          <t>FC-5: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I-I-0076</t>
        </is>
      </c>
      <c r="B4476" s="12" t="inlineStr">
        <is>
          <t>I</t>
        </is>
      </c>
      <c r="C4476" s="12" t="inlineStr">
        <is>
          <t>Modular / portable power</t>
        </is>
      </c>
      <c r="D4476" s="12" t="inlineStr">
        <is>
          <t>Home run JB-FC-5-DI01 to the control / marshalling room</t>
        </is>
      </c>
      <c r="E4476" s="12" t="inlineStr">
        <is>
          <t>PAD-EH</t>
        </is>
      </c>
      <c r="F4476" s="12" t="inlineStr">
        <is>
          <t>PAD-EH 13.8 kV switchgear e-house</t>
        </is>
      </c>
      <c r="G4476" s="12" t="inlineStr">
        <is>
          <t>JB-FC-5-DI01</t>
        </is>
      </c>
      <c r="H4476" s="12" t="inlineStr">
        <is>
          <t>FC-5: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356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I-I-0077</t>
        </is>
      </c>
      <c r="B4477" s="12" t="inlineStr">
        <is>
          <t>I</t>
        </is>
      </c>
      <c r="C4477" s="12" t="inlineStr">
        <is>
          <t>Modular / portable power</t>
        </is>
      </c>
      <c r="D4477" s="12" t="inlineStr">
        <is>
          <t>Analog instrument to JB JB-FC-6-AI01: 10 x 1 pr (field cables)</t>
        </is>
      </c>
      <c r="E4477" s="12" t="inlineStr">
        <is>
          <t>FC-6</t>
        </is>
      </c>
      <c r="F4477" s="12" t="inlineStr">
        <is>
          <t>FC-6: SOFC module (Bloom ES5 class, 200-300 kW)</t>
        </is>
      </c>
      <c r="G4477" s="12" t="inlineStr">
        <is>
          <t>JB-FC-6-AI01</t>
        </is>
      </c>
      <c r="H4477" s="12" t="inlineStr">
        <is>
          <t>FC-6: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I-I-0078</t>
        </is>
      </c>
      <c r="B4478" s="12" t="inlineStr">
        <is>
          <t>I</t>
        </is>
      </c>
      <c r="C4478" s="12" t="inlineStr">
        <is>
          <t>Modular / portable power</t>
        </is>
      </c>
      <c r="D4478" s="12" t="inlineStr">
        <is>
          <t>Home run JB-FC-6-AI01 to the control / marshalling room</t>
        </is>
      </c>
      <c r="E4478" s="12" t="inlineStr">
        <is>
          <t>PAD-EH</t>
        </is>
      </c>
      <c r="F4478" s="12" t="inlineStr">
        <is>
          <t>PAD-EH 13.8 kV switchgear e-house</t>
        </is>
      </c>
      <c r="G4478" s="12" t="inlineStr">
        <is>
          <t>JB-FC-6-AI01</t>
        </is>
      </c>
      <c r="H4478" s="12" t="inlineStr">
        <is>
          <t>FC-6: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342</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I-I-0079</t>
        </is>
      </c>
      <c r="B4479" s="12" t="inlineStr">
        <is>
          <t>I</t>
        </is>
      </c>
      <c r="C4479" s="12" t="inlineStr">
        <is>
          <t>Modular / portable power</t>
        </is>
      </c>
      <c r="D4479" s="12" t="inlineStr">
        <is>
          <t>Discrete device to JB JB-FC-6-DI01: 10 x 1 pr (field cables)</t>
        </is>
      </c>
      <c r="E4479" s="12" t="inlineStr">
        <is>
          <t>FC-6</t>
        </is>
      </c>
      <c r="F4479" s="12" t="inlineStr">
        <is>
          <t>FC-6: SOFC module (Bloom ES5 class, 200-300 kW)</t>
        </is>
      </c>
      <c r="G4479" s="12" t="inlineStr">
        <is>
          <t>JB-FC-6-DI01</t>
        </is>
      </c>
      <c r="H4479" s="12" t="inlineStr">
        <is>
          <t>FC-6: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I-I-0080</t>
        </is>
      </c>
      <c r="B4480" s="12" t="inlineStr">
        <is>
          <t>I</t>
        </is>
      </c>
      <c r="C4480" s="12" t="inlineStr">
        <is>
          <t>Modular / portable power</t>
        </is>
      </c>
      <c r="D4480" s="12" t="inlineStr">
        <is>
          <t>Home run JB-FC-6-DI01 to the control / marshalling room</t>
        </is>
      </c>
      <c r="E4480" s="12" t="inlineStr">
        <is>
          <t>PAD-EH</t>
        </is>
      </c>
      <c r="F4480" s="12" t="inlineStr">
        <is>
          <t>PAD-EH 13.8 kV switchgear e-house</t>
        </is>
      </c>
      <c r="G4480" s="12" t="inlineStr">
        <is>
          <t>JB-FC-6-DI01</t>
        </is>
      </c>
      <c r="H4480" s="12" t="inlineStr">
        <is>
          <t>FC-6: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342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I-I-0081</t>
        </is>
      </c>
      <c r="B4481" s="12" t="inlineStr">
        <is>
          <t>I</t>
        </is>
      </c>
      <c r="C4481" s="12" t="inlineStr">
        <is>
          <t>Modular / portable power</t>
        </is>
      </c>
      <c r="D4481" s="12" t="inlineStr">
        <is>
          <t>Analog instrument to JB JB-FC-7-AI01: 10 x 1 pr (field cables)</t>
        </is>
      </c>
      <c r="E4481" s="12" t="inlineStr">
        <is>
          <t>FC-7</t>
        </is>
      </c>
      <c r="F4481" s="12" t="inlineStr">
        <is>
          <t>FC-7: SOFC module (Bloom ES5 class, 200-300 kW)</t>
        </is>
      </c>
      <c r="G4481" s="12" t="inlineStr">
        <is>
          <t>JB-FC-7-AI01</t>
        </is>
      </c>
      <c r="H4481" s="12" t="inlineStr">
        <is>
          <t>FC-7: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I-I-0082</t>
        </is>
      </c>
      <c r="B4482" s="12" t="inlineStr">
        <is>
          <t>I</t>
        </is>
      </c>
      <c r="C4482" s="12" t="inlineStr">
        <is>
          <t>Modular / portable power</t>
        </is>
      </c>
      <c r="D4482" s="12" t="inlineStr">
        <is>
          <t>Home run JB-FC-7-AI01 to the control / marshalling room</t>
        </is>
      </c>
      <c r="E4482" s="12" t="inlineStr">
        <is>
          <t>PAD-EH</t>
        </is>
      </c>
      <c r="F4482" s="12" t="inlineStr">
        <is>
          <t>PAD-EH 13.8 kV switchgear e-house</t>
        </is>
      </c>
      <c r="G4482" s="12" t="inlineStr">
        <is>
          <t>JB-FC-7-AI01</t>
        </is>
      </c>
      <c r="H4482" s="12" t="inlineStr">
        <is>
          <t>FC-7: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328</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I-I-0083</t>
        </is>
      </c>
      <c r="B4483" s="12" t="inlineStr">
        <is>
          <t>I</t>
        </is>
      </c>
      <c r="C4483" s="12" t="inlineStr">
        <is>
          <t>Modular / portable power</t>
        </is>
      </c>
      <c r="D4483" s="12" t="inlineStr">
        <is>
          <t>Discrete device to JB JB-FC-7-DI01: 10 x 1 pr (field cables)</t>
        </is>
      </c>
      <c r="E4483" s="12" t="inlineStr">
        <is>
          <t>FC-7</t>
        </is>
      </c>
      <c r="F4483" s="12" t="inlineStr">
        <is>
          <t>FC-7: SOFC module (Bloom ES5 class, 200-300 kW)</t>
        </is>
      </c>
      <c r="G4483" s="12" t="inlineStr">
        <is>
          <t>JB-FC-7-DI01</t>
        </is>
      </c>
      <c r="H4483" s="12" t="inlineStr">
        <is>
          <t>FC-7: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I-I-0084</t>
        </is>
      </c>
      <c r="B4484" s="12" t="inlineStr">
        <is>
          <t>I</t>
        </is>
      </c>
      <c r="C4484" s="12" t="inlineStr">
        <is>
          <t>Modular / portable power</t>
        </is>
      </c>
      <c r="D4484" s="12" t="inlineStr">
        <is>
          <t>Home run JB-FC-7-DI01 to the control / marshalling room</t>
        </is>
      </c>
      <c r="E4484" s="12" t="inlineStr">
        <is>
          <t>PAD-EH</t>
        </is>
      </c>
      <c r="F4484" s="12" t="inlineStr">
        <is>
          <t>PAD-EH 13.8 kV switchgear e-house</t>
        </is>
      </c>
      <c r="G4484" s="12" t="inlineStr">
        <is>
          <t>JB-FC-7-DI01</t>
        </is>
      </c>
      <c r="H4484" s="12" t="inlineStr">
        <is>
          <t>FC-7: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328</v>
      </c>
      <c r="U4484" s="17" t="n">
        <v>50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I-I-0085</t>
        </is>
      </c>
      <c r="B4485" s="12" t="inlineStr">
        <is>
          <t>I</t>
        </is>
      </c>
      <c r="C4485" s="12" t="inlineStr">
        <is>
          <t>Modular / portable power</t>
        </is>
      </c>
      <c r="D4485" s="12" t="inlineStr">
        <is>
          <t>Analog instrument to JB JB-FC-8-AI01: 10 x 1 pr (field cables)</t>
        </is>
      </c>
      <c r="E4485" s="12" t="inlineStr">
        <is>
          <t>FC-8</t>
        </is>
      </c>
      <c r="F4485" s="12" t="inlineStr">
        <is>
          <t>FC-8: SOFC module (Bloom ES5 class, 200-300 kW)</t>
        </is>
      </c>
      <c r="G4485" s="12" t="inlineStr">
        <is>
          <t>JB-FC-8-AI01</t>
        </is>
      </c>
      <c r="H4485" s="12" t="inlineStr">
        <is>
          <t>FC-8: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I-I-0086</t>
        </is>
      </c>
      <c r="B4486" s="12" t="inlineStr">
        <is>
          <t>I</t>
        </is>
      </c>
      <c r="C4486" s="12" t="inlineStr">
        <is>
          <t>Modular / portable power</t>
        </is>
      </c>
      <c r="D4486" s="12" t="inlineStr">
        <is>
          <t>Home run JB-FC-8-AI01 to the control / marshalling room</t>
        </is>
      </c>
      <c r="E4486" s="12" t="inlineStr">
        <is>
          <t>PAD-EH</t>
        </is>
      </c>
      <c r="F4486" s="12" t="inlineStr">
        <is>
          <t>PAD-EH 13.8 kV switchgear e-house</t>
        </is>
      </c>
      <c r="G4486" s="12" t="inlineStr">
        <is>
          <t>JB-FC-8-AI01</t>
        </is>
      </c>
      <c r="H4486" s="12" t="inlineStr">
        <is>
          <t>FC-8: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314</v>
      </c>
      <c r="U4486" s="17" t="n">
        <v>50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I-I-0087</t>
        </is>
      </c>
      <c r="B4487" s="12" t="inlineStr">
        <is>
          <t>I</t>
        </is>
      </c>
      <c r="C4487" s="12" t="inlineStr">
        <is>
          <t>Modular / portable power</t>
        </is>
      </c>
      <c r="D4487" s="12" t="inlineStr">
        <is>
          <t>Discrete device to JB JB-FC-8-DI01: 10 x 1 pr (field cables)</t>
        </is>
      </c>
      <c r="E4487" s="12" t="inlineStr">
        <is>
          <t>FC-8</t>
        </is>
      </c>
      <c r="F4487" s="12" t="inlineStr">
        <is>
          <t>FC-8: SOFC module (Bloom ES5 class, 200-300 kW)</t>
        </is>
      </c>
      <c r="G4487" s="12" t="inlineStr">
        <is>
          <t>JB-FC-8-DI01</t>
        </is>
      </c>
      <c r="H4487" s="12" t="inlineStr">
        <is>
          <t>FC-8: SOFC module (Bloom ES5 class, 200-300 kW)</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10</v>
      </c>
      <c r="O4487" s="12" t="n">
        <v>1</v>
      </c>
      <c r="P4487" s="12" t="n"/>
      <c r="Q4487" s="12" t="n"/>
      <c r="R4487" s="12" t="n"/>
      <c r="S4487" s="12" t="inlineStr">
        <is>
          <t>Tray / conduit</t>
        </is>
      </c>
      <c r="T4487" s="17" t="n">
        <v>45</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I-I-0088</t>
        </is>
      </c>
      <c r="B4488" s="12" t="inlineStr">
        <is>
          <t>I</t>
        </is>
      </c>
      <c r="C4488" s="12" t="inlineStr">
        <is>
          <t>Modular / portable power</t>
        </is>
      </c>
      <c r="D4488" s="12" t="inlineStr">
        <is>
          <t>Home run JB-FC-8-DI01 to the control / marshalling room</t>
        </is>
      </c>
      <c r="E4488" s="12" t="inlineStr">
        <is>
          <t>PAD-EH</t>
        </is>
      </c>
      <c r="F4488" s="12" t="inlineStr">
        <is>
          <t>PAD-EH 13.8 kV switchgear e-house</t>
        </is>
      </c>
      <c r="G4488" s="12" t="inlineStr">
        <is>
          <t>JB-FC-8-DI01</t>
        </is>
      </c>
      <c r="H4488" s="12" t="inlineStr">
        <is>
          <t>FC-8: SOFC module (Bloom ES5 class, 200-300 kW)</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7" t="n">
        <v>314</v>
      </c>
      <c r="U4488" s="17" t="n">
        <v>50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I-I-0089</t>
        </is>
      </c>
      <c r="B4489" s="12" t="inlineStr">
        <is>
          <t>I</t>
        </is>
      </c>
      <c r="C4489" s="12" t="inlineStr">
        <is>
          <t>Modular / portable power</t>
        </is>
      </c>
      <c r="D4489" s="12" t="inlineStr">
        <is>
          <t>Analog instrument to JB JB-FC-9-AI01: 10 x 1 pr (field cables)</t>
        </is>
      </c>
      <c r="E4489" s="12" t="inlineStr">
        <is>
          <t>FC-9</t>
        </is>
      </c>
      <c r="F4489" s="12" t="inlineStr">
        <is>
          <t>FC-9: SOFC module (Bloom ES5 class, 200-300 kW)</t>
        </is>
      </c>
      <c r="G4489" s="12" t="inlineStr">
        <is>
          <t>JB-FC-9-AI01</t>
        </is>
      </c>
      <c r="H4489" s="12" t="inlineStr">
        <is>
          <t>FC-9: SOFC module (Bloom ES5 class, 200-300 kW)</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10</v>
      </c>
      <c r="O4489" s="12" t="n">
        <v>1</v>
      </c>
      <c r="P4489" s="12" t="n"/>
      <c r="Q4489" s="12" t="n"/>
      <c r="R4489" s="12" t="n"/>
      <c r="S4489" s="12" t="inlineStr">
        <is>
          <t>Tray / conduit</t>
        </is>
      </c>
      <c r="T4489" s="17" t="n">
        <v>45</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I-I-0090</t>
        </is>
      </c>
      <c r="B4490" s="12" t="inlineStr">
        <is>
          <t>I</t>
        </is>
      </c>
      <c r="C4490" s="12" t="inlineStr">
        <is>
          <t>Modular / portable power</t>
        </is>
      </c>
      <c r="D4490" s="12" t="inlineStr">
        <is>
          <t>Home run JB-FC-9-AI01 to the control / marshalling room</t>
        </is>
      </c>
      <c r="E4490" s="12" t="inlineStr">
        <is>
          <t>PAD-EH</t>
        </is>
      </c>
      <c r="F4490" s="12" t="inlineStr">
        <is>
          <t>PAD-EH 13.8 kV switchgear e-house</t>
        </is>
      </c>
      <c r="G4490" s="12" t="inlineStr">
        <is>
          <t>JB-FC-9-AI01</t>
        </is>
      </c>
      <c r="H4490" s="12" t="inlineStr">
        <is>
          <t>FC-9: SOFC module (Bloom ES5 class, 200-300 kW)</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7" t="n">
        <v>300</v>
      </c>
      <c r="U4490" s="17" t="n">
        <v>50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I-I-0091</t>
        </is>
      </c>
      <c r="B4491" s="12" t="inlineStr">
        <is>
          <t>I</t>
        </is>
      </c>
      <c r="C4491" s="12" t="inlineStr">
        <is>
          <t>Modular / portable power</t>
        </is>
      </c>
      <c r="D4491" s="12" t="inlineStr">
        <is>
          <t>Discrete device to JB JB-FC-9-DI01: 10 x 1 pr (field cables)</t>
        </is>
      </c>
      <c r="E4491" s="12" t="inlineStr">
        <is>
          <t>FC-9</t>
        </is>
      </c>
      <c r="F4491" s="12" t="inlineStr">
        <is>
          <t>FC-9: SOFC module (Bloom ES5 class, 200-300 kW)</t>
        </is>
      </c>
      <c r="G4491" s="12" t="inlineStr">
        <is>
          <t>JB-FC-9-DI01</t>
        </is>
      </c>
      <c r="H4491" s="12" t="inlineStr">
        <is>
          <t>FC-9: SOFC module (Bloom ES5 class, 200-300 kW)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10</v>
      </c>
      <c r="O4491" s="12" t="n">
        <v>1</v>
      </c>
      <c r="P4491" s="12" t="n"/>
      <c r="Q4491" s="12" t="n"/>
      <c r="R4491" s="12" t="n"/>
      <c r="S4491" s="12" t="inlineStr">
        <is>
          <t>Tray / conduit</t>
        </is>
      </c>
      <c r="T4491" s="17" t="n">
        <v>45</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I-I-0092</t>
        </is>
      </c>
      <c r="B4492" s="12" t="inlineStr">
        <is>
          <t>I</t>
        </is>
      </c>
      <c r="C4492" s="12" t="inlineStr">
        <is>
          <t>Modular / portable power</t>
        </is>
      </c>
      <c r="D4492" s="12" t="inlineStr">
        <is>
          <t>Home run JB-FC-9-DI01 to the control / marshalling room</t>
        </is>
      </c>
      <c r="E4492" s="12" t="inlineStr">
        <is>
          <t>PAD-EH</t>
        </is>
      </c>
      <c r="F4492" s="12" t="inlineStr">
        <is>
          <t>PAD-EH 13.8 kV switchgear e-house</t>
        </is>
      </c>
      <c r="G4492" s="12" t="inlineStr">
        <is>
          <t>JB-FC-9-DI01</t>
        </is>
      </c>
      <c r="H4492" s="12" t="inlineStr">
        <is>
          <t>FC-9: SOFC module (Bloom ES5 class, 200-300 kW)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7" t="n">
        <v>300</v>
      </c>
      <c r="U4492" s="17" t="n">
        <v>50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I-I-0093</t>
        </is>
      </c>
      <c r="B4493" s="12" t="inlineStr">
        <is>
          <t>I</t>
        </is>
      </c>
      <c r="C4493" s="12" t="inlineStr">
        <is>
          <t>Modular / portable power</t>
        </is>
      </c>
      <c r="D4493" s="12" t="inlineStr">
        <is>
          <t>Analog instrument to JB JB-Fuel-gas compresso-AI01: 20 x 1 pr (field cables)</t>
        </is>
      </c>
      <c r="E4493" s="12" t="inlineStr"/>
      <c r="F4493" s="12" t="inlineStr">
        <is>
          <t>Fuel-gas compressors 3 x 100% electric</t>
        </is>
      </c>
      <c r="G4493" s="12" t="inlineStr">
        <is>
          <t>JB-Fuel-gas compresso-AI01</t>
        </is>
      </c>
      <c r="H4493" s="12" t="inlineStr">
        <is>
          <t>Fuel-gas compressors 3 x 100% electric</t>
        </is>
      </c>
      <c r="I4493" s="12" t="inlineStr">
        <is>
          <t>Instrumentation</t>
        </is>
      </c>
      <c r="J4493" s="12" t="inlineStr">
        <is>
          <t>Instrumentation ITC / PLTC, IS, #18 shielded pairs, blue jacket</t>
        </is>
      </c>
      <c r="K4493" s="12" t="inlineStr">
        <is>
          <t>ITC|1 pr|16</t>
        </is>
      </c>
      <c r="L4493" s="12" t="inlineStr">
        <is>
          <t>1 pr</t>
        </is>
      </c>
      <c r="M4493" s="12" t="inlineStr">
        <is>
          <t>16</t>
        </is>
      </c>
      <c r="N4493" s="12" t="n">
        <v>20</v>
      </c>
      <c r="O4493" s="12" t="n">
        <v>1</v>
      </c>
      <c r="P4493" s="12" t="n"/>
      <c r="Q4493" s="12" t="n"/>
      <c r="R4493" s="12" t="n"/>
      <c r="S4493" s="12" t="inlineStr">
        <is>
          <t>Tray / conduit</t>
        </is>
      </c>
      <c r="T4493" s="17" t="n">
        <v>103</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I-I-0094</t>
        </is>
      </c>
      <c r="B4494" s="12" t="inlineStr">
        <is>
          <t>I</t>
        </is>
      </c>
      <c r="C4494" s="12" t="inlineStr">
        <is>
          <t>Modular / portable power</t>
        </is>
      </c>
      <c r="D4494" s="12" t="inlineStr">
        <is>
          <t>Home run JB-Fuel-gas compresso-AI01 to the control / marshalling room</t>
        </is>
      </c>
      <c r="E4494" s="12" t="inlineStr"/>
      <c r="F4494" s="12" t="inlineStr">
        <is>
          <t>SC-2 PCM + 15 kV GCB</t>
        </is>
      </c>
      <c r="G4494" s="12" t="inlineStr">
        <is>
          <t>JB-Fuel-gas compresso-AI01</t>
        </is>
      </c>
      <c r="H4494" s="12" t="inlineStr">
        <is>
          <t>Fuel-gas compressors 3 x 100% electric</t>
        </is>
      </c>
      <c r="I4494" s="12" t="inlineStr">
        <is>
          <t>Instrumentation</t>
        </is>
      </c>
      <c r="J4494" s="12" t="inlineStr">
        <is>
          <t>Instrumentation ITC / PLTC, IS, #18 shielded pairs, blue jacket</t>
        </is>
      </c>
      <c r="K4494" s="12" t="inlineStr">
        <is>
          <t>ITC|24 pr|18</t>
        </is>
      </c>
      <c r="L4494" s="12" t="inlineStr">
        <is>
          <t>24 pr</t>
        </is>
      </c>
      <c r="M4494" s="12" t="inlineStr">
        <is>
          <t>18</t>
        </is>
      </c>
      <c r="N4494" s="12" t="n">
        <v>1</v>
      </c>
      <c r="O4494" s="12" t="n">
        <v>1</v>
      </c>
      <c r="P4494" s="12" t="n"/>
      <c r="Q4494" s="12" t="n"/>
      <c r="R4494" s="12" t="n"/>
      <c r="S4494" s="12" t="inlineStr">
        <is>
          <t>Duct bank</t>
        </is>
      </c>
      <c r="T4494" s="17" t="n">
        <v>8</v>
      </c>
      <c r="U4494" s="17" t="n">
        <v>108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I-I-0095</t>
        </is>
      </c>
      <c r="B4495" s="12" t="inlineStr">
        <is>
          <t>I</t>
        </is>
      </c>
      <c r="C4495" s="12" t="inlineStr">
        <is>
          <t>Modular / portable power</t>
        </is>
      </c>
      <c r="D4495" s="12" t="inlineStr">
        <is>
          <t>Analog instrument to JB JB-Fuel-gas compresso-AI02: 10 x 1 pr (field cables)</t>
        </is>
      </c>
      <c r="E4495" s="12" t="inlineStr"/>
      <c r="F4495" s="12" t="inlineStr">
        <is>
          <t>Fuel-gas compressors 3 x 100% electric</t>
        </is>
      </c>
      <c r="G4495" s="12" t="inlineStr">
        <is>
          <t>JB-Fuel-gas compresso-AI02</t>
        </is>
      </c>
      <c r="H4495" s="12" t="inlineStr">
        <is>
          <t>Fuel-gas compressors 3 x 100% electric</t>
        </is>
      </c>
      <c r="I4495" s="12" t="inlineStr">
        <is>
          <t>Instrumentation</t>
        </is>
      </c>
      <c r="J4495" s="12" t="inlineStr">
        <is>
          <t>Instrumentation ITC / PLTC, IS, #18 shielded pairs, blue jacket</t>
        </is>
      </c>
      <c r="K4495" s="12" t="inlineStr">
        <is>
          <t>ITC|1 pr|16</t>
        </is>
      </c>
      <c r="L4495" s="12" t="inlineStr">
        <is>
          <t>1 pr</t>
        </is>
      </c>
      <c r="M4495" s="12" t="inlineStr">
        <is>
          <t>16</t>
        </is>
      </c>
      <c r="N4495" s="12" t="n">
        <v>10</v>
      </c>
      <c r="O4495" s="12" t="n">
        <v>1</v>
      </c>
      <c r="P4495" s="12" t="n"/>
      <c r="Q4495" s="12" t="n"/>
      <c r="R4495" s="12" t="n"/>
      <c r="S4495" s="12" t="inlineStr">
        <is>
          <t>Tray / conduit</t>
        </is>
      </c>
      <c r="T4495" s="17" t="n">
        <v>103</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I-I-0096</t>
        </is>
      </c>
      <c r="B4496" s="12" t="inlineStr">
        <is>
          <t>I</t>
        </is>
      </c>
      <c r="C4496" s="12" t="inlineStr">
        <is>
          <t>Modular / portable power</t>
        </is>
      </c>
      <c r="D4496" s="12" t="inlineStr">
        <is>
          <t>Home run JB-Fuel-gas compresso-AI02 to the control / marshalling room</t>
        </is>
      </c>
      <c r="E4496" s="12" t="inlineStr"/>
      <c r="F4496" s="12" t="inlineStr">
        <is>
          <t>SC-2 PCM + 15 kV GCB</t>
        </is>
      </c>
      <c r="G4496" s="12" t="inlineStr">
        <is>
          <t>JB-Fuel-gas compresso-AI02</t>
        </is>
      </c>
      <c r="H4496" s="12" t="inlineStr">
        <is>
          <t>Fuel-gas compressors 3 x 100% electric</t>
        </is>
      </c>
      <c r="I4496" s="12" t="inlineStr">
        <is>
          <t>Instrumentation</t>
        </is>
      </c>
      <c r="J4496" s="12" t="inlineStr">
        <is>
          <t>Instrumentation ITC / PLTC, IS, #18 shielded pairs, blue jacket</t>
        </is>
      </c>
      <c r="K4496" s="12" t="inlineStr">
        <is>
          <t>ITC|24 pr|18</t>
        </is>
      </c>
      <c r="L4496" s="12" t="inlineStr">
        <is>
          <t>24 pr</t>
        </is>
      </c>
      <c r="M4496" s="12" t="inlineStr">
        <is>
          <t>18</t>
        </is>
      </c>
      <c r="N4496" s="12" t="n">
        <v>1</v>
      </c>
      <c r="O4496" s="12" t="n">
        <v>1</v>
      </c>
      <c r="P4496" s="12" t="n"/>
      <c r="Q4496" s="12" t="n"/>
      <c r="R4496" s="12" t="n"/>
      <c r="S4496" s="12" t="inlineStr">
        <is>
          <t>Duct bank</t>
        </is>
      </c>
      <c r="T4496" s="17" t="n">
        <v>8</v>
      </c>
      <c r="U4496" s="17" t="n">
        <v>108</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I-I-0097</t>
        </is>
      </c>
      <c r="B4497" s="12" t="inlineStr">
        <is>
          <t>I</t>
        </is>
      </c>
      <c r="C4497" s="12" t="inlineStr">
        <is>
          <t>Modular / portable power</t>
        </is>
      </c>
      <c r="D4497" s="12" t="inlineStr">
        <is>
          <t>Discrete device to JB JB-Fuel-gas compresso-DI01: 20 x 1 pr (field cables)</t>
        </is>
      </c>
      <c r="E4497" s="12" t="inlineStr"/>
      <c r="F4497" s="12" t="inlineStr">
        <is>
          <t>Fuel-gas compressors 3 x 100% electric</t>
        </is>
      </c>
      <c r="G4497" s="12" t="inlineStr">
        <is>
          <t>JB-Fuel-gas compresso-DI01</t>
        </is>
      </c>
      <c r="H4497" s="12" t="inlineStr">
        <is>
          <t>Fuel-gas compressors 3 x 100% electric</t>
        </is>
      </c>
      <c r="I4497" s="12" t="inlineStr">
        <is>
          <t>Instrumentation</t>
        </is>
      </c>
      <c r="J4497" s="12" t="inlineStr">
        <is>
          <t>Instrumentation ITC / PLTC, IS, #18 shielded pairs, blue jacket</t>
        </is>
      </c>
      <c r="K4497" s="12" t="inlineStr">
        <is>
          <t>ITC|1 pr|16</t>
        </is>
      </c>
      <c r="L4497" s="12" t="inlineStr">
        <is>
          <t>1 pr</t>
        </is>
      </c>
      <c r="M4497" s="12" t="inlineStr">
        <is>
          <t>16</t>
        </is>
      </c>
      <c r="N4497" s="12" t="n">
        <v>20</v>
      </c>
      <c r="O4497" s="12" t="n">
        <v>1</v>
      </c>
      <c r="P4497" s="12" t="n"/>
      <c r="Q4497" s="12" t="n"/>
      <c r="R4497" s="12" t="n"/>
      <c r="S4497" s="12" t="inlineStr">
        <is>
          <t>Tray / conduit</t>
        </is>
      </c>
      <c r="T4497" s="17" t="n">
        <v>103</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I-I-0098</t>
        </is>
      </c>
      <c r="B4498" s="12" t="inlineStr">
        <is>
          <t>I</t>
        </is>
      </c>
      <c r="C4498" s="12" t="inlineStr">
        <is>
          <t>Modular / portable power</t>
        </is>
      </c>
      <c r="D4498" s="12" t="inlineStr">
        <is>
          <t>Home run JB-Fuel-gas compresso-DI01 to the control / marshalling room</t>
        </is>
      </c>
      <c r="E4498" s="12" t="inlineStr"/>
      <c r="F4498" s="12" t="inlineStr">
        <is>
          <t>SC-2 PCM + 15 kV GCB</t>
        </is>
      </c>
      <c r="G4498" s="12" t="inlineStr">
        <is>
          <t>JB-Fuel-gas compresso-DI01</t>
        </is>
      </c>
      <c r="H4498" s="12" t="inlineStr">
        <is>
          <t>Fuel-gas compressors 3 x 100% electric</t>
        </is>
      </c>
      <c r="I4498" s="12" t="inlineStr">
        <is>
          <t>Instrumentation</t>
        </is>
      </c>
      <c r="J4498" s="12" t="inlineStr">
        <is>
          <t>Instrumentation ITC / PLTC, IS, #18 shielded pairs, blue jacket</t>
        </is>
      </c>
      <c r="K4498" s="12" t="inlineStr">
        <is>
          <t>ITC|24 pr|18</t>
        </is>
      </c>
      <c r="L4498" s="12" t="inlineStr">
        <is>
          <t>24 pr</t>
        </is>
      </c>
      <c r="M4498" s="12" t="inlineStr">
        <is>
          <t>18</t>
        </is>
      </c>
      <c r="N4498" s="12" t="n">
        <v>1</v>
      </c>
      <c r="O4498" s="12" t="n">
        <v>1</v>
      </c>
      <c r="P4498" s="12" t="n"/>
      <c r="Q4498" s="12" t="n"/>
      <c r="R4498" s="12" t="n"/>
      <c r="S4498" s="12" t="inlineStr">
        <is>
          <t>Duct bank</t>
        </is>
      </c>
      <c r="T4498" s="17" t="n">
        <v>8</v>
      </c>
      <c r="U4498" s="17" t="n">
        <v>108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I-I-0099</t>
        </is>
      </c>
      <c r="B4499" s="12" t="inlineStr">
        <is>
          <t>I</t>
        </is>
      </c>
      <c r="C4499" s="12" t="inlineStr">
        <is>
          <t>Modular / portable power</t>
        </is>
      </c>
      <c r="D4499" s="12" t="inlineStr">
        <is>
          <t>RTD to JB JB-Fuel-gas compresso-RTD01: 10 x 1 tri (field cables)</t>
        </is>
      </c>
      <c r="E4499" s="12" t="inlineStr"/>
      <c r="F4499" s="12" t="inlineStr">
        <is>
          <t>Fuel-gas compressors 3 x 100% electric</t>
        </is>
      </c>
      <c r="G4499" s="12" t="inlineStr">
        <is>
          <t>JB-Fuel-gas compresso-RTD01</t>
        </is>
      </c>
      <c r="H4499" s="12" t="inlineStr">
        <is>
          <t>Fuel-gas compressors 3 x 100% electric</t>
        </is>
      </c>
      <c r="I4499" s="12" t="inlineStr">
        <is>
          <t>Instrumentation</t>
        </is>
      </c>
      <c r="J4499" s="12" t="inlineStr">
        <is>
          <t>RTD cable, #18 shielded triads, PLTC</t>
        </is>
      </c>
      <c r="K4499" s="12" t="inlineStr">
        <is>
          <t>RTD|1 tri|18</t>
        </is>
      </c>
      <c r="L4499" s="12" t="inlineStr">
        <is>
          <t>1 tri</t>
        </is>
      </c>
      <c r="M4499" s="12" t="inlineStr">
        <is>
          <t>18</t>
        </is>
      </c>
      <c r="N4499" s="12" t="n">
        <v>10</v>
      </c>
      <c r="O4499" s="12" t="n">
        <v>1</v>
      </c>
      <c r="P4499" s="12" t="n"/>
      <c r="Q4499" s="12" t="n"/>
      <c r="R4499" s="12" t="n"/>
      <c r="S4499" s="12" t="inlineStr">
        <is>
          <t>Tray / conduit</t>
        </is>
      </c>
      <c r="T4499" s="17" t="n">
        <v>103</v>
      </c>
      <c r="U4499" s="17" t="n">
        <v>10</v>
      </c>
      <c r="V4499" s="17">
        <f>ROUNDUP((T4499+U4499+2*'Read Me'!$B$13)*(1+'Read Me'!$B$12),-1)</f>
        <v/>
      </c>
      <c r="W4499" s="17">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I-I-0100</t>
        </is>
      </c>
      <c r="B4500" s="12" t="inlineStr">
        <is>
          <t>I</t>
        </is>
      </c>
      <c r="C4500" s="12" t="inlineStr">
        <is>
          <t>Modular / portable power</t>
        </is>
      </c>
      <c r="D4500" s="12" t="inlineStr">
        <is>
          <t>Home run JB-Fuel-gas compresso-RTD01 to the control / marshalling room</t>
        </is>
      </c>
      <c r="E4500" s="12" t="inlineStr"/>
      <c r="F4500" s="12" t="inlineStr">
        <is>
          <t>SC-2 PCM + 15 kV GCB</t>
        </is>
      </c>
      <c r="G4500" s="12" t="inlineStr">
        <is>
          <t>JB-Fuel-gas compresso-RTD01</t>
        </is>
      </c>
      <c r="H4500" s="12" t="inlineStr">
        <is>
          <t>Fuel-gas compressors 3 x 100% electric</t>
        </is>
      </c>
      <c r="I4500" s="12" t="inlineStr">
        <is>
          <t>Instrumentation</t>
        </is>
      </c>
      <c r="J4500" s="12" t="inlineStr">
        <is>
          <t>RTD cable, #18 shielded triads, PLTC</t>
        </is>
      </c>
      <c r="K4500" s="12" t="inlineStr">
        <is>
          <t>RTD|12 tri|18</t>
        </is>
      </c>
      <c r="L4500" s="12" t="inlineStr">
        <is>
          <t>12 tri</t>
        </is>
      </c>
      <c r="M4500" s="12" t="inlineStr">
        <is>
          <t>18</t>
        </is>
      </c>
      <c r="N4500" s="12" t="n">
        <v>1</v>
      </c>
      <c r="O4500" s="12" t="n">
        <v>1</v>
      </c>
      <c r="P4500" s="12" t="n"/>
      <c r="Q4500" s="12" t="n"/>
      <c r="R4500" s="12" t="n"/>
      <c r="S4500" s="12" t="inlineStr">
        <is>
          <t>Duct bank</t>
        </is>
      </c>
      <c r="T4500" s="17" t="n">
        <v>8</v>
      </c>
      <c r="U4500" s="17" t="n">
        <v>108</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I-I-0101</t>
        </is>
      </c>
      <c r="B4501" s="12" t="inlineStr">
        <is>
          <t>I</t>
        </is>
      </c>
      <c r="C4501" s="12" t="inlineStr">
        <is>
          <t>Modular / portable power</t>
        </is>
      </c>
      <c r="D4501" s="12" t="inlineStr">
        <is>
          <t>RTD to JB JB-Fuel-gas compresso-RTD02: 2 x 1 tri (field cables)</t>
        </is>
      </c>
      <c r="E4501" s="12" t="inlineStr"/>
      <c r="F4501" s="12" t="inlineStr">
        <is>
          <t>Fuel-gas compressors 3 x 100% electric</t>
        </is>
      </c>
      <c r="G4501" s="12" t="inlineStr">
        <is>
          <t>JB-Fuel-gas compresso-RTD02</t>
        </is>
      </c>
      <c r="H4501" s="12" t="inlineStr">
        <is>
          <t>Fuel-gas compressors 3 x 100% electric</t>
        </is>
      </c>
      <c r="I4501" s="12" t="inlineStr">
        <is>
          <t>Instrumentation</t>
        </is>
      </c>
      <c r="J4501" s="12" t="inlineStr">
        <is>
          <t>RTD cable, #18 shielded triads, PLTC</t>
        </is>
      </c>
      <c r="K4501" s="12" t="inlineStr">
        <is>
          <t>RTD|1 tri|18</t>
        </is>
      </c>
      <c r="L4501" s="12" t="inlineStr">
        <is>
          <t>1 tri</t>
        </is>
      </c>
      <c r="M4501" s="12" t="inlineStr">
        <is>
          <t>18</t>
        </is>
      </c>
      <c r="N4501" s="12" t="n">
        <v>2</v>
      </c>
      <c r="O4501" s="12" t="n">
        <v>1</v>
      </c>
      <c r="P4501" s="12" t="n"/>
      <c r="Q4501" s="12" t="n"/>
      <c r="R4501" s="12" t="n"/>
      <c r="S4501" s="12" t="inlineStr">
        <is>
          <t>Tray / conduit</t>
        </is>
      </c>
      <c r="T4501" s="17" t="n">
        <v>103</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I-I-0102</t>
        </is>
      </c>
      <c r="B4502" s="12" t="inlineStr">
        <is>
          <t>I</t>
        </is>
      </c>
      <c r="C4502" s="12" t="inlineStr">
        <is>
          <t>Modular / portable power</t>
        </is>
      </c>
      <c r="D4502" s="12" t="inlineStr">
        <is>
          <t>Home run JB-Fuel-gas compresso-RTD02 to the control / marshalling room</t>
        </is>
      </c>
      <c r="E4502" s="12" t="inlineStr"/>
      <c r="F4502" s="12" t="inlineStr">
        <is>
          <t>SC-2 PCM + 15 kV GCB</t>
        </is>
      </c>
      <c r="G4502" s="12" t="inlineStr">
        <is>
          <t>JB-Fuel-gas compresso-RTD02</t>
        </is>
      </c>
      <c r="H4502" s="12" t="inlineStr">
        <is>
          <t>Fuel-gas compressors 3 x 100% electric</t>
        </is>
      </c>
      <c r="I4502" s="12" t="inlineStr">
        <is>
          <t>Instrumentation</t>
        </is>
      </c>
      <c r="J4502" s="12" t="inlineStr">
        <is>
          <t>RTD cable, #18 shielded triads, PLTC</t>
        </is>
      </c>
      <c r="K4502" s="12" t="inlineStr">
        <is>
          <t>RTD|12 tri|18</t>
        </is>
      </c>
      <c r="L4502" s="12" t="inlineStr">
        <is>
          <t>12 tri</t>
        </is>
      </c>
      <c r="M4502" s="12" t="inlineStr">
        <is>
          <t>18</t>
        </is>
      </c>
      <c r="N4502" s="12" t="n">
        <v>1</v>
      </c>
      <c r="O4502" s="12" t="n">
        <v>1</v>
      </c>
      <c r="P4502" s="12" t="n"/>
      <c r="Q4502" s="12" t="n"/>
      <c r="R4502" s="12" t="n"/>
      <c r="S4502" s="12" t="inlineStr">
        <is>
          <t>Duct bank</t>
        </is>
      </c>
      <c r="T4502" s="17" t="n">
        <v>8</v>
      </c>
      <c r="U4502" s="17" t="n">
        <v>108</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I-I-0103</t>
        </is>
      </c>
      <c r="B4503" s="12" t="inlineStr">
        <is>
          <t>I</t>
        </is>
      </c>
      <c r="C4503" s="12" t="inlineStr">
        <is>
          <t>Modular / portable power</t>
        </is>
      </c>
      <c r="D4503" s="12" t="inlineStr">
        <is>
          <t>Analog instrument to JB JB-GEN-E-AI01: 20 x 1 pr (field cables)</t>
        </is>
      </c>
      <c r="E4503" s="12" t="inlineStr">
        <is>
          <t>GEN-E</t>
        </is>
      </c>
      <c r="F4503" s="12" t="inlineStr">
        <is>
          <t>GEN-E: enclosed industrial gas genset 2 MW</t>
        </is>
      </c>
      <c r="G4503" s="12" t="inlineStr">
        <is>
          <t>JB-GEN-E-AI01</t>
        </is>
      </c>
      <c r="H4503" s="12" t="inlineStr">
        <is>
          <t>GEN-E: enclosed industrial gas genset 2 MW</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60</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I-I-0104</t>
        </is>
      </c>
      <c r="B4504" s="12" t="inlineStr">
        <is>
          <t>I</t>
        </is>
      </c>
      <c r="C4504" s="12" t="inlineStr">
        <is>
          <t>Modular / portable power</t>
        </is>
      </c>
      <c r="D4504" s="12" t="inlineStr">
        <is>
          <t>Home run JB-GEN-E-AI01 to the control / marshalling room</t>
        </is>
      </c>
      <c r="E4504" s="12" t="inlineStr">
        <is>
          <t>PAD-EH</t>
        </is>
      </c>
      <c r="F4504" s="12" t="inlineStr">
        <is>
          <t>PAD-EH 13.8 kV switchgear e-house</t>
        </is>
      </c>
      <c r="G4504" s="12" t="inlineStr">
        <is>
          <t>JB-GEN-E-AI01</t>
        </is>
      </c>
      <c r="H4504" s="12" t="inlineStr">
        <is>
          <t>GEN-E: enclosed industrial gas genset 2 MW</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153</v>
      </c>
      <c r="U4504" s="17" t="n">
        <v>32</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I-I-0105</t>
        </is>
      </c>
      <c r="B4505" s="12" t="inlineStr">
        <is>
          <t>I</t>
        </is>
      </c>
      <c r="C4505" s="12" t="inlineStr">
        <is>
          <t>Modular / portable power</t>
        </is>
      </c>
      <c r="D4505" s="12" t="inlineStr">
        <is>
          <t>Discrete device to JB JB-GEN-E-DI01: 20 x 1 pr (field cables)</t>
        </is>
      </c>
      <c r="E4505" s="12" t="inlineStr">
        <is>
          <t>GEN-E</t>
        </is>
      </c>
      <c r="F4505" s="12" t="inlineStr">
        <is>
          <t>GEN-E: enclosed industrial gas genset 2 MW</t>
        </is>
      </c>
      <c r="G4505" s="12" t="inlineStr">
        <is>
          <t>JB-GEN-E-DI01</t>
        </is>
      </c>
      <c r="H4505" s="12" t="inlineStr">
        <is>
          <t>GEN-E: enclosed industrial gas genset 2 MW</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7" t="n">
        <v>60</v>
      </c>
      <c r="U4505" s="17" t="n">
        <v>10</v>
      </c>
      <c r="V4505" s="17">
        <f>ROUNDUP((T4505+U4505+2*'Read Me'!$B$13)*(1+'Read Me'!$B$12),-1)</f>
        <v/>
      </c>
      <c r="W4505" s="17">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I-I-0106</t>
        </is>
      </c>
      <c r="B4506" s="12" t="inlineStr">
        <is>
          <t>I</t>
        </is>
      </c>
      <c r="C4506" s="12" t="inlineStr">
        <is>
          <t>Modular / portable power</t>
        </is>
      </c>
      <c r="D4506" s="12" t="inlineStr">
        <is>
          <t>Home run JB-GEN-E-DI01 to the control / marshalling room</t>
        </is>
      </c>
      <c r="E4506" s="12" t="inlineStr">
        <is>
          <t>PAD-EH</t>
        </is>
      </c>
      <c r="F4506" s="12" t="inlineStr">
        <is>
          <t>PAD-EH 13.8 kV switchgear e-house</t>
        </is>
      </c>
      <c r="G4506" s="12" t="inlineStr">
        <is>
          <t>JB-GEN-E-DI01</t>
        </is>
      </c>
      <c r="H4506" s="12" t="inlineStr">
        <is>
          <t>GEN-E: enclosed industrial gas genset 2 MW</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Surface</t>
        </is>
      </c>
      <c r="T4506" s="17" t="n">
        <v>153</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I-I-0107</t>
        </is>
      </c>
      <c r="B4507" s="12" t="inlineStr">
        <is>
          <t>I</t>
        </is>
      </c>
      <c r="C4507" s="12" t="inlineStr">
        <is>
          <t>Modular / portable power</t>
        </is>
      </c>
      <c r="D4507" s="12" t="inlineStr">
        <is>
          <t>Analog instrument to JB JB-GEN-O-AI01: 20 x 1 pr (field cables)</t>
        </is>
      </c>
      <c r="E4507" s="12" t="inlineStr">
        <is>
          <t>GEN-O</t>
        </is>
      </c>
      <c r="F4507" s="12" t="inlineStr">
        <is>
          <t>GEN-O: open engine-generator skid</t>
        </is>
      </c>
      <c r="G4507" s="12" t="inlineStr">
        <is>
          <t>JB-GEN-O-AI01</t>
        </is>
      </c>
      <c r="H4507" s="12" t="inlineStr">
        <is>
          <t>GEN-O: open engine-generator skid</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7" t="n">
        <v>45</v>
      </c>
      <c r="U4507" s="17" t="n">
        <v>10</v>
      </c>
      <c r="V4507" s="17">
        <f>ROUNDUP((T4507+U4507+2*'Read Me'!$B$13)*(1+'Read Me'!$B$12),-1)</f>
        <v/>
      </c>
      <c r="W4507" s="17">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I-I-0108</t>
        </is>
      </c>
      <c r="B4508" s="12" t="inlineStr">
        <is>
          <t>I</t>
        </is>
      </c>
      <c r="C4508" s="12" t="inlineStr">
        <is>
          <t>Modular / portable power</t>
        </is>
      </c>
      <c r="D4508" s="12" t="inlineStr">
        <is>
          <t>Home run JB-GEN-O-AI01 to the control / marshalling room</t>
        </is>
      </c>
      <c r="E4508" s="12" t="inlineStr">
        <is>
          <t>PAD-EH</t>
        </is>
      </c>
      <c r="F4508" s="12" t="inlineStr">
        <is>
          <t>PAD-EH 13.8 kV switchgear e-house</t>
        </is>
      </c>
      <c r="G4508" s="12" t="inlineStr">
        <is>
          <t>JB-GEN-O-AI01</t>
        </is>
      </c>
      <c r="H4508" s="12" t="inlineStr">
        <is>
          <t>GEN-O: open engine-generator skid</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Surface</t>
        </is>
      </c>
      <c r="T4508" s="17" t="n">
        <v>153</v>
      </c>
      <c r="U4508" s="17" t="n">
        <v>79</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I-I-0109</t>
        </is>
      </c>
      <c r="B4509" s="12" t="inlineStr">
        <is>
          <t>I</t>
        </is>
      </c>
      <c r="C4509" s="12" t="inlineStr">
        <is>
          <t>Modular / portable power</t>
        </is>
      </c>
      <c r="D4509" s="12" t="inlineStr">
        <is>
          <t>Discrete device to JB JB-GEN-O-DI01: 20 x 1 pr (field cables)</t>
        </is>
      </c>
      <c r="E4509" s="12" t="inlineStr">
        <is>
          <t>GEN-O</t>
        </is>
      </c>
      <c r="F4509" s="12" t="inlineStr">
        <is>
          <t>GEN-O: open engine-generator skid</t>
        </is>
      </c>
      <c r="G4509" s="12" t="inlineStr">
        <is>
          <t>JB-GEN-O-DI01</t>
        </is>
      </c>
      <c r="H4509" s="12" t="inlineStr">
        <is>
          <t>GEN-O: open engine-generator skid</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7" t="n">
        <v>45</v>
      </c>
      <c r="U4509" s="17" t="n">
        <v>10</v>
      </c>
      <c r="V4509" s="17">
        <f>ROUNDUP((T4509+U4509+2*'Read Me'!$B$13)*(1+'Read Me'!$B$12),-1)</f>
        <v/>
      </c>
      <c r="W4509" s="17">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I-I-0110</t>
        </is>
      </c>
      <c r="B4510" s="12" t="inlineStr">
        <is>
          <t>I</t>
        </is>
      </c>
      <c r="C4510" s="12" t="inlineStr">
        <is>
          <t>Modular / portable power</t>
        </is>
      </c>
      <c r="D4510" s="12" t="inlineStr">
        <is>
          <t>Home run JB-GEN-O-DI01 to the control / marshalling room</t>
        </is>
      </c>
      <c r="E4510" s="12" t="inlineStr">
        <is>
          <t>PAD-EH</t>
        </is>
      </c>
      <c r="F4510" s="12" t="inlineStr">
        <is>
          <t>PAD-EH 13.8 kV switchgear e-house</t>
        </is>
      </c>
      <c r="G4510" s="12" t="inlineStr">
        <is>
          <t>JB-GEN-O-DI01</t>
        </is>
      </c>
      <c r="H4510" s="12" t="inlineStr">
        <is>
          <t>GEN-O: open engine-generator skid</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Surface</t>
        </is>
      </c>
      <c r="T4510" s="17" t="n">
        <v>153</v>
      </c>
      <c r="U4510" s="17" t="n">
        <v>79</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I-I-0111</t>
        </is>
      </c>
      <c r="B4511" s="12" t="inlineStr">
        <is>
          <t>I</t>
        </is>
      </c>
      <c r="C4511" s="12" t="inlineStr">
        <is>
          <t>Modular / portable power</t>
        </is>
      </c>
      <c r="D4511" s="12" t="inlineStr">
        <is>
          <t>Instrumentation</t>
        </is>
      </c>
      <c r="E4511" s="12" t="inlineStr"/>
      <c r="F4511" s="12" t="inlineStr">
        <is>
          <t>PCM: power control module</t>
        </is>
      </c>
      <c r="G4511" s="12" t="inlineStr"/>
      <c r="H4511" s="12" t="inlineStr">
        <is>
          <t>Gas conditioning skid</t>
        </is>
      </c>
      <c r="I4511" s="12" t="inlineStr">
        <is>
          <t>Instrumentation</t>
        </is>
      </c>
      <c r="J4511" s="12" t="inlineStr">
        <is>
          <t>Instrumentation ITC / PLTC, IS, #18 shielded pairs, blue jacket</t>
        </is>
      </c>
      <c r="K4511" s="12" t="inlineStr">
        <is>
          <t>ITC|4 pr|18</t>
        </is>
      </c>
      <c r="L4511" s="12" t="inlineStr">
        <is>
          <t>4 pr</t>
        </is>
      </c>
      <c r="M4511" s="12" t="inlineStr">
        <is>
          <t>18</t>
        </is>
      </c>
      <c r="N4511" s="12" t="n">
        <v>1</v>
      </c>
      <c r="O4511" s="12" t="n">
        <v>1</v>
      </c>
      <c r="P4511" s="12" t="n"/>
      <c r="Q4511" s="12" t="n"/>
      <c r="R4511" s="12" t="n"/>
      <c r="S4511" s="12" t="inlineStr">
        <is>
          <t>Tray</t>
        </is>
      </c>
      <c r="T4511" s="17" t="n">
        <v>40</v>
      </c>
      <c r="U4511" s="17" t="n">
        <v>94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I-I-0112</t>
        </is>
      </c>
      <c r="B4512" s="12" t="inlineStr">
        <is>
          <t>I</t>
        </is>
      </c>
      <c r="C4512" s="12" t="inlineStr">
        <is>
          <t>Modular / portable power</t>
        </is>
      </c>
      <c r="D4512" s="12" t="inlineStr">
        <is>
          <t>Instrumentation</t>
        </is>
      </c>
      <c r="E4512" s="12" t="inlineStr"/>
      <c r="F4512" s="12" t="inlineStr">
        <is>
          <t>PCM: power control module</t>
        </is>
      </c>
      <c r="G4512" s="12" t="inlineStr"/>
      <c r="H4512" s="12" t="inlineStr">
        <is>
          <t>Gas conditioning skid</t>
        </is>
      </c>
      <c r="I4512" s="12" t="inlineStr">
        <is>
          <t>Instrumentation</t>
        </is>
      </c>
      <c r="J4512" s="12" t="inlineStr">
        <is>
          <t>Instrumentation ITC / PLTC, IS, #18 shielded pairs, blue jacket</t>
        </is>
      </c>
      <c r="K4512" s="12" t="inlineStr">
        <is>
          <t>ITC|12 pr|18</t>
        </is>
      </c>
      <c r="L4512" s="12" t="inlineStr">
        <is>
          <t>12 pr</t>
        </is>
      </c>
      <c r="M4512" s="12" t="inlineStr">
        <is>
          <t>18</t>
        </is>
      </c>
      <c r="N4512" s="12" t="n">
        <v>1</v>
      </c>
      <c r="O4512" s="12" t="n">
        <v>1</v>
      </c>
      <c r="P4512" s="12" t="n"/>
      <c r="Q4512" s="12" t="n"/>
      <c r="R4512" s="12" t="n"/>
      <c r="S4512" s="12" t="inlineStr">
        <is>
          <t>Tray</t>
        </is>
      </c>
      <c r="T4512" s="17" t="n">
        <v>40</v>
      </c>
      <c r="U4512" s="17" t="n">
        <v>94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I-I-0113</t>
        </is>
      </c>
      <c r="B4513" s="12" t="inlineStr">
        <is>
          <t>I</t>
        </is>
      </c>
      <c r="C4513" s="12" t="inlineStr">
        <is>
          <t>Modular / portable power</t>
        </is>
      </c>
      <c r="D4513" s="12" t="inlineStr">
        <is>
          <t>Analog instrument to JB JB-MOB-1-AI01: 20 x 1 pr (field cables)</t>
        </is>
      </c>
      <c r="E4513" s="12" t="inlineStr">
        <is>
          <t>MOB-1</t>
        </is>
      </c>
      <c r="F4513" s="12" t="inlineStr">
        <is>
          <t>MOB-1: trailer genset</t>
        </is>
      </c>
      <c r="G4513" s="12" t="inlineStr">
        <is>
          <t>JB-MOB-1-AI01</t>
        </is>
      </c>
      <c r="H4513" s="12" t="inlineStr">
        <is>
          <t>MOB-1: trailer genset</t>
        </is>
      </c>
      <c r="I4513" s="12" t="inlineStr">
        <is>
          <t>Instrumentation</t>
        </is>
      </c>
      <c r="J4513" s="12" t="inlineStr">
        <is>
          <t>Instrumentation PLTC / TC-ER 300 V, #18 twisted shielded pairs, overall shield</t>
        </is>
      </c>
      <c r="K4513" s="12" t="inlineStr">
        <is>
          <t>PLTC|1 pr|16</t>
        </is>
      </c>
      <c r="L4513" s="12" t="inlineStr">
        <is>
          <t>1 pr</t>
        </is>
      </c>
      <c r="M4513" s="12" t="inlineStr">
        <is>
          <t>16</t>
        </is>
      </c>
      <c r="N4513" s="12" t="n">
        <v>20</v>
      </c>
      <c r="O4513" s="12" t="n">
        <v>1</v>
      </c>
      <c r="P4513" s="12" t="n"/>
      <c r="Q4513" s="12" t="n"/>
      <c r="R4513" s="12" t="n"/>
      <c r="S4513" s="12" t="inlineStr">
        <is>
          <t>Tray / conduit</t>
        </is>
      </c>
      <c r="T4513" s="17" t="n">
        <v>61</v>
      </c>
      <c r="U4513" s="17" t="n">
        <v>10</v>
      </c>
      <c r="V4513" s="17">
        <f>ROUNDUP((T4513+U4513+2*'Read Me'!$B$13)*(1+'Read Me'!$B$12),-1)</f>
        <v/>
      </c>
      <c r="W4513" s="17">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I-I-0114</t>
        </is>
      </c>
      <c r="B4514" s="12" t="inlineStr">
        <is>
          <t>I</t>
        </is>
      </c>
      <c r="C4514" s="12" t="inlineStr">
        <is>
          <t>Modular / portable power</t>
        </is>
      </c>
      <c r="D4514" s="12" t="inlineStr">
        <is>
          <t>Home run JB-MOB-1-AI01 to the control / marshalling room</t>
        </is>
      </c>
      <c r="E4514" s="12" t="inlineStr">
        <is>
          <t>PAD-EH</t>
        </is>
      </c>
      <c r="F4514" s="12" t="inlineStr">
        <is>
          <t>PAD-EH 13.8 kV switchgear e-house</t>
        </is>
      </c>
      <c r="G4514" s="12" t="inlineStr">
        <is>
          <t>JB-MOB-1-AI01</t>
        </is>
      </c>
      <c r="H4514" s="12" t="inlineStr">
        <is>
          <t>MOB-1: trailer genset</t>
        </is>
      </c>
      <c r="I4514" s="12" t="inlineStr">
        <is>
          <t>Instrumentation</t>
        </is>
      </c>
      <c r="J4514" s="12" t="inlineStr">
        <is>
          <t>Instrumentation PLTC / TC-ER 300 V, #18 twisted shielded pairs, overall shield</t>
        </is>
      </c>
      <c r="K4514" s="12" t="inlineStr">
        <is>
          <t>PLTC|24 pr|18</t>
        </is>
      </c>
      <c r="L4514" s="12" t="inlineStr">
        <is>
          <t>24 pr</t>
        </is>
      </c>
      <c r="M4514" s="12" t="inlineStr">
        <is>
          <t>18</t>
        </is>
      </c>
      <c r="N4514" s="12" t="n">
        <v>1</v>
      </c>
      <c r="O4514" s="12" t="n">
        <v>1</v>
      </c>
      <c r="P4514" s="12" t="n"/>
      <c r="Q4514" s="12" t="n"/>
      <c r="R4514" s="12" t="n"/>
      <c r="S4514" s="12" t="inlineStr">
        <is>
          <t>Surface</t>
        </is>
      </c>
      <c r="T4514" s="17" t="n">
        <v>113</v>
      </c>
      <c r="U4514" s="17" t="n">
        <v>160</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I-I-0115</t>
        </is>
      </c>
      <c r="B4515" s="12" t="inlineStr">
        <is>
          <t>I</t>
        </is>
      </c>
      <c r="C4515" s="12" t="inlineStr">
        <is>
          <t>Modular / portable power</t>
        </is>
      </c>
      <c r="D4515" s="12" t="inlineStr">
        <is>
          <t>Discrete device to JB JB-MOB-1-DI01: 20 x 1 pr (field cables)</t>
        </is>
      </c>
      <c r="E4515" s="12" t="inlineStr">
        <is>
          <t>MOB-1</t>
        </is>
      </c>
      <c r="F4515" s="12" t="inlineStr">
        <is>
          <t>MOB-1: trailer genset</t>
        </is>
      </c>
      <c r="G4515" s="12" t="inlineStr">
        <is>
          <t>JB-MOB-1-DI01</t>
        </is>
      </c>
      <c r="H4515" s="12" t="inlineStr">
        <is>
          <t>MOB-1: trailer genset</t>
        </is>
      </c>
      <c r="I4515" s="12" t="inlineStr">
        <is>
          <t>Instrumentation</t>
        </is>
      </c>
      <c r="J4515" s="12" t="inlineStr">
        <is>
          <t>Instrumentation PLTC / TC-ER 300 V, #18 twisted shielded pairs, overall shield</t>
        </is>
      </c>
      <c r="K4515" s="12" t="inlineStr">
        <is>
          <t>PLTC|1 pr|16</t>
        </is>
      </c>
      <c r="L4515" s="12" t="inlineStr">
        <is>
          <t>1 pr</t>
        </is>
      </c>
      <c r="M4515" s="12" t="inlineStr">
        <is>
          <t>16</t>
        </is>
      </c>
      <c r="N4515" s="12" t="n">
        <v>20</v>
      </c>
      <c r="O4515" s="12" t="n">
        <v>1</v>
      </c>
      <c r="P4515" s="12" t="n"/>
      <c r="Q4515" s="12" t="n"/>
      <c r="R4515" s="12" t="n"/>
      <c r="S4515" s="12" t="inlineStr">
        <is>
          <t>Tray / conduit</t>
        </is>
      </c>
      <c r="T4515" s="17" t="n">
        <v>61</v>
      </c>
      <c r="U4515" s="17" t="n">
        <v>10</v>
      </c>
      <c r="V4515" s="17">
        <f>ROUNDUP((T4515+U4515+2*'Read Me'!$B$13)*(1+'Read Me'!$B$12),-1)</f>
        <v/>
      </c>
      <c r="W4515" s="17">
        <f>V4515*N4515*O4515</f>
        <v/>
      </c>
      <c r="X4515" s="12">
        <f>IF(LEFT(I4515,2)="MV",2*N4515*IF(L4515="1/C",O4515,1),0)</f>
        <v/>
      </c>
      <c r="Y4515" s="12">
        <f>IF(OR(LEFT(K4515,4)="LVAX",LEFT(K4515,6)="MV15AX",LEFT(K4515,4)="CTAX",LEFT(K4515,2)="W|"),2*N4515*O4515,0)</f>
        <v/>
      </c>
      <c r="Z4515" s="12" t="inlineStr">
        <is>
          <t>device-to-JB field wiring, one cable per device</t>
        </is>
      </c>
      <c r="AA4515" s="12">
        <f>N4515*O4515</f>
        <v/>
      </c>
    </row>
    <row r="4516">
      <c r="A4516" s="12" t="inlineStr">
        <is>
          <t>I-I-0116</t>
        </is>
      </c>
      <c r="B4516" s="12" t="inlineStr">
        <is>
          <t>I</t>
        </is>
      </c>
      <c r="C4516" s="12" t="inlineStr">
        <is>
          <t>Modular / portable power</t>
        </is>
      </c>
      <c r="D4516" s="12" t="inlineStr">
        <is>
          <t>Home run JB-MOB-1-DI01 to the control / marshalling room</t>
        </is>
      </c>
      <c r="E4516" s="12" t="inlineStr">
        <is>
          <t>PAD-EH</t>
        </is>
      </c>
      <c r="F4516" s="12" t="inlineStr">
        <is>
          <t>PAD-EH 13.8 kV switchgear e-house</t>
        </is>
      </c>
      <c r="G4516" s="12" t="inlineStr">
        <is>
          <t>JB-MOB-1-DI01</t>
        </is>
      </c>
      <c r="H4516" s="12" t="inlineStr">
        <is>
          <t>MOB-1: trailer genset</t>
        </is>
      </c>
      <c r="I4516" s="12" t="inlineStr">
        <is>
          <t>Instrumentation</t>
        </is>
      </c>
      <c r="J4516" s="12" t="inlineStr">
        <is>
          <t>Instrumentation PLTC / TC-ER 300 V, #18 twisted shielded pairs, overall shield</t>
        </is>
      </c>
      <c r="K4516" s="12" t="inlineStr">
        <is>
          <t>PLTC|24 pr|18</t>
        </is>
      </c>
      <c r="L4516" s="12" t="inlineStr">
        <is>
          <t>24 pr</t>
        </is>
      </c>
      <c r="M4516" s="12" t="inlineStr">
        <is>
          <t>18</t>
        </is>
      </c>
      <c r="N4516" s="12" t="n">
        <v>1</v>
      </c>
      <c r="O4516" s="12" t="n">
        <v>1</v>
      </c>
      <c r="P4516" s="12" t="n"/>
      <c r="Q4516" s="12" t="n"/>
      <c r="R4516" s="12" t="n"/>
      <c r="S4516" s="12" t="inlineStr">
        <is>
          <t>Surface</t>
        </is>
      </c>
      <c r="T4516" s="17" t="n">
        <v>113</v>
      </c>
      <c r="U4516" s="17" t="n">
        <v>160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I-I-0117</t>
        </is>
      </c>
      <c r="B4517" s="12" t="inlineStr">
        <is>
          <t>I</t>
        </is>
      </c>
      <c r="C4517" s="12" t="inlineStr">
        <is>
          <t>Modular / portable power</t>
        </is>
      </c>
      <c r="D4517" s="12" t="inlineStr">
        <is>
          <t>Instrumentation</t>
        </is>
      </c>
      <c r="E4517" s="12" t="inlineStr"/>
      <c r="F4517" s="12" t="inlineStr">
        <is>
          <t>PCM: power control module</t>
        </is>
      </c>
      <c r="G4517" s="12" t="inlineStr"/>
      <c r="H4517" s="12" t="inlineStr">
        <is>
          <t>MOD-LV 480 V board + 480 V : 13.8 kV step-up</t>
        </is>
      </c>
      <c r="I4517" s="12" t="inlineStr">
        <is>
          <t>Instrumentation</t>
        </is>
      </c>
      <c r="J4517" s="12" t="inlineStr">
        <is>
          <t>Instrumentation PLTC / TC-ER 300 V, #18 twisted shielded pairs, overall shield</t>
        </is>
      </c>
      <c r="K4517" s="12" t="inlineStr">
        <is>
          <t>PLTC|4 pr|18</t>
        </is>
      </c>
      <c r="L4517" s="12" t="inlineStr">
        <is>
          <t>4 pr</t>
        </is>
      </c>
      <c r="M4517" s="12" t="inlineStr">
        <is>
          <t>18</t>
        </is>
      </c>
      <c r="N4517" s="12" t="n">
        <v>1</v>
      </c>
      <c r="O4517" s="12" t="n">
        <v>1</v>
      </c>
      <c r="P4517" s="12" t="n"/>
      <c r="Q4517" s="12" t="n"/>
      <c r="R4517" s="12" t="n"/>
      <c r="S4517" s="12" t="inlineStr">
        <is>
          <t>Duct bank</t>
        </is>
      </c>
      <c r="T4517" s="17" t="n">
        <v>757</v>
      </c>
      <c r="U4517" s="17" t="n">
        <v>32</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I-I-0118</t>
        </is>
      </c>
      <c r="B4518" s="12" t="inlineStr">
        <is>
          <t>I</t>
        </is>
      </c>
      <c r="C4518" s="12" t="inlineStr">
        <is>
          <t>Modular / portable power</t>
        </is>
      </c>
      <c r="D4518" s="12" t="inlineStr">
        <is>
          <t>Analog instrument to JB JB-MT-4-AI01: 6 x 1 pr (field cables)</t>
        </is>
      </c>
      <c r="E4518" s="12" t="inlineStr">
        <is>
          <t>MT-4</t>
        </is>
      </c>
      <c r="F4518" s="12" t="inlineStr">
        <is>
          <t>MT-4: microturbine 1 MW (Capstone C1000 class)</t>
        </is>
      </c>
      <c r="G4518" s="12" t="inlineStr">
        <is>
          <t>JB-MT-4-AI01</t>
        </is>
      </c>
      <c r="H4518" s="12" t="inlineStr">
        <is>
          <t>MT-4: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7" t="n">
        <v>47</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I-I-0119</t>
        </is>
      </c>
      <c r="B4519" s="12" t="inlineStr">
        <is>
          <t>I</t>
        </is>
      </c>
      <c r="C4519" s="12" t="inlineStr">
        <is>
          <t>Modular / portable power</t>
        </is>
      </c>
      <c r="D4519" s="12" t="inlineStr">
        <is>
          <t>Home run JB-MT-4-AI01 to the control / marshalling room</t>
        </is>
      </c>
      <c r="E4519" s="12" t="inlineStr">
        <is>
          <t>PAD-EH</t>
        </is>
      </c>
      <c r="F4519" s="12" t="inlineStr">
        <is>
          <t>PAD-EH 13.8 kV switchgear e-house</t>
        </is>
      </c>
      <c r="G4519" s="12" t="inlineStr">
        <is>
          <t>JB-MT-4-AI01</t>
        </is>
      </c>
      <c r="H4519" s="12" t="inlineStr">
        <is>
          <t>MT-4: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7" t="n">
        <v>198</v>
      </c>
      <c r="U4519" s="17" t="n">
        <v>47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I-I-0120</t>
        </is>
      </c>
      <c r="B4520" s="12" t="inlineStr">
        <is>
          <t>I</t>
        </is>
      </c>
      <c r="C4520" s="12" t="inlineStr">
        <is>
          <t>Modular / portable power</t>
        </is>
      </c>
      <c r="D4520" s="12" t="inlineStr">
        <is>
          <t>Discrete device to JB JB-MT-4-DI01: 6 x 1 pr (field cables)</t>
        </is>
      </c>
      <c r="E4520" s="12" t="inlineStr">
        <is>
          <t>MT-4</t>
        </is>
      </c>
      <c r="F4520" s="12" t="inlineStr">
        <is>
          <t>MT-4: microturbine 1 MW (Capstone C1000 class)</t>
        </is>
      </c>
      <c r="G4520" s="12" t="inlineStr">
        <is>
          <t>JB-MT-4-DI01</t>
        </is>
      </c>
      <c r="H4520" s="12" t="inlineStr">
        <is>
          <t>MT-4: microturbine 1 MW (Capstone C1000 class)</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47</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I-I-0121</t>
        </is>
      </c>
      <c r="B4521" s="12" t="inlineStr">
        <is>
          <t>I</t>
        </is>
      </c>
      <c r="C4521" s="12" t="inlineStr">
        <is>
          <t>Modular / portable power</t>
        </is>
      </c>
      <c r="D4521" s="12" t="inlineStr">
        <is>
          <t>Home run JB-MT-4-DI01 to the control / marshalling room</t>
        </is>
      </c>
      <c r="E4521" s="12" t="inlineStr">
        <is>
          <t>PAD-EH</t>
        </is>
      </c>
      <c r="F4521" s="12" t="inlineStr">
        <is>
          <t>PAD-EH 13.8 kV switchgear e-house</t>
        </is>
      </c>
      <c r="G4521" s="12" t="inlineStr">
        <is>
          <t>JB-MT-4-DI01</t>
        </is>
      </c>
      <c r="H4521" s="12" t="inlineStr">
        <is>
          <t>MT-4: microturbine 1 MW (Capstone C1000 class)</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198</v>
      </c>
      <c r="U4521" s="17" t="n">
        <v>47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I-I-0122</t>
        </is>
      </c>
      <c r="B4522" s="12" t="inlineStr">
        <is>
          <t>I</t>
        </is>
      </c>
      <c r="C4522" s="12" t="inlineStr">
        <is>
          <t>Modular / portable power</t>
        </is>
      </c>
      <c r="D4522" s="12" t="inlineStr">
        <is>
          <t>Analog instrument to JB JB-MT-5-AI01: 6 x 1 pr (field cables)</t>
        </is>
      </c>
      <c r="E4522" s="12" t="inlineStr">
        <is>
          <t>MT-5</t>
        </is>
      </c>
      <c r="F4522" s="12" t="inlineStr">
        <is>
          <t>MT-5: microturbine 1 MW (Capstone C1000 class)</t>
        </is>
      </c>
      <c r="G4522" s="12" t="inlineStr">
        <is>
          <t>JB-MT-5-AI01</t>
        </is>
      </c>
      <c r="H4522" s="12" t="inlineStr">
        <is>
          <t>MT-5: microturbine 1 MW (Capstone C1000 class)</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7" t="n">
        <v>47</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I-I-0123</t>
        </is>
      </c>
      <c r="B4523" s="12" t="inlineStr">
        <is>
          <t>I</t>
        </is>
      </c>
      <c r="C4523" s="12" t="inlineStr">
        <is>
          <t>Modular / portable power</t>
        </is>
      </c>
      <c r="D4523" s="12" t="inlineStr">
        <is>
          <t>Home run JB-MT-5-AI01 to the control / marshalling room</t>
        </is>
      </c>
      <c r="E4523" s="12" t="inlineStr">
        <is>
          <t>PAD-EH</t>
        </is>
      </c>
      <c r="F4523" s="12" t="inlineStr">
        <is>
          <t>PAD-EH 13.8 kV switchgear e-house</t>
        </is>
      </c>
      <c r="G4523" s="12" t="inlineStr">
        <is>
          <t>JB-MT-5-AI01</t>
        </is>
      </c>
      <c r="H4523" s="12" t="inlineStr">
        <is>
          <t>MT-5: microturbine 1 MW (Capstone C1000 class)</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198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I-I-0124</t>
        </is>
      </c>
      <c r="B4524" s="12" t="inlineStr">
        <is>
          <t>I</t>
        </is>
      </c>
      <c r="C4524" s="12" t="inlineStr">
        <is>
          <t>Modular / portable power</t>
        </is>
      </c>
      <c r="D4524" s="12" t="inlineStr">
        <is>
          <t>Discrete device to JB JB-MT-5-DI01: 6 x 1 pr (field cables)</t>
        </is>
      </c>
      <c r="E4524" s="12" t="inlineStr">
        <is>
          <t>MT-5</t>
        </is>
      </c>
      <c r="F4524" s="12" t="inlineStr">
        <is>
          <t>MT-5: microturbine 1 MW (Capstone C1000 class)</t>
        </is>
      </c>
      <c r="G4524" s="12" t="inlineStr">
        <is>
          <t>JB-MT-5-DI01</t>
        </is>
      </c>
      <c r="H4524" s="12" t="inlineStr">
        <is>
          <t>MT-5: microturbine 1 MW (Capstone C1000 class)</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6</v>
      </c>
      <c r="O4524" s="12" t="n">
        <v>1</v>
      </c>
      <c r="P4524" s="12" t="n"/>
      <c r="Q4524" s="12" t="n"/>
      <c r="R4524" s="12" t="n"/>
      <c r="S4524" s="12" t="inlineStr">
        <is>
          <t>Tray / conduit</t>
        </is>
      </c>
      <c r="T4524" s="17" t="n">
        <v>47</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I-I-0125</t>
        </is>
      </c>
      <c r="B4525" s="12" t="inlineStr">
        <is>
          <t>I</t>
        </is>
      </c>
      <c r="C4525" s="12" t="inlineStr">
        <is>
          <t>Modular / portable power</t>
        </is>
      </c>
      <c r="D4525" s="12" t="inlineStr">
        <is>
          <t>Home run JB-MT-5-DI01 to the control / marshalling room</t>
        </is>
      </c>
      <c r="E4525" s="12" t="inlineStr">
        <is>
          <t>PAD-EH</t>
        </is>
      </c>
      <c r="F4525" s="12" t="inlineStr">
        <is>
          <t>PAD-EH 13.8 kV switchgear e-house</t>
        </is>
      </c>
      <c r="G4525" s="12" t="inlineStr">
        <is>
          <t>JB-MT-5-DI01</t>
        </is>
      </c>
      <c r="H4525" s="12" t="inlineStr">
        <is>
          <t>MT-5: microturbine 1 MW (Capstone C1000 class)</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198</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I-I-0126</t>
        </is>
      </c>
      <c r="B4526" s="12" t="inlineStr">
        <is>
          <t>I</t>
        </is>
      </c>
      <c r="C4526" s="12" t="inlineStr">
        <is>
          <t>Modular / portable power</t>
        </is>
      </c>
      <c r="D4526" s="12" t="inlineStr">
        <is>
          <t>Analog instrument to JB JB-MT-6-AI01: 6 x 1 pr (field cables)</t>
        </is>
      </c>
      <c r="E4526" s="12" t="inlineStr">
        <is>
          <t>MT-6</t>
        </is>
      </c>
      <c r="F4526" s="12" t="inlineStr">
        <is>
          <t>MT-6: microturbine 1 MW (Capstone C1000 class)</t>
        </is>
      </c>
      <c r="G4526" s="12" t="inlineStr">
        <is>
          <t>JB-MT-6-AI01</t>
        </is>
      </c>
      <c r="H4526" s="12" t="inlineStr">
        <is>
          <t>MT-6: microturbine 1 MW (Capstone C1000 class)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47</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I-I-0127</t>
        </is>
      </c>
      <c r="B4527" s="12" t="inlineStr">
        <is>
          <t>I</t>
        </is>
      </c>
      <c r="C4527" s="12" t="inlineStr">
        <is>
          <t>Modular / portable power</t>
        </is>
      </c>
      <c r="D4527" s="12" t="inlineStr">
        <is>
          <t>Home run JB-MT-6-AI01 to the control / marshalling room</t>
        </is>
      </c>
      <c r="E4527" s="12" t="inlineStr">
        <is>
          <t>PAD-EH</t>
        </is>
      </c>
      <c r="F4527" s="12" t="inlineStr">
        <is>
          <t>PAD-EH 13.8 kV switchgear e-house</t>
        </is>
      </c>
      <c r="G4527" s="12" t="inlineStr">
        <is>
          <t>JB-MT-6-AI01</t>
        </is>
      </c>
      <c r="H4527" s="12" t="inlineStr">
        <is>
          <t>MT-6: microturbine 1 MW (Capstone C1000 class)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67</v>
      </c>
      <c r="U4527" s="17" t="n">
        <v>90</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I-I-0128</t>
        </is>
      </c>
      <c r="B4528" s="12" t="inlineStr">
        <is>
          <t>I</t>
        </is>
      </c>
      <c r="C4528" s="12" t="inlineStr">
        <is>
          <t>Modular / portable power</t>
        </is>
      </c>
      <c r="D4528" s="12" t="inlineStr">
        <is>
          <t>Discrete device to JB JB-MT-6-DI01: 6 x 1 pr (field cables)</t>
        </is>
      </c>
      <c r="E4528" s="12" t="inlineStr">
        <is>
          <t>MT-6</t>
        </is>
      </c>
      <c r="F4528" s="12" t="inlineStr">
        <is>
          <t>MT-6: microturbine 1 MW (Capstone C1000 class)</t>
        </is>
      </c>
      <c r="G4528" s="12" t="inlineStr">
        <is>
          <t>JB-MT-6-DI01</t>
        </is>
      </c>
      <c r="H4528" s="12" t="inlineStr">
        <is>
          <t>MT-6: microturbine 1 MW (Capstone C1000 class)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47</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I-I-0129</t>
        </is>
      </c>
      <c r="B4529" s="12" t="inlineStr">
        <is>
          <t>I</t>
        </is>
      </c>
      <c r="C4529" s="12" t="inlineStr">
        <is>
          <t>Modular / portable power</t>
        </is>
      </c>
      <c r="D4529" s="12" t="inlineStr">
        <is>
          <t>Home run JB-MT-6-DI01 to the control / marshalling room</t>
        </is>
      </c>
      <c r="E4529" s="12" t="inlineStr">
        <is>
          <t>PAD-EH</t>
        </is>
      </c>
      <c r="F4529" s="12" t="inlineStr">
        <is>
          <t>PAD-EH 13.8 kV switchgear e-house</t>
        </is>
      </c>
      <c r="G4529" s="12" t="inlineStr">
        <is>
          <t>JB-MT-6-DI01</t>
        </is>
      </c>
      <c r="H4529" s="12" t="inlineStr">
        <is>
          <t>MT-6: microturbine 1 MW (Capstone C1000 class)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7" t="n">
        <v>67</v>
      </c>
      <c r="U4529" s="17" t="n">
        <v>90</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I-I-0130</t>
        </is>
      </c>
      <c r="B4530" s="12" t="inlineStr">
        <is>
          <t>I</t>
        </is>
      </c>
      <c r="C4530" s="12" t="inlineStr">
        <is>
          <t>Modular / portable power</t>
        </is>
      </c>
      <c r="D4530" s="12" t="inlineStr">
        <is>
          <t>Analog instrument to JB JB-RICE 1 SCR + oxida-AI01: 10 x 1 pr (field cables)</t>
        </is>
      </c>
      <c r="E4530" s="12" t="inlineStr"/>
      <c r="F4530" s="12" t="inlineStr">
        <is>
          <t>RICE 1 SCR + oxidation catalyst and stack</t>
        </is>
      </c>
      <c r="G4530" s="12" t="inlineStr">
        <is>
          <t>JB-RICE 1 SCR + oxida-AI01</t>
        </is>
      </c>
      <c r="H4530" s="12" t="inlineStr">
        <is>
          <t>RICE 1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7" t="n">
        <v>92</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I-I-0131</t>
        </is>
      </c>
      <c r="B4531" s="12" t="inlineStr">
        <is>
          <t>I</t>
        </is>
      </c>
      <c r="C4531" s="12" t="inlineStr">
        <is>
          <t>Modular / portable power</t>
        </is>
      </c>
      <c r="D4531" s="12" t="inlineStr">
        <is>
          <t>Home run JB-RICE 1 SCR + oxida-AI01 to the control / marshalling room</t>
        </is>
      </c>
      <c r="E4531" s="12" t="inlineStr"/>
      <c r="F4531" s="12" t="inlineStr">
        <is>
          <t>PCM: power control module</t>
        </is>
      </c>
      <c r="G4531" s="12" t="inlineStr">
        <is>
          <t>JB-RICE 1 SCR + oxida-AI01</t>
        </is>
      </c>
      <c r="H4531" s="12" t="inlineStr">
        <is>
          <t>RICE 1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470</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I-I-0132</t>
        </is>
      </c>
      <c r="B4532" s="12" t="inlineStr">
        <is>
          <t>I</t>
        </is>
      </c>
      <c r="C4532" s="12" t="inlineStr">
        <is>
          <t>Modular / portable power</t>
        </is>
      </c>
      <c r="D4532" s="12" t="inlineStr">
        <is>
          <t>Discrete device to JB JB-RICE 1 SCR + oxida-DI01: 6 x 1 pr (field cables)</t>
        </is>
      </c>
      <c r="E4532" s="12" t="inlineStr"/>
      <c r="F4532" s="12" t="inlineStr">
        <is>
          <t>RICE 1 SCR + oxidation catalyst and stack</t>
        </is>
      </c>
      <c r="G4532" s="12" t="inlineStr">
        <is>
          <t>JB-RICE 1 SCR + oxida-DI01</t>
        </is>
      </c>
      <c r="H4532" s="12" t="inlineStr">
        <is>
          <t>RICE 1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6</v>
      </c>
      <c r="O4532" s="12" t="n">
        <v>1</v>
      </c>
      <c r="P4532" s="12" t="n"/>
      <c r="Q4532" s="12" t="n"/>
      <c r="R4532" s="12" t="n"/>
      <c r="S4532" s="12" t="inlineStr">
        <is>
          <t>Tray / conduit</t>
        </is>
      </c>
      <c r="T4532" s="17" t="n">
        <v>92</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I-I-0133</t>
        </is>
      </c>
      <c r="B4533" s="12" t="inlineStr">
        <is>
          <t>I</t>
        </is>
      </c>
      <c r="C4533" s="12" t="inlineStr">
        <is>
          <t>Modular / portable power</t>
        </is>
      </c>
      <c r="D4533" s="12" t="inlineStr">
        <is>
          <t>Home run JB-RICE 1 SCR + oxida-DI01 to the control / marshalling room</t>
        </is>
      </c>
      <c r="E4533" s="12" t="inlineStr"/>
      <c r="F4533" s="12" t="inlineStr">
        <is>
          <t>PCM: power control module</t>
        </is>
      </c>
      <c r="G4533" s="12" t="inlineStr">
        <is>
          <t>JB-RICE 1 SCR + oxida-DI01</t>
        </is>
      </c>
      <c r="H4533" s="12" t="inlineStr">
        <is>
          <t>RICE 1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470</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I-I-0134</t>
        </is>
      </c>
      <c r="B4534" s="12" t="inlineStr">
        <is>
          <t>I</t>
        </is>
      </c>
      <c r="C4534" s="12" t="inlineStr">
        <is>
          <t>Modular / portable power</t>
        </is>
      </c>
      <c r="D4534" s="12" t="inlineStr">
        <is>
          <t>Analog instrument to JB JB-RICE 1 radiators (-AI01: 5 x 1 pr (field cables)</t>
        </is>
      </c>
      <c r="E4534" s="12" t="inlineStr"/>
      <c r="F4534" s="12" t="inlineStr">
        <is>
          <t>RICE 1 radiators (5)</t>
        </is>
      </c>
      <c r="G4534" s="12" t="inlineStr">
        <is>
          <t>JB-RICE 1 radiators (-AI01</t>
        </is>
      </c>
      <c r="H4534" s="12" t="inlineStr">
        <is>
          <t>RICE 1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5</v>
      </c>
      <c r="O4534" s="12" t="n">
        <v>1</v>
      </c>
      <c r="P4534" s="12" t="n"/>
      <c r="Q4534" s="12" t="n"/>
      <c r="R4534" s="12" t="n"/>
      <c r="S4534" s="12" t="inlineStr">
        <is>
          <t>Tray / conduit</t>
        </is>
      </c>
      <c r="T4534" s="17" t="n">
        <v>80</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I-I-0135</t>
        </is>
      </c>
      <c r="B4535" s="12" t="inlineStr">
        <is>
          <t>I</t>
        </is>
      </c>
      <c r="C4535" s="12" t="inlineStr">
        <is>
          <t>Modular / portable power</t>
        </is>
      </c>
      <c r="D4535" s="12" t="inlineStr">
        <is>
          <t>Home run JB-RICE 1 radiators (-AI01 to the control / marshalling room</t>
        </is>
      </c>
      <c r="E4535" s="12" t="inlineStr"/>
      <c r="F4535" s="12" t="inlineStr">
        <is>
          <t>PCM: power control module</t>
        </is>
      </c>
      <c r="G4535" s="12" t="inlineStr">
        <is>
          <t>JB-RICE 1 radiators (-AI01</t>
        </is>
      </c>
      <c r="H4535" s="12" t="inlineStr">
        <is>
          <t>RICE 1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745</v>
      </c>
      <c r="U4535" s="17" t="n">
        <v>139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I-I-0136</t>
        </is>
      </c>
      <c r="B4536" s="12" t="inlineStr">
        <is>
          <t>I</t>
        </is>
      </c>
      <c r="C4536" s="12" t="inlineStr">
        <is>
          <t>Modular / portable power</t>
        </is>
      </c>
      <c r="D4536" s="12" t="inlineStr">
        <is>
          <t>Discrete device to JB JB-RICE 1 radiators (-DI01: 10 x 1 pr (field cables)</t>
        </is>
      </c>
      <c r="E4536" s="12" t="inlineStr"/>
      <c r="F4536" s="12" t="inlineStr">
        <is>
          <t>RICE 1 radiators (5)</t>
        </is>
      </c>
      <c r="G4536" s="12" t="inlineStr">
        <is>
          <t>JB-RICE 1 radiators (-DI01</t>
        </is>
      </c>
      <c r="H4536" s="12" t="inlineStr">
        <is>
          <t>RICE 1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7" t="n">
        <v>80</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I-I-0137</t>
        </is>
      </c>
      <c r="B4537" s="12" t="inlineStr">
        <is>
          <t>I</t>
        </is>
      </c>
      <c r="C4537" s="12" t="inlineStr">
        <is>
          <t>Modular / portable power</t>
        </is>
      </c>
      <c r="D4537" s="12" t="inlineStr">
        <is>
          <t>Home run JB-RICE 1 radiators (-DI01 to the control / marshalling room</t>
        </is>
      </c>
      <c r="E4537" s="12" t="inlineStr"/>
      <c r="F4537" s="12" t="inlineStr">
        <is>
          <t>PCM: power control module</t>
        </is>
      </c>
      <c r="G4537" s="12" t="inlineStr">
        <is>
          <t>JB-RICE 1 radiators (-DI01</t>
        </is>
      </c>
      <c r="H4537" s="12" t="inlineStr">
        <is>
          <t>RICE 1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745</v>
      </c>
      <c r="U4537" s="17" t="n">
        <v>139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I-I-0138</t>
        </is>
      </c>
      <c r="B4538" s="12" t="inlineStr">
        <is>
          <t>I</t>
        </is>
      </c>
      <c r="C4538" s="12" t="inlineStr">
        <is>
          <t>Modular / portable power</t>
        </is>
      </c>
      <c r="D4538" s="12" t="inlineStr">
        <is>
          <t>Analog instrument to JB JB-RICE 2 SCR + oxida-AI01: 10 x 1 pr (field cables)</t>
        </is>
      </c>
      <c r="E4538" s="12" t="inlineStr"/>
      <c r="F4538" s="12" t="inlineStr">
        <is>
          <t>RICE 2 SCR + oxidation catalyst and stack</t>
        </is>
      </c>
      <c r="G4538" s="12" t="inlineStr">
        <is>
          <t>JB-RICE 2 SCR + oxida-AI01</t>
        </is>
      </c>
      <c r="H4538" s="12" t="inlineStr">
        <is>
          <t>RICE 2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7" t="n">
        <v>92</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I-I-0139</t>
        </is>
      </c>
      <c r="B4539" s="12" t="inlineStr">
        <is>
          <t>I</t>
        </is>
      </c>
      <c r="C4539" s="12" t="inlineStr">
        <is>
          <t>Modular / portable power</t>
        </is>
      </c>
      <c r="D4539" s="12" t="inlineStr">
        <is>
          <t>Home run JB-RICE 2 SCR + oxida-AI01 to the control / marshalling room</t>
        </is>
      </c>
      <c r="E4539" s="12" t="inlineStr"/>
      <c r="F4539" s="12" t="inlineStr">
        <is>
          <t>PCM: power control module</t>
        </is>
      </c>
      <c r="G4539" s="12" t="inlineStr">
        <is>
          <t>JB-RICE 2 SCR + oxida-AI01</t>
        </is>
      </c>
      <c r="H4539" s="12" t="inlineStr">
        <is>
          <t>RICE 2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7" t="n">
        <v>470</v>
      </c>
      <c r="U4539" s="17" t="n">
        <v>132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I-I-0140</t>
        </is>
      </c>
      <c r="B4540" s="12" t="inlineStr">
        <is>
          <t>I</t>
        </is>
      </c>
      <c r="C4540" s="12" t="inlineStr">
        <is>
          <t>Modular / portable power</t>
        </is>
      </c>
      <c r="D4540" s="12" t="inlineStr">
        <is>
          <t>Discrete device to JB JB-RICE 2 SCR + oxida-DI01: 6 x 1 pr (field cables)</t>
        </is>
      </c>
      <c r="E4540" s="12" t="inlineStr"/>
      <c r="F4540" s="12" t="inlineStr">
        <is>
          <t>RICE 2 SCR + oxidation catalyst and stack</t>
        </is>
      </c>
      <c r="G4540" s="12" t="inlineStr">
        <is>
          <t>JB-RICE 2 SCR + oxida-DI01</t>
        </is>
      </c>
      <c r="H4540" s="12" t="inlineStr">
        <is>
          <t>RICE 2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92</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I-I-0141</t>
        </is>
      </c>
      <c r="B4541" s="12" t="inlineStr">
        <is>
          <t>I</t>
        </is>
      </c>
      <c r="C4541" s="12" t="inlineStr">
        <is>
          <t>Modular / portable power</t>
        </is>
      </c>
      <c r="D4541" s="12" t="inlineStr">
        <is>
          <t>Home run JB-RICE 2 SCR + oxida-DI01 to the control / marshalling room</t>
        </is>
      </c>
      <c r="E4541" s="12" t="inlineStr"/>
      <c r="F4541" s="12" t="inlineStr">
        <is>
          <t>PCM: power control module</t>
        </is>
      </c>
      <c r="G4541" s="12" t="inlineStr">
        <is>
          <t>JB-RICE 2 SCR + oxida-DI01</t>
        </is>
      </c>
      <c r="H4541" s="12" t="inlineStr">
        <is>
          <t>RICE 2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7" t="n">
        <v>470</v>
      </c>
      <c r="U4541" s="17" t="n">
        <v>132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I-I-0142</t>
        </is>
      </c>
      <c r="B4542" s="12" t="inlineStr">
        <is>
          <t>I</t>
        </is>
      </c>
      <c r="C4542" s="12" t="inlineStr">
        <is>
          <t>Modular / portable power</t>
        </is>
      </c>
      <c r="D4542" s="12" t="inlineStr">
        <is>
          <t>Analog instrument to JB JB-RICE 2 radiators (-AI01: 5 x 1 pr (field cables)</t>
        </is>
      </c>
      <c r="E4542" s="12" t="inlineStr"/>
      <c r="F4542" s="12" t="inlineStr">
        <is>
          <t>RICE 2 radiators (5)</t>
        </is>
      </c>
      <c r="G4542" s="12" t="inlineStr">
        <is>
          <t>JB-RICE 2 radiators (-AI01</t>
        </is>
      </c>
      <c r="H4542" s="12" t="inlineStr">
        <is>
          <t>RICE 2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5</v>
      </c>
      <c r="O4542" s="12" t="n">
        <v>1</v>
      </c>
      <c r="P4542" s="12" t="n"/>
      <c r="Q4542" s="12" t="n"/>
      <c r="R4542" s="12" t="n"/>
      <c r="S4542" s="12" t="inlineStr">
        <is>
          <t>Tray / conduit</t>
        </is>
      </c>
      <c r="T4542" s="17" t="n">
        <v>80</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I-I-0143</t>
        </is>
      </c>
      <c r="B4543" s="12" t="inlineStr">
        <is>
          <t>I</t>
        </is>
      </c>
      <c r="C4543" s="12" t="inlineStr">
        <is>
          <t>Modular / portable power</t>
        </is>
      </c>
      <c r="D4543" s="12" t="inlineStr">
        <is>
          <t>Home run JB-RICE 2 radiators (-AI01 to the control / marshalling room</t>
        </is>
      </c>
      <c r="E4543" s="12" t="inlineStr"/>
      <c r="F4543" s="12" t="inlineStr">
        <is>
          <t>PCM: power control module</t>
        </is>
      </c>
      <c r="G4543" s="12" t="inlineStr">
        <is>
          <t>JB-RICE 2 radiators (-AI01</t>
        </is>
      </c>
      <c r="H4543" s="12" t="inlineStr">
        <is>
          <t>RICE 2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550</v>
      </c>
      <c r="U4543" s="17" t="n">
        <v>192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I-I-0144</t>
        </is>
      </c>
      <c r="B4544" s="12" t="inlineStr">
        <is>
          <t>I</t>
        </is>
      </c>
      <c r="C4544" s="12" t="inlineStr">
        <is>
          <t>Modular / portable power</t>
        </is>
      </c>
      <c r="D4544" s="12" t="inlineStr">
        <is>
          <t>Discrete device to JB JB-RICE 2 radiators (-DI01: 10 x 1 pr (field cables)</t>
        </is>
      </c>
      <c r="E4544" s="12" t="inlineStr"/>
      <c r="F4544" s="12" t="inlineStr">
        <is>
          <t>RICE 2 radiators (5)</t>
        </is>
      </c>
      <c r="G4544" s="12" t="inlineStr">
        <is>
          <t>JB-RICE 2 radiators (-DI01</t>
        </is>
      </c>
      <c r="H4544" s="12" t="inlineStr">
        <is>
          <t>RICE 2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7" t="n">
        <v>80</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I-I-0145</t>
        </is>
      </c>
      <c r="B4545" s="12" t="inlineStr">
        <is>
          <t>I</t>
        </is>
      </c>
      <c r="C4545" s="12" t="inlineStr">
        <is>
          <t>Modular / portable power</t>
        </is>
      </c>
      <c r="D4545" s="12" t="inlineStr">
        <is>
          <t>Home run JB-RICE 2 radiators (-DI01 to the control / marshalling room</t>
        </is>
      </c>
      <c r="E4545" s="12" t="inlineStr"/>
      <c r="F4545" s="12" t="inlineStr">
        <is>
          <t>PCM: power control module</t>
        </is>
      </c>
      <c r="G4545" s="12" t="inlineStr">
        <is>
          <t>JB-RICE 2 radiators (-DI01</t>
        </is>
      </c>
      <c r="H4545" s="12" t="inlineStr">
        <is>
          <t>RICE 2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550</v>
      </c>
      <c r="U4545" s="17" t="n">
        <v>192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I-I-0146</t>
        </is>
      </c>
      <c r="B4546" s="12" t="inlineStr">
        <is>
          <t>I</t>
        </is>
      </c>
      <c r="C4546" s="12" t="inlineStr">
        <is>
          <t>Modular / portable power</t>
        </is>
      </c>
      <c r="D4546" s="12" t="inlineStr">
        <is>
          <t>Analog instrument to JB JB-RICE 3 SCR + oxida-AI01: 10 x 1 pr (field cables)</t>
        </is>
      </c>
      <c r="E4546" s="12" t="inlineStr"/>
      <c r="F4546" s="12" t="inlineStr">
        <is>
          <t>RICE 3 SCR + oxidation catalyst and stack</t>
        </is>
      </c>
      <c r="G4546" s="12" t="inlineStr">
        <is>
          <t>JB-RICE 3 SCR + oxida-AI01</t>
        </is>
      </c>
      <c r="H4546" s="12" t="inlineStr">
        <is>
          <t>RICE 3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7" t="n">
        <v>92</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I-I-0147</t>
        </is>
      </c>
      <c r="B4547" s="12" t="inlineStr">
        <is>
          <t>I</t>
        </is>
      </c>
      <c r="C4547" s="12" t="inlineStr">
        <is>
          <t>Modular / portable power</t>
        </is>
      </c>
      <c r="D4547" s="12" t="inlineStr">
        <is>
          <t>Home run JB-RICE 3 SCR + oxida-AI01 to the control / marshalling room</t>
        </is>
      </c>
      <c r="E4547" s="12" t="inlineStr"/>
      <c r="F4547" s="12" t="inlineStr">
        <is>
          <t>PCM: power control module</t>
        </is>
      </c>
      <c r="G4547" s="12" t="inlineStr">
        <is>
          <t>JB-RICE 3 SCR + oxida-AI01</t>
        </is>
      </c>
      <c r="H4547" s="12" t="inlineStr">
        <is>
          <t>RICE 3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470</v>
      </c>
      <c r="U4547" s="17" t="n">
        <v>104</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I-I-0148</t>
        </is>
      </c>
      <c r="B4548" s="12" t="inlineStr">
        <is>
          <t>I</t>
        </is>
      </c>
      <c r="C4548" s="12" t="inlineStr">
        <is>
          <t>Modular / portable power</t>
        </is>
      </c>
      <c r="D4548" s="12" t="inlineStr">
        <is>
          <t>Discrete device to JB JB-RICE 3 SCR + oxida-DI01: 6 x 1 pr (field cables)</t>
        </is>
      </c>
      <c r="E4548" s="12" t="inlineStr"/>
      <c r="F4548" s="12" t="inlineStr">
        <is>
          <t>RICE 3 SCR + oxidation catalyst and stack</t>
        </is>
      </c>
      <c r="G4548" s="12" t="inlineStr">
        <is>
          <t>JB-RICE 3 SCR + oxida-DI01</t>
        </is>
      </c>
      <c r="H4548" s="12" t="inlineStr">
        <is>
          <t>RICE 3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92</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I-I-0149</t>
        </is>
      </c>
      <c r="B4549" s="12" t="inlineStr">
        <is>
          <t>I</t>
        </is>
      </c>
      <c r="C4549" s="12" t="inlineStr">
        <is>
          <t>Modular / portable power</t>
        </is>
      </c>
      <c r="D4549" s="12" t="inlineStr">
        <is>
          <t>Home run JB-RICE 3 SCR + oxida-DI01 to the control / marshalling room</t>
        </is>
      </c>
      <c r="E4549" s="12" t="inlineStr"/>
      <c r="F4549" s="12" t="inlineStr">
        <is>
          <t>PCM: power control module</t>
        </is>
      </c>
      <c r="G4549" s="12" t="inlineStr">
        <is>
          <t>JB-RICE 3 SCR + oxida-DI01</t>
        </is>
      </c>
      <c r="H4549" s="12" t="inlineStr">
        <is>
          <t>RICE 3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470</v>
      </c>
      <c r="U4549" s="17" t="n">
        <v>104</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I-I-0150</t>
        </is>
      </c>
      <c r="B4550" s="12" t="inlineStr">
        <is>
          <t>I</t>
        </is>
      </c>
      <c r="C4550" s="12" t="inlineStr">
        <is>
          <t>Modular / portable power</t>
        </is>
      </c>
      <c r="D4550" s="12" t="inlineStr">
        <is>
          <t>Analog instrument to JB JB-RICE 3 radiators (-AI01: 5 x 1 pr (field cables)</t>
        </is>
      </c>
      <c r="E4550" s="12" t="inlineStr"/>
      <c r="F4550" s="12" t="inlineStr">
        <is>
          <t>RICE 3 radiators (5)</t>
        </is>
      </c>
      <c r="G4550" s="12" t="inlineStr">
        <is>
          <t>JB-RICE 3 radiators (-AI01</t>
        </is>
      </c>
      <c r="H4550" s="12" t="inlineStr">
        <is>
          <t>RICE 3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5</v>
      </c>
      <c r="O4550" s="12" t="n">
        <v>1</v>
      </c>
      <c r="P4550" s="12" t="n"/>
      <c r="Q4550" s="12" t="n"/>
      <c r="R4550" s="12" t="n"/>
      <c r="S4550" s="12" t="inlineStr">
        <is>
          <t>Tray / conduit</t>
        </is>
      </c>
      <c r="T4550" s="17" t="n">
        <v>80</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I-I-0151</t>
        </is>
      </c>
      <c r="B4551" s="12" t="inlineStr">
        <is>
          <t>I</t>
        </is>
      </c>
      <c r="C4551" s="12" t="inlineStr">
        <is>
          <t>Modular / portable power</t>
        </is>
      </c>
      <c r="D4551" s="12" t="inlineStr">
        <is>
          <t>Home run JB-RICE 3 radiators (-AI01 to the control / marshalling room</t>
        </is>
      </c>
      <c r="E4551" s="12" t="inlineStr"/>
      <c r="F4551" s="12" t="inlineStr">
        <is>
          <t>PCM: power control module</t>
        </is>
      </c>
      <c r="G4551" s="12" t="inlineStr">
        <is>
          <t>JB-RICE 3 radiators (-AI01</t>
        </is>
      </c>
      <c r="H4551" s="12" t="inlineStr">
        <is>
          <t>RICE 3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40</v>
      </c>
      <c r="U4551" s="17" t="n">
        <v>240</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I-I-0152</t>
        </is>
      </c>
      <c r="B4552" s="12" t="inlineStr">
        <is>
          <t>I</t>
        </is>
      </c>
      <c r="C4552" s="12" t="inlineStr">
        <is>
          <t>Modular / portable power</t>
        </is>
      </c>
      <c r="D4552" s="12" t="inlineStr">
        <is>
          <t>Discrete device to JB JB-RICE 3 radiators (-DI01: 10 x 1 pr (field cables)</t>
        </is>
      </c>
      <c r="E4552" s="12" t="inlineStr"/>
      <c r="F4552" s="12" t="inlineStr">
        <is>
          <t>RICE 3 radiators (5)</t>
        </is>
      </c>
      <c r="G4552" s="12" t="inlineStr">
        <is>
          <t>JB-RICE 3 radiators (-DI01</t>
        </is>
      </c>
      <c r="H4552" s="12" t="inlineStr">
        <is>
          <t>RICE 3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7" t="n">
        <v>80</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I-I-0153</t>
        </is>
      </c>
      <c r="B4553" s="12" t="inlineStr">
        <is>
          <t>I</t>
        </is>
      </c>
      <c r="C4553" s="12" t="inlineStr">
        <is>
          <t>Modular / portable power</t>
        </is>
      </c>
      <c r="D4553" s="12" t="inlineStr">
        <is>
          <t>Home run JB-RICE 3 radiators (-DI01 to the control / marshalling room</t>
        </is>
      </c>
      <c r="E4553" s="12" t="inlineStr"/>
      <c r="F4553" s="12" t="inlineStr">
        <is>
          <t>PCM: power control module</t>
        </is>
      </c>
      <c r="G4553" s="12" t="inlineStr">
        <is>
          <t>JB-RICE 3 radiators (-DI01</t>
        </is>
      </c>
      <c r="H4553" s="12" t="inlineStr">
        <is>
          <t>RICE 3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7" t="n">
        <v>40</v>
      </c>
      <c r="U4553" s="17" t="n">
        <v>240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I-I-0154</t>
        </is>
      </c>
      <c r="B4554" s="12" t="inlineStr">
        <is>
          <t>I</t>
        </is>
      </c>
      <c r="C4554" s="12" t="inlineStr">
        <is>
          <t>Modular / portable power</t>
        </is>
      </c>
      <c r="D4554" s="12" t="inlineStr">
        <is>
          <t>Analog instrument to JB JB-RICE 4 SCR + oxida-AI01: 10 x 1 pr (field cables)</t>
        </is>
      </c>
      <c r="E4554" s="12" t="inlineStr"/>
      <c r="F4554" s="12" t="inlineStr">
        <is>
          <t>RICE 4 SCR + oxidation catalyst and stack</t>
        </is>
      </c>
      <c r="G4554" s="12" t="inlineStr">
        <is>
          <t>JB-RICE 4 SCR + oxida-AI01</t>
        </is>
      </c>
      <c r="H4554" s="12" t="inlineStr">
        <is>
          <t>RICE 4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7" t="n">
        <v>92</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I-I-0155</t>
        </is>
      </c>
      <c r="B4555" s="12" t="inlineStr">
        <is>
          <t>I</t>
        </is>
      </c>
      <c r="C4555" s="12" t="inlineStr">
        <is>
          <t>Modular / portable power</t>
        </is>
      </c>
      <c r="D4555" s="12" t="inlineStr">
        <is>
          <t>Home run JB-RICE 4 SCR + oxida-AI01 to the control / marshalling room</t>
        </is>
      </c>
      <c r="E4555" s="12" t="inlineStr"/>
      <c r="F4555" s="12" t="inlineStr">
        <is>
          <t>PCM: power control module</t>
        </is>
      </c>
      <c r="G4555" s="12" t="inlineStr">
        <is>
          <t>JB-RICE 4 SCR + oxida-AI01</t>
        </is>
      </c>
      <c r="H4555" s="12" t="inlineStr">
        <is>
          <t>RICE 4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470</v>
      </c>
      <c r="U4555" s="17" t="n">
        <v>76</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I-I-0156</t>
        </is>
      </c>
      <c r="B4556" s="12" t="inlineStr">
        <is>
          <t>I</t>
        </is>
      </c>
      <c r="C4556" s="12" t="inlineStr">
        <is>
          <t>Modular / portable power</t>
        </is>
      </c>
      <c r="D4556" s="12" t="inlineStr">
        <is>
          <t>Discrete device to JB JB-RICE 4 SCR + oxida-DI01: 6 x 1 pr (field cables)</t>
        </is>
      </c>
      <c r="E4556" s="12" t="inlineStr"/>
      <c r="F4556" s="12" t="inlineStr">
        <is>
          <t>RICE 4 SCR + oxidation catalyst and stack</t>
        </is>
      </c>
      <c r="G4556" s="12" t="inlineStr">
        <is>
          <t>JB-RICE 4 SCR + oxida-DI01</t>
        </is>
      </c>
      <c r="H4556" s="12" t="inlineStr">
        <is>
          <t>RICE 4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6</v>
      </c>
      <c r="O4556" s="12" t="n">
        <v>1</v>
      </c>
      <c r="P4556" s="12" t="n"/>
      <c r="Q4556" s="12" t="n"/>
      <c r="R4556" s="12" t="n"/>
      <c r="S4556" s="12" t="inlineStr">
        <is>
          <t>Tray / conduit</t>
        </is>
      </c>
      <c r="T4556" s="17" t="n">
        <v>92</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I-I-0157</t>
        </is>
      </c>
      <c r="B4557" s="12" t="inlineStr">
        <is>
          <t>I</t>
        </is>
      </c>
      <c r="C4557" s="12" t="inlineStr">
        <is>
          <t>Modular / portable power</t>
        </is>
      </c>
      <c r="D4557" s="12" t="inlineStr">
        <is>
          <t>Home run JB-RICE 4 SCR + oxida-DI01 to the control / marshalling room</t>
        </is>
      </c>
      <c r="E4557" s="12" t="inlineStr"/>
      <c r="F4557" s="12" t="inlineStr">
        <is>
          <t>PCM: power control module</t>
        </is>
      </c>
      <c r="G4557" s="12" t="inlineStr">
        <is>
          <t>JB-RICE 4 SCR + oxida-DI01</t>
        </is>
      </c>
      <c r="H4557" s="12" t="inlineStr">
        <is>
          <t>RICE 4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470</v>
      </c>
      <c r="U4557" s="17" t="n">
        <v>76</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I-I-0158</t>
        </is>
      </c>
      <c r="B4558" s="12" t="inlineStr">
        <is>
          <t>I</t>
        </is>
      </c>
      <c r="C4558" s="12" t="inlineStr">
        <is>
          <t>Modular / portable power</t>
        </is>
      </c>
      <c r="D4558" s="12" t="inlineStr">
        <is>
          <t>Analog instrument to JB JB-RICE 4 radiators (-AI01: 5 x 1 pr (field cables)</t>
        </is>
      </c>
      <c r="E4558" s="12" t="inlineStr"/>
      <c r="F4558" s="12" t="inlineStr">
        <is>
          <t>RICE 4 radiators (5)</t>
        </is>
      </c>
      <c r="G4558" s="12" t="inlineStr">
        <is>
          <t>JB-RICE 4 radiators (-AI01</t>
        </is>
      </c>
      <c r="H4558" s="12" t="inlineStr">
        <is>
          <t>RICE 4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5</v>
      </c>
      <c r="O4558" s="12" t="n">
        <v>1</v>
      </c>
      <c r="P4558" s="12" t="n"/>
      <c r="Q4558" s="12" t="n"/>
      <c r="R4558" s="12" t="n"/>
      <c r="S4558" s="12" t="inlineStr">
        <is>
          <t>Tray / conduit</t>
        </is>
      </c>
      <c r="T4558" s="17" t="n">
        <v>80</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I-I-0159</t>
        </is>
      </c>
      <c r="B4559" s="12" t="inlineStr">
        <is>
          <t>I</t>
        </is>
      </c>
      <c r="C4559" s="12" t="inlineStr">
        <is>
          <t>Modular / portable power</t>
        </is>
      </c>
      <c r="D4559" s="12" t="inlineStr">
        <is>
          <t>Home run JB-RICE 4 radiators (-AI01 to the control / marshalling room</t>
        </is>
      </c>
      <c r="E4559" s="12" t="inlineStr"/>
      <c r="F4559" s="12" t="inlineStr">
        <is>
          <t>PCM: power control module</t>
        </is>
      </c>
      <c r="G4559" s="12" t="inlineStr">
        <is>
          <t>JB-RICE 4 radiators (-AI01</t>
        </is>
      </c>
      <c r="H4559" s="12" t="inlineStr">
        <is>
          <t>RICE 4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7" t="n">
        <v>0</v>
      </c>
      <c r="U4559" s="17" t="n">
        <v>206</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I-I-0160</t>
        </is>
      </c>
      <c r="B4560" s="12" t="inlineStr">
        <is>
          <t>I</t>
        </is>
      </c>
      <c r="C4560" s="12" t="inlineStr">
        <is>
          <t>Modular / portable power</t>
        </is>
      </c>
      <c r="D4560" s="12" t="inlineStr">
        <is>
          <t>Discrete device to JB JB-RICE 4 radiators (-DI01: 10 x 1 pr (field cables)</t>
        </is>
      </c>
      <c r="E4560" s="12" t="inlineStr"/>
      <c r="F4560" s="12" t="inlineStr">
        <is>
          <t>RICE 4 radiators (5)</t>
        </is>
      </c>
      <c r="G4560" s="12" t="inlineStr">
        <is>
          <t>JB-RICE 4 radiators (-DI01</t>
        </is>
      </c>
      <c r="H4560" s="12" t="inlineStr">
        <is>
          <t>RICE 4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7" t="n">
        <v>80</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I-I-0161</t>
        </is>
      </c>
      <c r="B4561" s="12" t="inlineStr">
        <is>
          <t>I</t>
        </is>
      </c>
      <c r="C4561" s="12" t="inlineStr">
        <is>
          <t>Modular / portable power</t>
        </is>
      </c>
      <c r="D4561" s="12" t="inlineStr">
        <is>
          <t>Home run JB-RICE 4 radiators (-DI01 to the control / marshalling room</t>
        </is>
      </c>
      <c r="E4561" s="12" t="inlineStr"/>
      <c r="F4561" s="12" t="inlineStr">
        <is>
          <t>PCM: power control module</t>
        </is>
      </c>
      <c r="G4561" s="12" t="inlineStr">
        <is>
          <t>JB-RICE 4 radiators (-DI01</t>
        </is>
      </c>
      <c r="H4561" s="12" t="inlineStr">
        <is>
          <t>RICE 4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7" t="n">
        <v>0</v>
      </c>
      <c r="U4561" s="17" t="n">
        <v>206</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I-I-0162</t>
        </is>
      </c>
      <c r="B4562" s="12" t="inlineStr">
        <is>
          <t>I</t>
        </is>
      </c>
      <c r="C4562" s="12" t="inlineStr">
        <is>
          <t>Modular / portable power</t>
        </is>
      </c>
      <c r="D4562" s="12" t="inlineStr">
        <is>
          <t>Analog instrument to JB JB-RICE 5 SCR + oxida-AI01: 10 x 1 pr (field cables)</t>
        </is>
      </c>
      <c r="E4562" s="12" t="inlineStr"/>
      <c r="F4562" s="12" t="inlineStr">
        <is>
          <t>RICE 5 SCR + oxidation catalyst and stack</t>
        </is>
      </c>
      <c r="G4562" s="12" t="inlineStr">
        <is>
          <t>JB-RICE 5 SCR + oxida-AI01</t>
        </is>
      </c>
      <c r="H4562" s="12" t="inlineStr">
        <is>
          <t>RICE 5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92</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I-I-0163</t>
        </is>
      </c>
      <c r="B4563" s="12" t="inlineStr">
        <is>
          <t>I</t>
        </is>
      </c>
      <c r="C4563" s="12" t="inlineStr">
        <is>
          <t>Modular / portable power</t>
        </is>
      </c>
      <c r="D4563" s="12" t="inlineStr">
        <is>
          <t>Home run JB-RICE 5 SCR + oxida-AI01 to the control / marshalling room</t>
        </is>
      </c>
      <c r="E4563" s="12" t="inlineStr"/>
      <c r="F4563" s="12" t="inlineStr">
        <is>
          <t>PCM: power control module</t>
        </is>
      </c>
      <c r="G4563" s="12" t="inlineStr">
        <is>
          <t>JB-RICE 5 SCR + oxida-AI01</t>
        </is>
      </c>
      <c r="H4563" s="12" t="inlineStr">
        <is>
          <t>RICE 5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7" t="n">
        <v>322</v>
      </c>
      <c r="U4563" s="17" t="n">
        <v>196</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I-I-0164</t>
        </is>
      </c>
      <c r="B4564" s="12" t="inlineStr">
        <is>
          <t>I</t>
        </is>
      </c>
      <c r="C4564" s="12" t="inlineStr">
        <is>
          <t>Modular / portable power</t>
        </is>
      </c>
      <c r="D4564" s="12" t="inlineStr">
        <is>
          <t>Discrete device to JB JB-RICE 5 SCR + oxida-DI01: 6 x 1 pr (field cables)</t>
        </is>
      </c>
      <c r="E4564" s="12" t="inlineStr"/>
      <c r="F4564" s="12" t="inlineStr">
        <is>
          <t>RICE 5 SCR + oxidation catalyst and stack</t>
        </is>
      </c>
      <c r="G4564" s="12" t="inlineStr">
        <is>
          <t>JB-RICE 5 SCR + oxida-DI01</t>
        </is>
      </c>
      <c r="H4564" s="12" t="inlineStr">
        <is>
          <t>RICE 5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7" t="n">
        <v>92</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I-I-0165</t>
        </is>
      </c>
      <c r="B4565" s="12" t="inlineStr">
        <is>
          <t>I</t>
        </is>
      </c>
      <c r="C4565" s="12" t="inlineStr">
        <is>
          <t>Modular / portable power</t>
        </is>
      </c>
      <c r="D4565" s="12" t="inlineStr">
        <is>
          <t>Home run JB-RICE 5 SCR + oxida-DI01 to the control / marshalling room</t>
        </is>
      </c>
      <c r="E4565" s="12" t="inlineStr"/>
      <c r="F4565" s="12" t="inlineStr">
        <is>
          <t>PCM: power control module</t>
        </is>
      </c>
      <c r="G4565" s="12" t="inlineStr">
        <is>
          <t>JB-RICE 5 SCR + oxida-DI01</t>
        </is>
      </c>
      <c r="H4565" s="12" t="inlineStr">
        <is>
          <t>RICE 5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322</v>
      </c>
      <c r="U4565" s="17" t="n">
        <v>196</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I-I-0166</t>
        </is>
      </c>
      <c r="B4566" s="12" t="inlineStr">
        <is>
          <t>I</t>
        </is>
      </c>
      <c r="C4566" s="12" t="inlineStr">
        <is>
          <t>Modular / portable power</t>
        </is>
      </c>
      <c r="D4566" s="12" t="inlineStr">
        <is>
          <t>Analog instrument to JB JB-RICE 5 radiators (-AI01: 5 x 1 pr (field cables)</t>
        </is>
      </c>
      <c r="E4566" s="12" t="inlineStr"/>
      <c r="F4566" s="12" t="inlineStr">
        <is>
          <t>RICE 5 radiators (5)</t>
        </is>
      </c>
      <c r="G4566" s="12" t="inlineStr">
        <is>
          <t>JB-RICE 5 radiators (-AI01</t>
        </is>
      </c>
      <c r="H4566" s="12" t="inlineStr">
        <is>
          <t>RICE 5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5</v>
      </c>
      <c r="O4566" s="12" t="n">
        <v>1</v>
      </c>
      <c r="P4566" s="12" t="n"/>
      <c r="Q4566" s="12" t="n"/>
      <c r="R4566" s="12" t="n"/>
      <c r="S4566" s="12" t="inlineStr">
        <is>
          <t>Tray / conduit</t>
        </is>
      </c>
      <c r="T4566" s="17" t="n">
        <v>80</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I-I-0167</t>
        </is>
      </c>
      <c r="B4567" s="12" t="inlineStr">
        <is>
          <t>I</t>
        </is>
      </c>
      <c r="C4567" s="12" t="inlineStr">
        <is>
          <t>Modular / portable power</t>
        </is>
      </c>
      <c r="D4567" s="12" t="inlineStr">
        <is>
          <t>Home run JB-RICE 5 radiators (-AI01 to the control / marshalling room</t>
        </is>
      </c>
      <c r="E4567" s="12" t="inlineStr"/>
      <c r="F4567" s="12" t="inlineStr">
        <is>
          <t>PCM: power control module</t>
        </is>
      </c>
      <c r="G4567" s="12" t="inlineStr">
        <is>
          <t>JB-RICE 5 radiators (-AI01</t>
        </is>
      </c>
      <c r="H4567" s="12" t="inlineStr">
        <is>
          <t>RICE 5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7" t="n">
        <v>0</v>
      </c>
      <c r="U4567" s="17" t="n">
        <v>178</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I-I-0168</t>
        </is>
      </c>
      <c r="B4568" s="12" t="inlineStr">
        <is>
          <t>I</t>
        </is>
      </c>
      <c r="C4568" s="12" t="inlineStr">
        <is>
          <t>Modular / portable power</t>
        </is>
      </c>
      <c r="D4568" s="12" t="inlineStr">
        <is>
          <t>Discrete device to JB JB-RICE 5 radiators (-DI01: 10 x 1 pr (field cables)</t>
        </is>
      </c>
      <c r="E4568" s="12" t="inlineStr"/>
      <c r="F4568" s="12" t="inlineStr">
        <is>
          <t>RICE 5 radiators (5)</t>
        </is>
      </c>
      <c r="G4568" s="12" t="inlineStr">
        <is>
          <t>JB-RICE 5 radiators (-DI01</t>
        </is>
      </c>
      <c r="H4568" s="12" t="inlineStr">
        <is>
          <t>RICE 5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80</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I-I-0169</t>
        </is>
      </c>
      <c r="B4569" s="12" t="inlineStr">
        <is>
          <t>I</t>
        </is>
      </c>
      <c r="C4569" s="12" t="inlineStr">
        <is>
          <t>Modular / portable power</t>
        </is>
      </c>
      <c r="D4569" s="12" t="inlineStr">
        <is>
          <t>Home run JB-RICE 5 radiators (-DI01 to the control / marshalling room</t>
        </is>
      </c>
      <c r="E4569" s="12" t="inlineStr"/>
      <c r="F4569" s="12" t="inlineStr">
        <is>
          <t>PCM: power control module</t>
        </is>
      </c>
      <c r="G4569" s="12" t="inlineStr">
        <is>
          <t>JB-RICE 5 radiators (-DI01</t>
        </is>
      </c>
      <c r="H4569" s="12" t="inlineStr">
        <is>
          <t>RICE 5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7" t="n">
        <v>0</v>
      </c>
      <c r="U4569" s="17" t="n">
        <v>178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I-I-0170</t>
        </is>
      </c>
      <c r="B4570" s="12" t="inlineStr">
        <is>
          <t>I</t>
        </is>
      </c>
      <c r="C4570" s="12" t="inlineStr">
        <is>
          <t>Modular / portable power</t>
        </is>
      </c>
      <c r="D4570" s="12" t="inlineStr">
        <is>
          <t>Analog instrument to JB JB-RICE 6 SCR + oxida-AI01: 10 x 1 pr (field cables)</t>
        </is>
      </c>
      <c r="E4570" s="12" t="inlineStr"/>
      <c r="F4570" s="12" t="inlineStr">
        <is>
          <t>RICE 6 SCR + oxidation catalyst and stack</t>
        </is>
      </c>
      <c r="G4570" s="12" t="inlineStr">
        <is>
          <t>JB-RICE 6 SCR + oxida-AI01</t>
        </is>
      </c>
      <c r="H4570" s="12" t="inlineStr">
        <is>
          <t>RICE 6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92</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I-I-0171</t>
        </is>
      </c>
      <c r="B4571" s="12" t="inlineStr">
        <is>
          <t>I</t>
        </is>
      </c>
      <c r="C4571" s="12" t="inlineStr">
        <is>
          <t>Modular / portable power</t>
        </is>
      </c>
      <c r="D4571" s="12" t="inlineStr">
        <is>
          <t>Home run JB-RICE 6 SCR + oxida-AI01 to the control / marshalling room</t>
        </is>
      </c>
      <c r="E4571" s="12" t="inlineStr"/>
      <c r="F4571" s="12" t="inlineStr">
        <is>
          <t>PCM: power control module</t>
        </is>
      </c>
      <c r="G4571" s="12" t="inlineStr">
        <is>
          <t>JB-RICE 6 SCR + oxida-AI01</t>
        </is>
      </c>
      <c r="H4571" s="12" t="inlineStr">
        <is>
          <t>RICE 6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7" t="n">
        <v>322</v>
      </c>
      <c r="U4571" s="17" t="n">
        <v>168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I-I-0172</t>
        </is>
      </c>
      <c r="B4572" s="12" t="inlineStr">
        <is>
          <t>I</t>
        </is>
      </c>
      <c r="C4572" s="12" t="inlineStr">
        <is>
          <t>Modular / portable power</t>
        </is>
      </c>
      <c r="D4572" s="12" t="inlineStr">
        <is>
          <t>Discrete device to JB JB-RICE 6 SCR + oxida-DI01: 6 x 1 pr (field cables)</t>
        </is>
      </c>
      <c r="E4572" s="12" t="inlineStr"/>
      <c r="F4572" s="12" t="inlineStr">
        <is>
          <t>RICE 6 SCR + oxidation catalyst and stack</t>
        </is>
      </c>
      <c r="G4572" s="12" t="inlineStr">
        <is>
          <t>JB-RICE 6 SCR + oxida-DI01</t>
        </is>
      </c>
      <c r="H4572" s="12" t="inlineStr">
        <is>
          <t>RICE 6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7" t="n">
        <v>92</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I-I-0173</t>
        </is>
      </c>
      <c r="B4573" s="12" t="inlineStr">
        <is>
          <t>I</t>
        </is>
      </c>
      <c r="C4573" s="12" t="inlineStr">
        <is>
          <t>Modular / portable power</t>
        </is>
      </c>
      <c r="D4573" s="12" t="inlineStr">
        <is>
          <t>Home run JB-RICE 6 SCR + oxida-DI01 to the control / marshalling room</t>
        </is>
      </c>
      <c r="E4573" s="12" t="inlineStr"/>
      <c r="F4573" s="12" t="inlineStr">
        <is>
          <t>PCM: power control module</t>
        </is>
      </c>
      <c r="G4573" s="12" t="inlineStr">
        <is>
          <t>JB-RICE 6 SCR + oxida-DI01</t>
        </is>
      </c>
      <c r="H4573" s="12" t="inlineStr">
        <is>
          <t>RICE 6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7" t="n">
        <v>322</v>
      </c>
      <c r="U4573" s="17" t="n">
        <v>168</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I-I-0174</t>
        </is>
      </c>
      <c r="B4574" s="12" t="inlineStr">
        <is>
          <t>I</t>
        </is>
      </c>
      <c r="C4574" s="12" t="inlineStr">
        <is>
          <t>Modular / portable power</t>
        </is>
      </c>
      <c r="D4574" s="12" t="inlineStr">
        <is>
          <t>Analog instrument to JB JB-RICE 6 radiators (-AI01: 5 x 1 pr (field cables)</t>
        </is>
      </c>
      <c r="E4574" s="12" t="inlineStr"/>
      <c r="F4574" s="12" t="inlineStr">
        <is>
          <t>RICE 6 radiators (5)</t>
        </is>
      </c>
      <c r="G4574" s="12" t="inlineStr">
        <is>
          <t>JB-RICE 6 radiators (-AI01</t>
        </is>
      </c>
      <c r="H4574" s="12" t="inlineStr">
        <is>
          <t>RICE 6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5</v>
      </c>
      <c r="O4574" s="12" t="n">
        <v>1</v>
      </c>
      <c r="P4574" s="12" t="n"/>
      <c r="Q4574" s="12" t="n"/>
      <c r="R4574" s="12" t="n"/>
      <c r="S4574" s="12" t="inlineStr">
        <is>
          <t>Tray / conduit</t>
        </is>
      </c>
      <c r="T4574" s="17" t="n">
        <v>80</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I-I-0175</t>
        </is>
      </c>
      <c r="B4575" s="12" t="inlineStr">
        <is>
          <t>I</t>
        </is>
      </c>
      <c r="C4575" s="12" t="inlineStr">
        <is>
          <t>Modular / portable power</t>
        </is>
      </c>
      <c r="D4575" s="12" t="inlineStr">
        <is>
          <t>Home run JB-RICE 6 radiators (-AI01 to the control / marshalling room</t>
        </is>
      </c>
      <c r="E4575" s="12" t="inlineStr"/>
      <c r="F4575" s="12" t="inlineStr">
        <is>
          <t>PCM: power control module</t>
        </is>
      </c>
      <c r="G4575" s="12" t="inlineStr">
        <is>
          <t>JB-RICE 6 radiators (-AI01</t>
        </is>
      </c>
      <c r="H4575" s="12" t="inlineStr">
        <is>
          <t>RICE 6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7" t="n">
        <v>0</v>
      </c>
      <c r="U4575" s="17" t="n">
        <v>150</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I-I-0176</t>
        </is>
      </c>
      <c r="B4576" s="12" t="inlineStr">
        <is>
          <t>I</t>
        </is>
      </c>
      <c r="C4576" s="12" t="inlineStr">
        <is>
          <t>Modular / portable power</t>
        </is>
      </c>
      <c r="D4576" s="12" t="inlineStr">
        <is>
          <t>Discrete device to JB JB-RICE 6 radiators (-DI01: 10 x 1 pr (field cables)</t>
        </is>
      </c>
      <c r="E4576" s="12" t="inlineStr"/>
      <c r="F4576" s="12" t="inlineStr">
        <is>
          <t>RICE 6 radiators (5)</t>
        </is>
      </c>
      <c r="G4576" s="12" t="inlineStr">
        <is>
          <t>JB-RICE 6 radiators (-DI01</t>
        </is>
      </c>
      <c r="H4576" s="12" t="inlineStr">
        <is>
          <t>RICE 6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80</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I-I-0177</t>
        </is>
      </c>
      <c r="B4577" s="12" t="inlineStr">
        <is>
          <t>I</t>
        </is>
      </c>
      <c r="C4577" s="12" t="inlineStr">
        <is>
          <t>Modular / portable power</t>
        </is>
      </c>
      <c r="D4577" s="12" t="inlineStr">
        <is>
          <t>Home run JB-RICE 6 radiators (-DI01 to the control / marshalling room</t>
        </is>
      </c>
      <c r="E4577" s="12" t="inlineStr"/>
      <c r="F4577" s="12" t="inlineStr">
        <is>
          <t>PCM: power control module</t>
        </is>
      </c>
      <c r="G4577" s="12" t="inlineStr">
        <is>
          <t>JB-RICE 6 radiators (-DI01</t>
        </is>
      </c>
      <c r="H4577" s="12" t="inlineStr">
        <is>
          <t>RICE 6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7" t="n">
        <v>0</v>
      </c>
      <c r="U4577" s="17" t="n">
        <v>150</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I-I-0178</t>
        </is>
      </c>
      <c r="B4578" s="12" t="inlineStr">
        <is>
          <t>I</t>
        </is>
      </c>
      <c r="C4578" s="12" t="inlineStr">
        <is>
          <t>Modular / portable power</t>
        </is>
      </c>
      <c r="D4578" s="12" t="inlineStr">
        <is>
          <t>Analog instrument to JB JB-RICE 7 SCR + oxida-AI01: 10 x 1 pr (field cables)</t>
        </is>
      </c>
      <c r="E4578" s="12" t="inlineStr"/>
      <c r="F4578" s="12" t="inlineStr">
        <is>
          <t>RICE 7 SCR + oxidation catalyst and stack</t>
        </is>
      </c>
      <c r="G4578" s="12" t="inlineStr">
        <is>
          <t>JB-RICE 7 SCR + oxida-AI01</t>
        </is>
      </c>
      <c r="H4578" s="12" t="inlineStr">
        <is>
          <t>RICE 7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7" t="n">
        <v>92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I-I-0179</t>
        </is>
      </c>
      <c r="B4579" s="12" t="inlineStr">
        <is>
          <t>I</t>
        </is>
      </c>
      <c r="C4579" s="12" t="inlineStr">
        <is>
          <t>Modular / portable power</t>
        </is>
      </c>
      <c r="D4579" s="12" t="inlineStr">
        <is>
          <t>Home run JB-RICE 7 SCR + oxida-AI01 to the control / marshalling room</t>
        </is>
      </c>
      <c r="E4579" s="12" t="inlineStr"/>
      <c r="F4579" s="12" t="inlineStr">
        <is>
          <t>PCM: power control module</t>
        </is>
      </c>
      <c r="G4579" s="12" t="inlineStr">
        <is>
          <t>JB-RICE 7 SCR + oxida-AI01</t>
        </is>
      </c>
      <c r="H4579" s="12" t="inlineStr">
        <is>
          <t>RICE 7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322</v>
      </c>
      <c r="U4579" s="17" t="n">
        <v>140</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I-I-0180</t>
        </is>
      </c>
      <c r="B4580" s="12" t="inlineStr">
        <is>
          <t>I</t>
        </is>
      </c>
      <c r="C4580" s="12" t="inlineStr">
        <is>
          <t>Modular / portable power</t>
        </is>
      </c>
      <c r="D4580" s="12" t="inlineStr">
        <is>
          <t>Discrete device to JB JB-RICE 7 SCR + oxida-DI01: 6 x 1 pr (field cables)</t>
        </is>
      </c>
      <c r="E4580" s="12" t="inlineStr"/>
      <c r="F4580" s="12" t="inlineStr">
        <is>
          <t>RICE 7 SCR + oxidation catalyst and stack</t>
        </is>
      </c>
      <c r="G4580" s="12" t="inlineStr">
        <is>
          <t>JB-RICE 7 SCR + oxida-DI01</t>
        </is>
      </c>
      <c r="H4580" s="12" t="inlineStr">
        <is>
          <t>RICE 7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6</v>
      </c>
      <c r="O4580" s="12" t="n">
        <v>1</v>
      </c>
      <c r="P4580" s="12" t="n"/>
      <c r="Q4580" s="12" t="n"/>
      <c r="R4580" s="12" t="n"/>
      <c r="S4580" s="12" t="inlineStr">
        <is>
          <t>Tray / conduit</t>
        </is>
      </c>
      <c r="T4580" s="17" t="n">
        <v>92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I-I-0181</t>
        </is>
      </c>
      <c r="B4581" s="12" t="inlineStr">
        <is>
          <t>I</t>
        </is>
      </c>
      <c r="C4581" s="12" t="inlineStr">
        <is>
          <t>Modular / portable power</t>
        </is>
      </c>
      <c r="D4581" s="12" t="inlineStr">
        <is>
          <t>Home run JB-RICE 7 SCR + oxida-DI01 to the control / marshalling room</t>
        </is>
      </c>
      <c r="E4581" s="12" t="inlineStr"/>
      <c r="F4581" s="12" t="inlineStr">
        <is>
          <t>PCM: power control module</t>
        </is>
      </c>
      <c r="G4581" s="12" t="inlineStr">
        <is>
          <t>JB-RICE 7 SCR + oxida-DI01</t>
        </is>
      </c>
      <c r="H4581" s="12" t="inlineStr">
        <is>
          <t>RICE 7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322</v>
      </c>
      <c r="U4581" s="17" t="n">
        <v>140</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I-I-0182</t>
        </is>
      </c>
      <c r="B4582" s="12" t="inlineStr">
        <is>
          <t>I</t>
        </is>
      </c>
      <c r="C4582" s="12" t="inlineStr">
        <is>
          <t>Modular / portable power</t>
        </is>
      </c>
      <c r="D4582" s="12" t="inlineStr">
        <is>
          <t>Analog instrument to JB JB-RICE 7 radiators (-AI01: 5 x 1 pr (field cables)</t>
        </is>
      </c>
      <c r="E4582" s="12" t="inlineStr"/>
      <c r="F4582" s="12" t="inlineStr">
        <is>
          <t>RICE 7 radiators (5)</t>
        </is>
      </c>
      <c r="G4582" s="12" t="inlineStr">
        <is>
          <t>JB-RICE 7 radiators (-AI01</t>
        </is>
      </c>
      <c r="H4582" s="12" t="inlineStr">
        <is>
          <t>RICE 7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5</v>
      </c>
      <c r="O4582" s="12" t="n">
        <v>1</v>
      </c>
      <c r="P4582" s="12" t="n"/>
      <c r="Q4582" s="12" t="n"/>
      <c r="R4582" s="12" t="n"/>
      <c r="S4582" s="12" t="inlineStr">
        <is>
          <t>Tray / conduit</t>
        </is>
      </c>
      <c r="T4582" s="17" t="n">
        <v>80</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I-I-0183</t>
        </is>
      </c>
      <c r="B4583" s="12" t="inlineStr">
        <is>
          <t>I</t>
        </is>
      </c>
      <c r="C4583" s="12" t="inlineStr">
        <is>
          <t>Modular / portable power</t>
        </is>
      </c>
      <c r="D4583" s="12" t="inlineStr">
        <is>
          <t>Home run JB-RICE 7 radiators (-AI01 to the control / marshalling room</t>
        </is>
      </c>
      <c r="E4583" s="12" t="inlineStr"/>
      <c r="F4583" s="12" t="inlineStr">
        <is>
          <t>PCM: power control module</t>
        </is>
      </c>
      <c r="G4583" s="12" t="inlineStr">
        <is>
          <t>JB-RICE 7 radiators (-AI01</t>
        </is>
      </c>
      <c r="H4583" s="12" t="inlineStr">
        <is>
          <t>RICE 7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7" t="n">
        <v>0</v>
      </c>
      <c r="U4583" s="17" t="n">
        <v>122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I-I-0184</t>
        </is>
      </c>
      <c r="B4584" s="12" t="inlineStr">
        <is>
          <t>I</t>
        </is>
      </c>
      <c r="C4584" s="12" t="inlineStr">
        <is>
          <t>Modular / portable power</t>
        </is>
      </c>
      <c r="D4584" s="12" t="inlineStr">
        <is>
          <t>Discrete device to JB JB-RICE 7 radiators (-DI01: 10 x 1 pr (field cables)</t>
        </is>
      </c>
      <c r="E4584" s="12" t="inlineStr"/>
      <c r="F4584" s="12" t="inlineStr">
        <is>
          <t>RICE 7 radiators (5)</t>
        </is>
      </c>
      <c r="G4584" s="12" t="inlineStr">
        <is>
          <t>JB-RICE 7 radiators (-DI01</t>
        </is>
      </c>
      <c r="H4584" s="12" t="inlineStr">
        <is>
          <t>RICE 7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10</v>
      </c>
      <c r="O4584" s="12" t="n">
        <v>1</v>
      </c>
      <c r="P4584" s="12" t="n"/>
      <c r="Q4584" s="12" t="n"/>
      <c r="R4584" s="12" t="n"/>
      <c r="S4584" s="12" t="inlineStr">
        <is>
          <t>Tray / conduit</t>
        </is>
      </c>
      <c r="T4584" s="17" t="n">
        <v>80</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I-I-0185</t>
        </is>
      </c>
      <c r="B4585" s="12" t="inlineStr">
        <is>
          <t>I</t>
        </is>
      </c>
      <c r="C4585" s="12" t="inlineStr">
        <is>
          <t>Modular / portable power</t>
        </is>
      </c>
      <c r="D4585" s="12" t="inlineStr">
        <is>
          <t>Home run JB-RICE 7 radiators (-DI01 to the control / marshalling room</t>
        </is>
      </c>
      <c r="E4585" s="12" t="inlineStr"/>
      <c r="F4585" s="12" t="inlineStr">
        <is>
          <t>PCM: power control module</t>
        </is>
      </c>
      <c r="G4585" s="12" t="inlineStr">
        <is>
          <t>JB-RICE 7 radiators (-DI01</t>
        </is>
      </c>
      <c r="H4585" s="12" t="inlineStr">
        <is>
          <t>RICE 7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Tray</t>
        </is>
      </c>
      <c r="T4585" s="17" t="n">
        <v>0</v>
      </c>
      <c r="U4585" s="17" t="n">
        <v>122</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I-I-0186</t>
        </is>
      </c>
      <c r="B4586" s="12" t="inlineStr">
        <is>
          <t>I</t>
        </is>
      </c>
      <c r="C4586" s="12" t="inlineStr">
        <is>
          <t>Modular / portable power</t>
        </is>
      </c>
      <c r="D4586" s="12" t="inlineStr">
        <is>
          <t>Analog instrument to JB JB-RICE 8 SCR + oxida-AI01: 10 x 1 pr (field cables)</t>
        </is>
      </c>
      <c r="E4586" s="12" t="inlineStr"/>
      <c r="F4586" s="12" t="inlineStr">
        <is>
          <t>RICE 8 SCR + oxidation catalyst and stack</t>
        </is>
      </c>
      <c r="G4586" s="12" t="inlineStr">
        <is>
          <t>JB-RICE 8 SCR + oxida-AI01</t>
        </is>
      </c>
      <c r="H4586" s="12" t="inlineStr">
        <is>
          <t>RICE 8 SCR + oxidation catalyst and stack</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7" t="n">
        <v>92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I-I-0187</t>
        </is>
      </c>
      <c r="B4587" s="12" t="inlineStr">
        <is>
          <t>I</t>
        </is>
      </c>
      <c r="C4587" s="12" t="inlineStr">
        <is>
          <t>Modular / portable power</t>
        </is>
      </c>
      <c r="D4587" s="12" t="inlineStr">
        <is>
          <t>Home run JB-RICE 8 SCR + oxida-AI01 to the control / marshalling room</t>
        </is>
      </c>
      <c r="E4587" s="12" t="inlineStr"/>
      <c r="F4587" s="12" t="inlineStr">
        <is>
          <t>PCM: power control module</t>
        </is>
      </c>
      <c r="G4587" s="12" t="inlineStr">
        <is>
          <t>JB-RICE 8 SCR + oxida-AI01</t>
        </is>
      </c>
      <c r="H4587" s="12" t="inlineStr">
        <is>
          <t>RICE 8 SCR + oxidation catalyst and stack</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322</v>
      </c>
      <c r="U4587" s="17" t="n">
        <v>112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I-I-0188</t>
        </is>
      </c>
      <c r="B4588" s="12" t="inlineStr">
        <is>
          <t>I</t>
        </is>
      </c>
      <c r="C4588" s="12" t="inlineStr">
        <is>
          <t>Modular / portable power</t>
        </is>
      </c>
      <c r="D4588" s="12" t="inlineStr">
        <is>
          <t>Discrete device to JB JB-RICE 8 SCR + oxida-DI01: 6 x 1 pr (field cables)</t>
        </is>
      </c>
      <c r="E4588" s="12" t="inlineStr"/>
      <c r="F4588" s="12" t="inlineStr">
        <is>
          <t>RICE 8 SCR + oxidation catalyst and stack</t>
        </is>
      </c>
      <c r="G4588" s="12" t="inlineStr">
        <is>
          <t>JB-RICE 8 SCR + oxida-DI01</t>
        </is>
      </c>
      <c r="H4588" s="12" t="inlineStr">
        <is>
          <t>RICE 8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6</v>
      </c>
      <c r="O4588" s="12" t="n">
        <v>1</v>
      </c>
      <c r="P4588" s="12" t="n"/>
      <c r="Q4588" s="12" t="n"/>
      <c r="R4588" s="12" t="n"/>
      <c r="S4588" s="12" t="inlineStr">
        <is>
          <t>Tray / conduit</t>
        </is>
      </c>
      <c r="T4588" s="17" t="n">
        <v>92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I-I-0189</t>
        </is>
      </c>
      <c r="B4589" s="12" t="inlineStr">
        <is>
          <t>I</t>
        </is>
      </c>
      <c r="C4589" s="12" t="inlineStr">
        <is>
          <t>Modular / portable power</t>
        </is>
      </c>
      <c r="D4589" s="12" t="inlineStr">
        <is>
          <t>Home run JB-RICE 8 SCR + oxida-DI01 to the control / marshalling room</t>
        </is>
      </c>
      <c r="E4589" s="12" t="inlineStr"/>
      <c r="F4589" s="12" t="inlineStr">
        <is>
          <t>PCM: power control module</t>
        </is>
      </c>
      <c r="G4589" s="12" t="inlineStr">
        <is>
          <t>JB-RICE 8 SCR + oxida-DI01</t>
        </is>
      </c>
      <c r="H4589" s="12" t="inlineStr">
        <is>
          <t>RICE 8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7" t="n">
        <v>322</v>
      </c>
      <c r="U4589" s="17" t="n">
        <v>112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I-I-0190</t>
        </is>
      </c>
      <c r="B4590" s="12" t="inlineStr">
        <is>
          <t>I</t>
        </is>
      </c>
      <c r="C4590" s="12" t="inlineStr">
        <is>
          <t>Modular / portable power</t>
        </is>
      </c>
      <c r="D4590" s="12" t="inlineStr">
        <is>
          <t>Analog instrument to JB JB-RICE 8 radiators (-AI01: 5 x 1 pr (field cables)</t>
        </is>
      </c>
      <c r="E4590" s="12" t="inlineStr"/>
      <c r="F4590" s="12" t="inlineStr">
        <is>
          <t>RICE 8 radiators (5)</t>
        </is>
      </c>
      <c r="G4590" s="12" t="inlineStr">
        <is>
          <t>JB-RICE 8 radiators (-AI01</t>
        </is>
      </c>
      <c r="H4590" s="12" t="inlineStr">
        <is>
          <t>RICE 8 radiators (5)</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5</v>
      </c>
      <c r="O4590" s="12" t="n">
        <v>1</v>
      </c>
      <c r="P4590" s="12" t="n"/>
      <c r="Q4590" s="12" t="n"/>
      <c r="R4590" s="12" t="n"/>
      <c r="S4590" s="12" t="inlineStr">
        <is>
          <t>Tray / conduit</t>
        </is>
      </c>
      <c r="T4590" s="17" t="n">
        <v>80</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I-I-0191</t>
        </is>
      </c>
      <c r="B4591" s="12" t="inlineStr">
        <is>
          <t>I</t>
        </is>
      </c>
      <c r="C4591" s="12" t="inlineStr">
        <is>
          <t>Modular / portable power</t>
        </is>
      </c>
      <c r="D4591" s="12" t="inlineStr">
        <is>
          <t>Home run JB-RICE 8 radiators (-AI01 to the control / marshalling room</t>
        </is>
      </c>
      <c r="E4591" s="12" t="inlineStr"/>
      <c r="F4591" s="12" t="inlineStr">
        <is>
          <t>PCM: power control module</t>
        </is>
      </c>
      <c r="G4591" s="12" t="inlineStr">
        <is>
          <t>JB-RICE 8 radiators (-AI01</t>
        </is>
      </c>
      <c r="H4591" s="12" t="inlineStr">
        <is>
          <t>RICE 8 radiators (5)</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Tray</t>
        </is>
      </c>
      <c r="T4591" s="17" t="n">
        <v>0</v>
      </c>
      <c r="U4591" s="17" t="n">
        <v>94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I-I-0192</t>
        </is>
      </c>
      <c r="B4592" s="12" t="inlineStr">
        <is>
          <t>I</t>
        </is>
      </c>
      <c r="C4592" s="12" t="inlineStr">
        <is>
          <t>Modular / portable power</t>
        </is>
      </c>
      <c r="D4592" s="12" t="inlineStr">
        <is>
          <t>Discrete device to JB JB-RICE 8 radiators (-DI01: 10 x 1 pr (field cables)</t>
        </is>
      </c>
      <c r="E4592" s="12" t="inlineStr"/>
      <c r="F4592" s="12" t="inlineStr">
        <is>
          <t>RICE 8 radiators (5)</t>
        </is>
      </c>
      <c r="G4592" s="12" t="inlineStr">
        <is>
          <t>JB-RICE 8 radiators (-DI01</t>
        </is>
      </c>
      <c r="H4592" s="12" t="inlineStr">
        <is>
          <t>RICE 8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80</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I-I-0193</t>
        </is>
      </c>
      <c r="B4593" s="12" t="inlineStr">
        <is>
          <t>I</t>
        </is>
      </c>
      <c r="C4593" s="12" t="inlineStr">
        <is>
          <t>Modular / portable power</t>
        </is>
      </c>
      <c r="D4593" s="12" t="inlineStr">
        <is>
          <t>Home run JB-RICE 8 radiators (-DI01 to the control / marshalling room</t>
        </is>
      </c>
      <c r="E4593" s="12" t="inlineStr"/>
      <c r="F4593" s="12" t="inlineStr">
        <is>
          <t>PCM: power control module</t>
        </is>
      </c>
      <c r="G4593" s="12" t="inlineStr">
        <is>
          <t>JB-RICE 8 radiators (-DI01</t>
        </is>
      </c>
      <c r="H4593" s="12" t="inlineStr">
        <is>
          <t>RICE 8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Tray</t>
        </is>
      </c>
      <c r="T4593" s="17" t="n">
        <v>0</v>
      </c>
      <c r="U4593" s="17" t="n">
        <v>94</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I-I-0194</t>
        </is>
      </c>
      <c r="B4594" s="12" t="inlineStr">
        <is>
          <t>I</t>
        </is>
      </c>
      <c r="C4594" s="12" t="inlineStr">
        <is>
          <t>Modular / portable power</t>
        </is>
      </c>
      <c r="D4594" s="12" t="inlineStr">
        <is>
          <t>Instrumentation</t>
        </is>
      </c>
      <c r="E4594" s="12" t="inlineStr"/>
      <c r="F4594" s="12" t="inlineStr">
        <is>
          <t>PCM: power control module</t>
        </is>
      </c>
      <c r="G4594" s="12" t="inlineStr">
        <is>
          <t>RICE</t>
        </is>
      </c>
      <c r="H4594" s="12" t="inlineStr">
        <is>
          <t>RICE engine hall (8 engines)</t>
        </is>
      </c>
      <c r="I4594" s="12" t="inlineStr">
        <is>
          <t>Instrumentation</t>
        </is>
      </c>
      <c r="J4594" s="12" t="inlineStr">
        <is>
          <t>Instrumentation PLTC / TC-ER 300 V, #18 twisted shielded pairs, overall shield</t>
        </is>
      </c>
      <c r="K4594" s="12" t="inlineStr">
        <is>
          <t>PLTC|4 pr|18</t>
        </is>
      </c>
      <c r="L4594" s="12" t="inlineStr">
        <is>
          <t>4 pr</t>
        </is>
      </c>
      <c r="M4594" s="12" t="inlineStr">
        <is>
          <t>18</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I-I-0195</t>
        </is>
      </c>
      <c r="B4595" s="12" t="inlineStr">
        <is>
          <t>I</t>
        </is>
      </c>
      <c r="C4595" s="12" t="inlineStr">
        <is>
          <t>Modular / portable power</t>
        </is>
      </c>
      <c r="D4595" s="12" t="inlineStr">
        <is>
          <t>Instrumentation</t>
        </is>
      </c>
      <c r="E4595" s="12" t="inlineStr"/>
      <c r="F4595" s="12" t="inlineStr">
        <is>
          <t>PCM: power control module</t>
        </is>
      </c>
      <c r="G4595" s="12" t="inlineStr">
        <is>
          <t>RICE</t>
        </is>
      </c>
      <c r="H4595" s="12" t="inlineStr">
        <is>
          <t>RICE engine hall (8 engines)</t>
        </is>
      </c>
      <c r="I4595" s="12" t="inlineStr">
        <is>
          <t>Instrumentation</t>
        </is>
      </c>
      <c r="J4595" s="12" t="inlineStr">
        <is>
          <t>Instrumentation PLTC / TC-ER 300 V, #18 twisted shielded pairs, overall shield</t>
        </is>
      </c>
      <c r="K4595" s="12" t="inlineStr">
        <is>
          <t>PLTC|4 pr|18</t>
        </is>
      </c>
      <c r="L4595" s="12" t="inlineStr">
        <is>
          <t>4 pr</t>
        </is>
      </c>
      <c r="M4595" s="12" t="inlineStr">
        <is>
          <t>18</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I-I-0196</t>
        </is>
      </c>
      <c r="B4596" s="12" t="inlineStr">
        <is>
          <t>I</t>
        </is>
      </c>
      <c r="C4596" s="12" t="inlineStr">
        <is>
          <t>Modular / portable power</t>
        </is>
      </c>
      <c r="D4596" s="12" t="inlineStr">
        <is>
          <t>Instrumentation</t>
        </is>
      </c>
      <c r="E4596" s="12" t="inlineStr"/>
      <c r="F4596" s="12" t="inlineStr">
        <is>
          <t>PCM: power control module</t>
        </is>
      </c>
      <c r="G4596" s="12" t="inlineStr">
        <is>
          <t>RICE</t>
        </is>
      </c>
      <c r="H4596" s="12" t="inlineStr">
        <is>
          <t>RICE engine hall (8 engines)</t>
        </is>
      </c>
      <c r="I4596" s="12" t="inlineStr">
        <is>
          <t>Instrumentation</t>
        </is>
      </c>
      <c r="J4596" s="12" t="inlineStr">
        <is>
          <t>Instrumentation PLTC / TC-ER 300 V, #18 twisted shielded pairs, overall shield</t>
        </is>
      </c>
      <c r="K4596" s="12" t="inlineStr">
        <is>
          <t>PLTC|12 pr|18</t>
        </is>
      </c>
      <c r="L4596" s="12" t="inlineStr">
        <is>
          <t>12 pr</t>
        </is>
      </c>
      <c r="M4596" s="12" t="inlineStr">
        <is>
          <t>18</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I-I-0197</t>
        </is>
      </c>
      <c r="B4597" s="12" t="inlineStr">
        <is>
          <t>I</t>
        </is>
      </c>
      <c r="C4597" s="12" t="inlineStr">
        <is>
          <t>Modular / portable power</t>
        </is>
      </c>
      <c r="D4597" s="12" t="inlineStr">
        <is>
          <t>Instrumentation</t>
        </is>
      </c>
      <c r="E4597" s="12" t="inlineStr"/>
      <c r="F4597" s="12" t="inlineStr">
        <is>
          <t>PCM: power control module</t>
        </is>
      </c>
      <c r="G4597" s="12" t="inlineStr">
        <is>
          <t>RICE</t>
        </is>
      </c>
      <c r="H4597" s="12" t="inlineStr">
        <is>
          <t>RICE engine hall (8 engines)</t>
        </is>
      </c>
      <c r="I4597" s="12" t="inlineStr">
        <is>
          <t>Instrumentation</t>
        </is>
      </c>
      <c r="J4597" s="12" t="inlineStr">
        <is>
          <t>Instrumentation PLTC / TC-ER 300 V, #18 twisted shielded pairs, overall shield</t>
        </is>
      </c>
      <c r="K4597" s="12" t="inlineStr">
        <is>
          <t>PLTC|12 pr|18</t>
        </is>
      </c>
      <c r="L4597" s="12" t="inlineStr">
        <is>
          <t>12 pr</t>
        </is>
      </c>
      <c r="M4597" s="12" t="inlineStr">
        <is>
          <t>18</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I-I-0198</t>
        </is>
      </c>
      <c r="B4598" s="12" t="inlineStr">
        <is>
          <t>I</t>
        </is>
      </c>
      <c r="C4598" s="12" t="inlineStr">
        <is>
          <t>Modular / portable power</t>
        </is>
      </c>
      <c r="D4598" s="12" t="inlineStr">
        <is>
          <t>Instrumentation</t>
        </is>
      </c>
      <c r="E4598" s="12" t="inlineStr"/>
      <c r="F4598" s="12" t="inlineStr">
        <is>
          <t>PCM: power control module</t>
        </is>
      </c>
      <c r="G4598" s="12" t="inlineStr">
        <is>
          <t>RICE</t>
        </is>
      </c>
      <c r="H4598" s="12" t="inlineStr">
        <is>
          <t>RICE engine hall (8 engines)</t>
        </is>
      </c>
      <c r="I4598" s="12" t="inlineStr">
        <is>
          <t>Instrumentation</t>
        </is>
      </c>
      <c r="J4598" s="12" t="inlineStr">
        <is>
          <t>Instrumentation PLTC / TC-ER 300 V, #18 twisted shielded pairs, overall shield</t>
        </is>
      </c>
      <c r="K4598" s="12" t="inlineStr">
        <is>
          <t>PLTC|12 pr|18</t>
        </is>
      </c>
      <c r="L4598" s="12" t="inlineStr">
        <is>
          <t>12 pr</t>
        </is>
      </c>
      <c r="M4598" s="12" t="inlineStr">
        <is>
          <t>18</t>
        </is>
      </c>
      <c r="N4598" s="12" t="n">
        <v>1</v>
      </c>
      <c r="O4598" s="12" t="n">
        <v>1</v>
      </c>
      <c r="P4598" s="12" t="n"/>
      <c r="Q4598" s="12" t="n"/>
      <c r="R4598" s="12" t="n"/>
      <c r="S4598" s="12" t="inlineStr">
        <is>
          <t>Duct bank</t>
        </is>
      </c>
      <c r="T4598" s="17" t="n">
        <v>367</v>
      </c>
      <c r="U4598" s="17" t="n">
        <v>95</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I-I-0199</t>
        </is>
      </c>
      <c r="B4599" s="12" t="inlineStr">
        <is>
          <t>I</t>
        </is>
      </c>
      <c r="C4599" s="12" t="inlineStr">
        <is>
          <t>Modular / portable power</t>
        </is>
      </c>
      <c r="D4599" s="12" t="inlineStr">
        <is>
          <t>Instrumentation</t>
        </is>
      </c>
      <c r="E4599" s="12" t="inlineStr"/>
      <c r="F4599" s="12" t="inlineStr">
        <is>
          <t>PCM: power control module</t>
        </is>
      </c>
      <c r="G4599" s="12" t="inlineStr">
        <is>
          <t>RICE</t>
        </is>
      </c>
      <c r="H4599" s="12" t="inlineStr">
        <is>
          <t>RICE engine hall (8 engines)</t>
        </is>
      </c>
      <c r="I4599" s="12" t="inlineStr">
        <is>
          <t>Instrumentation</t>
        </is>
      </c>
      <c r="J4599" s="12" t="inlineStr">
        <is>
          <t>Instrumentation PLTC / TC-ER 300 V, #18 twisted shielded pairs, overall shield</t>
        </is>
      </c>
      <c r="K4599" s="12" t="inlineStr">
        <is>
          <t>PLTC|12 pr|18</t>
        </is>
      </c>
      <c r="L4599" s="12" t="inlineStr">
        <is>
          <t>12 pr</t>
        </is>
      </c>
      <c r="M4599" s="12" t="inlineStr">
        <is>
          <t>18</t>
        </is>
      </c>
      <c r="N4599" s="12" t="n">
        <v>1</v>
      </c>
      <c r="O4599" s="12" t="n">
        <v>1</v>
      </c>
      <c r="P4599" s="12" t="n"/>
      <c r="Q4599" s="12" t="n"/>
      <c r="R4599" s="12" t="n"/>
      <c r="S4599" s="12" t="inlineStr">
        <is>
          <t>Duct bank</t>
        </is>
      </c>
      <c r="T4599" s="17" t="n">
        <v>367</v>
      </c>
      <c r="U4599" s="17" t="n">
        <v>95</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I-I-0200</t>
        </is>
      </c>
      <c r="B4600" s="12" t="inlineStr">
        <is>
          <t>I</t>
        </is>
      </c>
      <c r="C4600" s="12" t="inlineStr">
        <is>
          <t>Modular / portable power</t>
        </is>
      </c>
      <c r="D4600" s="12" t="inlineStr">
        <is>
          <t>Instrumentation</t>
        </is>
      </c>
      <c r="E4600" s="12" t="inlineStr"/>
      <c r="F4600" s="12" t="inlineStr">
        <is>
          <t>PCM: power control module</t>
        </is>
      </c>
      <c r="G4600" s="12" t="inlineStr">
        <is>
          <t>RICE</t>
        </is>
      </c>
      <c r="H4600" s="12" t="inlineStr">
        <is>
          <t>RICE engine hall (8 engines)</t>
        </is>
      </c>
      <c r="I4600" s="12" t="inlineStr">
        <is>
          <t>Instrumentation</t>
        </is>
      </c>
      <c r="J4600" s="12" t="inlineStr">
        <is>
          <t>Instrumentation PLTC / TC-ER 300 V, #18 twisted shielded pairs, overall shield</t>
        </is>
      </c>
      <c r="K4600" s="12" t="inlineStr">
        <is>
          <t>PLTC|12 pr|18</t>
        </is>
      </c>
      <c r="L4600" s="12" t="inlineStr">
        <is>
          <t>12 pr</t>
        </is>
      </c>
      <c r="M4600" s="12" t="inlineStr">
        <is>
          <t>18</t>
        </is>
      </c>
      <c r="N4600" s="12" t="n">
        <v>1</v>
      </c>
      <c r="O4600" s="12" t="n">
        <v>1</v>
      </c>
      <c r="P4600" s="12" t="n"/>
      <c r="Q4600" s="12" t="n"/>
      <c r="R4600" s="12" t="n"/>
      <c r="S4600" s="12" t="inlineStr">
        <is>
          <t>Duct bank</t>
        </is>
      </c>
      <c r="T4600" s="17" t="n">
        <v>367</v>
      </c>
      <c r="U4600" s="17" t="n">
        <v>95</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I-I-0201</t>
        </is>
      </c>
      <c r="B4601" s="12" t="inlineStr">
        <is>
          <t>I</t>
        </is>
      </c>
      <c r="C4601" s="12" t="inlineStr">
        <is>
          <t>Modular / portable power</t>
        </is>
      </c>
      <c r="D4601" s="12" t="inlineStr">
        <is>
          <t>Instrumentation</t>
        </is>
      </c>
      <c r="E4601" s="12" t="inlineStr"/>
      <c r="F4601" s="12" t="inlineStr">
        <is>
          <t>PCM: power control module</t>
        </is>
      </c>
      <c r="G4601" s="12" t="inlineStr">
        <is>
          <t>RICE</t>
        </is>
      </c>
      <c r="H4601" s="12" t="inlineStr">
        <is>
          <t>RICE engine hall (8 engines)</t>
        </is>
      </c>
      <c r="I4601" s="12" t="inlineStr">
        <is>
          <t>Instrumentation</t>
        </is>
      </c>
      <c r="J4601" s="12" t="inlineStr">
        <is>
          <t>Instrumentation PLTC / TC-ER 300 V, #18 twisted shielded pairs, overall shield</t>
        </is>
      </c>
      <c r="K4601" s="12" t="inlineStr">
        <is>
          <t>PLTC|12 pr|18</t>
        </is>
      </c>
      <c r="L4601" s="12" t="inlineStr">
        <is>
          <t>12 pr</t>
        </is>
      </c>
      <c r="M4601" s="12" t="inlineStr">
        <is>
          <t>18</t>
        </is>
      </c>
      <c r="N4601" s="12" t="n">
        <v>1</v>
      </c>
      <c r="O4601" s="12" t="n">
        <v>1</v>
      </c>
      <c r="P4601" s="12" t="n"/>
      <c r="Q4601" s="12" t="n"/>
      <c r="R4601" s="12" t="n"/>
      <c r="S4601" s="12" t="inlineStr">
        <is>
          <t>Duct bank</t>
        </is>
      </c>
      <c r="T4601" s="17" t="n">
        <v>367</v>
      </c>
      <c r="U4601" s="17" t="n">
        <v>95</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I-I-0202</t>
        </is>
      </c>
      <c r="B4602" s="12" t="inlineStr">
        <is>
          <t>I</t>
        </is>
      </c>
      <c r="C4602" s="12" t="inlineStr">
        <is>
          <t>Modular / portable power</t>
        </is>
      </c>
      <c r="D4602" s="12" t="inlineStr">
        <is>
          <t>Instrumentation</t>
        </is>
      </c>
      <c r="E4602" s="12" t="inlineStr"/>
      <c r="F4602" s="12" t="inlineStr">
        <is>
          <t>PCM: power control module</t>
        </is>
      </c>
      <c r="G4602" s="12" t="inlineStr">
        <is>
          <t>RICE</t>
        </is>
      </c>
      <c r="H4602" s="12" t="inlineStr">
        <is>
          <t>RICE engine hall (8 engines)</t>
        </is>
      </c>
      <c r="I4602" s="12" t="inlineStr">
        <is>
          <t>Instrumentation</t>
        </is>
      </c>
      <c r="J4602" s="12" t="inlineStr">
        <is>
          <t>Instrumentation PLTC / TC-ER 300 V, #18 twisted shielded pairs, overall shield</t>
        </is>
      </c>
      <c r="K4602" s="12" t="inlineStr">
        <is>
          <t>PLTC|12 pr|18</t>
        </is>
      </c>
      <c r="L4602" s="12" t="inlineStr">
        <is>
          <t>12 pr</t>
        </is>
      </c>
      <c r="M4602" s="12" t="inlineStr">
        <is>
          <t>18</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I-I-0203</t>
        </is>
      </c>
      <c r="B4603" s="12" t="inlineStr">
        <is>
          <t>I</t>
        </is>
      </c>
      <c r="C4603" s="12" t="inlineStr">
        <is>
          <t>Modular / portable power</t>
        </is>
      </c>
      <c r="D4603" s="12" t="inlineStr">
        <is>
          <t>Instrumentation</t>
        </is>
      </c>
      <c r="E4603" s="12" t="inlineStr"/>
      <c r="F4603" s="12" t="inlineStr">
        <is>
          <t>PCM: power control module</t>
        </is>
      </c>
      <c r="G4603" s="12" t="inlineStr">
        <is>
          <t>RICE</t>
        </is>
      </c>
      <c r="H4603" s="12" t="inlineStr">
        <is>
          <t>RICE engine hall (8 engines)</t>
        </is>
      </c>
      <c r="I4603" s="12" t="inlineStr">
        <is>
          <t>Instrumentation</t>
        </is>
      </c>
      <c r="J4603" s="12" t="inlineStr">
        <is>
          <t>Instrumentation PLTC / TC-ER 300 V, #18 twisted shielded pairs, overall shield</t>
        </is>
      </c>
      <c r="K4603" s="12" t="inlineStr">
        <is>
          <t>PLTC|12 pr|18</t>
        </is>
      </c>
      <c r="L4603" s="12" t="inlineStr">
        <is>
          <t>12 pr</t>
        </is>
      </c>
      <c r="M4603" s="12" t="inlineStr">
        <is>
          <t>18</t>
        </is>
      </c>
      <c r="N4603" s="12" t="n">
        <v>1</v>
      </c>
      <c r="O4603" s="12" t="n">
        <v>1</v>
      </c>
      <c r="P4603" s="12" t="n"/>
      <c r="Q4603" s="12" t="n"/>
      <c r="R4603" s="12" t="n"/>
      <c r="S4603" s="12" t="inlineStr">
        <is>
          <t>Duct bank</t>
        </is>
      </c>
      <c r="T4603" s="17" t="n">
        <v>367</v>
      </c>
      <c r="U4603" s="17" t="n">
        <v>95</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I-I-0204</t>
        </is>
      </c>
      <c r="B4604" s="12" t="inlineStr">
        <is>
          <t>I</t>
        </is>
      </c>
      <c r="C4604" s="12" t="inlineStr">
        <is>
          <t>Modular / portable power</t>
        </is>
      </c>
      <c r="D4604" s="12" t="inlineStr">
        <is>
          <t>Thermocouples</t>
        </is>
      </c>
      <c r="E4604" s="12" t="inlineStr"/>
      <c r="F4604" s="12" t="inlineStr">
        <is>
          <t>PCM: power control module</t>
        </is>
      </c>
      <c r="G4604" s="12" t="inlineStr">
        <is>
          <t>RICE</t>
        </is>
      </c>
      <c r="H4604" s="12" t="inlineStr">
        <is>
          <t>RICE engine hall (8 engines)</t>
        </is>
      </c>
      <c r="I4604" s="12" t="inlineStr">
        <is>
          <t>Instrumentation</t>
        </is>
      </c>
      <c r="J4604" s="12" t="inlineStr">
        <is>
          <t>Thermocouple extension KX, #16 shielded pairs, PLTC</t>
        </is>
      </c>
      <c r="K4604" s="12" t="inlineStr">
        <is>
          <t>TCX|12 pr|16</t>
        </is>
      </c>
      <c r="L4604" s="12" t="inlineStr">
        <is>
          <t>12 pr</t>
        </is>
      </c>
      <c r="M4604" s="12" t="inlineStr">
        <is>
          <t>16</t>
        </is>
      </c>
      <c r="N4604" s="12" t="n">
        <v>1</v>
      </c>
      <c r="O4604" s="12" t="n">
        <v>1</v>
      </c>
      <c r="P4604" s="12" t="n"/>
      <c r="Q4604" s="12" t="n"/>
      <c r="R4604" s="12" t="n"/>
      <c r="S4604" s="12" t="inlineStr">
        <is>
          <t>Duct bank</t>
        </is>
      </c>
      <c r="T4604" s="17" t="n">
        <v>367</v>
      </c>
      <c r="U4604" s="17" t="n">
        <v>95</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I-I-0205</t>
        </is>
      </c>
      <c r="B4605" s="12" t="inlineStr">
        <is>
          <t>I</t>
        </is>
      </c>
      <c r="C4605" s="12" t="inlineStr">
        <is>
          <t>Modular / portable power</t>
        </is>
      </c>
      <c r="D4605" s="12" t="inlineStr">
        <is>
          <t>Thermocouples</t>
        </is>
      </c>
      <c r="E4605" s="12" t="inlineStr"/>
      <c r="F4605" s="12" t="inlineStr">
        <is>
          <t>PCM: power control module</t>
        </is>
      </c>
      <c r="G4605" s="12" t="inlineStr">
        <is>
          <t>RICE</t>
        </is>
      </c>
      <c r="H4605" s="12" t="inlineStr">
        <is>
          <t>RICE engine hall (8 engines)</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7" t="n">
        <v>367</v>
      </c>
      <c r="U4605" s="17" t="n">
        <v>95</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I-I-0206</t>
        </is>
      </c>
      <c r="B4606" s="12" t="inlineStr">
        <is>
          <t>I</t>
        </is>
      </c>
      <c r="C4606" s="12" t="inlineStr">
        <is>
          <t>Modular / portable power</t>
        </is>
      </c>
      <c r="D4606" s="12" t="inlineStr">
        <is>
          <t>Thermocouples</t>
        </is>
      </c>
      <c r="E4606" s="12" t="inlineStr"/>
      <c r="F4606" s="12" t="inlineStr">
        <is>
          <t>PCM: power control module</t>
        </is>
      </c>
      <c r="G4606" s="12" t="inlineStr">
        <is>
          <t>RICE</t>
        </is>
      </c>
      <c r="H4606" s="12" t="inlineStr">
        <is>
          <t>RICE engine hall (8 engines)</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7" t="n">
        <v>367</v>
      </c>
      <c r="U4606" s="17" t="n">
        <v>95</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I-I-0207</t>
        </is>
      </c>
      <c r="B4607" s="12" t="inlineStr">
        <is>
          <t>I</t>
        </is>
      </c>
      <c r="C4607" s="12" t="inlineStr">
        <is>
          <t>Modular / portable power</t>
        </is>
      </c>
      <c r="D4607" s="12" t="inlineStr">
        <is>
          <t>Thermocouples</t>
        </is>
      </c>
      <c r="E4607" s="12" t="inlineStr"/>
      <c r="F4607" s="12" t="inlineStr">
        <is>
          <t>PCM: power control module</t>
        </is>
      </c>
      <c r="G4607" s="12" t="inlineStr">
        <is>
          <t>RICE</t>
        </is>
      </c>
      <c r="H4607" s="12" t="inlineStr">
        <is>
          <t>RICE engine hall (8 engines)</t>
        </is>
      </c>
      <c r="I4607" s="12" t="inlineStr">
        <is>
          <t>Instrumentation</t>
        </is>
      </c>
      <c r="J4607" s="12" t="inlineStr">
        <is>
          <t>Thermocouple extension KX, #16 shielded pairs, PLTC</t>
        </is>
      </c>
      <c r="K4607" s="12" t="inlineStr">
        <is>
          <t>TCX|12 pr|16</t>
        </is>
      </c>
      <c r="L4607" s="12" t="inlineStr">
        <is>
          <t>12 pr</t>
        </is>
      </c>
      <c r="M4607" s="12" t="inlineStr">
        <is>
          <t>16</t>
        </is>
      </c>
      <c r="N4607" s="12" t="n">
        <v>1</v>
      </c>
      <c r="O4607" s="12" t="n">
        <v>1</v>
      </c>
      <c r="P4607" s="12" t="n"/>
      <c r="Q4607" s="12" t="n"/>
      <c r="R4607" s="12" t="n"/>
      <c r="S4607" s="12" t="inlineStr">
        <is>
          <t>Duct bank</t>
        </is>
      </c>
      <c r="T4607" s="17" t="n">
        <v>367</v>
      </c>
      <c r="U4607" s="17" t="n">
        <v>95</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I-I-0208</t>
        </is>
      </c>
      <c r="B4608" s="12" t="inlineStr">
        <is>
          <t>I</t>
        </is>
      </c>
      <c r="C4608" s="12" t="inlineStr">
        <is>
          <t>Modular / portable power</t>
        </is>
      </c>
      <c r="D4608" s="12" t="inlineStr">
        <is>
          <t>Thermocouples</t>
        </is>
      </c>
      <c r="E4608" s="12" t="inlineStr"/>
      <c r="F4608" s="12" t="inlineStr">
        <is>
          <t>PCM: power control module</t>
        </is>
      </c>
      <c r="G4608" s="12" t="inlineStr">
        <is>
          <t>RICE</t>
        </is>
      </c>
      <c r="H4608" s="12" t="inlineStr">
        <is>
          <t>RICE engine hall (8 engines)</t>
        </is>
      </c>
      <c r="I4608" s="12" t="inlineStr">
        <is>
          <t>Instrumentation</t>
        </is>
      </c>
      <c r="J4608" s="12" t="inlineStr">
        <is>
          <t>Thermocouple extension KX, #16 shielded pairs, PLTC</t>
        </is>
      </c>
      <c r="K4608" s="12" t="inlineStr">
        <is>
          <t>TCX|12 pr|16</t>
        </is>
      </c>
      <c r="L4608" s="12" t="inlineStr">
        <is>
          <t>12 pr</t>
        </is>
      </c>
      <c r="M4608" s="12" t="inlineStr">
        <is>
          <t>16</t>
        </is>
      </c>
      <c r="N4608" s="12" t="n">
        <v>1</v>
      </c>
      <c r="O4608" s="12" t="n">
        <v>1</v>
      </c>
      <c r="P4608" s="12" t="n"/>
      <c r="Q4608" s="12" t="n"/>
      <c r="R4608" s="12" t="n"/>
      <c r="S4608" s="12" t="inlineStr">
        <is>
          <t>Duct bank</t>
        </is>
      </c>
      <c r="T4608" s="17" t="n">
        <v>367</v>
      </c>
      <c r="U4608" s="17" t="n">
        <v>95</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I-I-0209</t>
        </is>
      </c>
      <c r="B4609" s="12" t="inlineStr">
        <is>
          <t>I</t>
        </is>
      </c>
      <c r="C4609" s="12" t="inlineStr">
        <is>
          <t>Modular / portable power</t>
        </is>
      </c>
      <c r="D4609" s="12" t="inlineStr">
        <is>
          <t>Thermocouples</t>
        </is>
      </c>
      <c r="E4609" s="12" t="inlineStr"/>
      <c r="F4609" s="12" t="inlineStr">
        <is>
          <t>PCM: power control module</t>
        </is>
      </c>
      <c r="G4609" s="12" t="inlineStr">
        <is>
          <t>RICE</t>
        </is>
      </c>
      <c r="H4609" s="12" t="inlineStr">
        <is>
          <t>RICE engine hall (8 engines)</t>
        </is>
      </c>
      <c r="I4609" s="12" t="inlineStr">
        <is>
          <t>Instrumentation</t>
        </is>
      </c>
      <c r="J4609" s="12" t="inlineStr">
        <is>
          <t>Thermocouple extension KX, #16 shielded pairs, PLTC</t>
        </is>
      </c>
      <c r="K4609" s="12" t="inlineStr">
        <is>
          <t>TCX|12 pr|16</t>
        </is>
      </c>
      <c r="L4609" s="12" t="inlineStr">
        <is>
          <t>12 pr</t>
        </is>
      </c>
      <c r="M4609" s="12" t="inlineStr">
        <is>
          <t>16</t>
        </is>
      </c>
      <c r="N4609" s="12" t="n">
        <v>1</v>
      </c>
      <c r="O4609" s="12" t="n">
        <v>1</v>
      </c>
      <c r="P4609" s="12" t="n"/>
      <c r="Q4609" s="12" t="n"/>
      <c r="R4609" s="12" t="n"/>
      <c r="S4609" s="12" t="inlineStr">
        <is>
          <t>Duct bank</t>
        </is>
      </c>
      <c r="T4609" s="17" t="n">
        <v>367</v>
      </c>
      <c r="U4609" s="17" t="n">
        <v>95</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I-I-0210</t>
        </is>
      </c>
      <c r="B4610" s="12" t="inlineStr">
        <is>
          <t>I</t>
        </is>
      </c>
      <c r="C4610" s="12" t="inlineStr">
        <is>
          <t>Modular / portable power</t>
        </is>
      </c>
      <c r="D4610" s="12" t="inlineStr">
        <is>
          <t>Analog instrument to JB JB-RICE-1-AI01: 20 x 1 pr (field cables)</t>
        </is>
      </c>
      <c r="E4610" s="12" t="inlineStr">
        <is>
          <t>RICE-1</t>
        </is>
      </c>
      <c r="F4610" s="12" t="inlineStr">
        <is>
          <t>RICE engine-generator 1</t>
        </is>
      </c>
      <c r="G4610" s="12" t="inlineStr">
        <is>
          <t>JB-RICE-1-AI01</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I-I-0211</t>
        </is>
      </c>
      <c r="B4611" s="12" t="inlineStr">
        <is>
          <t>I</t>
        </is>
      </c>
      <c r="C4611" s="12" t="inlineStr">
        <is>
          <t>Modular / portable power</t>
        </is>
      </c>
      <c r="D4611" s="12" t="inlineStr">
        <is>
          <t>Home run JB-RICE-1-AI01 to the control / marshalling room</t>
        </is>
      </c>
      <c r="E4611" s="12" t="inlineStr"/>
      <c r="F4611" s="12" t="inlineStr">
        <is>
          <t>PCM: power control module</t>
        </is>
      </c>
      <c r="G4611" s="12" t="inlineStr">
        <is>
          <t>JB-RICE-1-AI01</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I-I-0212</t>
        </is>
      </c>
      <c r="B4612" s="12" t="inlineStr">
        <is>
          <t>I</t>
        </is>
      </c>
      <c r="C4612" s="12" t="inlineStr">
        <is>
          <t>Modular / portable power</t>
        </is>
      </c>
      <c r="D4612" s="12" t="inlineStr">
        <is>
          <t>Analog instrument to JB JB-RICE-1-AI02: 20 x 1 pr (field cables)</t>
        </is>
      </c>
      <c r="E4612" s="12" t="inlineStr">
        <is>
          <t>RICE-1</t>
        </is>
      </c>
      <c r="F4612" s="12" t="inlineStr">
        <is>
          <t>RICE engine-generator 1</t>
        </is>
      </c>
      <c r="G4612" s="12" t="inlineStr">
        <is>
          <t>JB-RICE-1-AI02</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I-I-0213</t>
        </is>
      </c>
      <c r="B4613" s="12" t="inlineStr">
        <is>
          <t>I</t>
        </is>
      </c>
      <c r="C4613" s="12" t="inlineStr">
        <is>
          <t>Modular / portable power</t>
        </is>
      </c>
      <c r="D4613" s="12" t="inlineStr">
        <is>
          <t>Home run JB-RICE-1-AI02 to the control / marshalling room</t>
        </is>
      </c>
      <c r="E4613" s="12" t="inlineStr"/>
      <c r="F4613" s="12" t="inlineStr">
        <is>
          <t>PCM: power control module</t>
        </is>
      </c>
      <c r="G4613" s="12" t="inlineStr">
        <is>
          <t>JB-RICE-1-AI02</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I-I-0214</t>
        </is>
      </c>
      <c r="B4614" s="12" t="inlineStr">
        <is>
          <t>I</t>
        </is>
      </c>
      <c r="C4614" s="12" t="inlineStr">
        <is>
          <t>Modular / portable power</t>
        </is>
      </c>
      <c r="D4614" s="12" t="inlineStr">
        <is>
          <t>Analog instrument to JB JB-RICE-1-AI03: 20 x 1 pr (field cables)</t>
        </is>
      </c>
      <c r="E4614" s="12" t="inlineStr">
        <is>
          <t>RICE-1</t>
        </is>
      </c>
      <c r="F4614" s="12" t="inlineStr">
        <is>
          <t>RICE engine-generator 1</t>
        </is>
      </c>
      <c r="G4614" s="12" t="inlineStr">
        <is>
          <t>JB-RICE-1-AI03</t>
        </is>
      </c>
      <c r="H4614" s="12" t="inlineStr">
        <is>
          <t>RICE engine-generator 1</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I-I-0215</t>
        </is>
      </c>
      <c r="B4615" s="12" t="inlineStr">
        <is>
          <t>I</t>
        </is>
      </c>
      <c r="C4615" s="12" t="inlineStr">
        <is>
          <t>Modular / portable power</t>
        </is>
      </c>
      <c r="D4615" s="12" t="inlineStr">
        <is>
          <t>Home run JB-RICE-1-AI03 to the control / marshalling room</t>
        </is>
      </c>
      <c r="E4615" s="12" t="inlineStr"/>
      <c r="F4615" s="12" t="inlineStr">
        <is>
          <t>PCM: power control module</t>
        </is>
      </c>
      <c r="G4615" s="12" t="inlineStr">
        <is>
          <t>JB-RICE-1-AI03</t>
        </is>
      </c>
      <c r="H4615" s="12" t="inlineStr">
        <is>
          <t>RICE engine-generator 1</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I-I-0216</t>
        </is>
      </c>
      <c r="B4616" s="12" t="inlineStr">
        <is>
          <t>I</t>
        </is>
      </c>
      <c r="C4616" s="12" t="inlineStr">
        <is>
          <t>Modular / portable power</t>
        </is>
      </c>
      <c r="D4616" s="12" t="inlineStr">
        <is>
          <t>Analog instrument to JB JB-RICE-1-AI04: 20 x 1 pr (field cables)</t>
        </is>
      </c>
      <c r="E4616" s="12" t="inlineStr">
        <is>
          <t>RICE-1</t>
        </is>
      </c>
      <c r="F4616" s="12" t="inlineStr">
        <is>
          <t>RICE engine-generator 1</t>
        </is>
      </c>
      <c r="G4616" s="12" t="inlineStr">
        <is>
          <t>JB-RICE-1-AI04</t>
        </is>
      </c>
      <c r="H4616" s="12" t="inlineStr">
        <is>
          <t>RICE engine-generator 1</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I-I-0217</t>
        </is>
      </c>
      <c r="B4617" s="12" t="inlineStr">
        <is>
          <t>I</t>
        </is>
      </c>
      <c r="C4617" s="12" t="inlineStr">
        <is>
          <t>Modular / portable power</t>
        </is>
      </c>
      <c r="D4617" s="12" t="inlineStr">
        <is>
          <t>Home run JB-RICE-1-AI04 to the control / marshalling room</t>
        </is>
      </c>
      <c r="E4617" s="12" t="inlineStr"/>
      <c r="F4617" s="12" t="inlineStr">
        <is>
          <t>PCM: power control module</t>
        </is>
      </c>
      <c r="G4617" s="12" t="inlineStr">
        <is>
          <t>JB-RICE-1-AI04</t>
        </is>
      </c>
      <c r="H4617" s="12" t="inlineStr">
        <is>
          <t>RICE engine-generator 1</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I-I-0218</t>
        </is>
      </c>
      <c r="B4618" s="12" t="inlineStr">
        <is>
          <t>I</t>
        </is>
      </c>
      <c r="C4618" s="12" t="inlineStr">
        <is>
          <t>Modular / portable power</t>
        </is>
      </c>
      <c r="D4618" s="12" t="inlineStr">
        <is>
          <t>Discrete device to JB JB-RICE-1-DI01: 20 x 1 pr (field cables)</t>
        </is>
      </c>
      <c r="E4618" s="12" t="inlineStr">
        <is>
          <t>RICE-1</t>
        </is>
      </c>
      <c r="F4618" s="12" t="inlineStr">
        <is>
          <t>RICE engine-generator 1</t>
        </is>
      </c>
      <c r="G4618" s="12" t="inlineStr">
        <is>
          <t>JB-RICE-1-DI01</t>
        </is>
      </c>
      <c r="H4618" s="12" t="inlineStr">
        <is>
          <t>RICE engine-generator 1</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I-I-0219</t>
        </is>
      </c>
      <c r="B4619" s="12" t="inlineStr">
        <is>
          <t>I</t>
        </is>
      </c>
      <c r="C4619" s="12" t="inlineStr">
        <is>
          <t>Modular / portable power</t>
        </is>
      </c>
      <c r="D4619" s="12" t="inlineStr">
        <is>
          <t>Home run JB-RICE-1-DI01 to the control / marshalling room</t>
        </is>
      </c>
      <c r="E4619" s="12" t="inlineStr"/>
      <c r="F4619" s="12" t="inlineStr">
        <is>
          <t>PCM: power control module</t>
        </is>
      </c>
      <c r="G4619" s="12" t="inlineStr">
        <is>
          <t>JB-RICE-1-DI01</t>
        </is>
      </c>
      <c r="H4619" s="12" t="inlineStr">
        <is>
          <t>RICE engine-generator 1</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I-I-0220</t>
        </is>
      </c>
      <c r="B4620" s="12" t="inlineStr">
        <is>
          <t>I</t>
        </is>
      </c>
      <c r="C4620" s="12" t="inlineStr">
        <is>
          <t>Modular / portable power</t>
        </is>
      </c>
      <c r="D4620" s="12" t="inlineStr">
        <is>
          <t>Discrete device to JB JB-RICE-1-DI02: 20 x 1 pr (field cables)</t>
        </is>
      </c>
      <c r="E4620" s="12" t="inlineStr">
        <is>
          <t>RICE-1</t>
        </is>
      </c>
      <c r="F4620" s="12" t="inlineStr">
        <is>
          <t>RICE engine-generator 1</t>
        </is>
      </c>
      <c r="G4620" s="12" t="inlineStr">
        <is>
          <t>JB-RICE-1-DI02</t>
        </is>
      </c>
      <c r="H4620" s="12" t="inlineStr">
        <is>
          <t>RICE engine-generator 1</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I-I-0221</t>
        </is>
      </c>
      <c r="B4621" s="12" t="inlineStr">
        <is>
          <t>I</t>
        </is>
      </c>
      <c r="C4621" s="12" t="inlineStr">
        <is>
          <t>Modular / portable power</t>
        </is>
      </c>
      <c r="D4621" s="12" t="inlineStr">
        <is>
          <t>Home run JB-RICE-1-DI02 to the control / marshalling room</t>
        </is>
      </c>
      <c r="E4621" s="12" t="inlineStr"/>
      <c r="F4621" s="12" t="inlineStr">
        <is>
          <t>PCM: power control module</t>
        </is>
      </c>
      <c r="G4621" s="12" t="inlineStr">
        <is>
          <t>JB-RICE-1-DI02</t>
        </is>
      </c>
      <c r="H4621" s="12" t="inlineStr">
        <is>
          <t>RICE engine-generator 1</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137</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I-I-0222</t>
        </is>
      </c>
      <c r="B4622" s="12" t="inlineStr">
        <is>
          <t>I</t>
        </is>
      </c>
      <c r="C4622" s="12" t="inlineStr">
        <is>
          <t>Modular / portable power</t>
        </is>
      </c>
      <c r="D4622" s="12" t="inlineStr">
        <is>
          <t>Discrete device to JB JB-RICE-1-DI03: 20 x 1 pr (field cables)</t>
        </is>
      </c>
      <c r="E4622" s="12" t="inlineStr">
        <is>
          <t>RICE-1</t>
        </is>
      </c>
      <c r="F4622" s="12" t="inlineStr">
        <is>
          <t>RICE engine-generator 1</t>
        </is>
      </c>
      <c r="G4622" s="12" t="inlineStr">
        <is>
          <t>JB-RICE-1-DI03</t>
        </is>
      </c>
      <c r="H4622" s="12" t="inlineStr">
        <is>
          <t>RICE engine-generator 1</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I-I-0223</t>
        </is>
      </c>
      <c r="B4623" s="12" t="inlineStr">
        <is>
          <t>I</t>
        </is>
      </c>
      <c r="C4623" s="12" t="inlineStr">
        <is>
          <t>Modular / portable power</t>
        </is>
      </c>
      <c r="D4623" s="12" t="inlineStr">
        <is>
          <t>Home run JB-RICE-1-DI03 to the control / marshalling room</t>
        </is>
      </c>
      <c r="E4623" s="12" t="inlineStr"/>
      <c r="F4623" s="12" t="inlineStr">
        <is>
          <t>PCM: power control module</t>
        </is>
      </c>
      <c r="G4623" s="12" t="inlineStr">
        <is>
          <t>JB-RICE-1-DI03</t>
        </is>
      </c>
      <c r="H4623" s="12" t="inlineStr">
        <is>
          <t>RICE engine-generator 1</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I-I-0224</t>
        </is>
      </c>
      <c r="B4624" s="12" t="inlineStr">
        <is>
          <t>I</t>
        </is>
      </c>
      <c r="C4624" s="12" t="inlineStr">
        <is>
          <t>Modular / portable power</t>
        </is>
      </c>
      <c r="D4624" s="12" t="inlineStr">
        <is>
          <t>Thermocouple to TC JB JB-RICE-1-TC01: 20 x 1 pr (field cables)</t>
        </is>
      </c>
      <c r="E4624" s="12" t="inlineStr">
        <is>
          <t>RICE-1</t>
        </is>
      </c>
      <c r="F4624" s="12" t="inlineStr">
        <is>
          <t>RICE engine-generator 1</t>
        </is>
      </c>
      <c r="G4624" s="12" t="inlineStr">
        <is>
          <t>JB-RICE-1-TC01</t>
        </is>
      </c>
      <c r="H4624" s="12" t="inlineStr">
        <is>
          <t>RICE engine-generator 1</t>
        </is>
      </c>
      <c r="I4624" s="12" t="inlineStr">
        <is>
          <t>Instrumentation</t>
        </is>
      </c>
      <c r="J4624" s="12" t="inlineStr">
        <is>
          <t>Thermocouple extension KX, #16 shielded pairs, PLTC</t>
        </is>
      </c>
      <c r="K4624" s="12" t="inlineStr">
        <is>
          <t>TCX|1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I-I-0225</t>
        </is>
      </c>
      <c r="B4625" s="12" t="inlineStr">
        <is>
          <t>I</t>
        </is>
      </c>
      <c r="C4625" s="12" t="inlineStr">
        <is>
          <t>Modular / portable power</t>
        </is>
      </c>
      <c r="D4625" s="12" t="inlineStr">
        <is>
          <t>Home run JB-RICE-1-TC01 to the control / marshalling room</t>
        </is>
      </c>
      <c r="E4625" s="12" t="inlineStr"/>
      <c r="F4625" s="12" t="inlineStr">
        <is>
          <t>PCM: power control module</t>
        </is>
      </c>
      <c r="G4625" s="12" t="inlineStr">
        <is>
          <t>JB-RICE-1-TC01</t>
        </is>
      </c>
      <c r="H4625" s="12" t="inlineStr">
        <is>
          <t>RICE engine-generator 1</t>
        </is>
      </c>
      <c r="I4625" s="12" t="inlineStr">
        <is>
          <t>Instrumentation</t>
        </is>
      </c>
      <c r="J4625" s="12" t="inlineStr">
        <is>
          <t>Thermocouple extension KX, #16 shielded pairs, PLTC</t>
        </is>
      </c>
      <c r="K4625" s="12" t="inlineStr">
        <is>
          <t>TCX|24 pr|16</t>
        </is>
      </c>
      <c r="L4625" s="12" t="inlineStr">
        <is>
          <t>24 pr</t>
        </is>
      </c>
      <c r="M4625" s="12" t="inlineStr">
        <is>
          <t>16</t>
        </is>
      </c>
      <c r="N4625" s="12" t="n">
        <v>1</v>
      </c>
      <c r="O4625" s="12" t="n">
        <v>1</v>
      </c>
      <c r="P4625" s="12" t="n"/>
      <c r="Q4625" s="12" t="n"/>
      <c r="R4625" s="12" t="n"/>
      <c r="S4625" s="12" t="inlineStr">
        <is>
          <t>Duct bank</t>
        </is>
      </c>
      <c r="T4625" s="17" t="n">
        <v>550</v>
      </c>
      <c r="U4625" s="17" t="n">
        <v>137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I-I-0226</t>
        </is>
      </c>
      <c r="B4626" s="12" t="inlineStr">
        <is>
          <t>I</t>
        </is>
      </c>
      <c r="C4626" s="12" t="inlineStr">
        <is>
          <t>Modular / portable power</t>
        </is>
      </c>
      <c r="D4626" s="12" t="inlineStr">
        <is>
          <t>Thermocouple to TC JB JB-RICE-1-TC02: 10 x 1 pr (field cables)</t>
        </is>
      </c>
      <c r="E4626" s="12" t="inlineStr">
        <is>
          <t>RICE-1</t>
        </is>
      </c>
      <c r="F4626" s="12" t="inlineStr">
        <is>
          <t>RICE engine-generator 1</t>
        </is>
      </c>
      <c r="G4626" s="12" t="inlineStr">
        <is>
          <t>JB-RICE-1-TC02</t>
        </is>
      </c>
      <c r="H4626" s="12" t="inlineStr">
        <is>
          <t>RICE engine-generator 1</t>
        </is>
      </c>
      <c r="I4626" s="12" t="inlineStr">
        <is>
          <t>Instrumentation</t>
        </is>
      </c>
      <c r="J4626" s="12" t="inlineStr">
        <is>
          <t>Thermocouple extension KX, #16 shielded pairs, PLTC</t>
        </is>
      </c>
      <c r="K4626" s="12" t="inlineStr">
        <is>
          <t>TCX|1 pr|16</t>
        </is>
      </c>
      <c r="L4626" s="12" t="inlineStr">
        <is>
          <t>1 pr</t>
        </is>
      </c>
      <c r="M4626" s="12" t="inlineStr">
        <is>
          <t>16</t>
        </is>
      </c>
      <c r="N4626" s="12" t="n">
        <v>10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I-I-0227</t>
        </is>
      </c>
      <c r="B4627" s="12" t="inlineStr">
        <is>
          <t>I</t>
        </is>
      </c>
      <c r="C4627" s="12" t="inlineStr">
        <is>
          <t>Modular / portable power</t>
        </is>
      </c>
      <c r="D4627" s="12" t="inlineStr">
        <is>
          <t>Home run JB-RICE-1-TC02 to the control / marshalling room</t>
        </is>
      </c>
      <c r="E4627" s="12" t="inlineStr"/>
      <c r="F4627" s="12" t="inlineStr">
        <is>
          <t>PCM: power control module</t>
        </is>
      </c>
      <c r="G4627" s="12" t="inlineStr">
        <is>
          <t>JB-RICE-1-TC02</t>
        </is>
      </c>
      <c r="H4627" s="12" t="inlineStr">
        <is>
          <t>RICE engine-generator 1</t>
        </is>
      </c>
      <c r="I4627" s="12" t="inlineStr">
        <is>
          <t>Instrumentation</t>
        </is>
      </c>
      <c r="J4627" s="12" t="inlineStr">
        <is>
          <t>Thermocouple extension KX, #16 shielded pairs, PLTC</t>
        </is>
      </c>
      <c r="K4627" s="12" t="inlineStr">
        <is>
          <t>TCX|24 pr|16</t>
        </is>
      </c>
      <c r="L4627" s="12" t="inlineStr">
        <is>
          <t>24 pr</t>
        </is>
      </c>
      <c r="M4627" s="12" t="inlineStr">
        <is>
          <t>16</t>
        </is>
      </c>
      <c r="N4627" s="12" t="n">
        <v>1</v>
      </c>
      <c r="O4627" s="12" t="n">
        <v>1</v>
      </c>
      <c r="P4627" s="12" t="n"/>
      <c r="Q4627" s="12" t="n"/>
      <c r="R4627" s="12" t="n"/>
      <c r="S4627" s="12" t="inlineStr">
        <is>
          <t>Duct bank</t>
        </is>
      </c>
      <c r="T4627" s="17" t="n">
        <v>550</v>
      </c>
      <c r="U4627" s="17" t="n">
        <v>137</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I-I-0228</t>
        </is>
      </c>
      <c r="B4628" s="12" t="inlineStr">
        <is>
          <t>I</t>
        </is>
      </c>
      <c r="C4628" s="12" t="inlineStr">
        <is>
          <t>Modular / portable power</t>
        </is>
      </c>
      <c r="D4628" s="12" t="inlineStr">
        <is>
          <t>RTD to JB JB-RICE-1-RTD01: 10 x 1 tri (field cables)</t>
        </is>
      </c>
      <c r="E4628" s="12" t="inlineStr">
        <is>
          <t>RICE-1</t>
        </is>
      </c>
      <c r="F4628" s="12" t="inlineStr">
        <is>
          <t>RICE engine-generator 1</t>
        </is>
      </c>
      <c r="G4628" s="12" t="inlineStr">
        <is>
          <t>JB-RICE-1-RTD01</t>
        </is>
      </c>
      <c r="H4628" s="12" t="inlineStr">
        <is>
          <t>RICE engine-generator 1</t>
        </is>
      </c>
      <c r="I4628" s="12" t="inlineStr">
        <is>
          <t>Instrumentation</t>
        </is>
      </c>
      <c r="J4628" s="12" t="inlineStr">
        <is>
          <t>RTD cable, #18 shielded triads, PLTC</t>
        </is>
      </c>
      <c r="K4628" s="12" t="inlineStr">
        <is>
          <t>RTD|1 tri|18</t>
        </is>
      </c>
      <c r="L4628" s="12" t="inlineStr">
        <is>
          <t>1 tri</t>
        </is>
      </c>
      <c r="M4628" s="12" t="inlineStr">
        <is>
          <t>18</t>
        </is>
      </c>
      <c r="N4628" s="12" t="n">
        <v>10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I-I-0229</t>
        </is>
      </c>
      <c r="B4629" s="12" t="inlineStr">
        <is>
          <t>I</t>
        </is>
      </c>
      <c r="C4629" s="12" t="inlineStr">
        <is>
          <t>Modular / portable power</t>
        </is>
      </c>
      <c r="D4629" s="12" t="inlineStr">
        <is>
          <t>Home run JB-RICE-1-RTD01 to the control / marshalling room</t>
        </is>
      </c>
      <c r="E4629" s="12" t="inlineStr"/>
      <c r="F4629" s="12" t="inlineStr">
        <is>
          <t>PCM: power control module</t>
        </is>
      </c>
      <c r="G4629" s="12" t="inlineStr">
        <is>
          <t>JB-RICE-1-RTD01</t>
        </is>
      </c>
      <c r="H4629" s="12" t="inlineStr">
        <is>
          <t>RICE engine-generator 1</t>
        </is>
      </c>
      <c r="I4629" s="12" t="inlineStr">
        <is>
          <t>Instrumentation</t>
        </is>
      </c>
      <c r="J4629" s="12" t="inlineStr">
        <is>
          <t>RTD cable, #18 shielded triads, PLTC</t>
        </is>
      </c>
      <c r="K4629" s="12" t="inlineStr">
        <is>
          <t>RTD|12 tri|18</t>
        </is>
      </c>
      <c r="L4629" s="12" t="inlineStr">
        <is>
          <t>12 tri</t>
        </is>
      </c>
      <c r="M4629" s="12" t="inlineStr">
        <is>
          <t>18</t>
        </is>
      </c>
      <c r="N4629" s="12" t="n">
        <v>1</v>
      </c>
      <c r="O4629" s="12" t="n">
        <v>1</v>
      </c>
      <c r="P4629" s="12" t="n"/>
      <c r="Q4629" s="12" t="n"/>
      <c r="R4629" s="12" t="n"/>
      <c r="S4629" s="12" t="inlineStr">
        <is>
          <t>Duct bank</t>
        </is>
      </c>
      <c r="T4629" s="17" t="n">
        <v>550</v>
      </c>
      <c r="U4629" s="17" t="n">
        <v>137</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I-I-0230</t>
        </is>
      </c>
      <c r="B4630" s="12" t="inlineStr">
        <is>
          <t>I</t>
        </is>
      </c>
      <c r="C4630" s="12" t="inlineStr">
        <is>
          <t>Modular / portable power</t>
        </is>
      </c>
      <c r="D4630" s="12" t="inlineStr">
        <is>
          <t>RTD to JB JB-RICE-1-RTD02: 2 x 1 tri (field cables)</t>
        </is>
      </c>
      <c r="E4630" s="12" t="inlineStr">
        <is>
          <t>RICE-1</t>
        </is>
      </c>
      <c r="F4630" s="12" t="inlineStr">
        <is>
          <t>RICE engine-generator 1</t>
        </is>
      </c>
      <c r="G4630" s="12" t="inlineStr">
        <is>
          <t>JB-RICE-1-RTD02</t>
        </is>
      </c>
      <c r="H4630" s="12" t="inlineStr">
        <is>
          <t>RICE engine-generator 1</t>
        </is>
      </c>
      <c r="I4630" s="12" t="inlineStr">
        <is>
          <t>Instrumentation</t>
        </is>
      </c>
      <c r="J4630" s="12" t="inlineStr">
        <is>
          <t>RTD cable, #18 shielded triads, PLTC</t>
        </is>
      </c>
      <c r="K4630" s="12" t="inlineStr">
        <is>
          <t>RTD|1 tri|18</t>
        </is>
      </c>
      <c r="L4630" s="12" t="inlineStr">
        <is>
          <t>1 tri</t>
        </is>
      </c>
      <c r="M4630" s="12" t="inlineStr">
        <is>
          <t>18</t>
        </is>
      </c>
      <c r="N4630" s="12" t="n">
        <v>2</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I-I-0231</t>
        </is>
      </c>
      <c r="B4631" s="12" t="inlineStr">
        <is>
          <t>I</t>
        </is>
      </c>
      <c r="C4631" s="12" t="inlineStr">
        <is>
          <t>Modular / portable power</t>
        </is>
      </c>
      <c r="D4631" s="12" t="inlineStr">
        <is>
          <t>Home run JB-RICE-1-RTD02 to the control / marshalling room</t>
        </is>
      </c>
      <c r="E4631" s="12" t="inlineStr"/>
      <c r="F4631" s="12" t="inlineStr">
        <is>
          <t>PCM: power control module</t>
        </is>
      </c>
      <c r="G4631" s="12" t="inlineStr">
        <is>
          <t>JB-RICE-1-RTD02</t>
        </is>
      </c>
      <c r="H4631" s="12" t="inlineStr">
        <is>
          <t>RICE engine-generator 1</t>
        </is>
      </c>
      <c r="I4631" s="12" t="inlineStr">
        <is>
          <t>Instrumentation</t>
        </is>
      </c>
      <c r="J4631" s="12" t="inlineStr">
        <is>
          <t>RTD cable, #18 shielded triads, PLTC</t>
        </is>
      </c>
      <c r="K4631" s="12" t="inlineStr">
        <is>
          <t>RTD|12 tri|18</t>
        </is>
      </c>
      <c r="L4631" s="12" t="inlineStr">
        <is>
          <t>12 tri</t>
        </is>
      </c>
      <c r="M4631" s="12" t="inlineStr">
        <is>
          <t>18</t>
        </is>
      </c>
      <c r="N4631" s="12" t="n">
        <v>1</v>
      </c>
      <c r="O4631" s="12" t="n">
        <v>1</v>
      </c>
      <c r="P4631" s="12" t="n"/>
      <c r="Q4631" s="12" t="n"/>
      <c r="R4631" s="12" t="n"/>
      <c r="S4631" s="12" t="inlineStr">
        <is>
          <t>Duct bank</t>
        </is>
      </c>
      <c r="T4631" s="17" t="n">
        <v>550</v>
      </c>
      <c r="U4631" s="17" t="n">
        <v>137</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I-I-0232</t>
        </is>
      </c>
      <c r="B4632" s="12" t="inlineStr">
        <is>
          <t>I</t>
        </is>
      </c>
      <c r="C4632" s="12" t="inlineStr">
        <is>
          <t>Modular / portable power</t>
        </is>
      </c>
      <c r="D4632" s="12" t="inlineStr">
        <is>
          <t>Analog instrument to JB JB-RICE-2-AI01: 20 x 1 pr (field cables)</t>
        </is>
      </c>
      <c r="E4632" s="12" t="inlineStr">
        <is>
          <t>RICE-2</t>
        </is>
      </c>
      <c r="F4632" s="12" t="inlineStr">
        <is>
          <t>RICE engine-generator 2</t>
        </is>
      </c>
      <c r="G4632" s="12" t="inlineStr">
        <is>
          <t>JB-RICE-2-AI01</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I-I-0233</t>
        </is>
      </c>
      <c r="B4633" s="12" t="inlineStr">
        <is>
          <t>I</t>
        </is>
      </c>
      <c r="C4633" s="12" t="inlineStr">
        <is>
          <t>Modular / portable power</t>
        </is>
      </c>
      <c r="D4633" s="12" t="inlineStr">
        <is>
          <t>Home run JB-RICE-2-AI01 to the control / marshalling room</t>
        </is>
      </c>
      <c r="E4633" s="12" t="inlineStr"/>
      <c r="F4633" s="12" t="inlineStr">
        <is>
          <t>PCM: power control module</t>
        </is>
      </c>
      <c r="G4633" s="12" t="inlineStr">
        <is>
          <t>JB-RICE-2-AI01</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I-I-0234</t>
        </is>
      </c>
      <c r="B4634" s="12" t="inlineStr">
        <is>
          <t>I</t>
        </is>
      </c>
      <c r="C4634" s="12" t="inlineStr">
        <is>
          <t>Modular / portable power</t>
        </is>
      </c>
      <c r="D4634" s="12" t="inlineStr">
        <is>
          <t>Analog instrument to JB JB-RICE-2-AI02: 20 x 1 pr (field cables)</t>
        </is>
      </c>
      <c r="E4634" s="12" t="inlineStr">
        <is>
          <t>RICE-2</t>
        </is>
      </c>
      <c r="F4634" s="12" t="inlineStr">
        <is>
          <t>RICE engine-generator 2</t>
        </is>
      </c>
      <c r="G4634" s="12" t="inlineStr">
        <is>
          <t>JB-RICE-2-AI02</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I-I-0235</t>
        </is>
      </c>
      <c r="B4635" s="12" t="inlineStr">
        <is>
          <t>I</t>
        </is>
      </c>
      <c r="C4635" s="12" t="inlineStr">
        <is>
          <t>Modular / portable power</t>
        </is>
      </c>
      <c r="D4635" s="12" t="inlineStr">
        <is>
          <t>Home run JB-RICE-2-AI02 to the control / marshalling room</t>
        </is>
      </c>
      <c r="E4635" s="12" t="inlineStr"/>
      <c r="F4635" s="12" t="inlineStr">
        <is>
          <t>PCM: power control module</t>
        </is>
      </c>
      <c r="G4635" s="12" t="inlineStr">
        <is>
          <t>JB-RICE-2-AI02</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I-I-0236</t>
        </is>
      </c>
      <c r="B4636" s="12" t="inlineStr">
        <is>
          <t>I</t>
        </is>
      </c>
      <c r="C4636" s="12" t="inlineStr">
        <is>
          <t>Modular / portable power</t>
        </is>
      </c>
      <c r="D4636" s="12" t="inlineStr">
        <is>
          <t>Analog instrument to JB JB-RICE-2-AI03: 20 x 1 pr (field cables)</t>
        </is>
      </c>
      <c r="E4636" s="12" t="inlineStr">
        <is>
          <t>RICE-2</t>
        </is>
      </c>
      <c r="F4636" s="12" t="inlineStr">
        <is>
          <t>RICE engine-generator 2</t>
        </is>
      </c>
      <c r="G4636" s="12" t="inlineStr">
        <is>
          <t>JB-RICE-2-AI03</t>
        </is>
      </c>
      <c r="H4636" s="12" t="inlineStr">
        <is>
          <t>RICE engine-generator 2</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I-I-0237</t>
        </is>
      </c>
      <c r="B4637" s="12" t="inlineStr">
        <is>
          <t>I</t>
        </is>
      </c>
      <c r="C4637" s="12" t="inlineStr">
        <is>
          <t>Modular / portable power</t>
        </is>
      </c>
      <c r="D4637" s="12" t="inlineStr">
        <is>
          <t>Home run JB-RICE-2-AI03 to the control / marshalling room</t>
        </is>
      </c>
      <c r="E4637" s="12" t="inlineStr"/>
      <c r="F4637" s="12" t="inlineStr">
        <is>
          <t>PCM: power control module</t>
        </is>
      </c>
      <c r="G4637" s="12" t="inlineStr">
        <is>
          <t>JB-RICE-2-AI03</t>
        </is>
      </c>
      <c r="H4637" s="12" t="inlineStr">
        <is>
          <t>RICE engine-generator 2</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I-I-0238</t>
        </is>
      </c>
      <c r="B4638" s="12" t="inlineStr">
        <is>
          <t>I</t>
        </is>
      </c>
      <c r="C4638" s="12" t="inlineStr">
        <is>
          <t>Modular / portable power</t>
        </is>
      </c>
      <c r="D4638" s="12" t="inlineStr">
        <is>
          <t>Analog instrument to JB JB-RICE-2-AI04: 20 x 1 pr (field cables)</t>
        </is>
      </c>
      <c r="E4638" s="12" t="inlineStr">
        <is>
          <t>RICE-2</t>
        </is>
      </c>
      <c r="F4638" s="12" t="inlineStr">
        <is>
          <t>RICE engine-generator 2</t>
        </is>
      </c>
      <c r="G4638" s="12" t="inlineStr">
        <is>
          <t>JB-RICE-2-AI04</t>
        </is>
      </c>
      <c r="H4638" s="12" t="inlineStr">
        <is>
          <t>RICE engine-generator 2</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I-I-0239</t>
        </is>
      </c>
      <c r="B4639" s="12" t="inlineStr">
        <is>
          <t>I</t>
        </is>
      </c>
      <c r="C4639" s="12" t="inlineStr">
        <is>
          <t>Modular / portable power</t>
        </is>
      </c>
      <c r="D4639" s="12" t="inlineStr">
        <is>
          <t>Home run JB-RICE-2-AI04 to the control / marshalling room</t>
        </is>
      </c>
      <c r="E4639" s="12" t="inlineStr"/>
      <c r="F4639" s="12" t="inlineStr">
        <is>
          <t>PCM: power control module</t>
        </is>
      </c>
      <c r="G4639" s="12" t="inlineStr">
        <is>
          <t>JB-RICE-2-AI04</t>
        </is>
      </c>
      <c r="H4639" s="12" t="inlineStr">
        <is>
          <t>RICE engine-generator 2</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I-I-0240</t>
        </is>
      </c>
      <c r="B4640" s="12" t="inlineStr">
        <is>
          <t>I</t>
        </is>
      </c>
      <c r="C4640" s="12" t="inlineStr">
        <is>
          <t>Modular / portable power</t>
        </is>
      </c>
      <c r="D4640" s="12" t="inlineStr">
        <is>
          <t>Discrete device to JB JB-RICE-2-DI01: 20 x 1 pr (field cables)</t>
        </is>
      </c>
      <c r="E4640" s="12" t="inlineStr">
        <is>
          <t>RICE-2</t>
        </is>
      </c>
      <c r="F4640" s="12" t="inlineStr">
        <is>
          <t>RICE engine-generator 2</t>
        </is>
      </c>
      <c r="G4640" s="12" t="inlineStr">
        <is>
          <t>JB-RICE-2-DI01</t>
        </is>
      </c>
      <c r="H4640" s="12" t="inlineStr">
        <is>
          <t>RICE engine-generator 2</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I-I-0241</t>
        </is>
      </c>
      <c r="B4641" s="12" t="inlineStr">
        <is>
          <t>I</t>
        </is>
      </c>
      <c r="C4641" s="12" t="inlineStr">
        <is>
          <t>Modular / portable power</t>
        </is>
      </c>
      <c r="D4641" s="12" t="inlineStr">
        <is>
          <t>Home run JB-RICE-2-DI01 to the control / marshalling room</t>
        </is>
      </c>
      <c r="E4641" s="12" t="inlineStr"/>
      <c r="F4641" s="12" t="inlineStr">
        <is>
          <t>PCM: power control module</t>
        </is>
      </c>
      <c r="G4641" s="12" t="inlineStr">
        <is>
          <t>JB-RICE-2-DI01</t>
        </is>
      </c>
      <c r="H4641" s="12" t="inlineStr">
        <is>
          <t>RICE engine-generator 2</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I-I-0242</t>
        </is>
      </c>
      <c r="B4642" s="12" t="inlineStr">
        <is>
          <t>I</t>
        </is>
      </c>
      <c r="C4642" s="12" t="inlineStr">
        <is>
          <t>Modular / portable power</t>
        </is>
      </c>
      <c r="D4642" s="12" t="inlineStr">
        <is>
          <t>Discrete device to JB JB-RICE-2-DI02: 20 x 1 pr (field cables)</t>
        </is>
      </c>
      <c r="E4642" s="12" t="inlineStr">
        <is>
          <t>RICE-2</t>
        </is>
      </c>
      <c r="F4642" s="12" t="inlineStr">
        <is>
          <t>RICE engine-generator 2</t>
        </is>
      </c>
      <c r="G4642" s="12" t="inlineStr">
        <is>
          <t>JB-RICE-2-DI02</t>
        </is>
      </c>
      <c r="H4642" s="12" t="inlineStr">
        <is>
          <t>RICE engine-generator 2</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I-I-0243</t>
        </is>
      </c>
      <c r="B4643" s="12" t="inlineStr">
        <is>
          <t>I</t>
        </is>
      </c>
      <c r="C4643" s="12" t="inlineStr">
        <is>
          <t>Modular / portable power</t>
        </is>
      </c>
      <c r="D4643" s="12" t="inlineStr">
        <is>
          <t>Home run JB-RICE-2-DI02 to the control / marshalling room</t>
        </is>
      </c>
      <c r="E4643" s="12" t="inlineStr"/>
      <c r="F4643" s="12" t="inlineStr">
        <is>
          <t>PCM: power control module</t>
        </is>
      </c>
      <c r="G4643" s="12" t="inlineStr">
        <is>
          <t>JB-RICE-2-DI02</t>
        </is>
      </c>
      <c r="H4643" s="12" t="inlineStr">
        <is>
          <t>RICE engine-generator 2</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109</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I-I-0244</t>
        </is>
      </c>
      <c r="B4644" s="12" t="inlineStr">
        <is>
          <t>I</t>
        </is>
      </c>
      <c r="C4644" s="12" t="inlineStr">
        <is>
          <t>Modular / portable power</t>
        </is>
      </c>
      <c r="D4644" s="12" t="inlineStr">
        <is>
          <t>Discrete device to JB JB-RICE-2-DI03: 20 x 1 pr (field cables)</t>
        </is>
      </c>
      <c r="E4644" s="12" t="inlineStr">
        <is>
          <t>RICE-2</t>
        </is>
      </c>
      <c r="F4644" s="12" t="inlineStr">
        <is>
          <t>RICE engine-generator 2</t>
        </is>
      </c>
      <c r="G4644" s="12" t="inlineStr">
        <is>
          <t>JB-RICE-2-DI03</t>
        </is>
      </c>
      <c r="H4644" s="12" t="inlineStr">
        <is>
          <t>RICE engine-generator 2</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I-I-0245</t>
        </is>
      </c>
      <c r="B4645" s="12" t="inlineStr">
        <is>
          <t>I</t>
        </is>
      </c>
      <c r="C4645" s="12" t="inlineStr">
        <is>
          <t>Modular / portable power</t>
        </is>
      </c>
      <c r="D4645" s="12" t="inlineStr">
        <is>
          <t>Home run JB-RICE-2-DI03 to the control / marshalling room</t>
        </is>
      </c>
      <c r="E4645" s="12" t="inlineStr"/>
      <c r="F4645" s="12" t="inlineStr">
        <is>
          <t>PCM: power control module</t>
        </is>
      </c>
      <c r="G4645" s="12" t="inlineStr">
        <is>
          <t>JB-RICE-2-DI03</t>
        </is>
      </c>
      <c r="H4645" s="12" t="inlineStr">
        <is>
          <t>RICE engine-generator 2</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109</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I-I-0246</t>
        </is>
      </c>
      <c r="B4646" s="12" t="inlineStr">
        <is>
          <t>I</t>
        </is>
      </c>
      <c r="C4646" s="12" t="inlineStr">
        <is>
          <t>Modular / portable power</t>
        </is>
      </c>
      <c r="D4646" s="12" t="inlineStr">
        <is>
          <t>Thermocouple to TC JB JB-RICE-2-TC01: 20 x 1 pr (field cables)</t>
        </is>
      </c>
      <c r="E4646" s="12" t="inlineStr">
        <is>
          <t>RICE-2</t>
        </is>
      </c>
      <c r="F4646" s="12" t="inlineStr">
        <is>
          <t>RICE engine-generator 2</t>
        </is>
      </c>
      <c r="G4646" s="12" t="inlineStr">
        <is>
          <t>JB-RICE-2-TC01</t>
        </is>
      </c>
      <c r="H4646" s="12" t="inlineStr">
        <is>
          <t>RICE engine-generator 2</t>
        </is>
      </c>
      <c r="I4646" s="12" t="inlineStr">
        <is>
          <t>Instrumentation</t>
        </is>
      </c>
      <c r="J4646" s="12" t="inlineStr">
        <is>
          <t>Thermocouple extension KX, #16 shielded pairs, PLTC</t>
        </is>
      </c>
      <c r="K4646" s="12" t="inlineStr">
        <is>
          <t>TCX|1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I-I-0247</t>
        </is>
      </c>
      <c r="B4647" s="12" t="inlineStr">
        <is>
          <t>I</t>
        </is>
      </c>
      <c r="C4647" s="12" t="inlineStr">
        <is>
          <t>Modular / portable power</t>
        </is>
      </c>
      <c r="D4647" s="12" t="inlineStr">
        <is>
          <t>Home run JB-RICE-2-TC01 to the control / marshalling room</t>
        </is>
      </c>
      <c r="E4647" s="12" t="inlineStr"/>
      <c r="F4647" s="12" t="inlineStr">
        <is>
          <t>PCM: power control module</t>
        </is>
      </c>
      <c r="G4647" s="12" t="inlineStr">
        <is>
          <t>JB-RICE-2-TC01</t>
        </is>
      </c>
      <c r="H4647" s="12" t="inlineStr">
        <is>
          <t>RICE engine-generator 2</t>
        </is>
      </c>
      <c r="I4647" s="12" t="inlineStr">
        <is>
          <t>Instrumentation</t>
        </is>
      </c>
      <c r="J4647" s="12" t="inlineStr">
        <is>
          <t>Thermocouple extension KX, #16 shielded pairs, PLTC</t>
        </is>
      </c>
      <c r="K4647" s="12" t="inlineStr">
        <is>
          <t>TCX|24 pr|16</t>
        </is>
      </c>
      <c r="L4647" s="12" t="inlineStr">
        <is>
          <t>24 pr</t>
        </is>
      </c>
      <c r="M4647" s="12" t="inlineStr">
        <is>
          <t>16</t>
        </is>
      </c>
      <c r="N4647" s="12" t="n">
        <v>1</v>
      </c>
      <c r="O4647" s="12" t="n">
        <v>1</v>
      </c>
      <c r="P4647" s="12" t="n"/>
      <c r="Q4647" s="12" t="n"/>
      <c r="R4647" s="12" t="n"/>
      <c r="S4647" s="12" t="inlineStr">
        <is>
          <t>Duct bank</t>
        </is>
      </c>
      <c r="T4647" s="17" t="n">
        <v>550</v>
      </c>
      <c r="U4647" s="17" t="n">
        <v>109</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I-I-0248</t>
        </is>
      </c>
      <c r="B4648" s="12" t="inlineStr">
        <is>
          <t>I</t>
        </is>
      </c>
      <c r="C4648" s="12" t="inlineStr">
        <is>
          <t>Modular / portable power</t>
        </is>
      </c>
      <c r="D4648" s="12" t="inlineStr">
        <is>
          <t>Thermocouple to TC JB JB-RICE-2-TC02: 10 x 1 pr (field cables)</t>
        </is>
      </c>
      <c r="E4648" s="12" t="inlineStr">
        <is>
          <t>RICE-2</t>
        </is>
      </c>
      <c r="F4648" s="12" t="inlineStr">
        <is>
          <t>RICE engine-generator 2</t>
        </is>
      </c>
      <c r="G4648" s="12" t="inlineStr">
        <is>
          <t>JB-RICE-2-TC02</t>
        </is>
      </c>
      <c r="H4648" s="12" t="inlineStr">
        <is>
          <t>RICE engine-generator 2</t>
        </is>
      </c>
      <c r="I4648" s="12" t="inlineStr">
        <is>
          <t>Instrumentation</t>
        </is>
      </c>
      <c r="J4648" s="12" t="inlineStr">
        <is>
          <t>Thermocouple extension KX, #16 shielded pairs, PLTC</t>
        </is>
      </c>
      <c r="K4648" s="12" t="inlineStr">
        <is>
          <t>TCX|1 pr|16</t>
        </is>
      </c>
      <c r="L4648" s="12" t="inlineStr">
        <is>
          <t>1 pr</t>
        </is>
      </c>
      <c r="M4648" s="12" t="inlineStr">
        <is>
          <t>16</t>
        </is>
      </c>
      <c r="N4648" s="12" t="n">
        <v>10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I-I-0249</t>
        </is>
      </c>
      <c r="B4649" s="12" t="inlineStr">
        <is>
          <t>I</t>
        </is>
      </c>
      <c r="C4649" s="12" t="inlineStr">
        <is>
          <t>Modular / portable power</t>
        </is>
      </c>
      <c r="D4649" s="12" t="inlineStr">
        <is>
          <t>Home run JB-RICE-2-TC02 to the control / marshalling room</t>
        </is>
      </c>
      <c r="E4649" s="12" t="inlineStr"/>
      <c r="F4649" s="12" t="inlineStr">
        <is>
          <t>PCM: power control module</t>
        </is>
      </c>
      <c r="G4649" s="12" t="inlineStr">
        <is>
          <t>JB-RICE-2-TC02</t>
        </is>
      </c>
      <c r="H4649" s="12" t="inlineStr">
        <is>
          <t>RICE engine-generator 2</t>
        </is>
      </c>
      <c r="I4649" s="12" t="inlineStr">
        <is>
          <t>Instrumentation</t>
        </is>
      </c>
      <c r="J4649" s="12" t="inlineStr">
        <is>
          <t>Thermocouple extension KX, #16 shielded pairs, PLTC</t>
        </is>
      </c>
      <c r="K4649" s="12" t="inlineStr">
        <is>
          <t>TCX|24 pr|16</t>
        </is>
      </c>
      <c r="L4649" s="12" t="inlineStr">
        <is>
          <t>24 pr</t>
        </is>
      </c>
      <c r="M4649" s="12" t="inlineStr">
        <is>
          <t>16</t>
        </is>
      </c>
      <c r="N4649" s="12" t="n">
        <v>1</v>
      </c>
      <c r="O4649" s="12" t="n">
        <v>1</v>
      </c>
      <c r="P4649" s="12" t="n"/>
      <c r="Q4649" s="12" t="n"/>
      <c r="R4649" s="12" t="n"/>
      <c r="S4649" s="12" t="inlineStr">
        <is>
          <t>Duct bank</t>
        </is>
      </c>
      <c r="T4649" s="17" t="n">
        <v>550</v>
      </c>
      <c r="U4649" s="17" t="n">
        <v>109</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I-I-0250</t>
        </is>
      </c>
      <c r="B4650" s="12" t="inlineStr">
        <is>
          <t>I</t>
        </is>
      </c>
      <c r="C4650" s="12" t="inlineStr">
        <is>
          <t>Modular / portable power</t>
        </is>
      </c>
      <c r="D4650" s="12" t="inlineStr">
        <is>
          <t>RTD to JB JB-RICE-2-RTD01: 10 x 1 tri (field cables)</t>
        </is>
      </c>
      <c r="E4650" s="12" t="inlineStr">
        <is>
          <t>RICE-2</t>
        </is>
      </c>
      <c r="F4650" s="12" t="inlineStr">
        <is>
          <t>RICE engine-generator 2</t>
        </is>
      </c>
      <c r="G4650" s="12" t="inlineStr">
        <is>
          <t>JB-RICE-2-RTD01</t>
        </is>
      </c>
      <c r="H4650" s="12" t="inlineStr">
        <is>
          <t>RICE engine-generator 2</t>
        </is>
      </c>
      <c r="I4650" s="12" t="inlineStr">
        <is>
          <t>Instrumentation</t>
        </is>
      </c>
      <c r="J4650" s="12" t="inlineStr">
        <is>
          <t>RTD cable, #18 shielded triads, PLTC</t>
        </is>
      </c>
      <c r="K4650" s="12" t="inlineStr">
        <is>
          <t>RTD|1 tri|18</t>
        </is>
      </c>
      <c r="L4650" s="12" t="inlineStr">
        <is>
          <t>1 tri</t>
        </is>
      </c>
      <c r="M4650" s="12" t="inlineStr">
        <is>
          <t>18</t>
        </is>
      </c>
      <c r="N4650" s="12" t="n">
        <v>10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I-I-0251</t>
        </is>
      </c>
      <c r="B4651" s="12" t="inlineStr">
        <is>
          <t>I</t>
        </is>
      </c>
      <c r="C4651" s="12" t="inlineStr">
        <is>
          <t>Modular / portable power</t>
        </is>
      </c>
      <c r="D4651" s="12" t="inlineStr">
        <is>
          <t>Home run JB-RICE-2-RTD01 to the control / marshalling room</t>
        </is>
      </c>
      <c r="E4651" s="12" t="inlineStr"/>
      <c r="F4651" s="12" t="inlineStr">
        <is>
          <t>PCM: power control module</t>
        </is>
      </c>
      <c r="G4651" s="12" t="inlineStr">
        <is>
          <t>JB-RICE-2-RTD01</t>
        </is>
      </c>
      <c r="H4651" s="12" t="inlineStr">
        <is>
          <t>RICE engine-generator 2</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7" t="n">
        <v>550</v>
      </c>
      <c r="U4651" s="17" t="n">
        <v>109</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I-I-0252</t>
        </is>
      </c>
      <c r="B4652" s="12" t="inlineStr">
        <is>
          <t>I</t>
        </is>
      </c>
      <c r="C4652" s="12" t="inlineStr">
        <is>
          <t>Modular / portable power</t>
        </is>
      </c>
      <c r="D4652" s="12" t="inlineStr">
        <is>
          <t>RTD to JB JB-RICE-2-RTD02: 2 x 1 tri (field cables)</t>
        </is>
      </c>
      <c r="E4652" s="12" t="inlineStr">
        <is>
          <t>RICE-2</t>
        </is>
      </c>
      <c r="F4652" s="12" t="inlineStr">
        <is>
          <t>RICE engine-generator 2</t>
        </is>
      </c>
      <c r="G4652" s="12" t="inlineStr">
        <is>
          <t>JB-RICE-2-RTD02</t>
        </is>
      </c>
      <c r="H4652" s="12" t="inlineStr">
        <is>
          <t>RICE engine-generator 2</t>
        </is>
      </c>
      <c r="I4652" s="12" t="inlineStr">
        <is>
          <t>Instrumentation</t>
        </is>
      </c>
      <c r="J4652" s="12" t="inlineStr">
        <is>
          <t>RTD cable, #18 shielded triads, PLTC</t>
        </is>
      </c>
      <c r="K4652" s="12" t="inlineStr">
        <is>
          <t>RTD|1 tri|18</t>
        </is>
      </c>
      <c r="L4652" s="12" t="inlineStr">
        <is>
          <t>1 tri</t>
        </is>
      </c>
      <c r="M4652" s="12" t="inlineStr">
        <is>
          <t>18</t>
        </is>
      </c>
      <c r="N4652" s="12" t="n">
        <v>2</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I-I-0253</t>
        </is>
      </c>
      <c r="B4653" s="12" t="inlineStr">
        <is>
          <t>I</t>
        </is>
      </c>
      <c r="C4653" s="12" t="inlineStr">
        <is>
          <t>Modular / portable power</t>
        </is>
      </c>
      <c r="D4653" s="12" t="inlineStr">
        <is>
          <t>Home run JB-RICE-2-RTD02 to the control / marshalling room</t>
        </is>
      </c>
      <c r="E4653" s="12" t="inlineStr"/>
      <c r="F4653" s="12" t="inlineStr">
        <is>
          <t>PCM: power control module</t>
        </is>
      </c>
      <c r="G4653" s="12" t="inlineStr">
        <is>
          <t>JB-RICE-2-RTD02</t>
        </is>
      </c>
      <c r="H4653" s="12" t="inlineStr">
        <is>
          <t>RICE engine-generator 2</t>
        </is>
      </c>
      <c r="I4653" s="12" t="inlineStr">
        <is>
          <t>Instrumentation</t>
        </is>
      </c>
      <c r="J4653" s="12" t="inlineStr">
        <is>
          <t>RTD cable, #18 shielded triads, PLTC</t>
        </is>
      </c>
      <c r="K4653" s="12" t="inlineStr">
        <is>
          <t>RTD|12 tri|18</t>
        </is>
      </c>
      <c r="L4653" s="12" t="inlineStr">
        <is>
          <t>12 tri</t>
        </is>
      </c>
      <c r="M4653" s="12" t="inlineStr">
        <is>
          <t>18</t>
        </is>
      </c>
      <c r="N4653" s="12" t="n">
        <v>1</v>
      </c>
      <c r="O4653" s="12" t="n">
        <v>1</v>
      </c>
      <c r="P4653" s="12" t="n"/>
      <c r="Q4653" s="12" t="n"/>
      <c r="R4653" s="12" t="n"/>
      <c r="S4653" s="12" t="inlineStr">
        <is>
          <t>Duct bank</t>
        </is>
      </c>
      <c r="T4653" s="17" t="n">
        <v>550</v>
      </c>
      <c r="U4653" s="17" t="n">
        <v>109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I-I-0254</t>
        </is>
      </c>
      <c r="B4654" s="12" t="inlineStr">
        <is>
          <t>I</t>
        </is>
      </c>
      <c r="C4654" s="12" t="inlineStr">
        <is>
          <t>Modular / portable power</t>
        </is>
      </c>
      <c r="D4654" s="12" t="inlineStr">
        <is>
          <t>Analog instrument to JB JB-RICE-3-AI01: 20 x 1 pr (field cables)</t>
        </is>
      </c>
      <c r="E4654" s="12" t="inlineStr">
        <is>
          <t>RICE-3</t>
        </is>
      </c>
      <c r="F4654" s="12" t="inlineStr">
        <is>
          <t>RICE engine-generator 3</t>
        </is>
      </c>
      <c r="G4654" s="12" t="inlineStr">
        <is>
          <t>JB-RICE-3-AI01</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I-I-0255</t>
        </is>
      </c>
      <c r="B4655" s="12" t="inlineStr">
        <is>
          <t>I</t>
        </is>
      </c>
      <c r="C4655" s="12" t="inlineStr">
        <is>
          <t>Modular / portable power</t>
        </is>
      </c>
      <c r="D4655" s="12" t="inlineStr">
        <is>
          <t>Home run JB-RICE-3-AI01 to the control / marshalling room</t>
        </is>
      </c>
      <c r="E4655" s="12" t="inlineStr"/>
      <c r="F4655" s="12" t="inlineStr">
        <is>
          <t>PCM: power control module</t>
        </is>
      </c>
      <c r="G4655" s="12" t="inlineStr">
        <is>
          <t>JB-RICE-3-AI01</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I-I-0256</t>
        </is>
      </c>
      <c r="B4656" s="12" t="inlineStr">
        <is>
          <t>I</t>
        </is>
      </c>
      <c r="C4656" s="12" t="inlineStr">
        <is>
          <t>Modular / portable power</t>
        </is>
      </c>
      <c r="D4656" s="12" t="inlineStr">
        <is>
          <t>Analog instrument to JB JB-RICE-3-AI02: 20 x 1 pr (field cables)</t>
        </is>
      </c>
      <c r="E4656" s="12" t="inlineStr">
        <is>
          <t>RICE-3</t>
        </is>
      </c>
      <c r="F4656" s="12" t="inlineStr">
        <is>
          <t>RICE engine-generator 3</t>
        </is>
      </c>
      <c r="G4656" s="12" t="inlineStr">
        <is>
          <t>JB-RICE-3-AI02</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I-I-0257</t>
        </is>
      </c>
      <c r="B4657" s="12" t="inlineStr">
        <is>
          <t>I</t>
        </is>
      </c>
      <c r="C4657" s="12" t="inlineStr">
        <is>
          <t>Modular / portable power</t>
        </is>
      </c>
      <c r="D4657" s="12" t="inlineStr">
        <is>
          <t>Home run JB-RICE-3-AI02 to the control / marshalling room</t>
        </is>
      </c>
      <c r="E4657" s="12" t="inlineStr"/>
      <c r="F4657" s="12" t="inlineStr">
        <is>
          <t>PCM: power control module</t>
        </is>
      </c>
      <c r="G4657" s="12" t="inlineStr">
        <is>
          <t>JB-RICE-3-AI02</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I-I-0258</t>
        </is>
      </c>
      <c r="B4658" s="12" t="inlineStr">
        <is>
          <t>I</t>
        </is>
      </c>
      <c r="C4658" s="12" t="inlineStr">
        <is>
          <t>Modular / portable power</t>
        </is>
      </c>
      <c r="D4658" s="12" t="inlineStr">
        <is>
          <t>Analog instrument to JB JB-RICE-3-AI03: 20 x 1 pr (field cables)</t>
        </is>
      </c>
      <c r="E4658" s="12" t="inlineStr">
        <is>
          <t>RICE-3</t>
        </is>
      </c>
      <c r="F4658" s="12" t="inlineStr">
        <is>
          <t>RICE engine-generator 3</t>
        </is>
      </c>
      <c r="G4658" s="12" t="inlineStr">
        <is>
          <t>JB-RICE-3-AI03</t>
        </is>
      </c>
      <c r="H4658" s="12" t="inlineStr">
        <is>
          <t>RICE engine-generator 3</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I-I-0259</t>
        </is>
      </c>
      <c r="B4659" s="12" t="inlineStr">
        <is>
          <t>I</t>
        </is>
      </c>
      <c r="C4659" s="12" t="inlineStr">
        <is>
          <t>Modular / portable power</t>
        </is>
      </c>
      <c r="D4659" s="12" t="inlineStr">
        <is>
          <t>Home run JB-RICE-3-AI03 to the control / marshalling room</t>
        </is>
      </c>
      <c r="E4659" s="12" t="inlineStr"/>
      <c r="F4659" s="12" t="inlineStr">
        <is>
          <t>PCM: power control module</t>
        </is>
      </c>
      <c r="G4659" s="12" t="inlineStr">
        <is>
          <t>JB-RICE-3-AI03</t>
        </is>
      </c>
      <c r="H4659" s="12" t="inlineStr">
        <is>
          <t>RICE engine-generator 3</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I-I-0260</t>
        </is>
      </c>
      <c r="B4660" s="12" t="inlineStr">
        <is>
          <t>I</t>
        </is>
      </c>
      <c r="C4660" s="12" t="inlineStr">
        <is>
          <t>Modular / portable power</t>
        </is>
      </c>
      <c r="D4660" s="12" t="inlineStr">
        <is>
          <t>Analog instrument to JB JB-RICE-3-AI04: 20 x 1 pr (field cables)</t>
        </is>
      </c>
      <c r="E4660" s="12" t="inlineStr">
        <is>
          <t>RICE-3</t>
        </is>
      </c>
      <c r="F4660" s="12" t="inlineStr">
        <is>
          <t>RICE engine-generator 3</t>
        </is>
      </c>
      <c r="G4660" s="12" t="inlineStr">
        <is>
          <t>JB-RICE-3-AI04</t>
        </is>
      </c>
      <c r="H4660" s="12" t="inlineStr">
        <is>
          <t>RICE engine-generator 3</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I-I-0261</t>
        </is>
      </c>
      <c r="B4661" s="12" t="inlineStr">
        <is>
          <t>I</t>
        </is>
      </c>
      <c r="C4661" s="12" t="inlineStr">
        <is>
          <t>Modular / portable power</t>
        </is>
      </c>
      <c r="D4661" s="12" t="inlineStr">
        <is>
          <t>Home run JB-RICE-3-AI04 to the control / marshalling room</t>
        </is>
      </c>
      <c r="E4661" s="12" t="inlineStr"/>
      <c r="F4661" s="12" t="inlineStr">
        <is>
          <t>PCM: power control module</t>
        </is>
      </c>
      <c r="G4661" s="12" t="inlineStr">
        <is>
          <t>JB-RICE-3-AI04</t>
        </is>
      </c>
      <c r="H4661" s="12" t="inlineStr">
        <is>
          <t>RICE engine-generator 3</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I-I-0262</t>
        </is>
      </c>
      <c r="B4662" s="12" t="inlineStr">
        <is>
          <t>I</t>
        </is>
      </c>
      <c r="C4662" s="12" t="inlineStr">
        <is>
          <t>Modular / portable power</t>
        </is>
      </c>
      <c r="D4662" s="12" t="inlineStr">
        <is>
          <t>Discrete device to JB JB-RICE-3-DI01: 20 x 1 pr (field cables)</t>
        </is>
      </c>
      <c r="E4662" s="12" t="inlineStr">
        <is>
          <t>RICE-3</t>
        </is>
      </c>
      <c r="F4662" s="12" t="inlineStr">
        <is>
          <t>RICE engine-generator 3</t>
        </is>
      </c>
      <c r="G4662" s="12" t="inlineStr">
        <is>
          <t>JB-RICE-3-DI01</t>
        </is>
      </c>
      <c r="H4662" s="12" t="inlineStr">
        <is>
          <t>RICE engine-generator 3</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I-I-0263</t>
        </is>
      </c>
      <c r="B4663" s="12" t="inlineStr">
        <is>
          <t>I</t>
        </is>
      </c>
      <c r="C4663" s="12" t="inlineStr">
        <is>
          <t>Modular / portable power</t>
        </is>
      </c>
      <c r="D4663" s="12" t="inlineStr">
        <is>
          <t>Home run JB-RICE-3-DI01 to the control / marshalling room</t>
        </is>
      </c>
      <c r="E4663" s="12" t="inlineStr"/>
      <c r="F4663" s="12" t="inlineStr">
        <is>
          <t>PCM: power control module</t>
        </is>
      </c>
      <c r="G4663" s="12" t="inlineStr">
        <is>
          <t>JB-RICE-3-DI01</t>
        </is>
      </c>
      <c r="H4663" s="12" t="inlineStr">
        <is>
          <t>RICE engine-generator 3</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I-I-0264</t>
        </is>
      </c>
      <c r="B4664" s="12" t="inlineStr">
        <is>
          <t>I</t>
        </is>
      </c>
      <c r="C4664" s="12" t="inlineStr">
        <is>
          <t>Modular / portable power</t>
        </is>
      </c>
      <c r="D4664" s="12" t="inlineStr">
        <is>
          <t>Discrete device to JB JB-RICE-3-DI02: 20 x 1 pr (field cables)</t>
        </is>
      </c>
      <c r="E4664" s="12" t="inlineStr">
        <is>
          <t>RICE-3</t>
        </is>
      </c>
      <c r="F4664" s="12" t="inlineStr">
        <is>
          <t>RICE engine-generator 3</t>
        </is>
      </c>
      <c r="G4664" s="12" t="inlineStr">
        <is>
          <t>JB-RICE-3-DI02</t>
        </is>
      </c>
      <c r="H4664" s="12" t="inlineStr">
        <is>
          <t>RICE engine-generator 3</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I-I-0265</t>
        </is>
      </c>
      <c r="B4665" s="12" t="inlineStr">
        <is>
          <t>I</t>
        </is>
      </c>
      <c r="C4665" s="12" t="inlineStr">
        <is>
          <t>Modular / portable power</t>
        </is>
      </c>
      <c r="D4665" s="12" t="inlineStr">
        <is>
          <t>Home run JB-RICE-3-DI02 to the control / marshalling room</t>
        </is>
      </c>
      <c r="E4665" s="12" t="inlineStr"/>
      <c r="F4665" s="12" t="inlineStr">
        <is>
          <t>PCM: power control module</t>
        </is>
      </c>
      <c r="G4665" s="12" t="inlineStr">
        <is>
          <t>JB-RICE-3-DI02</t>
        </is>
      </c>
      <c r="H4665" s="12" t="inlineStr">
        <is>
          <t>RICE engine-generator 3</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81</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I-I-0266</t>
        </is>
      </c>
      <c r="B4666" s="12" t="inlineStr">
        <is>
          <t>I</t>
        </is>
      </c>
      <c r="C4666" s="12" t="inlineStr">
        <is>
          <t>Modular / portable power</t>
        </is>
      </c>
      <c r="D4666" s="12" t="inlineStr">
        <is>
          <t>Discrete device to JB JB-RICE-3-DI03: 20 x 1 pr (field cables)</t>
        </is>
      </c>
      <c r="E4666" s="12" t="inlineStr">
        <is>
          <t>RICE-3</t>
        </is>
      </c>
      <c r="F4666" s="12" t="inlineStr">
        <is>
          <t>RICE engine-generator 3</t>
        </is>
      </c>
      <c r="G4666" s="12" t="inlineStr">
        <is>
          <t>JB-RICE-3-DI03</t>
        </is>
      </c>
      <c r="H4666" s="12" t="inlineStr">
        <is>
          <t>RICE engine-generator 3</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I-I-0267</t>
        </is>
      </c>
      <c r="B4667" s="12" t="inlineStr">
        <is>
          <t>I</t>
        </is>
      </c>
      <c r="C4667" s="12" t="inlineStr">
        <is>
          <t>Modular / portable power</t>
        </is>
      </c>
      <c r="D4667" s="12" t="inlineStr">
        <is>
          <t>Home run JB-RICE-3-DI03 to the control / marshalling room</t>
        </is>
      </c>
      <c r="E4667" s="12" t="inlineStr"/>
      <c r="F4667" s="12" t="inlineStr">
        <is>
          <t>PCM: power control module</t>
        </is>
      </c>
      <c r="G4667" s="12" t="inlineStr">
        <is>
          <t>JB-RICE-3-DI03</t>
        </is>
      </c>
      <c r="H4667" s="12" t="inlineStr">
        <is>
          <t>RICE engine-generator 3</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81</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I-I-0268</t>
        </is>
      </c>
      <c r="B4668" s="12" t="inlineStr">
        <is>
          <t>I</t>
        </is>
      </c>
      <c r="C4668" s="12" t="inlineStr">
        <is>
          <t>Modular / portable power</t>
        </is>
      </c>
      <c r="D4668" s="12" t="inlineStr">
        <is>
          <t>Thermocouple to TC JB JB-RICE-3-TC01: 20 x 1 pr (field cables)</t>
        </is>
      </c>
      <c r="E4668" s="12" t="inlineStr">
        <is>
          <t>RICE-3</t>
        </is>
      </c>
      <c r="F4668" s="12" t="inlineStr">
        <is>
          <t>RICE engine-generator 3</t>
        </is>
      </c>
      <c r="G4668" s="12" t="inlineStr">
        <is>
          <t>JB-RICE-3-TC01</t>
        </is>
      </c>
      <c r="H4668" s="12" t="inlineStr">
        <is>
          <t>RICE engine-generator 3</t>
        </is>
      </c>
      <c r="I4668" s="12" t="inlineStr">
        <is>
          <t>Instrumentation</t>
        </is>
      </c>
      <c r="J4668" s="12" t="inlineStr">
        <is>
          <t>Thermocouple extension KX, #16 shielded pairs, PLTC</t>
        </is>
      </c>
      <c r="K4668" s="12" t="inlineStr">
        <is>
          <t>TCX|1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I-I-0269</t>
        </is>
      </c>
      <c r="B4669" s="12" t="inlineStr">
        <is>
          <t>I</t>
        </is>
      </c>
      <c r="C4669" s="12" t="inlineStr">
        <is>
          <t>Modular / portable power</t>
        </is>
      </c>
      <c r="D4669" s="12" t="inlineStr">
        <is>
          <t>Home run JB-RICE-3-TC01 to the control / marshalling room</t>
        </is>
      </c>
      <c r="E4669" s="12" t="inlineStr"/>
      <c r="F4669" s="12" t="inlineStr">
        <is>
          <t>PCM: power control module</t>
        </is>
      </c>
      <c r="G4669" s="12" t="inlineStr">
        <is>
          <t>JB-RICE-3-TC01</t>
        </is>
      </c>
      <c r="H4669" s="12" t="inlineStr">
        <is>
          <t>RICE engine-generator 3</t>
        </is>
      </c>
      <c r="I4669" s="12" t="inlineStr">
        <is>
          <t>Instrumentation</t>
        </is>
      </c>
      <c r="J4669" s="12" t="inlineStr">
        <is>
          <t>Thermocouple extension KX, #16 shielded pairs, PLTC</t>
        </is>
      </c>
      <c r="K4669" s="12" t="inlineStr">
        <is>
          <t>TCX|24 pr|16</t>
        </is>
      </c>
      <c r="L4669" s="12" t="inlineStr">
        <is>
          <t>24 pr</t>
        </is>
      </c>
      <c r="M4669" s="12" t="inlineStr">
        <is>
          <t>16</t>
        </is>
      </c>
      <c r="N4669" s="12" t="n">
        <v>1</v>
      </c>
      <c r="O4669" s="12" t="n">
        <v>1</v>
      </c>
      <c r="P4669" s="12" t="n"/>
      <c r="Q4669" s="12" t="n"/>
      <c r="R4669" s="12" t="n"/>
      <c r="S4669" s="12" t="inlineStr">
        <is>
          <t>Duct bank</t>
        </is>
      </c>
      <c r="T4669" s="17" t="n">
        <v>550</v>
      </c>
      <c r="U4669" s="17" t="n">
        <v>81</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I-I-0270</t>
        </is>
      </c>
      <c r="B4670" s="12" t="inlineStr">
        <is>
          <t>I</t>
        </is>
      </c>
      <c r="C4670" s="12" t="inlineStr">
        <is>
          <t>Modular / portable power</t>
        </is>
      </c>
      <c r="D4670" s="12" t="inlineStr">
        <is>
          <t>Thermocouple to TC JB JB-RICE-3-TC02: 10 x 1 pr (field cables)</t>
        </is>
      </c>
      <c r="E4670" s="12" t="inlineStr">
        <is>
          <t>RICE-3</t>
        </is>
      </c>
      <c r="F4670" s="12" t="inlineStr">
        <is>
          <t>RICE engine-generator 3</t>
        </is>
      </c>
      <c r="G4670" s="12" t="inlineStr">
        <is>
          <t>JB-RICE-3-TC02</t>
        </is>
      </c>
      <c r="H4670" s="12" t="inlineStr">
        <is>
          <t>RICE engine-generator 3</t>
        </is>
      </c>
      <c r="I4670" s="12" t="inlineStr">
        <is>
          <t>Instrumentation</t>
        </is>
      </c>
      <c r="J4670" s="12" t="inlineStr">
        <is>
          <t>Thermocouple extension KX, #16 shielded pairs, PLTC</t>
        </is>
      </c>
      <c r="K4670" s="12" t="inlineStr">
        <is>
          <t>TCX|1 pr|16</t>
        </is>
      </c>
      <c r="L4670" s="12" t="inlineStr">
        <is>
          <t>1 pr</t>
        </is>
      </c>
      <c r="M4670" s="12" t="inlineStr">
        <is>
          <t>16</t>
        </is>
      </c>
      <c r="N4670" s="12" t="n">
        <v>10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I-I-0271</t>
        </is>
      </c>
      <c r="B4671" s="12" t="inlineStr">
        <is>
          <t>I</t>
        </is>
      </c>
      <c r="C4671" s="12" t="inlineStr">
        <is>
          <t>Modular / portable power</t>
        </is>
      </c>
      <c r="D4671" s="12" t="inlineStr">
        <is>
          <t>Home run JB-RICE-3-TC02 to the control / marshalling room</t>
        </is>
      </c>
      <c r="E4671" s="12" t="inlineStr"/>
      <c r="F4671" s="12" t="inlineStr">
        <is>
          <t>PCM: power control module</t>
        </is>
      </c>
      <c r="G4671" s="12" t="inlineStr">
        <is>
          <t>JB-RICE-3-TC02</t>
        </is>
      </c>
      <c r="H4671" s="12" t="inlineStr">
        <is>
          <t>RICE engine-generator 3</t>
        </is>
      </c>
      <c r="I4671" s="12" t="inlineStr">
        <is>
          <t>Instrumentation</t>
        </is>
      </c>
      <c r="J4671" s="12" t="inlineStr">
        <is>
          <t>Thermocouple extension KX, #16 shielded pairs, PLTC</t>
        </is>
      </c>
      <c r="K4671" s="12" t="inlineStr">
        <is>
          <t>TCX|24 pr|16</t>
        </is>
      </c>
      <c r="L4671" s="12" t="inlineStr">
        <is>
          <t>24 pr</t>
        </is>
      </c>
      <c r="M4671" s="12" t="inlineStr">
        <is>
          <t>16</t>
        </is>
      </c>
      <c r="N4671" s="12" t="n">
        <v>1</v>
      </c>
      <c r="O4671" s="12" t="n">
        <v>1</v>
      </c>
      <c r="P4671" s="12" t="n"/>
      <c r="Q4671" s="12" t="n"/>
      <c r="R4671" s="12" t="n"/>
      <c r="S4671" s="12" t="inlineStr">
        <is>
          <t>Duct bank</t>
        </is>
      </c>
      <c r="T4671" s="17" t="n">
        <v>550</v>
      </c>
      <c r="U4671" s="17" t="n">
        <v>81</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I-I-0272</t>
        </is>
      </c>
      <c r="B4672" s="12" t="inlineStr">
        <is>
          <t>I</t>
        </is>
      </c>
      <c r="C4672" s="12" t="inlineStr">
        <is>
          <t>Modular / portable power</t>
        </is>
      </c>
      <c r="D4672" s="12" t="inlineStr">
        <is>
          <t>RTD to JB JB-RICE-3-RTD01: 10 x 1 tri (field cables)</t>
        </is>
      </c>
      <c r="E4672" s="12" t="inlineStr">
        <is>
          <t>RICE-3</t>
        </is>
      </c>
      <c r="F4672" s="12" t="inlineStr">
        <is>
          <t>RICE engine-generator 3</t>
        </is>
      </c>
      <c r="G4672" s="12" t="inlineStr">
        <is>
          <t>JB-RICE-3-RTD01</t>
        </is>
      </c>
      <c r="H4672" s="12" t="inlineStr">
        <is>
          <t>RICE engine-generator 3</t>
        </is>
      </c>
      <c r="I4672" s="12" t="inlineStr">
        <is>
          <t>Instrumentation</t>
        </is>
      </c>
      <c r="J4672" s="12" t="inlineStr">
        <is>
          <t>RTD cable, #18 shielded triads, PLTC</t>
        </is>
      </c>
      <c r="K4672" s="12" t="inlineStr">
        <is>
          <t>RTD|1 tri|18</t>
        </is>
      </c>
      <c r="L4672" s="12" t="inlineStr">
        <is>
          <t>1 tri</t>
        </is>
      </c>
      <c r="M4672" s="12" t="inlineStr">
        <is>
          <t>18</t>
        </is>
      </c>
      <c r="N4672" s="12" t="n">
        <v>10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I-I-0273</t>
        </is>
      </c>
      <c r="B4673" s="12" t="inlineStr">
        <is>
          <t>I</t>
        </is>
      </c>
      <c r="C4673" s="12" t="inlineStr">
        <is>
          <t>Modular / portable power</t>
        </is>
      </c>
      <c r="D4673" s="12" t="inlineStr">
        <is>
          <t>Home run JB-RICE-3-RTD01 to the control / marshalling room</t>
        </is>
      </c>
      <c r="E4673" s="12" t="inlineStr"/>
      <c r="F4673" s="12" t="inlineStr">
        <is>
          <t>PCM: power control module</t>
        </is>
      </c>
      <c r="G4673" s="12" t="inlineStr">
        <is>
          <t>JB-RICE-3-RTD01</t>
        </is>
      </c>
      <c r="H4673" s="12" t="inlineStr">
        <is>
          <t>RICE engine-generator 3</t>
        </is>
      </c>
      <c r="I4673" s="12" t="inlineStr">
        <is>
          <t>Instrumentation</t>
        </is>
      </c>
      <c r="J4673" s="12" t="inlineStr">
        <is>
          <t>RTD cable, #18 shielded triads, PLTC</t>
        </is>
      </c>
      <c r="K4673" s="12" t="inlineStr">
        <is>
          <t>RTD|12 tri|18</t>
        </is>
      </c>
      <c r="L4673" s="12" t="inlineStr">
        <is>
          <t>12 tri</t>
        </is>
      </c>
      <c r="M4673" s="12" t="inlineStr">
        <is>
          <t>18</t>
        </is>
      </c>
      <c r="N4673" s="12" t="n">
        <v>1</v>
      </c>
      <c r="O4673" s="12" t="n">
        <v>1</v>
      </c>
      <c r="P4673" s="12" t="n"/>
      <c r="Q4673" s="12" t="n"/>
      <c r="R4673" s="12" t="n"/>
      <c r="S4673" s="12" t="inlineStr">
        <is>
          <t>Duct bank</t>
        </is>
      </c>
      <c r="T4673" s="17" t="n">
        <v>550</v>
      </c>
      <c r="U4673" s="17" t="n">
        <v>81</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I-I-0274</t>
        </is>
      </c>
      <c r="B4674" s="12" t="inlineStr">
        <is>
          <t>I</t>
        </is>
      </c>
      <c r="C4674" s="12" t="inlineStr">
        <is>
          <t>Modular / portable power</t>
        </is>
      </c>
      <c r="D4674" s="12" t="inlineStr">
        <is>
          <t>RTD to JB JB-RICE-3-RTD02: 2 x 1 tri (field cables)</t>
        </is>
      </c>
      <c r="E4674" s="12" t="inlineStr">
        <is>
          <t>RICE-3</t>
        </is>
      </c>
      <c r="F4674" s="12" t="inlineStr">
        <is>
          <t>RICE engine-generator 3</t>
        </is>
      </c>
      <c r="G4674" s="12" t="inlineStr">
        <is>
          <t>JB-RICE-3-RTD02</t>
        </is>
      </c>
      <c r="H4674" s="12" t="inlineStr">
        <is>
          <t>RICE engine-generator 3</t>
        </is>
      </c>
      <c r="I4674" s="12" t="inlineStr">
        <is>
          <t>Instrumentation</t>
        </is>
      </c>
      <c r="J4674" s="12" t="inlineStr">
        <is>
          <t>RTD cable, #18 shielded triads, PLTC</t>
        </is>
      </c>
      <c r="K4674" s="12" t="inlineStr">
        <is>
          <t>RTD|1 tri|18</t>
        </is>
      </c>
      <c r="L4674" s="12" t="inlineStr">
        <is>
          <t>1 tri</t>
        </is>
      </c>
      <c r="M4674" s="12" t="inlineStr">
        <is>
          <t>18</t>
        </is>
      </c>
      <c r="N4674" s="12" t="n">
        <v>2</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I-I-0275</t>
        </is>
      </c>
      <c r="B4675" s="12" t="inlineStr">
        <is>
          <t>I</t>
        </is>
      </c>
      <c r="C4675" s="12" t="inlineStr">
        <is>
          <t>Modular / portable power</t>
        </is>
      </c>
      <c r="D4675" s="12" t="inlineStr">
        <is>
          <t>Home run JB-RICE-3-RTD02 to the control / marshalling room</t>
        </is>
      </c>
      <c r="E4675" s="12" t="inlineStr"/>
      <c r="F4675" s="12" t="inlineStr">
        <is>
          <t>PCM: power control module</t>
        </is>
      </c>
      <c r="G4675" s="12" t="inlineStr">
        <is>
          <t>JB-RICE-3-RTD02</t>
        </is>
      </c>
      <c r="H4675" s="12" t="inlineStr">
        <is>
          <t>RICE engine-generator 3</t>
        </is>
      </c>
      <c r="I4675" s="12" t="inlineStr">
        <is>
          <t>Instrumentation</t>
        </is>
      </c>
      <c r="J4675" s="12" t="inlineStr">
        <is>
          <t>RTD cable, #18 shielded triads, PLTC</t>
        </is>
      </c>
      <c r="K4675" s="12" t="inlineStr">
        <is>
          <t>RTD|12 tri|18</t>
        </is>
      </c>
      <c r="L4675" s="12" t="inlineStr">
        <is>
          <t>12 tri</t>
        </is>
      </c>
      <c r="M4675" s="12" t="inlineStr">
        <is>
          <t>18</t>
        </is>
      </c>
      <c r="N4675" s="12" t="n">
        <v>1</v>
      </c>
      <c r="O4675" s="12" t="n">
        <v>1</v>
      </c>
      <c r="P4675" s="12" t="n"/>
      <c r="Q4675" s="12" t="n"/>
      <c r="R4675" s="12" t="n"/>
      <c r="S4675" s="12" t="inlineStr">
        <is>
          <t>Duct bank</t>
        </is>
      </c>
      <c r="T4675" s="17" t="n">
        <v>550</v>
      </c>
      <c r="U4675" s="17" t="n">
        <v>81</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I-I-0276</t>
        </is>
      </c>
      <c r="B4676" s="12" t="inlineStr">
        <is>
          <t>I</t>
        </is>
      </c>
      <c r="C4676" s="12" t="inlineStr">
        <is>
          <t>Modular / portable power</t>
        </is>
      </c>
      <c r="D4676" s="12" t="inlineStr">
        <is>
          <t>Analog instrument to JB JB-RICE-4-AI01: 20 x 1 pr (field cables)</t>
        </is>
      </c>
      <c r="E4676" s="12" t="inlineStr">
        <is>
          <t>RICE-4</t>
        </is>
      </c>
      <c r="F4676" s="12" t="inlineStr">
        <is>
          <t>RICE engine-generator 4</t>
        </is>
      </c>
      <c r="G4676" s="12" t="inlineStr">
        <is>
          <t>JB-RICE-4-AI01</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I-I-0277</t>
        </is>
      </c>
      <c r="B4677" s="12" t="inlineStr">
        <is>
          <t>I</t>
        </is>
      </c>
      <c r="C4677" s="12" t="inlineStr">
        <is>
          <t>Modular / portable power</t>
        </is>
      </c>
      <c r="D4677" s="12" t="inlineStr">
        <is>
          <t>Home run JB-RICE-4-AI01 to the control / marshalling room</t>
        </is>
      </c>
      <c r="E4677" s="12" t="inlineStr"/>
      <c r="F4677" s="12" t="inlineStr">
        <is>
          <t>PCM: power control module</t>
        </is>
      </c>
      <c r="G4677" s="12" t="inlineStr">
        <is>
          <t>JB-RICE-4-AI01</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I-I-0278</t>
        </is>
      </c>
      <c r="B4678" s="12" t="inlineStr">
        <is>
          <t>I</t>
        </is>
      </c>
      <c r="C4678" s="12" t="inlineStr">
        <is>
          <t>Modular / portable power</t>
        </is>
      </c>
      <c r="D4678" s="12" t="inlineStr">
        <is>
          <t>Analog instrument to JB JB-RICE-4-AI02: 20 x 1 pr (field cables)</t>
        </is>
      </c>
      <c r="E4678" s="12" t="inlineStr">
        <is>
          <t>RICE-4</t>
        </is>
      </c>
      <c r="F4678" s="12" t="inlineStr">
        <is>
          <t>RICE engine-generator 4</t>
        </is>
      </c>
      <c r="G4678" s="12" t="inlineStr">
        <is>
          <t>JB-RICE-4-AI02</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I-I-0279</t>
        </is>
      </c>
      <c r="B4679" s="12" t="inlineStr">
        <is>
          <t>I</t>
        </is>
      </c>
      <c r="C4679" s="12" t="inlineStr">
        <is>
          <t>Modular / portable power</t>
        </is>
      </c>
      <c r="D4679" s="12" t="inlineStr">
        <is>
          <t>Home run JB-RICE-4-AI02 to the control / marshalling room</t>
        </is>
      </c>
      <c r="E4679" s="12" t="inlineStr"/>
      <c r="F4679" s="12" t="inlineStr">
        <is>
          <t>PCM: power control module</t>
        </is>
      </c>
      <c r="G4679" s="12" t="inlineStr">
        <is>
          <t>JB-RICE-4-AI02</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I-I-0280</t>
        </is>
      </c>
      <c r="B4680" s="12" t="inlineStr">
        <is>
          <t>I</t>
        </is>
      </c>
      <c r="C4680" s="12" t="inlineStr">
        <is>
          <t>Modular / portable power</t>
        </is>
      </c>
      <c r="D4680" s="12" t="inlineStr">
        <is>
          <t>Analog instrument to JB JB-RICE-4-AI03: 20 x 1 pr (field cables)</t>
        </is>
      </c>
      <c r="E4680" s="12" t="inlineStr">
        <is>
          <t>RICE-4</t>
        </is>
      </c>
      <c r="F4680" s="12" t="inlineStr">
        <is>
          <t>RICE engine-generator 4</t>
        </is>
      </c>
      <c r="G4680" s="12" t="inlineStr">
        <is>
          <t>JB-RICE-4-AI03</t>
        </is>
      </c>
      <c r="H4680" s="12" t="inlineStr">
        <is>
          <t>RICE engine-generator 4</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I-I-0281</t>
        </is>
      </c>
      <c r="B4681" s="12" t="inlineStr">
        <is>
          <t>I</t>
        </is>
      </c>
      <c r="C4681" s="12" t="inlineStr">
        <is>
          <t>Modular / portable power</t>
        </is>
      </c>
      <c r="D4681" s="12" t="inlineStr">
        <is>
          <t>Home run JB-RICE-4-AI03 to the control / marshalling room</t>
        </is>
      </c>
      <c r="E4681" s="12" t="inlineStr"/>
      <c r="F4681" s="12" t="inlineStr">
        <is>
          <t>PCM: power control module</t>
        </is>
      </c>
      <c r="G4681" s="12" t="inlineStr">
        <is>
          <t>JB-RICE-4-AI03</t>
        </is>
      </c>
      <c r="H4681" s="12" t="inlineStr">
        <is>
          <t>RICE engine-generator 4</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I-I-0282</t>
        </is>
      </c>
      <c r="B4682" s="12" t="inlineStr">
        <is>
          <t>I</t>
        </is>
      </c>
      <c r="C4682" s="12" t="inlineStr">
        <is>
          <t>Modular / portable power</t>
        </is>
      </c>
      <c r="D4682" s="12" t="inlineStr">
        <is>
          <t>Analog instrument to JB JB-RICE-4-AI04: 20 x 1 pr (field cables)</t>
        </is>
      </c>
      <c r="E4682" s="12" t="inlineStr">
        <is>
          <t>RICE-4</t>
        </is>
      </c>
      <c r="F4682" s="12" t="inlineStr">
        <is>
          <t>RICE engine-generator 4</t>
        </is>
      </c>
      <c r="G4682" s="12" t="inlineStr">
        <is>
          <t>JB-RICE-4-AI04</t>
        </is>
      </c>
      <c r="H4682" s="12" t="inlineStr">
        <is>
          <t>RICE engine-generator 4</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I-I-0283</t>
        </is>
      </c>
      <c r="B4683" s="12" t="inlineStr">
        <is>
          <t>I</t>
        </is>
      </c>
      <c r="C4683" s="12" t="inlineStr">
        <is>
          <t>Modular / portable power</t>
        </is>
      </c>
      <c r="D4683" s="12" t="inlineStr">
        <is>
          <t>Home run JB-RICE-4-AI04 to the control / marshalling room</t>
        </is>
      </c>
      <c r="E4683" s="12" t="inlineStr"/>
      <c r="F4683" s="12" t="inlineStr">
        <is>
          <t>PCM: power control module</t>
        </is>
      </c>
      <c r="G4683" s="12" t="inlineStr">
        <is>
          <t>JB-RICE-4-AI04</t>
        </is>
      </c>
      <c r="H4683" s="12" t="inlineStr">
        <is>
          <t>RICE engine-generator 4</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I-I-0284</t>
        </is>
      </c>
      <c r="B4684" s="12" t="inlineStr">
        <is>
          <t>I</t>
        </is>
      </c>
      <c r="C4684" s="12" t="inlineStr">
        <is>
          <t>Modular / portable power</t>
        </is>
      </c>
      <c r="D4684" s="12" t="inlineStr">
        <is>
          <t>Discrete device to JB JB-RICE-4-DI01: 20 x 1 pr (field cables)</t>
        </is>
      </c>
      <c r="E4684" s="12" t="inlineStr">
        <is>
          <t>RICE-4</t>
        </is>
      </c>
      <c r="F4684" s="12" t="inlineStr">
        <is>
          <t>RICE engine-generator 4</t>
        </is>
      </c>
      <c r="G4684" s="12" t="inlineStr">
        <is>
          <t>JB-RICE-4-DI01</t>
        </is>
      </c>
      <c r="H4684" s="12" t="inlineStr">
        <is>
          <t>RICE engine-generator 4</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I-I-0285</t>
        </is>
      </c>
      <c r="B4685" s="12" t="inlineStr">
        <is>
          <t>I</t>
        </is>
      </c>
      <c r="C4685" s="12" t="inlineStr">
        <is>
          <t>Modular / portable power</t>
        </is>
      </c>
      <c r="D4685" s="12" t="inlineStr">
        <is>
          <t>Home run JB-RICE-4-DI01 to the control / marshalling room</t>
        </is>
      </c>
      <c r="E4685" s="12" t="inlineStr"/>
      <c r="F4685" s="12" t="inlineStr">
        <is>
          <t>PCM: power control module</t>
        </is>
      </c>
      <c r="G4685" s="12" t="inlineStr">
        <is>
          <t>JB-RICE-4-DI01</t>
        </is>
      </c>
      <c r="H4685" s="12" t="inlineStr">
        <is>
          <t>RICE engine-generator 4</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I-I-0286</t>
        </is>
      </c>
      <c r="B4686" s="12" t="inlineStr">
        <is>
          <t>I</t>
        </is>
      </c>
      <c r="C4686" s="12" t="inlineStr">
        <is>
          <t>Modular / portable power</t>
        </is>
      </c>
      <c r="D4686" s="12" t="inlineStr">
        <is>
          <t>Discrete device to JB JB-RICE-4-DI02: 20 x 1 pr (field cables)</t>
        </is>
      </c>
      <c r="E4686" s="12" t="inlineStr">
        <is>
          <t>RICE-4</t>
        </is>
      </c>
      <c r="F4686" s="12" t="inlineStr">
        <is>
          <t>RICE engine-generator 4</t>
        </is>
      </c>
      <c r="G4686" s="12" t="inlineStr">
        <is>
          <t>JB-RICE-4-DI02</t>
        </is>
      </c>
      <c r="H4686" s="12" t="inlineStr">
        <is>
          <t>RICE engine-generator 4</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I-I-0287</t>
        </is>
      </c>
      <c r="B4687" s="12" t="inlineStr">
        <is>
          <t>I</t>
        </is>
      </c>
      <c r="C4687" s="12" t="inlineStr">
        <is>
          <t>Modular / portable power</t>
        </is>
      </c>
      <c r="D4687" s="12" t="inlineStr">
        <is>
          <t>Home run JB-RICE-4-DI02 to the control / marshalling room</t>
        </is>
      </c>
      <c r="E4687" s="12" t="inlineStr"/>
      <c r="F4687" s="12" t="inlineStr">
        <is>
          <t>PCM: power control module</t>
        </is>
      </c>
      <c r="G4687" s="12" t="inlineStr">
        <is>
          <t>JB-RICE-4-DI02</t>
        </is>
      </c>
      <c r="H4687" s="12" t="inlineStr">
        <is>
          <t>RICE engine-generator 4</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550</v>
      </c>
      <c r="U4687" s="17" t="n">
        <v>53</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I-I-0288</t>
        </is>
      </c>
      <c r="B4688" s="12" t="inlineStr">
        <is>
          <t>I</t>
        </is>
      </c>
      <c r="C4688" s="12" t="inlineStr">
        <is>
          <t>Modular / portable power</t>
        </is>
      </c>
      <c r="D4688" s="12" t="inlineStr">
        <is>
          <t>Discrete device to JB JB-RICE-4-DI03: 20 x 1 pr (field cables)</t>
        </is>
      </c>
      <c r="E4688" s="12" t="inlineStr">
        <is>
          <t>RICE-4</t>
        </is>
      </c>
      <c r="F4688" s="12" t="inlineStr">
        <is>
          <t>RICE engine-generator 4</t>
        </is>
      </c>
      <c r="G4688" s="12" t="inlineStr">
        <is>
          <t>JB-RICE-4-DI03</t>
        </is>
      </c>
      <c r="H4688" s="12" t="inlineStr">
        <is>
          <t>RICE engine-generator 4</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I-I-0289</t>
        </is>
      </c>
      <c r="B4689" s="12" t="inlineStr">
        <is>
          <t>I</t>
        </is>
      </c>
      <c r="C4689" s="12" t="inlineStr">
        <is>
          <t>Modular / portable power</t>
        </is>
      </c>
      <c r="D4689" s="12" t="inlineStr">
        <is>
          <t>Home run JB-RICE-4-DI03 to the control / marshalling room</t>
        </is>
      </c>
      <c r="E4689" s="12" t="inlineStr"/>
      <c r="F4689" s="12" t="inlineStr">
        <is>
          <t>PCM: power control module</t>
        </is>
      </c>
      <c r="G4689" s="12" t="inlineStr">
        <is>
          <t>JB-RICE-4-DI03</t>
        </is>
      </c>
      <c r="H4689" s="12" t="inlineStr">
        <is>
          <t>RICE engine-generator 4</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550</v>
      </c>
      <c r="U4689" s="17" t="n">
        <v>53</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I-I-0290</t>
        </is>
      </c>
      <c r="B4690" s="12" t="inlineStr">
        <is>
          <t>I</t>
        </is>
      </c>
      <c r="C4690" s="12" t="inlineStr">
        <is>
          <t>Modular / portable power</t>
        </is>
      </c>
      <c r="D4690" s="12" t="inlineStr">
        <is>
          <t>Thermocouple to TC JB JB-RICE-4-TC01: 20 x 1 pr (field cables)</t>
        </is>
      </c>
      <c r="E4690" s="12" t="inlineStr">
        <is>
          <t>RICE-4</t>
        </is>
      </c>
      <c r="F4690" s="12" t="inlineStr">
        <is>
          <t>RICE engine-generator 4</t>
        </is>
      </c>
      <c r="G4690" s="12" t="inlineStr">
        <is>
          <t>JB-RICE-4-TC01</t>
        </is>
      </c>
      <c r="H4690" s="12" t="inlineStr">
        <is>
          <t>RICE engine-generator 4</t>
        </is>
      </c>
      <c r="I4690" s="12" t="inlineStr">
        <is>
          <t>Instrumentation</t>
        </is>
      </c>
      <c r="J4690" s="12" t="inlineStr">
        <is>
          <t>Thermocouple extension KX, #16 shielded pairs, PLTC</t>
        </is>
      </c>
      <c r="K4690" s="12" t="inlineStr">
        <is>
          <t>TCX|1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I-I-0291</t>
        </is>
      </c>
      <c r="B4691" s="12" t="inlineStr">
        <is>
          <t>I</t>
        </is>
      </c>
      <c r="C4691" s="12" t="inlineStr">
        <is>
          <t>Modular / portable power</t>
        </is>
      </c>
      <c r="D4691" s="12" t="inlineStr">
        <is>
          <t>Home run JB-RICE-4-TC01 to the control / marshalling room</t>
        </is>
      </c>
      <c r="E4691" s="12" t="inlineStr"/>
      <c r="F4691" s="12" t="inlineStr">
        <is>
          <t>PCM: power control module</t>
        </is>
      </c>
      <c r="G4691" s="12" t="inlineStr">
        <is>
          <t>JB-RICE-4-TC01</t>
        </is>
      </c>
      <c r="H4691" s="12" t="inlineStr">
        <is>
          <t>RICE engine-generator 4</t>
        </is>
      </c>
      <c r="I4691" s="12" t="inlineStr">
        <is>
          <t>Instrumentation</t>
        </is>
      </c>
      <c r="J4691" s="12" t="inlineStr">
        <is>
          <t>Thermocouple extension KX, #16 shielded pairs, PLTC</t>
        </is>
      </c>
      <c r="K4691" s="12" t="inlineStr">
        <is>
          <t>TCX|24 pr|16</t>
        </is>
      </c>
      <c r="L4691" s="12" t="inlineStr">
        <is>
          <t>24 pr</t>
        </is>
      </c>
      <c r="M4691" s="12" t="inlineStr">
        <is>
          <t>16</t>
        </is>
      </c>
      <c r="N4691" s="12" t="n">
        <v>1</v>
      </c>
      <c r="O4691" s="12" t="n">
        <v>1</v>
      </c>
      <c r="P4691" s="12" t="n"/>
      <c r="Q4691" s="12" t="n"/>
      <c r="R4691" s="12" t="n"/>
      <c r="S4691" s="12" t="inlineStr">
        <is>
          <t>Duct bank</t>
        </is>
      </c>
      <c r="T4691" s="17" t="n">
        <v>550</v>
      </c>
      <c r="U4691" s="17" t="n">
        <v>53</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I-I-0292</t>
        </is>
      </c>
      <c r="B4692" s="12" t="inlineStr">
        <is>
          <t>I</t>
        </is>
      </c>
      <c r="C4692" s="12" t="inlineStr">
        <is>
          <t>Modular / portable power</t>
        </is>
      </c>
      <c r="D4692" s="12" t="inlineStr">
        <is>
          <t>Thermocouple to TC JB JB-RICE-4-TC02: 10 x 1 pr (field cables)</t>
        </is>
      </c>
      <c r="E4692" s="12" t="inlineStr">
        <is>
          <t>RICE-4</t>
        </is>
      </c>
      <c r="F4692" s="12" t="inlineStr">
        <is>
          <t>RICE engine-generator 4</t>
        </is>
      </c>
      <c r="G4692" s="12" t="inlineStr">
        <is>
          <t>JB-RICE-4-TC02</t>
        </is>
      </c>
      <c r="H4692" s="12" t="inlineStr">
        <is>
          <t>RICE engine-generator 4</t>
        </is>
      </c>
      <c r="I4692" s="12" t="inlineStr">
        <is>
          <t>Instrumentation</t>
        </is>
      </c>
      <c r="J4692" s="12" t="inlineStr">
        <is>
          <t>Thermocouple extension KX, #16 shielded pairs, PLTC</t>
        </is>
      </c>
      <c r="K4692" s="12" t="inlineStr">
        <is>
          <t>TCX|1 pr|16</t>
        </is>
      </c>
      <c r="L4692" s="12" t="inlineStr">
        <is>
          <t>1 pr</t>
        </is>
      </c>
      <c r="M4692" s="12" t="inlineStr">
        <is>
          <t>16</t>
        </is>
      </c>
      <c r="N4692" s="12" t="n">
        <v>10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I-I-0293</t>
        </is>
      </c>
      <c r="B4693" s="12" t="inlineStr">
        <is>
          <t>I</t>
        </is>
      </c>
      <c r="C4693" s="12" t="inlineStr">
        <is>
          <t>Modular / portable power</t>
        </is>
      </c>
      <c r="D4693" s="12" t="inlineStr">
        <is>
          <t>Home run JB-RICE-4-TC02 to the control / marshalling room</t>
        </is>
      </c>
      <c r="E4693" s="12" t="inlineStr"/>
      <c r="F4693" s="12" t="inlineStr">
        <is>
          <t>PCM: power control module</t>
        </is>
      </c>
      <c r="G4693" s="12" t="inlineStr">
        <is>
          <t>JB-RICE-4-TC02</t>
        </is>
      </c>
      <c r="H4693" s="12" t="inlineStr">
        <is>
          <t>RICE engine-generator 4</t>
        </is>
      </c>
      <c r="I4693" s="12" t="inlineStr">
        <is>
          <t>Instrumentation</t>
        </is>
      </c>
      <c r="J4693" s="12" t="inlineStr">
        <is>
          <t>Thermocouple extension KX, #16 shielded pairs, PLTC</t>
        </is>
      </c>
      <c r="K4693" s="12" t="inlineStr">
        <is>
          <t>TCX|24 pr|16</t>
        </is>
      </c>
      <c r="L4693" s="12" t="inlineStr">
        <is>
          <t>24 pr</t>
        </is>
      </c>
      <c r="M4693" s="12" t="inlineStr">
        <is>
          <t>16</t>
        </is>
      </c>
      <c r="N4693" s="12" t="n">
        <v>1</v>
      </c>
      <c r="O4693" s="12" t="n">
        <v>1</v>
      </c>
      <c r="P4693" s="12" t="n"/>
      <c r="Q4693" s="12" t="n"/>
      <c r="R4693" s="12" t="n"/>
      <c r="S4693" s="12" t="inlineStr">
        <is>
          <t>Duct bank</t>
        </is>
      </c>
      <c r="T4693" s="17" t="n">
        <v>550</v>
      </c>
      <c r="U4693" s="17" t="n">
        <v>53</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I-I-0294</t>
        </is>
      </c>
      <c r="B4694" s="12" t="inlineStr">
        <is>
          <t>I</t>
        </is>
      </c>
      <c r="C4694" s="12" t="inlineStr">
        <is>
          <t>Modular / portable power</t>
        </is>
      </c>
      <c r="D4694" s="12" t="inlineStr">
        <is>
          <t>RTD to JB JB-RICE-4-RTD01: 10 x 1 tri (field cables)</t>
        </is>
      </c>
      <c r="E4694" s="12" t="inlineStr">
        <is>
          <t>RICE-4</t>
        </is>
      </c>
      <c r="F4694" s="12" t="inlineStr">
        <is>
          <t>RICE engine-generator 4</t>
        </is>
      </c>
      <c r="G4694" s="12" t="inlineStr">
        <is>
          <t>JB-RICE-4-RTD01</t>
        </is>
      </c>
      <c r="H4694" s="12" t="inlineStr">
        <is>
          <t>RICE engine-generator 4</t>
        </is>
      </c>
      <c r="I4694" s="12" t="inlineStr">
        <is>
          <t>Instrumentation</t>
        </is>
      </c>
      <c r="J4694" s="12" t="inlineStr">
        <is>
          <t>RTD cable, #18 shielded triads, PLTC</t>
        </is>
      </c>
      <c r="K4694" s="12" t="inlineStr">
        <is>
          <t>RTD|1 tri|18</t>
        </is>
      </c>
      <c r="L4694" s="12" t="inlineStr">
        <is>
          <t>1 tri</t>
        </is>
      </c>
      <c r="M4694" s="12" t="inlineStr">
        <is>
          <t>18</t>
        </is>
      </c>
      <c r="N4694" s="12" t="n">
        <v>10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I-I-0295</t>
        </is>
      </c>
      <c r="B4695" s="12" t="inlineStr">
        <is>
          <t>I</t>
        </is>
      </c>
      <c r="C4695" s="12" t="inlineStr">
        <is>
          <t>Modular / portable power</t>
        </is>
      </c>
      <c r="D4695" s="12" t="inlineStr">
        <is>
          <t>Home run JB-RICE-4-RTD01 to the control / marshalling room</t>
        </is>
      </c>
      <c r="E4695" s="12" t="inlineStr"/>
      <c r="F4695" s="12" t="inlineStr">
        <is>
          <t>PCM: power control module</t>
        </is>
      </c>
      <c r="G4695" s="12" t="inlineStr">
        <is>
          <t>JB-RICE-4-RTD01</t>
        </is>
      </c>
      <c r="H4695" s="12" t="inlineStr">
        <is>
          <t>RICE engine-generator 4</t>
        </is>
      </c>
      <c r="I4695" s="12" t="inlineStr">
        <is>
          <t>Instrumentation</t>
        </is>
      </c>
      <c r="J4695" s="12" t="inlineStr">
        <is>
          <t>RTD cable, #18 shielded triads, PLTC</t>
        </is>
      </c>
      <c r="K4695" s="12" t="inlineStr">
        <is>
          <t>RTD|12 tri|18</t>
        </is>
      </c>
      <c r="L4695" s="12" t="inlineStr">
        <is>
          <t>12 tri</t>
        </is>
      </c>
      <c r="M4695" s="12" t="inlineStr">
        <is>
          <t>18</t>
        </is>
      </c>
      <c r="N4695" s="12" t="n">
        <v>1</v>
      </c>
      <c r="O4695" s="12" t="n">
        <v>1</v>
      </c>
      <c r="P4695" s="12" t="n"/>
      <c r="Q4695" s="12" t="n"/>
      <c r="R4695" s="12" t="n"/>
      <c r="S4695" s="12" t="inlineStr">
        <is>
          <t>Duct bank</t>
        </is>
      </c>
      <c r="T4695" s="17" t="n">
        <v>550</v>
      </c>
      <c r="U4695" s="17" t="n">
        <v>53</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I-I-0296</t>
        </is>
      </c>
      <c r="B4696" s="12" t="inlineStr">
        <is>
          <t>I</t>
        </is>
      </c>
      <c r="C4696" s="12" t="inlineStr">
        <is>
          <t>Modular / portable power</t>
        </is>
      </c>
      <c r="D4696" s="12" t="inlineStr">
        <is>
          <t>RTD to JB JB-RICE-4-RTD02: 2 x 1 tri (field cables)</t>
        </is>
      </c>
      <c r="E4696" s="12" t="inlineStr">
        <is>
          <t>RICE-4</t>
        </is>
      </c>
      <c r="F4696" s="12" t="inlineStr">
        <is>
          <t>RICE engine-generator 4</t>
        </is>
      </c>
      <c r="G4696" s="12" t="inlineStr">
        <is>
          <t>JB-RICE-4-RTD02</t>
        </is>
      </c>
      <c r="H4696" s="12" t="inlineStr">
        <is>
          <t>RICE engine-generator 4</t>
        </is>
      </c>
      <c r="I4696" s="12" t="inlineStr">
        <is>
          <t>Instrumentation</t>
        </is>
      </c>
      <c r="J4696" s="12" t="inlineStr">
        <is>
          <t>RTD cable, #18 shielded triads, PLTC</t>
        </is>
      </c>
      <c r="K4696" s="12" t="inlineStr">
        <is>
          <t>RTD|1 tri|18</t>
        </is>
      </c>
      <c r="L4696" s="12" t="inlineStr">
        <is>
          <t>1 tri</t>
        </is>
      </c>
      <c r="M4696" s="12" t="inlineStr">
        <is>
          <t>18</t>
        </is>
      </c>
      <c r="N4696" s="12" t="n">
        <v>2</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I-I-0297</t>
        </is>
      </c>
      <c r="B4697" s="12" t="inlineStr">
        <is>
          <t>I</t>
        </is>
      </c>
      <c r="C4697" s="12" t="inlineStr">
        <is>
          <t>Modular / portable power</t>
        </is>
      </c>
      <c r="D4697" s="12" t="inlineStr">
        <is>
          <t>Home run JB-RICE-4-RTD02 to the control / marshalling room</t>
        </is>
      </c>
      <c r="E4697" s="12" t="inlineStr"/>
      <c r="F4697" s="12" t="inlineStr">
        <is>
          <t>PCM: power control module</t>
        </is>
      </c>
      <c r="G4697" s="12" t="inlineStr">
        <is>
          <t>JB-RICE-4-RTD02</t>
        </is>
      </c>
      <c r="H4697" s="12" t="inlineStr">
        <is>
          <t>RICE engine-generator 4</t>
        </is>
      </c>
      <c r="I4697" s="12" t="inlineStr">
        <is>
          <t>Instrumentation</t>
        </is>
      </c>
      <c r="J4697" s="12" t="inlineStr">
        <is>
          <t>RTD cable, #18 shielded triads, PLTC</t>
        </is>
      </c>
      <c r="K4697" s="12" t="inlineStr">
        <is>
          <t>RTD|12 tri|18</t>
        </is>
      </c>
      <c r="L4697" s="12" t="inlineStr">
        <is>
          <t>12 tri</t>
        </is>
      </c>
      <c r="M4697" s="12" t="inlineStr">
        <is>
          <t>18</t>
        </is>
      </c>
      <c r="N4697" s="12" t="n">
        <v>1</v>
      </c>
      <c r="O4697" s="12" t="n">
        <v>1</v>
      </c>
      <c r="P4697" s="12" t="n"/>
      <c r="Q4697" s="12" t="n"/>
      <c r="R4697" s="12" t="n"/>
      <c r="S4697" s="12" t="inlineStr">
        <is>
          <t>Duct bank</t>
        </is>
      </c>
      <c r="T4697" s="17" t="n">
        <v>550</v>
      </c>
      <c r="U4697" s="17" t="n">
        <v>53</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I-I-0298</t>
        </is>
      </c>
      <c r="B4698" s="12" t="inlineStr">
        <is>
          <t>I</t>
        </is>
      </c>
      <c r="C4698" s="12" t="inlineStr">
        <is>
          <t>Modular / portable power</t>
        </is>
      </c>
      <c r="D4698" s="12" t="inlineStr">
        <is>
          <t>Analog instrument to JB JB-RICE-5-AI01: 20 x 1 pr (field cables)</t>
        </is>
      </c>
      <c r="E4698" s="12" t="inlineStr">
        <is>
          <t>RICE-5</t>
        </is>
      </c>
      <c r="F4698" s="12" t="inlineStr">
        <is>
          <t>RICE engine-generator 5</t>
        </is>
      </c>
      <c r="G4698" s="12" t="inlineStr">
        <is>
          <t>JB-RICE-5-AI01</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I-I-0299</t>
        </is>
      </c>
      <c r="B4699" s="12" t="inlineStr">
        <is>
          <t>I</t>
        </is>
      </c>
      <c r="C4699" s="12" t="inlineStr">
        <is>
          <t>Modular / portable power</t>
        </is>
      </c>
      <c r="D4699" s="12" t="inlineStr">
        <is>
          <t>Home run JB-RICE-5-AI01 to the control / marshalling room</t>
        </is>
      </c>
      <c r="E4699" s="12" t="inlineStr"/>
      <c r="F4699" s="12" t="inlineStr">
        <is>
          <t>PCM: power control module</t>
        </is>
      </c>
      <c r="G4699" s="12" t="inlineStr">
        <is>
          <t>JB-RICE-5-AI01</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I-I-0300</t>
        </is>
      </c>
      <c r="B4700" s="12" t="inlineStr">
        <is>
          <t>I</t>
        </is>
      </c>
      <c r="C4700" s="12" t="inlineStr">
        <is>
          <t>Modular / portable power</t>
        </is>
      </c>
      <c r="D4700" s="12" t="inlineStr">
        <is>
          <t>Analog instrument to JB JB-RICE-5-AI02: 20 x 1 pr (field cables)</t>
        </is>
      </c>
      <c r="E4700" s="12" t="inlineStr">
        <is>
          <t>RICE-5</t>
        </is>
      </c>
      <c r="F4700" s="12" t="inlineStr">
        <is>
          <t>RICE engine-generator 5</t>
        </is>
      </c>
      <c r="G4700" s="12" t="inlineStr">
        <is>
          <t>JB-RICE-5-AI02</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I-I-0301</t>
        </is>
      </c>
      <c r="B4701" s="12" t="inlineStr">
        <is>
          <t>I</t>
        </is>
      </c>
      <c r="C4701" s="12" t="inlineStr">
        <is>
          <t>Modular / portable power</t>
        </is>
      </c>
      <c r="D4701" s="12" t="inlineStr">
        <is>
          <t>Home run JB-RICE-5-AI02 to the control / marshalling room</t>
        </is>
      </c>
      <c r="E4701" s="12" t="inlineStr"/>
      <c r="F4701" s="12" t="inlineStr">
        <is>
          <t>PCM: power control module</t>
        </is>
      </c>
      <c r="G4701" s="12" t="inlineStr">
        <is>
          <t>JB-RICE-5-AI02</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I-I-0302</t>
        </is>
      </c>
      <c r="B4702" s="12" t="inlineStr">
        <is>
          <t>I</t>
        </is>
      </c>
      <c r="C4702" s="12" t="inlineStr">
        <is>
          <t>Modular / portable power</t>
        </is>
      </c>
      <c r="D4702" s="12" t="inlineStr">
        <is>
          <t>Analog instrument to JB JB-RICE-5-AI03: 20 x 1 pr (field cables)</t>
        </is>
      </c>
      <c r="E4702" s="12" t="inlineStr">
        <is>
          <t>RICE-5</t>
        </is>
      </c>
      <c r="F4702" s="12" t="inlineStr">
        <is>
          <t>RICE engine-generator 5</t>
        </is>
      </c>
      <c r="G4702" s="12" t="inlineStr">
        <is>
          <t>JB-RICE-5-AI03</t>
        </is>
      </c>
      <c r="H4702" s="12" t="inlineStr">
        <is>
          <t>RICE engine-generator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I-I-0303</t>
        </is>
      </c>
      <c r="B4703" s="12" t="inlineStr">
        <is>
          <t>I</t>
        </is>
      </c>
      <c r="C4703" s="12" t="inlineStr">
        <is>
          <t>Modular / portable power</t>
        </is>
      </c>
      <c r="D4703" s="12" t="inlineStr">
        <is>
          <t>Home run JB-RICE-5-AI03 to the control / marshalling room</t>
        </is>
      </c>
      <c r="E4703" s="12" t="inlineStr"/>
      <c r="F4703" s="12" t="inlineStr">
        <is>
          <t>PCM: power control module</t>
        </is>
      </c>
      <c r="G4703" s="12" t="inlineStr">
        <is>
          <t>JB-RICE-5-AI03</t>
        </is>
      </c>
      <c r="H4703" s="12" t="inlineStr">
        <is>
          <t>RICE engine-generator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I-I-0304</t>
        </is>
      </c>
      <c r="B4704" s="12" t="inlineStr">
        <is>
          <t>I</t>
        </is>
      </c>
      <c r="C4704" s="12" t="inlineStr">
        <is>
          <t>Modular / portable power</t>
        </is>
      </c>
      <c r="D4704" s="12" t="inlineStr">
        <is>
          <t>Analog instrument to JB JB-RICE-5-AI04: 20 x 1 pr (field cables)</t>
        </is>
      </c>
      <c r="E4704" s="12" t="inlineStr">
        <is>
          <t>RICE-5</t>
        </is>
      </c>
      <c r="F4704" s="12" t="inlineStr">
        <is>
          <t>RICE engine-generator 5</t>
        </is>
      </c>
      <c r="G4704" s="12" t="inlineStr">
        <is>
          <t>JB-RICE-5-AI04</t>
        </is>
      </c>
      <c r="H4704" s="12" t="inlineStr">
        <is>
          <t>RICE engine-generator 5</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I-I-0305</t>
        </is>
      </c>
      <c r="B4705" s="12" t="inlineStr">
        <is>
          <t>I</t>
        </is>
      </c>
      <c r="C4705" s="12" t="inlineStr">
        <is>
          <t>Modular / portable power</t>
        </is>
      </c>
      <c r="D4705" s="12" t="inlineStr">
        <is>
          <t>Home run JB-RICE-5-AI04 to the control / marshalling room</t>
        </is>
      </c>
      <c r="E4705" s="12" t="inlineStr"/>
      <c r="F4705" s="12" t="inlineStr">
        <is>
          <t>PCM: power control module</t>
        </is>
      </c>
      <c r="G4705" s="12" t="inlineStr">
        <is>
          <t>JB-RICE-5-AI04</t>
        </is>
      </c>
      <c r="H4705" s="12" t="inlineStr">
        <is>
          <t>RICE engine-generator 5</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I-I-0306</t>
        </is>
      </c>
      <c r="B4706" s="12" t="inlineStr">
        <is>
          <t>I</t>
        </is>
      </c>
      <c r="C4706" s="12" t="inlineStr">
        <is>
          <t>Modular / portable power</t>
        </is>
      </c>
      <c r="D4706" s="12" t="inlineStr">
        <is>
          <t>Discrete device to JB JB-RICE-5-DI01: 20 x 1 pr (field cables)</t>
        </is>
      </c>
      <c r="E4706" s="12" t="inlineStr">
        <is>
          <t>RICE-5</t>
        </is>
      </c>
      <c r="F4706" s="12" t="inlineStr">
        <is>
          <t>RICE engine-generator 5</t>
        </is>
      </c>
      <c r="G4706" s="12" t="inlineStr">
        <is>
          <t>JB-RICE-5-DI01</t>
        </is>
      </c>
      <c r="H4706" s="12" t="inlineStr">
        <is>
          <t>RICE engine-generator 5</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I-I-0307</t>
        </is>
      </c>
      <c r="B4707" s="12" t="inlineStr">
        <is>
          <t>I</t>
        </is>
      </c>
      <c r="C4707" s="12" t="inlineStr">
        <is>
          <t>Modular / portable power</t>
        </is>
      </c>
      <c r="D4707" s="12" t="inlineStr">
        <is>
          <t>Home run JB-RICE-5-DI01 to the control / marshalling room</t>
        </is>
      </c>
      <c r="E4707" s="12" t="inlineStr"/>
      <c r="F4707" s="12" t="inlineStr">
        <is>
          <t>PCM: power control module</t>
        </is>
      </c>
      <c r="G4707" s="12" t="inlineStr">
        <is>
          <t>JB-RICE-5-DI01</t>
        </is>
      </c>
      <c r="H4707" s="12" t="inlineStr">
        <is>
          <t>RICE engine-generator 5</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I-I-0308</t>
        </is>
      </c>
      <c r="B4708" s="12" t="inlineStr">
        <is>
          <t>I</t>
        </is>
      </c>
      <c r="C4708" s="12" t="inlineStr">
        <is>
          <t>Modular / portable power</t>
        </is>
      </c>
      <c r="D4708" s="12" t="inlineStr">
        <is>
          <t>Discrete device to JB JB-RICE-5-DI02: 20 x 1 pr (field cables)</t>
        </is>
      </c>
      <c r="E4708" s="12" t="inlineStr">
        <is>
          <t>RICE-5</t>
        </is>
      </c>
      <c r="F4708" s="12" t="inlineStr">
        <is>
          <t>RICE engine-generator 5</t>
        </is>
      </c>
      <c r="G4708" s="12" t="inlineStr">
        <is>
          <t>JB-RICE-5-DI02</t>
        </is>
      </c>
      <c r="H4708" s="12" t="inlineStr">
        <is>
          <t>RICE engine-generator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I-I-0309</t>
        </is>
      </c>
      <c r="B4709" s="12" t="inlineStr">
        <is>
          <t>I</t>
        </is>
      </c>
      <c r="C4709" s="12" t="inlineStr">
        <is>
          <t>Modular / portable power</t>
        </is>
      </c>
      <c r="D4709" s="12" t="inlineStr">
        <is>
          <t>Home run JB-RICE-5-DI02 to the control / marshalling room</t>
        </is>
      </c>
      <c r="E4709" s="12" t="inlineStr"/>
      <c r="F4709" s="12" t="inlineStr">
        <is>
          <t>PCM: power control module</t>
        </is>
      </c>
      <c r="G4709" s="12" t="inlineStr">
        <is>
          <t>JB-RICE-5-DI02</t>
        </is>
      </c>
      <c r="H4709" s="12" t="inlineStr">
        <is>
          <t>RICE engine-generator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208</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I-I-0310</t>
        </is>
      </c>
      <c r="B4710" s="12" t="inlineStr">
        <is>
          <t>I</t>
        </is>
      </c>
      <c r="C4710" s="12" t="inlineStr">
        <is>
          <t>Modular / portable power</t>
        </is>
      </c>
      <c r="D4710" s="12" t="inlineStr">
        <is>
          <t>Discrete device to JB JB-RICE-5-DI03: 20 x 1 pr (field cables)</t>
        </is>
      </c>
      <c r="E4710" s="12" t="inlineStr">
        <is>
          <t>RICE-5</t>
        </is>
      </c>
      <c r="F4710" s="12" t="inlineStr">
        <is>
          <t>RICE engine-generator 5</t>
        </is>
      </c>
      <c r="G4710" s="12" t="inlineStr">
        <is>
          <t>JB-RICE-5-DI03</t>
        </is>
      </c>
      <c r="H4710" s="12" t="inlineStr">
        <is>
          <t>RICE engine-generator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I-I-0311</t>
        </is>
      </c>
      <c r="B4711" s="12" t="inlineStr">
        <is>
          <t>I</t>
        </is>
      </c>
      <c r="C4711" s="12" t="inlineStr">
        <is>
          <t>Modular / portable power</t>
        </is>
      </c>
      <c r="D4711" s="12" t="inlineStr">
        <is>
          <t>Home run JB-RICE-5-DI03 to the control / marshalling room</t>
        </is>
      </c>
      <c r="E4711" s="12" t="inlineStr"/>
      <c r="F4711" s="12" t="inlineStr">
        <is>
          <t>PCM: power control module</t>
        </is>
      </c>
      <c r="G4711" s="12" t="inlineStr">
        <is>
          <t>JB-RICE-5-DI03</t>
        </is>
      </c>
      <c r="H4711" s="12" t="inlineStr">
        <is>
          <t>RICE engine-generator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208</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I-I-0312</t>
        </is>
      </c>
      <c r="B4712" s="12" t="inlineStr">
        <is>
          <t>I</t>
        </is>
      </c>
      <c r="C4712" s="12" t="inlineStr">
        <is>
          <t>Modular / portable power</t>
        </is>
      </c>
      <c r="D4712" s="12" t="inlineStr">
        <is>
          <t>Thermocouple to TC JB JB-RICE-5-TC01: 20 x 1 pr (field cables)</t>
        </is>
      </c>
      <c r="E4712" s="12" t="inlineStr">
        <is>
          <t>RICE-5</t>
        </is>
      </c>
      <c r="F4712" s="12" t="inlineStr">
        <is>
          <t>RICE engine-generator 5</t>
        </is>
      </c>
      <c r="G4712" s="12" t="inlineStr">
        <is>
          <t>JB-RICE-5-TC01</t>
        </is>
      </c>
      <c r="H4712" s="12" t="inlineStr">
        <is>
          <t>RICE engine-generator 5</t>
        </is>
      </c>
      <c r="I4712" s="12" t="inlineStr">
        <is>
          <t>Instrumentation</t>
        </is>
      </c>
      <c r="J4712" s="12" t="inlineStr">
        <is>
          <t>Thermocouple extension KX, #16 shielded pairs, PLTC</t>
        </is>
      </c>
      <c r="K4712" s="12" t="inlineStr">
        <is>
          <t>TCX|1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I-I-0313</t>
        </is>
      </c>
      <c r="B4713" s="12" t="inlineStr">
        <is>
          <t>I</t>
        </is>
      </c>
      <c r="C4713" s="12" t="inlineStr">
        <is>
          <t>Modular / portable power</t>
        </is>
      </c>
      <c r="D4713" s="12" t="inlineStr">
        <is>
          <t>Home run JB-RICE-5-TC01 to the control / marshalling room</t>
        </is>
      </c>
      <c r="E4713" s="12" t="inlineStr"/>
      <c r="F4713" s="12" t="inlineStr">
        <is>
          <t>PCM: power control module</t>
        </is>
      </c>
      <c r="G4713" s="12" t="inlineStr">
        <is>
          <t>JB-RICE-5-TC01</t>
        </is>
      </c>
      <c r="H4713" s="12" t="inlineStr">
        <is>
          <t>RICE engine-generator 5</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7" t="n">
        <v>367</v>
      </c>
      <c r="U4713" s="17" t="n">
        <v>208</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I-I-0314</t>
        </is>
      </c>
      <c r="B4714" s="12" t="inlineStr">
        <is>
          <t>I</t>
        </is>
      </c>
      <c r="C4714" s="12" t="inlineStr">
        <is>
          <t>Modular / portable power</t>
        </is>
      </c>
      <c r="D4714" s="12" t="inlineStr">
        <is>
          <t>Thermocouple to TC JB JB-RICE-5-TC02: 10 x 1 pr (field cables)</t>
        </is>
      </c>
      <c r="E4714" s="12" t="inlineStr">
        <is>
          <t>RICE-5</t>
        </is>
      </c>
      <c r="F4714" s="12" t="inlineStr">
        <is>
          <t>RICE engine-generator 5</t>
        </is>
      </c>
      <c r="G4714" s="12" t="inlineStr">
        <is>
          <t>JB-RICE-5-TC02</t>
        </is>
      </c>
      <c r="H4714" s="12" t="inlineStr">
        <is>
          <t>RICE engine-generator 5</t>
        </is>
      </c>
      <c r="I4714" s="12" t="inlineStr">
        <is>
          <t>Instrumentation</t>
        </is>
      </c>
      <c r="J4714" s="12" t="inlineStr">
        <is>
          <t>Thermocouple extension KX, #16 shielded pairs, PLTC</t>
        </is>
      </c>
      <c r="K4714" s="12" t="inlineStr">
        <is>
          <t>TCX|1 pr|16</t>
        </is>
      </c>
      <c r="L4714" s="12" t="inlineStr">
        <is>
          <t>1 pr</t>
        </is>
      </c>
      <c r="M4714" s="12" t="inlineStr">
        <is>
          <t>16</t>
        </is>
      </c>
      <c r="N4714" s="12" t="n">
        <v>10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I-I-0315</t>
        </is>
      </c>
      <c r="B4715" s="12" t="inlineStr">
        <is>
          <t>I</t>
        </is>
      </c>
      <c r="C4715" s="12" t="inlineStr">
        <is>
          <t>Modular / portable power</t>
        </is>
      </c>
      <c r="D4715" s="12" t="inlineStr">
        <is>
          <t>Home run JB-RICE-5-TC02 to the control / marshalling room</t>
        </is>
      </c>
      <c r="E4715" s="12" t="inlineStr"/>
      <c r="F4715" s="12" t="inlineStr">
        <is>
          <t>PCM: power control module</t>
        </is>
      </c>
      <c r="G4715" s="12" t="inlineStr">
        <is>
          <t>JB-RICE-5-TC02</t>
        </is>
      </c>
      <c r="H4715" s="12" t="inlineStr">
        <is>
          <t>RICE engine-generator 5</t>
        </is>
      </c>
      <c r="I4715" s="12" t="inlineStr">
        <is>
          <t>Instrumentation</t>
        </is>
      </c>
      <c r="J4715" s="12" t="inlineStr">
        <is>
          <t>Thermocouple extension KX, #16 shielded pairs, PLTC</t>
        </is>
      </c>
      <c r="K4715" s="12" t="inlineStr">
        <is>
          <t>TCX|24 pr|16</t>
        </is>
      </c>
      <c r="L4715" s="12" t="inlineStr">
        <is>
          <t>24 pr</t>
        </is>
      </c>
      <c r="M4715" s="12" t="inlineStr">
        <is>
          <t>16</t>
        </is>
      </c>
      <c r="N4715" s="12" t="n">
        <v>1</v>
      </c>
      <c r="O4715" s="12" t="n">
        <v>1</v>
      </c>
      <c r="P4715" s="12" t="n"/>
      <c r="Q4715" s="12" t="n"/>
      <c r="R4715" s="12" t="n"/>
      <c r="S4715" s="12" t="inlineStr">
        <is>
          <t>Duct bank</t>
        </is>
      </c>
      <c r="T4715" s="17" t="n">
        <v>367</v>
      </c>
      <c r="U4715" s="17" t="n">
        <v>208</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I-I-0316</t>
        </is>
      </c>
      <c r="B4716" s="12" t="inlineStr">
        <is>
          <t>I</t>
        </is>
      </c>
      <c r="C4716" s="12" t="inlineStr">
        <is>
          <t>Modular / portable power</t>
        </is>
      </c>
      <c r="D4716" s="12" t="inlineStr">
        <is>
          <t>RTD to JB JB-RICE-5-RTD01: 10 x 1 tri (field cables)</t>
        </is>
      </c>
      <c r="E4716" s="12" t="inlineStr">
        <is>
          <t>RICE-5</t>
        </is>
      </c>
      <c r="F4716" s="12" t="inlineStr">
        <is>
          <t>RICE engine-generator 5</t>
        </is>
      </c>
      <c r="G4716" s="12" t="inlineStr">
        <is>
          <t>JB-RICE-5-RTD01</t>
        </is>
      </c>
      <c r="H4716" s="12" t="inlineStr">
        <is>
          <t>RICE engine-generator 5</t>
        </is>
      </c>
      <c r="I4716" s="12" t="inlineStr">
        <is>
          <t>Instrumentation</t>
        </is>
      </c>
      <c r="J4716" s="12" t="inlineStr">
        <is>
          <t>RTD cable, #18 shielded triads, PLTC</t>
        </is>
      </c>
      <c r="K4716" s="12" t="inlineStr">
        <is>
          <t>RTD|1 tri|18</t>
        </is>
      </c>
      <c r="L4716" s="12" t="inlineStr">
        <is>
          <t>1 tri</t>
        </is>
      </c>
      <c r="M4716" s="12" t="inlineStr">
        <is>
          <t>18</t>
        </is>
      </c>
      <c r="N4716" s="12" t="n">
        <v>10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I-I-0317</t>
        </is>
      </c>
      <c r="B4717" s="12" t="inlineStr">
        <is>
          <t>I</t>
        </is>
      </c>
      <c r="C4717" s="12" t="inlineStr">
        <is>
          <t>Modular / portable power</t>
        </is>
      </c>
      <c r="D4717" s="12" t="inlineStr">
        <is>
          <t>Home run JB-RICE-5-RTD01 to the control / marshalling room</t>
        </is>
      </c>
      <c r="E4717" s="12" t="inlineStr"/>
      <c r="F4717" s="12" t="inlineStr">
        <is>
          <t>PCM: power control module</t>
        </is>
      </c>
      <c r="G4717" s="12" t="inlineStr">
        <is>
          <t>JB-RICE-5-RTD01</t>
        </is>
      </c>
      <c r="H4717" s="12" t="inlineStr">
        <is>
          <t>RICE engine-generator 5</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7" t="n">
        <v>367</v>
      </c>
      <c r="U4717" s="17" t="n">
        <v>208</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I-I-0318</t>
        </is>
      </c>
      <c r="B4718" s="12" t="inlineStr">
        <is>
          <t>I</t>
        </is>
      </c>
      <c r="C4718" s="12" t="inlineStr">
        <is>
          <t>Modular / portable power</t>
        </is>
      </c>
      <c r="D4718" s="12" t="inlineStr">
        <is>
          <t>RTD to JB JB-RICE-5-RTD02: 2 x 1 tri (field cables)</t>
        </is>
      </c>
      <c r="E4718" s="12" t="inlineStr">
        <is>
          <t>RICE-5</t>
        </is>
      </c>
      <c r="F4718" s="12" t="inlineStr">
        <is>
          <t>RICE engine-generator 5</t>
        </is>
      </c>
      <c r="G4718" s="12" t="inlineStr">
        <is>
          <t>JB-RICE-5-RTD02</t>
        </is>
      </c>
      <c r="H4718" s="12" t="inlineStr">
        <is>
          <t>RICE engine-generator 5</t>
        </is>
      </c>
      <c r="I4718" s="12" t="inlineStr">
        <is>
          <t>Instrumentation</t>
        </is>
      </c>
      <c r="J4718" s="12" t="inlineStr">
        <is>
          <t>RTD cable, #18 shielded triads, PLTC</t>
        </is>
      </c>
      <c r="K4718" s="12" t="inlineStr">
        <is>
          <t>RTD|1 tri|18</t>
        </is>
      </c>
      <c r="L4718" s="12" t="inlineStr">
        <is>
          <t>1 tri</t>
        </is>
      </c>
      <c r="M4718" s="12" t="inlineStr">
        <is>
          <t>18</t>
        </is>
      </c>
      <c r="N4718" s="12" t="n">
        <v>2</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I-I-0319</t>
        </is>
      </c>
      <c r="B4719" s="12" t="inlineStr">
        <is>
          <t>I</t>
        </is>
      </c>
      <c r="C4719" s="12" t="inlineStr">
        <is>
          <t>Modular / portable power</t>
        </is>
      </c>
      <c r="D4719" s="12" t="inlineStr">
        <is>
          <t>Home run JB-RICE-5-RTD02 to the control / marshalling room</t>
        </is>
      </c>
      <c r="E4719" s="12" t="inlineStr"/>
      <c r="F4719" s="12" t="inlineStr">
        <is>
          <t>PCM: power control module</t>
        </is>
      </c>
      <c r="G4719" s="12" t="inlineStr">
        <is>
          <t>JB-RICE-5-RTD02</t>
        </is>
      </c>
      <c r="H4719" s="12" t="inlineStr">
        <is>
          <t>RICE engine-generator 5</t>
        </is>
      </c>
      <c r="I4719" s="12" t="inlineStr">
        <is>
          <t>Instrumentation</t>
        </is>
      </c>
      <c r="J4719" s="12" t="inlineStr">
        <is>
          <t>RTD cable, #18 shielded triads, PLTC</t>
        </is>
      </c>
      <c r="K4719" s="12" t="inlineStr">
        <is>
          <t>RTD|12 tri|18</t>
        </is>
      </c>
      <c r="L4719" s="12" t="inlineStr">
        <is>
          <t>12 tri</t>
        </is>
      </c>
      <c r="M4719" s="12" t="inlineStr">
        <is>
          <t>18</t>
        </is>
      </c>
      <c r="N4719" s="12" t="n">
        <v>1</v>
      </c>
      <c r="O4719" s="12" t="n">
        <v>1</v>
      </c>
      <c r="P4719" s="12" t="n"/>
      <c r="Q4719" s="12" t="n"/>
      <c r="R4719" s="12" t="n"/>
      <c r="S4719" s="12" t="inlineStr">
        <is>
          <t>Duct bank</t>
        </is>
      </c>
      <c r="T4719" s="17" t="n">
        <v>367</v>
      </c>
      <c r="U4719" s="17" t="n">
        <v>208</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I-I-0320</t>
        </is>
      </c>
      <c r="B4720" s="12" t="inlineStr">
        <is>
          <t>I</t>
        </is>
      </c>
      <c r="C4720" s="12" t="inlineStr">
        <is>
          <t>Modular / portable power</t>
        </is>
      </c>
      <c r="D4720" s="12" t="inlineStr">
        <is>
          <t>Analog instrument to JB JB-RICE-6-AI01: 20 x 1 pr (field cables)</t>
        </is>
      </c>
      <c r="E4720" s="12" t="inlineStr">
        <is>
          <t>RICE-6</t>
        </is>
      </c>
      <c r="F4720" s="12" t="inlineStr">
        <is>
          <t>RICE engine-generator 6</t>
        </is>
      </c>
      <c r="G4720" s="12" t="inlineStr">
        <is>
          <t>JB-RICE-6-AI01</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I-I-0321</t>
        </is>
      </c>
      <c r="B4721" s="12" t="inlineStr">
        <is>
          <t>I</t>
        </is>
      </c>
      <c r="C4721" s="12" t="inlineStr">
        <is>
          <t>Modular / portable power</t>
        </is>
      </c>
      <c r="D4721" s="12" t="inlineStr">
        <is>
          <t>Home run JB-RICE-6-AI01 to the control / marshalling room</t>
        </is>
      </c>
      <c r="E4721" s="12" t="inlineStr"/>
      <c r="F4721" s="12" t="inlineStr">
        <is>
          <t>PCM: power control module</t>
        </is>
      </c>
      <c r="G4721" s="12" t="inlineStr">
        <is>
          <t>JB-RICE-6-AI01</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I-I-0322</t>
        </is>
      </c>
      <c r="B4722" s="12" t="inlineStr">
        <is>
          <t>I</t>
        </is>
      </c>
      <c r="C4722" s="12" t="inlineStr">
        <is>
          <t>Modular / portable power</t>
        </is>
      </c>
      <c r="D4722" s="12" t="inlineStr">
        <is>
          <t>Analog instrument to JB JB-RICE-6-AI02: 20 x 1 pr (field cables)</t>
        </is>
      </c>
      <c r="E4722" s="12" t="inlineStr">
        <is>
          <t>RICE-6</t>
        </is>
      </c>
      <c r="F4722" s="12" t="inlineStr">
        <is>
          <t>RICE engine-generator 6</t>
        </is>
      </c>
      <c r="G4722" s="12" t="inlineStr">
        <is>
          <t>JB-RICE-6-AI02</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I-I-0323</t>
        </is>
      </c>
      <c r="B4723" s="12" t="inlineStr">
        <is>
          <t>I</t>
        </is>
      </c>
      <c r="C4723" s="12" t="inlineStr">
        <is>
          <t>Modular / portable power</t>
        </is>
      </c>
      <c r="D4723" s="12" t="inlineStr">
        <is>
          <t>Home run JB-RICE-6-AI02 to the control / marshalling room</t>
        </is>
      </c>
      <c r="E4723" s="12" t="inlineStr"/>
      <c r="F4723" s="12" t="inlineStr">
        <is>
          <t>PCM: power control module</t>
        </is>
      </c>
      <c r="G4723" s="12" t="inlineStr">
        <is>
          <t>JB-RICE-6-AI02</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I-I-0324</t>
        </is>
      </c>
      <c r="B4724" s="12" t="inlineStr">
        <is>
          <t>I</t>
        </is>
      </c>
      <c r="C4724" s="12" t="inlineStr">
        <is>
          <t>Modular / portable power</t>
        </is>
      </c>
      <c r="D4724" s="12" t="inlineStr">
        <is>
          <t>Analog instrument to JB JB-RICE-6-AI03: 20 x 1 pr (field cables)</t>
        </is>
      </c>
      <c r="E4724" s="12" t="inlineStr">
        <is>
          <t>RICE-6</t>
        </is>
      </c>
      <c r="F4724" s="12" t="inlineStr">
        <is>
          <t>RICE engine-generator 6</t>
        </is>
      </c>
      <c r="G4724" s="12" t="inlineStr">
        <is>
          <t>JB-RICE-6-AI03</t>
        </is>
      </c>
      <c r="H4724" s="12" t="inlineStr">
        <is>
          <t>RICE engine-generator 6</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I-I-0325</t>
        </is>
      </c>
      <c r="B4725" s="12" t="inlineStr">
        <is>
          <t>I</t>
        </is>
      </c>
      <c r="C4725" s="12" t="inlineStr">
        <is>
          <t>Modular / portable power</t>
        </is>
      </c>
      <c r="D4725" s="12" t="inlineStr">
        <is>
          <t>Home run JB-RICE-6-AI03 to the control / marshalling room</t>
        </is>
      </c>
      <c r="E4725" s="12" t="inlineStr"/>
      <c r="F4725" s="12" t="inlineStr">
        <is>
          <t>PCM: power control module</t>
        </is>
      </c>
      <c r="G4725" s="12" t="inlineStr">
        <is>
          <t>JB-RICE-6-AI03</t>
        </is>
      </c>
      <c r="H4725" s="12" t="inlineStr">
        <is>
          <t>RICE engine-generator 6</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I-I-0326</t>
        </is>
      </c>
      <c r="B4726" s="12" t="inlineStr">
        <is>
          <t>I</t>
        </is>
      </c>
      <c r="C4726" s="12" t="inlineStr">
        <is>
          <t>Modular / portable power</t>
        </is>
      </c>
      <c r="D4726" s="12" t="inlineStr">
        <is>
          <t>Analog instrument to JB JB-RICE-6-AI04: 20 x 1 pr (field cables)</t>
        </is>
      </c>
      <c r="E4726" s="12" t="inlineStr">
        <is>
          <t>RICE-6</t>
        </is>
      </c>
      <c r="F4726" s="12" t="inlineStr">
        <is>
          <t>RICE engine-generator 6</t>
        </is>
      </c>
      <c r="G4726" s="12" t="inlineStr">
        <is>
          <t>JB-RICE-6-AI04</t>
        </is>
      </c>
      <c r="H4726" s="12" t="inlineStr">
        <is>
          <t>RICE engine-generator 6</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I-I-0327</t>
        </is>
      </c>
      <c r="B4727" s="12" t="inlineStr">
        <is>
          <t>I</t>
        </is>
      </c>
      <c r="C4727" s="12" t="inlineStr">
        <is>
          <t>Modular / portable power</t>
        </is>
      </c>
      <c r="D4727" s="12" t="inlineStr">
        <is>
          <t>Home run JB-RICE-6-AI04 to the control / marshalling room</t>
        </is>
      </c>
      <c r="E4727" s="12" t="inlineStr"/>
      <c r="F4727" s="12" t="inlineStr">
        <is>
          <t>PCM: power control module</t>
        </is>
      </c>
      <c r="G4727" s="12" t="inlineStr">
        <is>
          <t>JB-RICE-6-AI04</t>
        </is>
      </c>
      <c r="H4727" s="12" t="inlineStr">
        <is>
          <t>RICE engine-generator 6</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I-I-0328</t>
        </is>
      </c>
      <c r="B4728" s="12" t="inlineStr">
        <is>
          <t>I</t>
        </is>
      </c>
      <c r="C4728" s="12" t="inlineStr">
        <is>
          <t>Modular / portable power</t>
        </is>
      </c>
      <c r="D4728" s="12" t="inlineStr">
        <is>
          <t>Discrete device to JB JB-RICE-6-DI01: 20 x 1 pr (field cables)</t>
        </is>
      </c>
      <c r="E4728" s="12" t="inlineStr">
        <is>
          <t>RICE-6</t>
        </is>
      </c>
      <c r="F4728" s="12" t="inlineStr">
        <is>
          <t>RICE engine-generator 6</t>
        </is>
      </c>
      <c r="G4728" s="12" t="inlineStr">
        <is>
          <t>JB-RICE-6-DI01</t>
        </is>
      </c>
      <c r="H4728" s="12" t="inlineStr">
        <is>
          <t>RICE engine-generator 6</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I-I-0329</t>
        </is>
      </c>
      <c r="B4729" s="12" t="inlineStr">
        <is>
          <t>I</t>
        </is>
      </c>
      <c r="C4729" s="12" t="inlineStr">
        <is>
          <t>Modular / portable power</t>
        </is>
      </c>
      <c r="D4729" s="12" t="inlineStr">
        <is>
          <t>Home run JB-RICE-6-DI01 to the control / marshalling room</t>
        </is>
      </c>
      <c r="E4729" s="12" t="inlineStr"/>
      <c r="F4729" s="12" t="inlineStr">
        <is>
          <t>PCM: power control module</t>
        </is>
      </c>
      <c r="G4729" s="12" t="inlineStr">
        <is>
          <t>JB-RICE-6-DI01</t>
        </is>
      </c>
      <c r="H4729" s="12" t="inlineStr">
        <is>
          <t>RICE engine-generator 6</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I-I-0330</t>
        </is>
      </c>
      <c r="B4730" s="12" t="inlineStr">
        <is>
          <t>I</t>
        </is>
      </c>
      <c r="C4730" s="12" t="inlineStr">
        <is>
          <t>Modular / portable power</t>
        </is>
      </c>
      <c r="D4730" s="12" t="inlineStr">
        <is>
          <t>Discrete device to JB JB-RICE-6-DI02: 20 x 1 pr (field cables)</t>
        </is>
      </c>
      <c r="E4730" s="12" t="inlineStr">
        <is>
          <t>RICE-6</t>
        </is>
      </c>
      <c r="F4730" s="12" t="inlineStr">
        <is>
          <t>RICE engine-generator 6</t>
        </is>
      </c>
      <c r="G4730" s="12" t="inlineStr">
        <is>
          <t>JB-RICE-6-DI02</t>
        </is>
      </c>
      <c r="H4730" s="12" t="inlineStr">
        <is>
          <t>RICE engine-generator 6</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I-I-0331</t>
        </is>
      </c>
      <c r="B4731" s="12" t="inlineStr">
        <is>
          <t>I</t>
        </is>
      </c>
      <c r="C4731" s="12" t="inlineStr">
        <is>
          <t>Modular / portable power</t>
        </is>
      </c>
      <c r="D4731" s="12" t="inlineStr">
        <is>
          <t>Home run JB-RICE-6-DI02 to the control / marshalling room</t>
        </is>
      </c>
      <c r="E4731" s="12" t="inlineStr"/>
      <c r="F4731" s="12" t="inlineStr">
        <is>
          <t>PCM: power control module</t>
        </is>
      </c>
      <c r="G4731" s="12" t="inlineStr">
        <is>
          <t>JB-RICE-6-DI02</t>
        </is>
      </c>
      <c r="H4731" s="12" t="inlineStr">
        <is>
          <t>RICE engine-generator 6</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367</v>
      </c>
      <c r="U4731" s="17" t="n">
        <v>180</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I-I-0332</t>
        </is>
      </c>
      <c r="B4732" s="12" t="inlineStr">
        <is>
          <t>I</t>
        </is>
      </c>
      <c r="C4732" s="12" t="inlineStr">
        <is>
          <t>Modular / portable power</t>
        </is>
      </c>
      <c r="D4732" s="12" t="inlineStr">
        <is>
          <t>Discrete device to JB JB-RICE-6-DI03: 20 x 1 pr (field cables)</t>
        </is>
      </c>
      <c r="E4732" s="12" t="inlineStr">
        <is>
          <t>RICE-6</t>
        </is>
      </c>
      <c r="F4732" s="12" t="inlineStr">
        <is>
          <t>RICE engine-generator 6</t>
        </is>
      </c>
      <c r="G4732" s="12" t="inlineStr">
        <is>
          <t>JB-RICE-6-DI03</t>
        </is>
      </c>
      <c r="H4732" s="12" t="inlineStr">
        <is>
          <t>RICE engine-generator 6</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I-I-0333</t>
        </is>
      </c>
      <c r="B4733" s="12" t="inlineStr">
        <is>
          <t>I</t>
        </is>
      </c>
      <c r="C4733" s="12" t="inlineStr">
        <is>
          <t>Modular / portable power</t>
        </is>
      </c>
      <c r="D4733" s="12" t="inlineStr">
        <is>
          <t>Home run JB-RICE-6-DI03 to the control / marshalling room</t>
        </is>
      </c>
      <c r="E4733" s="12" t="inlineStr"/>
      <c r="F4733" s="12" t="inlineStr">
        <is>
          <t>PCM: power control module</t>
        </is>
      </c>
      <c r="G4733" s="12" t="inlineStr">
        <is>
          <t>JB-RICE-6-DI03</t>
        </is>
      </c>
      <c r="H4733" s="12" t="inlineStr">
        <is>
          <t>RICE engine-generator 6</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367</v>
      </c>
      <c r="U4733" s="17" t="n">
        <v>180</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I-I-0334</t>
        </is>
      </c>
      <c r="B4734" s="12" t="inlineStr">
        <is>
          <t>I</t>
        </is>
      </c>
      <c r="C4734" s="12" t="inlineStr">
        <is>
          <t>Modular / portable power</t>
        </is>
      </c>
      <c r="D4734" s="12" t="inlineStr">
        <is>
          <t>Thermocouple to TC JB JB-RICE-6-TC01: 20 x 1 pr (field cables)</t>
        </is>
      </c>
      <c r="E4734" s="12" t="inlineStr">
        <is>
          <t>RICE-6</t>
        </is>
      </c>
      <c r="F4734" s="12" t="inlineStr">
        <is>
          <t>RICE engine-generator 6</t>
        </is>
      </c>
      <c r="G4734" s="12" t="inlineStr">
        <is>
          <t>JB-RICE-6-TC01</t>
        </is>
      </c>
      <c r="H4734" s="12" t="inlineStr">
        <is>
          <t>RICE engine-generator 6</t>
        </is>
      </c>
      <c r="I4734" s="12" t="inlineStr">
        <is>
          <t>Instrumentation</t>
        </is>
      </c>
      <c r="J4734" s="12" t="inlineStr">
        <is>
          <t>Thermocouple extension KX, #16 shielded pairs, PLTC</t>
        </is>
      </c>
      <c r="K4734" s="12" t="inlineStr">
        <is>
          <t>TCX|1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I-I-0335</t>
        </is>
      </c>
      <c r="B4735" s="12" t="inlineStr">
        <is>
          <t>I</t>
        </is>
      </c>
      <c r="C4735" s="12" t="inlineStr">
        <is>
          <t>Modular / portable power</t>
        </is>
      </c>
      <c r="D4735" s="12" t="inlineStr">
        <is>
          <t>Home run JB-RICE-6-TC01 to the control / marshalling room</t>
        </is>
      </c>
      <c r="E4735" s="12" t="inlineStr"/>
      <c r="F4735" s="12" t="inlineStr">
        <is>
          <t>PCM: power control module</t>
        </is>
      </c>
      <c r="G4735" s="12" t="inlineStr">
        <is>
          <t>JB-RICE-6-TC01</t>
        </is>
      </c>
      <c r="H4735" s="12" t="inlineStr">
        <is>
          <t>RICE engine-generator 6</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7" t="n">
        <v>367</v>
      </c>
      <c r="U4735" s="17" t="n">
        <v>180</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I-I-0336</t>
        </is>
      </c>
      <c r="B4736" s="12" t="inlineStr">
        <is>
          <t>I</t>
        </is>
      </c>
      <c r="C4736" s="12" t="inlineStr">
        <is>
          <t>Modular / portable power</t>
        </is>
      </c>
      <c r="D4736" s="12" t="inlineStr">
        <is>
          <t>Thermocouple to TC JB JB-RICE-6-TC02: 10 x 1 pr (field cables)</t>
        </is>
      </c>
      <c r="E4736" s="12" t="inlineStr">
        <is>
          <t>RICE-6</t>
        </is>
      </c>
      <c r="F4736" s="12" t="inlineStr">
        <is>
          <t>RICE engine-generator 6</t>
        </is>
      </c>
      <c r="G4736" s="12" t="inlineStr">
        <is>
          <t>JB-RICE-6-TC02</t>
        </is>
      </c>
      <c r="H4736" s="12" t="inlineStr">
        <is>
          <t>RICE engine-generator 6</t>
        </is>
      </c>
      <c r="I4736" s="12" t="inlineStr">
        <is>
          <t>Instrumentation</t>
        </is>
      </c>
      <c r="J4736" s="12" t="inlineStr">
        <is>
          <t>Thermocouple extension KX, #16 shielded pairs, PLTC</t>
        </is>
      </c>
      <c r="K4736" s="12" t="inlineStr">
        <is>
          <t>TCX|1 pr|16</t>
        </is>
      </c>
      <c r="L4736" s="12" t="inlineStr">
        <is>
          <t>1 pr</t>
        </is>
      </c>
      <c r="M4736" s="12" t="inlineStr">
        <is>
          <t>16</t>
        </is>
      </c>
      <c r="N4736" s="12" t="n">
        <v>10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I-I-0337</t>
        </is>
      </c>
      <c r="B4737" s="12" t="inlineStr">
        <is>
          <t>I</t>
        </is>
      </c>
      <c r="C4737" s="12" t="inlineStr">
        <is>
          <t>Modular / portable power</t>
        </is>
      </c>
      <c r="D4737" s="12" t="inlineStr">
        <is>
          <t>Home run JB-RICE-6-TC02 to the control / marshalling room</t>
        </is>
      </c>
      <c r="E4737" s="12" t="inlineStr"/>
      <c r="F4737" s="12" t="inlineStr">
        <is>
          <t>PCM: power control module</t>
        </is>
      </c>
      <c r="G4737" s="12" t="inlineStr">
        <is>
          <t>JB-RICE-6-TC02</t>
        </is>
      </c>
      <c r="H4737" s="12" t="inlineStr">
        <is>
          <t>RICE engine-generator 6</t>
        </is>
      </c>
      <c r="I4737" s="12" t="inlineStr">
        <is>
          <t>Instrumentation</t>
        </is>
      </c>
      <c r="J4737" s="12" t="inlineStr">
        <is>
          <t>Thermocouple extension KX, #16 shielded pairs, PLTC</t>
        </is>
      </c>
      <c r="K4737" s="12" t="inlineStr">
        <is>
          <t>TCX|24 pr|16</t>
        </is>
      </c>
      <c r="L4737" s="12" t="inlineStr">
        <is>
          <t>24 pr</t>
        </is>
      </c>
      <c r="M4737" s="12" t="inlineStr">
        <is>
          <t>16</t>
        </is>
      </c>
      <c r="N4737" s="12" t="n">
        <v>1</v>
      </c>
      <c r="O4737" s="12" t="n">
        <v>1</v>
      </c>
      <c r="P4737" s="12" t="n"/>
      <c r="Q4737" s="12" t="n"/>
      <c r="R4737" s="12" t="n"/>
      <c r="S4737" s="12" t="inlineStr">
        <is>
          <t>Duct bank</t>
        </is>
      </c>
      <c r="T4737" s="17" t="n">
        <v>367</v>
      </c>
      <c r="U4737" s="17" t="n">
        <v>180</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I-I-0338</t>
        </is>
      </c>
      <c r="B4738" s="12" t="inlineStr">
        <is>
          <t>I</t>
        </is>
      </c>
      <c r="C4738" s="12" t="inlineStr">
        <is>
          <t>Modular / portable power</t>
        </is>
      </c>
      <c r="D4738" s="12" t="inlineStr">
        <is>
          <t>RTD to JB JB-RICE-6-RTD01: 10 x 1 tri (field cables)</t>
        </is>
      </c>
      <c r="E4738" s="12" t="inlineStr">
        <is>
          <t>RICE-6</t>
        </is>
      </c>
      <c r="F4738" s="12" t="inlineStr">
        <is>
          <t>RICE engine-generator 6</t>
        </is>
      </c>
      <c r="G4738" s="12" t="inlineStr">
        <is>
          <t>JB-RICE-6-RTD01</t>
        </is>
      </c>
      <c r="H4738" s="12" t="inlineStr">
        <is>
          <t>RICE engine-generator 6</t>
        </is>
      </c>
      <c r="I4738" s="12" t="inlineStr">
        <is>
          <t>Instrumentation</t>
        </is>
      </c>
      <c r="J4738" s="12" t="inlineStr">
        <is>
          <t>RTD cable, #18 shielded triads, PLTC</t>
        </is>
      </c>
      <c r="K4738" s="12" t="inlineStr">
        <is>
          <t>RTD|1 tri|18</t>
        </is>
      </c>
      <c r="L4738" s="12" t="inlineStr">
        <is>
          <t>1 tri</t>
        </is>
      </c>
      <c r="M4738" s="12" t="inlineStr">
        <is>
          <t>18</t>
        </is>
      </c>
      <c r="N4738" s="12" t="n">
        <v>10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I-I-0339</t>
        </is>
      </c>
      <c r="B4739" s="12" t="inlineStr">
        <is>
          <t>I</t>
        </is>
      </c>
      <c r="C4739" s="12" t="inlineStr">
        <is>
          <t>Modular / portable power</t>
        </is>
      </c>
      <c r="D4739" s="12" t="inlineStr">
        <is>
          <t>Home run JB-RICE-6-RTD01 to the control / marshalling room</t>
        </is>
      </c>
      <c r="E4739" s="12" t="inlineStr"/>
      <c r="F4739" s="12" t="inlineStr">
        <is>
          <t>PCM: power control module</t>
        </is>
      </c>
      <c r="G4739" s="12" t="inlineStr">
        <is>
          <t>JB-RICE-6-RTD01</t>
        </is>
      </c>
      <c r="H4739" s="12" t="inlineStr">
        <is>
          <t>RICE engine-generator 6</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7" t="n">
        <v>367</v>
      </c>
      <c r="U4739" s="17" t="n">
        <v>180</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I-I-0340</t>
        </is>
      </c>
      <c r="B4740" s="12" t="inlineStr">
        <is>
          <t>I</t>
        </is>
      </c>
      <c r="C4740" s="12" t="inlineStr">
        <is>
          <t>Modular / portable power</t>
        </is>
      </c>
      <c r="D4740" s="12" t="inlineStr">
        <is>
          <t>RTD to JB JB-RICE-6-RTD02: 2 x 1 tri (field cables)</t>
        </is>
      </c>
      <c r="E4740" s="12" t="inlineStr">
        <is>
          <t>RICE-6</t>
        </is>
      </c>
      <c r="F4740" s="12" t="inlineStr">
        <is>
          <t>RICE engine-generator 6</t>
        </is>
      </c>
      <c r="G4740" s="12" t="inlineStr">
        <is>
          <t>JB-RICE-6-RTD02</t>
        </is>
      </c>
      <c r="H4740" s="12" t="inlineStr">
        <is>
          <t>RICE engine-generator 6</t>
        </is>
      </c>
      <c r="I4740" s="12" t="inlineStr">
        <is>
          <t>Instrumentation</t>
        </is>
      </c>
      <c r="J4740" s="12" t="inlineStr">
        <is>
          <t>RTD cable, #18 shielded triads, PLTC</t>
        </is>
      </c>
      <c r="K4740" s="12" t="inlineStr">
        <is>
          <t>RTD|1 tri|18</t>
        </is>
      </c>
      <c r="L4740" s="12" t="inlineStr">
        <is>
          <t>1 tri</t>
        </is>
      </c>
      <c r="M4740" s="12" t="inlineStr">
        <is>
          <t>18</t>
        </is>
      </c>
      <c r="N4740" s="12" t="n">
        <v>2</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I-I-0341</t>
        </is>
      </c>
      <c r="B4741" s="12" t="inlineStr">
        <is>
          <t>I</t>
        </is>
      </c>
      <c r="C4741" s="12" t="inlineStr">
        <is>
          <t>Modular / portable power</t>
        </is>
      </c>
      <c r="D4741" s="12" t="inlineStr">
        <is>
          <t>Home run JB-RICE-6-RTD02 to the control / marshalling room</t>
        </is>
      </c>
      <c r="E4741" s="12" t="inlineStr"/>
      <c r="F4741" s="12" t="inlineStr">
        <is>
          <t>PCM: power control module</t>
        </is>
      </c>
      <c r="G4741" s="12" t="inlineStr">
        <is>
          <t>JB-RICE-6-RTD02</t>
        </is>
      </c>
      <c r="H4741" s="12" t="inlineStr">
        <is>
          <t>RICE engine-generator 6</t>
        </is>
      </c>
      <c r="I4741" s="12" t="inlineStr">
        <is>
          <t>Instrumentation</t>
        </is>
      </c>
      <c r="J4741" s="12" t="inlineStr">
        <is>
          <t>RTD cable, #18 shielded triads, PLTC</t>
        </is>
      </c>
      <c r="K4741" s="12" t="inlineStr">
        <is>
          <t>RTD|12 tri|18</t>
        </is>
      </c>
      <c r="L4741" s="12" t="inlineStr">
        <is>
          <t>12 tri</t>
        </is>
      </c>
      <c r="M4741" s="12" t="inlineStr">
        <is>
          <t>18</t>
        </is>
      </c>
      <c r="N4741" s="12" t="n">
        <v>1</v>
      </c>
      <c r="O4741" s="12" t="n">
        <v>1</v>
      </c>
      <c r="P4741" s="12" t="n"/>
      <c r="Q4741" s="12" t="n"/>
      <c r="R4741" s="12" t="n"/>
      <c r="S4741" s="12" t="inlineStr">
        <is>
          <t>Duct bank</t>
        </is>
      </c>
      <c r="T4741" s="17" t="n">
        <v>367</v>
      </c>
      <c r="U4741" s="17" t="n">
        <v>180</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I-I-0342</t>
        </is>
      </c>
      <c r="B4742" s="12" t="inlineStr">
        <is>
          <t>I</t>
        </is>
      </c>
      <c r="C4742" s="12" t="inlineStr">
        <is>
          <t>Modular / portable power</t>
        </is>
      </c>
      <c r="D4742" s="12" t="inlineStr">
        <is>
          <t>Analog instrument to JB JB-RICE-7-AI01: 20 x 1 pr (field cables)</t>
        </is>
      </c>
      <c r="E4742" s="12" t="inlineStr">
        <is>
          <t>RICE-7</t>
        </is>
      </c>
      <c r="F4742" s="12" t="inlineStr">
        <is>
          <t>RICE engine-generator 7</t>
        </is>
      </c>
      <c r="G4742" s="12" t="inlineStr">
        <is>
          <t>JB-RICE-7-AI01</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I-I-0343</t>
        </is>
      </c>
      <c r="B4743" s="12" t="inlineStr">
        <is>
          <t>I</t>
        </is>
      </c>
      <c r="C4743" s="12" t="inlineStr">
        <is>
          <t>Modular / portable power</t>
        </is>
      </c>
      <c r="D4743" s="12" t="inlineStr">
        <is>
          <t>Home run JB-RICE-7-AI01 to the control / marshalling room</t>
        </is>
      </c>
      <c r="E4743" s="12" t="inlineStr"/>
      <c r="F4743" s="12" t="inlineStr">
        <is>
          <t>PCM: power control module</t>
        </is>
      </c>
      <c r="G4743" s="12" t="inlineStr">
        <is>
          <t>JB-RICE-7-AI01</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I-I-0344</t>
        </is>
      </c>
      <c r="B4744" s="12" t="inlineStr">
        <is>
          <t>I</t>
        </is>
      </c>
      <c r="C4744" s="12" t="inlineStr">
        <is>
          <t>Modular / portable power</t>
        </is>
      </c>
      <c r="D4744" s="12" t="inlineStr">
        <is>
          <t>Analog instrument to JB JB-RICE-7-AI02: 20 x 1 pr (field cables)</t>
        </is>
      </c>
      <c r="E4744" s="12" t="inlineStr">
        <is>
          <t>RICE-7</t>
        </is>
      </c>
      <c r="F4744" s="12" t="inlineStr">
        <is>
          <t>RICE engine-generator 7</t>
        </is>
      </c>
      <c r="G4744" s="12" t="inlineStr">
        <is>
          <t>JB-RICE-7-AI02</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I-I-0345</t>
        </is>
      </c>
      <c r="B4745" s="12" t="inlineStr">
        <is>
          <t>I</t>
        </is>
      </c>
      <c r="C4745" s="12" t="inlineStr">
        <is>
          <t>Modular / portable power</t>
        </is>
      </c>
      <c r="D4745" s="12" t="inlineStr">
        <is>
          <t>Home run JB-RICE-7-AI02 to the control / marshalling room</t>
        </is>
      </c>
      <c r="E4745" s="12" t="inlineStr"/>
      <c r="F4745" s="12" t="inlineStr">
        <is>
          <t>PCM: power control module</t>
        </is>
      </c>
      <c r="G4745" s="12" t="inlineStr">
        <is>
          <t>JB-RICE-7-AI02</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I-I-0346</t>
        </is>
      </c>
      <c r="B4746" s="12" t="inlineStr">
        <is>
          <t>I</t>
        </is>
      </c>
      <c r="C4746" s="12" t="inlineStr">
        <is>
          <t>Modular / portable power</t>
        </is>
      </c>
      <c r="D4746" s="12" t="inlineStr">
        <is>
          <t>Analog instrument to JB JB-RICE-7-AI03: 20 x 1 pr (field cables)</t>
        </is>
      </c>
      <c r="E4746" s="12" t="inlineStr">
        <is>
          <t>RICE-7</t>
        </is>
      </c>
      <c r="F4746" s="12" t="inlineStr">
        <is>
          <t>RICE engine-generator 7</t>
        </is>
      </c>
      <c r="G4746" s="12" t="inlineStr">
        <is>
          <t>JB-RICE-7-AI03</t>
        </is>
      </c>
      <c r="H4746" s="12" t="inlineStr">
        <is>
          <t>RICE engine-generator 7</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I-I-0347</t>
        </is>
      </c>
      <c r="B4747" s="12" t="inlineStr">
        <is>
          <t>I</t>
        </is>
      </c>
      <c r="C4747" s="12" t="inlineStr">
        <is>
          <t>Modular / portable power</t>
        </is>
      </c>
      <c r="D4747" s="12" t="inlineStr">
        <is>
          <t>Home run JB-RICE-7-AI03 to the control / marshalling room</t>
        </is>
      </c>
      <c r="E4747" s="12" t="inlineStr"/>
      <c r="F4747" s="12" t="inlineStr">
        <is>
          <t>PCM: power control module</t>
        </is>
      </c>
      <c r="G4747" s="12" t="inlineStr">
        <is>
          <t>JB-RICE-7-AI03</t>
        </is>
      </c>
      <c r="H4747" s="12" t="inlineStr">
        <is>
          <t>RICE engine-generator 7</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I-I-0348</t>
        </is>
      </c>
      <c r="B4748" s="12" t="inlineStr">
        <is>
          <t>I</t>
        </is>
      </c>
      <c r="C4748" s="12" t="inlineStr">
        <is>
          <t>Modular / portable power</t>
        </is>
      </c>
      <c r="D4748" s="12" t="inlineStr">
        <is>
          <t>Analog instrument to JB JB-RICE-7-AI04: 20 x 1 pr (field cables)</t>
        </is>
      </c>
      <c r="E4748" s="12" t="inlineStr">
        <is>
          <t>RICE-7</t>
        </is>
      </c>
      <c r="F4748" s="12" t="inlineStr">
        <is>
          <t>RICE engine-generator 7</t>
        </is>
      </c>
      <c r="G4748" s="12" t="inlineStr">
        <is>
          <t>JB-RICE-7-AI04</t>
        </is>
      </c>
      <c r="H4748" s="12" t="inlineStr">
        <is>
          <t>RICE engine-generator 7</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I-I-0349</t>
        </is>
      </c>
      <c r="B4749" s="12" t="inlineStr">
        <is>
          <t>I</t>
        </is>
      </c>
      <c r="C4749" s="12" t="inlineStr">
        <is>
          <t>Modular / portable power</t>
        </is>
      </c>
      <c r="D4749" s="12" t="inlineStr">
        <is>
          <t>Home run JB-RICE-7-AI04 to the control / marshalling room</t>
        </is>
      </c>
      <c r="E4749" s="12" t="inlineStr"/>
      <c r="F4749" s="12" t="inlineStr">
        <is>
          <t>PCM: power control module</t>
        </is>
      </c>
      <c r="G4749" s="12" t="inlineStr">
        <is>
          <t>JB-RICE-7-AI04</t>
        </is>
      </c>
      <c r="H4749" s="12" t="inlineStr">
        <is>
          <t>RICE engine-generator 7</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I-I-0350</t>
        </is>
      </c>
      <c r="B4750" s="12" t="inlineStr">
        <is>
          <t>I</t>
        </is>
      </c>
      <c r="C4750" s="12" t="inlineStr">
        <is>
          <t>Modular / portable power</t>
        </is>
      </c>
      <c r="D4750" s="12" t="inlineStr">
        <is>
          <t>Discrete device to JB JB-RICE-7-DI01: 20 x 1 pr (field cables)</t>
        </is>
      </c>
      <c r="E4750" s="12" t="inlineStr">
        <is>
          <t>RICE-7</t>
        </is>
      </c>
      <c r="F4750" s="12" t="inlineStr">
        <is>
          <t>RICE engine-generator 7</t>
        </is>
      </c>
      <c r="G4750" s="12" t="inlineStr">
        <is>
          <t>JB-RICE-7-DI01</t>
        </is>
      </c>
      <c r="H4750" s="12" t="inlineStr">
        <is>
          <t>RICE engine-generator 7</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I-I-0351</t>
        </is>
      </c>
      <c r="B4751" s="12" t="inlineStr">
        <is>
          <t>I</t>
        </is>
      </c>
      <c r="C4751" s="12" t="inlineStr">
        <is>
          <t>Modular / portable power</t>
        </is>
      </c>
      <c r="D4751" s="12" t="inlineStr">
        <is>
          <t>Home run JB-RICE-7-DI01 to the control / marshalling room</t>
        </is>
      </c>
      <c r="E4751" s="12" t="inlineStr"/>
      <c r="F4751" s="12" t="inlineStr">
        <is>
          <t>PCM: power control module</t>
        </is>
      </c>
      <c r="G4751" s="12" t="inlineStr">
        <is>
          <t>JB-RICE-7-DI01</t>
        </is>
      </c>
      <c r="H4751" s="12" t="inlineStr">
        <is>
          <t>RICE engine-generator 7</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I-I-0352</t>
        </is>
      </c>
      <c r="B4752" s="12" t="inlineStr">
        <is>
          <t>I</t>
        </is>
      </c>
      <c r="C4752" s="12" t="inlineStr">
        <is>
          <t>Modular / portable power</t>
        </is>
      </c>
      <c r="D4752" s="12" t="inlineStr">
        <is>
          <t>Discrete device to JB JB-RICE-7-DI02: 20 x 1 pr (field cables)</t>
        </is>
      </c>
      <c r="E4752" s="12" t="inlineStr">
        <is>
          <t>RICE-7</t>
        </is>
      </c>
      <c r="F4752" s="12" t="inlineStr">
        <is>
          <t>RICE engine-generator 7</t>
        </is>
      </c>
      <c r="G4752" s="12" t="inlineStr">
        <is>
          <t>JB-RICE-7-DI02</t>
        </is>
      </c>
      <c r="H4752" s="12" t="inlineStr">
        <is>
          <t>RICE engine-generator 7</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I-I-0353</t>
        </is>
      </c>
      <c r="B4753" s="12" t="inlineStr">
        <is>
          <t>I</t>
        </is>
      </c>
      <c r="C4753" s="12" t="inlineStr">
        <is>
          <t>Modular / portable power</t>
        </is>
      </c>
      <c r="D4753" s="12" t="inlineStr">
        <is>
          <t>Home run JB-RICE-7-DI02 to the control / marshalling room</t>
        </is>
      </c>
      <c r="E4753" s="12" t="inlineStr"/>
      <c r="F4753" s="12" t="inlineStr">
        <is>
          <t>PCM: power control module</t>
        </is>
      </c>
      <c r="G4753" s="12" t="inlineStr">
        <is>
          <t>JB-RICE-7-DI02</t>
        </is>
      </c>
      <c r="H4753" s="12" t="inlineStr">
        <is>
          <t>RICE engine-generator 7</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189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I-I-0354</t>
        </is>
      </c>
      <c r="B4754" s="12" t="inlineStr">
        <is>
          <t>I</t>
        </is>
      </c>
      <c r="C4754" s="12" t="inlineStr">
        <is>
          <t>Modular / portable power</t>
        </is>
      </c>
      <c r="D4754" s="12" t="inlineStr">
        <is>
          <t>Discrete device to JB JB-RICE-7-DI03: 20 x 1 pr (field cables)</t>
        </is>
      </c>
      <c r="E4754" s="12" t="inlineStr">
        <is>
          <t>RICE-7</t>
        </is>
      </c>
      <c r="F4754" s="12" t="inlineStr">
        <is>
          <t>RICE engine-generator 7</t>
        </is>
      </c>
      <c r="G4754" s="12" t="inlineStr">
        <is>
          <t>JB-RICE-7-DI03</t>
        </is>
      </c>
      <c r="H4754" s="12" t="inlineStr">
        <is>
          <t>RICE engine-generator 7</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I-I-0355</t>
        </is>
      </c>
      <c r="B4755" s="12" t="inlineStr">
        <is>
          <t>I</t>
        </is>
      </c>
      <c r="C4755" s="12" t="inlineStr">
        <is>
          <t>Modular / portable power</t>
        </is>
      </c>
      <c r="D4755" s="12" t="inlineStr">
        <is>
          <t>Home run JB-RICE-7-DI03 to the control / marshalling room</t>
        </is>
      </c>
      <c r="E4755" s="12" t="inlineStr"/>
      <c r="F4755" s="12" t="inlineStr">
        <is>
          <t>PCM: power control module</t>
        </is>
      </c>
      <c r="G4755" s="12" t="inlineStr">
        <is>
          <t>JB-RICE-7-DI03</t>
        </is>
      </c>
      <c r="H4755" s="12" t="inlineStr">
        <is>
          <t>RICE engine-generator 7</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189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I-I-0356</t>
        </is>
      </c>
      <c r="B4756" s="12" t="inlineStr">
        <is>
          <t>I</t>
        </is>
      </c>
      <c r="C4756" s="12" t="inlineStr">
        <is>
          <t>Modular / portable power</t>
        </is>
      </c>
      <c r="D4756" s="12" t="inlineStr">
        <is>
          <t>Thermocouple to TC JB JB-RICE-7-TC01: 20 x 1 pr (field cables)</t>
        </is>
      </c>
      <c r="E4756" s="12" t="inlineStr">
        <is>
          <t>RICE-7</t>
        </is>
      </c>
      <c r="F4756" s="12" t="inlineStr">
        <is>
          <t>RICE engine-generator 7</t>
        </is>
      </c>
      <c r="G4756" s="12" t="inlineStr">
        <is>
          <t>JB-RICE-7-TC01</t>
        </is>
      </c>
      <c r="H4756" s="12" t="inlineStr">
        <is>
          <t>RICE engine-generator 7</t>
        </is>
      </c>
      <c r="I4756" s="12" t="inlineStr">
        <is>
          <t>Instrumentation</t>
        </is>
      </c>
      <c r="J4756" s="12" t="inlineStr">
        <is>
          <t>Thermocouple extension KX, #16 shielded pairs, PLTC</t>
        </is>
      </c>
      <c r="K4756" s="12" t="inlineStr">
        <is>
          <t>TCX|1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I-I-0357</t>
        </is>
      </c>
      <c r="B4757" s="12" t="inlineStr">
        <is>
          <t>I</t>
        </is>
      </c>
      <c r="C4757" s="12" t="inlineStr">
        <is>
          <t>Modular / portable power</t>
        </is>
      </c>
      <c r="D4757" s="12" t="inlineStr">
        <is>
          <t>Home run JB-RICE-7-TC01 to the control / marshalling room</t>
        </is>
      </c>
      <c r="E4757" s="12" t="inlineStr"/>
      <c r="F4757" s="12" t="inlineStr">
        <is>
          <t>PCM: power control module</t>
        </is>
      </c>
      <c r="G4757" s="12" t="inlineStr">
        <is>
          <t>JB-RICE-7-TC01</t>
        </is>
      </c>
      <c r="H4757" s="12" t="inlineStr">
        <is>
          <t>RICE engine-generator 7</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Tray</t>
        </is>
      </c>
      <c r="T4757" s="17" t="n">
        <v>0</v>
      </c>
      <c r="U4757" s="17" t="n">
        <v>189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I-I-0358</t>
        </is>
      </c>
      <c r="B4758" s="12" t="inlineStr">
        <is>
          <t>I</t>
        </is>
      </c>
      <c r="C4758" s="12" t="inlineStr">
        <is>
          <t>Modular / portable power</t>
        </is>
      </c>
      <c r="D4758" s="12" t="inlineStr">
        <is>
          <t>Thermocouple to TC JB JB-RICE-7-TC02: 10 x 1 pr (field cables)</t>
        </is>
      </c>
      <c r="E4758" s="12" t="inlineStr">
        <is>
          <t>RICE-7</t>
        </is>
      </c>
      <c r="F4758" s="12" t="inlineStr">
        <is>
          <t>RICE engine-generator 7</t>
        </is>
      </c>
      <c r="G4758" s="12" t="inlineStr">
        <is>
          <t>JB-RICE-7-TC02</t>
        </is>
      </c>
      <c r="H4758" s="12" t="inlineStr">
        <is>
          <t>RICE engine-generator 7</t>
        </is>
      </c>
      <c r="I4758" s="12" t="inlineStr">
        <is>
          <t>Instrumentation</t>
        </is>
      </c>
      <c r="J4758" s="12" t="inlineStr">
        <is>
          <t>Thermocouple extension KX, #16 shielded pairs, PLTC</t>
        </is>
      </c>
      <c r="K4758" s="12" t="inlineStr">
        <is>
          <t>TCX|1 pr|16</t>
        </is>
      </c>
      <c r="L4758" s="12" t="inlineStr">
        <is>
          <t>1 pr</t>
        </is>
      </c>
      <c r="M4758" s="12" t="inlineStr">
        <is>
          <t>16</t>
        </is>
      </c>
      <c r="N4758" s="12" t="n">
        <v>10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I-I-0359</t>
        </is>
      </c>
      <c r="B4759" s="12" t="inlineStr">
        <is>
          <t>I</t>
        </is>
      </c>
      <c r="C4759" s="12" t="inlineStr">
        <is>
          <t>Modular / portable power</t>
        </is>
      </c>
      <c r="D4759" s="12" t="inlineStr">
        <is>
          <t>Home run JB-RICE-7-TC02 to the control / marshalling room</t>
        </is>
      </c>
      <c r="E4759" s="12" t="inlineStr"/>
      <c r="F4759" s="12" t="inlineStr">
        <is>
          <t>PCM: power control module</t>
        </is>
      </c>
      <c r="G4759" s="12" t="inlineStr">
        <is>
          <t>JB-RICE-7-TC02</t>
        </is>
      </c>
      <c r="H4759" s="12" t="inlineStr">
        <is>
          <t>RICE engine-generator 7</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Tray</t>
        </is>
      </c>
      <c r="T4759" s="17" t="n">
        <v>0</v>
      </c>
      <c r="U4759" s="17" t="n">
        <v>189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I-I-0360</t>
        </is>
      </c>
      <c r="B4760" s="12" t="inlineStr">
        <is>
          <t>I</t>
        </is>
      </c>
      <c r="C4760" s="12" t="inlineStr">
        <is>
          <t>Modular / portable power</t>
        </is>
      </c>
      <c r="D4760" s="12" t="inlineStr">
        <is>
          <t>RTD to JB JB-RICE-7-RTD01: 10 x 1 tri (field cables)</t>
        </is>
      </c>
      <c r="E4760" s="12" t="inlineStr">
        <is>
          <t>RICE-7</t>
        </is>
      </c>
      <c r="F4760" s="12" t="inlineStr">
        <is>
          <t>RICE engine-generator 7</t>
        </is>
      </c>
      <c r="G4760" s="12" t="inlineStr">
        <is>
          <t>JB-RICE-7-RTD01</t>
        </is>
      </c>
      <c r="H4760" s="12" t="inlineStr">
        <is>
          <t>RICE engine-generator 7</t>
        </is>
      </c>
      <c r="I4760" s="12" t="inlineStr">
        <is>
          <t>Instrumentation</t>
        </is>
      </c>
      <c r="J4760" s="12" t="inlineStr">
        <is>
          <t>RTD cable, #18 shielded triads, PLTC</t>
        </is>
      </c>
      <c r="K4760" s="12" t="inlineStr">
        <is>
          <t>RTD|1 tri|18</t>
        </is>
      </c>
      <c r="L4760" s="12" t="inlineStr">
        <is>
          <t>1 tri</t>
        </is>
      </c>
      <c r="M4760" s="12" t="inlineStr">
        <is>
          <t>18</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I-I-0361</t>
        </is>
      </c>
      <c r="B4761" s="12" t="inlineStr">
        <is>
          <t>I</t>
        </is>
      </c>
      <c r="C4761" s="12" t="inlineStr">
        <is>
          <t>Modular / portable power</t>
        </is>
      </c>
      <c r="D4761" s="12" t="inlineStr">
        <is>
          <t>Home run JB-RICE-7-RTD01 to the control / marshalling room</t>
        </is>
      </c>
      <c r="E4761" s="12" t="inlineStr"/>
      <c r="F4761" s="12" t="inlineStr">
        <is>
          <t>PCM: power control module</t>
        </is>
      </c>
      <c r="G4761" s="12" t="inlineStr">
        <is>
          <t>JB-RICE-7-RTD01</t>
        </is>
      </c>
      <c r="H4761" s="12" t="inlineStr">
        <is>
          <t>RICE engine-generator 7</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Tray</t>
        </is>
      </c>
      <c r="T4761" s="17" t="n">
        <v>0</v>
      </c>
      <c r="U4761" s="17" t="n">
        <v>189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I-I-0362</t>
        </is>
      </c>
      <c r="B4762" s="12" t="inlineStr">
        <is>
          <t>I</t>
        </is>
      </c>
      <c r="C4762" s="12" t="inlineStr">
        <is>
          <t>Modular / portable power</t>
        </is>
      </c>
      <c r="D4762" s="12" t="inlineStr">
        <is>
          <t>RTD to JB JB-RICE-7-RTD02: 2 x 1 tri (field cables)</t>
        </is>
      </c>
      <c r="E4762" s="12" t="inlineStr">
        <is>
          <t>RICE-7</t>
        </is>
      </c>
      <c r="F4762" s="12" t="inlineStr">
        <is>
          <t>RICE engine-generator 7</t>
        </is>
      </c>
      <c r="G4762" s="12" t="inlineStr">
        <is>
          <t>JB-RICE-7-RTD02</t>
        </is>
      </c>
      <c r="H4762" s="12" t="inlineStr">
        <is>
          <t>RICE engine-generator 7</t>
        </is>
      </c>
      <c r="I4762" s="12" t="inlineStr">
        <is>
          <t>Instrumentation</t>
        </is>
      </c>
      <c r="J4762" s="12" t="inlineStr">
        <is>
          <t>RTD cable, #18 shielded triads, PLTC</t>
        </is>
      </c>
      <c r="K4762" s="12" t="inlineStr">
        <is>
          <t>RTD|1 tri|18</t>
        </is>
      </c>
      <c r="L4762" s="12" t="inlineStr">
        <is>
          <t>1 tri</t>
        </is>
      </c>
      <c r="M4762" s="12" t="inlineStr">
        <is>
          <t>18</t>
        </is>
      </c>
      <c r="N4762" s="12" t="n">
        <v>2</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I-I-0363</t>
        </is>
      </c>
      <c r="B4763" s="12" t="inlineStr">
        <is>
          <t>I</t>
        </is>
      </c>
      <c r="C4763" s="12" t="inlineStr">
        <is>
          <t>Modular / portable power</t>
        </is>
      </c>
      <c r="D4763" s="12" t="inlineStr">
        <is>
          <t>Home run JB-RICE-7-RTD02 to the control / marshalling room</t>
        </is>
      </c>
      <c r="E4763" s="12" t="inlineStr"/>
      <c r="F4763" s="12" t="inlineStr">
        <is>
          <t>PCM: power control module</t>
        </is>
      </c>
      <c r="G4763" s="12" t="inlineStr">
        <is>
          <t>JB-RICE-7-RTD02</t>
        </is>
      </c>
      <c r="H4763" s="12" t="inlineStr">
        <is>
          <t>RICE engine-generator 7</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Tray</t>
        </is>
      </c>
      <c r="T4763" s="17" t="n">
        <v>0</v>
      </c>
      <c r="U4763" s="17" t="n">
        <v>189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I-I-0364</t>
        </is>
      </c>
      <c r="B4764" s="12" t="inlineStr">
        <is>
          <t>I</t>
        </is>
      </c>
      <c r="C4764" s="12" t="inlineStr">
        <is>
          <t>Modular / portable power</t>
        </is>
      </c>
      <c r="D4764" s="12" t="inlineStr">
        <is>
          <t>Analog instrument to JB JB-RICE-8-AI01: 20 x 1 pr (field cables)</t>
        </is>
      </c>
      <c r="E4764" s="12" t="inlineStr">
        <is>
          <t>RICE-8</t>
        </is>
      </c>
      <c r="F4764" s="12" t="inlineStr">
        <is>
          <t>RICE engine-generator 8</t>
        </is>
      </c>
      <c r="G4764" s="12" t="inlineStr">
        <is>
          <t>JB-RICE-8-AI01</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I-I-0365</t>
        </is>
      </c>
      <c r="B4765" s="12" t="inlineStr">
        <is>
          <t>I</t>
        </is>
      </c>
      <c r="C4765" s="12" t="inlineStr">
        <is>
          <t>Modular / portable power</t>
        </is>
      </c>
      <c r="D4765" s="12" t="inlineStr">
        <is>
          <t>Home run JB-RICE-8-AI01 to the control / marshalling room</t>
        </is>
      </c>
      <c r="E4765" s="12" t="inlineStr"/>
      <c r="F4765" s="12" t="inlineStr">
        <is>
          <t>PCM: power control module</t>
        </is>
      </c>
      <c r="G4765" s="12" t="inlineStr">
        <is>
          <t>JB-RICE-8-AI01</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I-I-0366</t>
        </is>
      </c>
      <c r="B4766" s="12" t="inlineStr">
        <is>
          <t>I</t>
        </is>
      </c>
      <c r="C4766" s="12" t="inlineStr">
        <is>
          <t>Modular / portable power</t>
        </is>
      </c>
      <c r="D4766" s="12" t="inlineStr">
        <is>
          <t>Analog instrument to JB JB-RICE-8-AI02: 20 x 1 pr (field cables)</t>
        </is>
      </c>
      <c r="E4766" s="12" t="inlineStr">
        <is>
          <t>RICE-8</t>
        </is>
      </c>
      <c r="F4766" s="12" t="inlineStr">
        <is>
          <t>RICE engine-generator 8</t>
        </is>
      </c>
      <c r="G4766" s="12" t="inlineStr">
        <is>
          <t>JB-RICE-8-AI02</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I-I-0367</t>
        </is>
      </c>
      <c r="B4767" s="12" t="inlineStr">
        <is>
          <t>I</t>
        </is>
      </c>
      <c r="C4767" s="12" t="inlineStr">
        <is>
          <t>Modular / portable power</t>
        </is>
      </c>
      <c r="D4767" s="12" t="inlineStr">
        <is>
          <t>Home run JB-RICE-8-AI02 to the control / marshalling room</t>
        </is>
      </c>
      <c r="E4767" s="12" t="inlineStr"/>
      <c r="F4767" s="12" t="inlineStr">
        <is>
          <t>PCM: power control module</t>
        </is>
      </c>
      <c r="G4767" s="12" t="inlineStr">
        <is>
          <t>JB-RICE-8-AI02</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I-I-0368</t>
        </is>
      </c>
      <c r="B4768" s="12" t="inlineStr">
        <is>
          <t>I</t>
        </is>
      </c>
      <c r="C4768" s="12" t="inlineStr">
        <is>
          <t>Modular / portable power</t>
        </is>
      </c>
      <c r="D4768" s="12" t="inlineStr">
        <is>
          <t>Analog instrument to JB JB-RICE-8-AI03: 20 x 1 pr (field cables)</t>
        </is>
      </c>
      <c r="E4768" s="12" t="inlineStr">
        <is>
          <t>RICE-8</t>
        </is>
      </c>
      <c r="F4768" s="12" t="inlineStr">
        <is>
          <t>RICE engine-generator 8</t>
        </is>
      </c>
      <c r="G4768" s="12" t="inlineStr">
        <is>
          <t>JB-RICE-8-AI03</t>
        </is>
      </c>
      <c r="H4768" s="12" t="inlineStr">
        <is>
          <t>RICE engine-generator 8</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I-I-0369</t>
        </is>
      </c>
      <c r="B4769" s="12" t="inlineStr">
        <is>
          <t>I</t>
        </is>
      </c>
      <c r="C4769" s="12" t="inlineStr">
        <is>
          <t>Modular / portable power</t>
        </is>
      </c>
      <c r="D4769" s="12" t="inlineStr">
        <is>
          <t>Home run JB-RICE-8-AI03 to the control / marshalling room</t>
        </is>
      </c>
      <c r="E4769" s="12" t="inlineStr"/>
      <c r="F4769" s="12" t="inlineStr">
        <is>
          <t>PCM: power control module</t>
        </is>
      </c>
      <c r="G4769" s="12" t="inlineStr">
        <is>
          <t>JB-RICE-8-AI03</t>
        </is>
      </c>
      <c r="H4769" s="12" t="inlineStr">
        <is>
          <t>RICE engine-generator 8</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I-I-0370</t>
        </is>
      </c>
      <c r="B4770" s="12" t="inlineStr">
        <is>
          <t>I</t>
        </is>
      </c>
      <c r="C4770" s="12" t="inlineStr">
        <is>
          <t>Modular / portable power</t>
        </is>
      </c>
      <c r="D4770" s="12" t="inlineStr">
        <is>
          <t>Analog instrument to JB JB-RICE-8-AI04: 20 x 1 pr (field cables)</t>
        </is>
      </c>
      <c r="E4770" s="12" t="inlineStr">
        <is>
          <t>RICE-8</t>
        </is>
      </c>
      <c r="F4770" s="12" t="inlineStr">
        <is>
          <t>RICE engine-generator 8</t>
        </is>
      </c>
      <c r="G4770" s="12" t="inlineStr">
        <is>
          <t>JB-RICE-8-AI04</t>
        </is>
      </c>
      <c r="H4770" s="12" t="inlineStr">
        <is>
          <t>RICE engine-generator 8</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I-I-0371</t>
        </is>
      </c>
      <c r="B4771" s="12" t="inlineStr">
        <is>
          <t>I</t>
        </is>
      </c>
      <c r="C4771" s="12" t="inlineStr">
        <is>
          <t>Modular / portable power</t>
        </is>
      </c>
      <c r="D4771" s="12" t="inlineStr">
        <is>
          <t>Home run JB-RICE-8-AI04 to the control / marshalling room</t>
        </is>
      </c>
      <c r="E4771" s="12" t="inlineStr"/>
      <c r="F4771" s="12" t="inlineStr">
        <is>
          <t>PCM: power control module</t>
        </is>
      </c>
      <c r="G4771" s="12" t="inlineStr">
        <is>
          <t>JB-RICE-8-AI04</t>
        </is>
      </c>
      <c r="H4771" s="12" t="inlineStr">
        <is>
          <t>RICE engine-generator 8</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I-I-0372</t>
        </is>
      </c>
      <c r="B4772" s="12" t="inlineStr">
        <is>
          <t>I</t>
        </is>
      </c>
      <c r="C4772" s="12" t="inlineStr">
        <is>
          <t>Modular / portable power</t>
        </is>
      </c>
      <c r="D4772" s="12" t="inlineStr">
        <is>
          <t>Discrete device to JB JB-RICE-8-DI01: 20 x 1 pr (field cables)</t>
        </is>
      </c>
      <c r="E4772" s="12" t="inlineStr">
        <is>
          <t>RICE-8</t>
        </is>
      </c>
      <c r="F4772" s="12" t="inlineStr">
        <is>
          <t>RICE engine-generator 8</t>
        </is>
      </c>
      <c r="G4772" s="12" t="inlineStr">
        <is>
          <t>JB-RICE-8-DI01</t>
        </is>
      </c>
      <c r="H4772" s="12" t="inlineStr">
        <is>
          <t>RICE engine-generator 8</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I-I-0373</t>
        </is>
      </c>
      <c r="B4773" s="12" t="inlineStr">
        <is>
          <t>I</t>
        </is>
      </c>
      <c r="C4773" s="12" t="inlineStr">
        <is>
          <t>Modular / portable power</t>
        </is>
      </c>
      <c r="D4773" s="12" t="inlineStr">
        <is>
          <t>Home run JB-RICE-8-DI01 to the control / marshalling room</t>
        </is>
      </c>
      <c r="E4773" s="12" t="inlineStr"/>
      <c r="F4773" s="12" t="inlineStr">
        <is>
          <t>PCM: power control module</t>
        </is>
      </c>
      <c r="G4773" s="12" t="inlineStr">
        <is>
          <t>JB-RICE-8-DI01</t>
        </is>
      </c>
      <c r="H4773" s="12" t="inlineStr">
        <is>
          <t>RICE engine-generator 8</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I-I-0374</t>
        </is>
      </c>
      <c r="B4774" s="12" t="inlineStr">
        <is>
          <t>I</t>
        </is>
      </c>
      <c r="C4774" s="12" t="inlineStr">
        <is>
          <t>Modular / portable power</t>
        </is>
      </c>
      <c r="D4774" s="12" t="inlineStr">
        <is>
          <t>Discrete device to JB JB-RICE-8-DI02: 20 x 1 pr (field cables)</t>
        </is>
      </c>
      <c r="E4774" s="12" t="inlineStr">
        <is>
          <t>RICE-8</t>
        </is>
      </c>
      <c r="F4774" s="12" t="inlineStr">
        <is>
          <t>RICE engine-generator 8</t>
        </is>
      </c>
      <c r="G4774" s="12" t="inlineStr">
        <is>
          <t>JB-RICE-8-DI02</t>
        </is>
      </c>
      <c r="H4774" s="12" t="inlineStr">
        <is>
          <t>RICE engine-generator 8</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I-I-0375</t>
        </is>
      </c>
      <c r="B4775" s="12" t="inlineStr">
        <is>
          <t>I</t>
        </is>
      </c>
      <c r="C4775" s="12" t="inlineStr">
        <is>
          <t>Modular / portable power</t>
        </is>
      </c>
      <c r="D4775" s="12" t="inlineStr">
        <is>
          <t>Home run JB-RICE-8-DI02 to the control / marshalling room</t>
        </is>
      </c>
      <c r="E4775" s="12" t="inlineStr"/>
      <c r="F4775" s="12" t="inlineStr">
        <is>
          <t>PCM: power control module</t>
        </is>
      </c>
      <c r="G4775" s="12" t="inlineStr">
        <is>
          <t>JB-RICE-8-DI02</t>
        </is>
      </c>
      <c r="H4775" s="12" t="inlineStr">
        <is>
          <t>RICE engine-generator 8</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7" t="n">
        <v>0</v>
      </c>
      <c r="U4775" s="17" t="n">
        <v>161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I-I-0376</t>
        </is>
      </c>
      <c r="B4776" s="12" t="inlineStr">
        <is>
          <t>I</t>
        </is>
      </c>
      <c r="C4776" s="12" t="inlineStr">
        <is>
          <t>Modular / portable power</t>
        </is>
      </c>
      <c r="D4776" s="12" t="inlineStr">
        <is>
          <t>Discrete device to JB JB-RICE-8-DI03: 20 x 1 pr (field cables)</t>
        </is>
      </c>
      <c r="E4776" s="12" t="inlineStr">
        <is>
          <t>RICE-8</t>
        </is>
      </c>
      <c r="F4776" s="12" t="inlineStr">
        <is>
          <t>RICE engine-generator 8</t>
        </is>
      </c>
      <c r="G4776" s="12" t="inlineStr">
        <is>
          <t>JB-RICE-8-DI03</t>
        </is>
      </c>
      <c r="H4776" s="12" t="inlineStr">
        <is>
          <t>RICE engine-generator 8</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I-I-0377</t>
        </is>
      </c>
      <c r="B4777" s="12" t="inlineStr">
        <is>
          <t>I</t>
        </is>
      </c>
      <c r="C4777" s="12" t="inlineStr">
        <is>
          <t>Modular / portable power</t>
        </is>
      </c>
      <c r="D4777" s="12" t="inlineStr">
        <is>
          <t>Home run JB-RICE-8-DI03 to the control / marshalling room</t>
        </is>
      </c>
      <c r="E4777" s="12" t="inlineStr"/>
      <c r="F4777" s="12" t="inlineStr">
        <is>
          <t>PCM: power control module</t>
        </is>
      </c>
      <c r="G4777" s="12" t="inlineStr">
        <is>
          <t>JB-RICE-8-DI03</t>
        </is>
      </c>
      <c r="H4777" s="12" t="inlineStr">
        <is>
          <t>RICE engine-generator 8</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7" t="n">
        <v>0</v>
      </c>
      <c r="U4777" s="17" t="n">
        <v>161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I-I-0378</t>
        </is>
      </c>
      <c r="B4778" s="12" t="inlineStr">
        <is>
          <t>I</t>
        </is>
      </c>
      <c r="C4778" s="12" t="inlineStr">
        <is>
          <t>Modular / portable power</t>
        </is>
      </c>
      <c r="D4778" s="12" t="inlineStr">
        <is>
          <t>Thermocouple to TC JB JB-RICE-8-TC01: 20 x 1 pr (field cables)</t>
        </is>
      </c>
      <c r="E4778" s="12" t="inlineStr">
        <is>
          <t>RICE-8</t>
        </is>
      </c>
      <c r="F4778" s="12" t="inlineStr">
        <is>
          <t>RICE engine-generator 8</t>
        </is>
      </c>
      <c r="G4778" s="12" t="inlineStr">
        <is>
          <t>JB-RICE-8-TC01</t>
        </is>
      </c>
      <c r="H4778" s="12" t="inlineStr">
        <is>
          <t>RICE engine-generator 8</t>
        </is>
      </c>
      <c r="I4778" s="12" t="inlineStr">
        <is>
          <t>Instrumentation</t>
        </is>
      </c>
      <c r="J4778" s="12" t="inlineStr">
        <is>
          <t>Thermocouple extension KX, #16 shielded pairs, PLTC</t>
        </is>
      </c>
      <c r="K4778" s="12" t="inlineStr">
        <is>
          <t>TCX|1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I-I-0379</t>
        </is>
      </c>
      <c r="B4779" s="12" t="inlineStr">
        <is>
          <t>I</t>
        </is>
      </c>
      <c r="C4779" s="12" t="inlineStr">
        <is>
          <t>Modular / portable power</t>
        </is>
      </c>
      <c r="D4779" s="12" t="inlineStr">
        <is>
          <t>Home run JB-RICE-8-TC01 to the control / marshalling room</t>
        </is>
      </c>
      <c r="E4779" s="12" t="inlineStr"/>
      <c r="F4779" s="12" t="inlineStr">
        <is>
          <t>PCM: power control module</t>
        </is>
      </c>
      <c r="G4779" s="12" t="inlineStr">
        <is>
          <t>JB-RICE-8-TC01</t>
        </is>
      </c>
      <c r="H4779" s="12" t="inlineStr">
        <is>
          <t>RICE engine-generator 8</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Tray</t>
        </is>
      </c>
      <c r="T4779" s="17" t="n">
        <v>0</v>
      </c>
      <c r="U4779" s="17" t="n">
        <v>161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I-I-0380</t>
        </is>
      </c>
      <c r="B4780" s="12" t="inlineStr">
        <is>
          <t>I</t>
        </is>
      </c>
      <c r="C4780" s="12" t="inlineStr">
        <is>
          <t>Modular / portable power</t>
        </is>
      </c>
      <c r="D4780" s="12" t="inlineStr">
        <is>
          <t>Thermocouple to TC JB JB-RICE-8-TC02: 10 x 1 pr (field cables)</t>
        </is>
      </c>
      <c r="E4780" s="12" t="inlineStr">
        <is>
          <t>RICE-8</t>
        </is>
      </c>
      <c r="F4780" s="12" t="inlineStr">
        <is>
          <t>RICE engine-generator 8</t>
        </is>
      </c>
      <c r="G4780" s="12" t="inlineStr">
        <is>
          <t>JB-RICE-8-TC02</t>
        </is>
      </c>
      <c r="H4780" s="12" t="inlineStr">
        <is>
          <t>RICE engine-generator 8</t>
        </is>
      </c>
      <c r="I4780" s="12" t="inlineStr">
        <is>
          <t>Instrumentation</t>
        </is>
      </c>
      <c r="J4780" s="12" t="inlineStr">
        <is>
          <t>Thermocouple extension KX, #16 shielded pairs, PLTC</t>
        </is>
      </c>
      <c r="K4780" s="12" t="inlineStr">
        <is>
          <t>TCX|1 pr|16</t>
        </is>
      </c>
      <c r="L4780" s="12" t="inlineStr">
        <is>
          <t>1 pr</t>
        </is>
      </c>
      <c r="M4780" s="12" t="inlineStr">
        <is>
          <t>16</t>
        </is>
      </c>
      <c r="N4780" s="12" t="n">
        <v>10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I-I-0381</t>
        </is>
      </c>
      <c r="B4781" s="12" t="inlineStr">
        <is>
          <t>I</t>
        </is>
      </c>
      <c r="C4781" s="12" t="inlineStr">
        <is>
          <t>Modular / portable power</t>
        </is>
      </c>
      <c r="D4781" s="12" t="inlineStr">
        <is>
          <t>Home run JB-RICE-8-TC02 to the control / marshalling room</t>
        </is>
      </c>
      <c r="E4781" s="12" t="inlineStr"/>
      <c r="F4781" s="12" t="inlineStr">
        <is>
          <t>PCM: power control module</t>
        </is>
      </c>
      <c r="G4781" s="12" t="inlineStr">
        <is>
          <t>JB-RICE-8-TC02</t>
        </is>
      </c>
      <c r="H4781" s="12" t="inlineStr">
        <is>
          <t>RICE engine-generator 8</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Tray</t>
        </is>
      </c>
      <c r="T4781" s="17" t="n">
        <v>0</v>
      </c>
      <c r="U4781" s="17" t="n">
        <v>161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I-I-0382</t>
        </is>
      </c>
      <c r="B4782" s="12" t="inlineStr">
        <is>
          <t>I</t>
        </is>
      </c>
      <c r="C4782" s="12" t="inlineStr">
        <is>
          <t>Modular / portable power</t>
        </is>
      </c>
      <c r="D4782" s="12" t="inlineStr">
        <is>
          <t>RTD to JB JB-RICE-8-RTD01: 10 x 1 tri (field cables)</t>
        </is>
      </c>
      <c r="E4782" s="12" t="inlineStr">
        <is>
          <t>RICE-8</t>
        </is>
      </c>
      <c r="F4782" s="12" t="inlineStr">
        <is>
          <t>RICE engine-generator 8</t>
        </is>
      </c>
      <c r="G4782" s="12" t="inlineStr">
        <is>
          <t>JB-RICE-8-RTD01</t>
        </is>
      </c>
      <c r="H4782" s="12" t="inlineStr">
        <is>
          <t>RICE engine-generator 8</t>
        </is>
      </c>
      <c r="I4782" s="12" t="inlineStr">
        <is>
          <t>Instrumentation</t>
        </is>
      </c>
      <c r="J4782" s="12" t="inlineStr">
        <is>
          <t>RTD cable, #18 shielded triads, PLTC</t>
        </is>
      </c>
      <c r="K4782" s="12" t="inlineStr">
        <is>
          <t>RTD|1 tri|18</t>
        </is>
      </c>
      <c r="L4782" s="12" t="inlineStr">
        <is>
          <t>1 tri</t>
        </is>
      </c>
      <c r="M4782" s="12" t="inlineStr">
        <is>
          <t>18</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I-I-0383</t>
        </is>
      </c>
      <c r="B4783" s="12" t="inlineStr">
        <is>
          <t>I</t>
        </is>
      </c>
      <c r="C4783" s="12" t="inlineStr">
        <is>
          <t>Modular / portable power</t>
        </is>
      </c>
      <c r="D4783" s="12" t="inlineStr">
        <is>
          <t>Home run JB-RICE-8-RTD01 to the control / marshalling room</t>
        </is>
      </c>
      <c r="E4783" s="12" t="inlineStr"/>
      <c r="F4783" s="12" t="inlineStr">
        <is>
          <t>PCM: power control module</t>
        </is>
      </c>
      <c r="G4783" s="12" t="inlineStr">
        <is>
          <t>JB-RICE-8-RTD01</t>
        </is>
      </c>
      <c r="H4783" s="12" t="inlineStr">
        <is>
          <t>RICE engine-generator 8</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Tray</t>
        </is>
      </c>
      <c r="T4783" s="17" t="n">
        <v>0</v>
      </c>
      <c r="U4783" s="17" t="n">
        <v>161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I-I-0384</t>
        </is>
      </c>
      <c r="B4784" s="12" t="inlineStr">
        <is>
          <t>I</t>
        </is>
      </c>
      <c r="C4784" s="12" t="inlineStr">
        <is>
          <t>Modular / portable power</t>
        </is>
      </c>
      <c r="D4784" s="12" t="inlineStr">
        <is>
          <t>RTD to JB JB-RICE-8-RTD02: 2 x 1 tri (field cables)</t>
        </is>
      </c>
      <c r="E4784" s="12" t="inlineStr">
        <is>
          <t>RICE-8</t>
        </is>
      </c>
      <c r="F4784" s="12" t="inlineStr">
        <is>
          <t>RICE engine-generator 8</t>
        </is>
      </c>
      <c r="G4784" s="12" t="inlineStr">
        <is>
          <t>JB-RICE-8-RTD02</t>
        </is>
      </c>
      <c r="H4784" s="12" t="inlineStr">
        <is>
          <t>RICE engine-generator 8</t>
        </is>
      </c>
      <c r="I4784" s="12" t="inlineStr">
        <is>
          <t>Instrumentation</t>
        </is>
      </c>
      <c r="J4784" s="12" t="inlineStr">
        <is>
          <t>RTD cable, #18 shielded triads, PLTC</t>
        </is>
      </c>
      <c r="K4784" s="12" t="inlineStr">
        <is>
          <t>RTD|1 tri|18</t>
        </is>
      </c>
      <c r="L4784" s="12" t="inlineStr">
        <is>
          <t>1 tri</t>
        </is>
      </c>
      <c r="M4784" s="12" t="inlineStr">
        <is>
          <t>18</t>
        </is>
      </c>
      <c r="N4784" s="12" t="n">
        <v>2</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I-I-0385</t>
        </is>
      </c>
      <c r="B4785" s="12" t="inlineStr">
        <is>
          <t>I</t>
        </is>
      </c>
      <c r="C4785" s="12" t="inlineStr">
        <is>
          <t>Modular / portable power</t>
        </is>
      </c>
      <c r="D4785" s="12" t="inlineStr">
        <is>
          <t>Home run JB-RICE-8-RTD02 to the control / marshalling room</t>
        </is>
      </c>
      <c r="E4785" s="12" t="inlineStr"/>
      <c r="F4785" s="12" t="inlineStr">
        <is>
          <t>PCM: power control module</t>
        </is>
      </c>
      <c r="G4785" s="12" t="inlineStr">
        <is>
          <t>JB-RICE-8-RTD02</t>
        </is>
      </c>
      <c r="H4785" s="12" t="inlineStr">
        <is>
          <t>RICE engine-generator 8</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Tray</t>
        </is>
      </c>
      <c r="T4785" s="17" t="n">
        <v>0</v>
      </c>
      <c r="U4785" s="17" t="n">
        <v>161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I-I-0386</t>
        </is>
      </c>
      <c r="B4786" s="12" t="inlineStr">
        <is>
          <t>I</t>
        </is>
      </c>
      <c r="C4786" s="12" t="inlineStr">
        <is>
          <t>Modular / portable power</t>
        </is>
      </c>
      <c r="D4786" s="12" t="inlineStr">
        <is>
          <t>Instrumentation</t>
        </is>
      </c>
      <c r="E4786" s="12" t="inlineStr"/>
      <c r="F4786" s="12" t="inlineStr">
        <is>
          <t>PCM: power control module</t>
        </is>
      </c>
      <c r="G4786" s="12" t="inlineStr"/>
      <c r="H4786" s="12" t="inlineStr">
        <is>
          <t>Reagent storage</t>
        </is>
      </c>
      <c r="I4786" s="12" t="inlineStr">
        <is>
          <t>Instrumentation</t>
        </is>
      </c>
      <c r="J4786" s="12" t="inlineStr">
        <is>
          <t>Instrumentation PLTC / TC-ER 300 V, #18 twisted shielded pairs, overall shield</t>
        </is>
      </c>
      <c r="K4786" s="12" t="inlineStr">
        <is>
          <t>PLTC|4 pr|18</t>
        </is>
      </c>
      <c r="L4786" s="12" t="inlineStr">
        <is>
          <t>4 pr</t>
        </is>
      </c>
      <c r="M4786" s="12" t="inlineStr">
        <is>
          <t>18</t>
        </is>
      </c>
      <c r="N4786" s="12" t="n">
        <v>1</v>
      </c>
      <c r="O4786" s="12" t="n">
        <v>1</v>
      </c>
      <c r="P4786" s="12" t="n"/>
      <c r="Q4786" s="12" t="n"/>
      <c r="R4786" s="12" t="n"/>
      <c r="S4786" s="12" t="inlineStr">
        <is>
          <t>Tray</t>
        </is>
      </c>
      <c r="T4786" s="17" t="n">
        <v>40</v>
      </c>
      <c r="U4786" s="17" t="n">
        <v>32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I-I-0387</t>
        </is>
      </c>
      <c r="B4787" s="12" t="inlineStr">
        <is>
          <t>I</t>
        </is>
      </c>
      <c r="C4787" s="12" t="inlineStr">
        <is>
          <t>Modular / portable power</t>
        </is>
      </c>
      <c r="D4787" s="12" t="inlineStr">
        <is>
          <t>Analog instrument to JB JB-SC-1 CEMS shelter-AI01: 12 x 1 pr (field cables)</t>
        </is>
      </c>
      <c r="E4787" s="12" t="inlineStr"/>
      <c r="F4787" s="12" t="inlineStr">
        <is>
          <t>SC-1 CEMS shelter</t>
        </is>
      </c>
      <c r="G4787" s="12" t="inlineStr">
        <is>
          <t>JB-SC-1 CEMS shelter-AI01</t>
        </is>
      </c>
      <c r="H4787" s="12" t="inlineStr">
        <is>
          <t>SC-1 CEMS shelter</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12</v>
      </c>
      <c r="O4787" s="12" t="n">
        <v>1</v>
      </c>
      <c r="P4787" s="12" t="n"/>
      <c r="Q4787" s="12" t="n"/>
      <c r="R4787" s="12" t="n"/>
      <c r="S4787" s="12" t="inlineStr">
        <is>
          <t>Tray / conduit</t>
        </is>
      </c>
      <c r="T4787" s="17" t="n">
        <v>57</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I-I-0388</t>
        </is>
      </c>
      <c r="B4788" s="12" t="inlineStr">
        <is>
          <t>I</t>
        </is>
      </c>
      <c r="C4788" s="12" t="inlineStr">
        <is>
          <t>Modular / portable power</t>
        </is>
      </c>
      <c r="D4788" s="12" t="inlineStr">
        <is>
          <t>Home run JB-SC-1 CEMS shelter-AI01 to the control / marshalling room</t>
        </is>
      </c>
      <c r="E4788" s="12" t="inlineStr"/>
      <c r="F4788" s="12" t="inlineStr">
        <is>
          <t>SC-1 PCM + 15 kV GCB</t>
        </is>
      </c>
      <c r="G4788" s="12" t="inlineStr">
        <is>
          <t>JB-SC-1 CEMS shelter-AI01</t>
        </is>
      </c>
      <c r="H4788" s="12" t="inlineStr">
        <is>
          <t>SC-1 CEMS shelter</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229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I-I-0389</t>
        </is>
      </c>
      <c r="B4789" s="12" t="inlineStr">
        <is>
          <t>I</t>
        </is>
      </c>
      <c r="C4789" s="12" t="inlineStr">
        <is>
          <t>Modular / portable power</t>
        </is>
      </c>
      <c r="D4789" s="12" t="inlineStr">
        <is>
          <t>Discrete device to JB JB-SC-1 CEMS shelter-DI01: 10 x 1 pr (field cables)</t>
        </is>
      </c>
      <c r="E4789" s="12" t="inlineStr"/>
      <c r="F4789" s="12" t="inlineStr">
        <is>
          <t>SC-1 CEMS shelter</t>
        </is>
      </c>
      <c r="G4789" s="12" t="inlineStr">
        <is>
          <t>JB-SC-1 CEMS shelter-DI01</t>
        </is>
      </c>
      <c r="H4789" s="12" t="inlineStr">
        <is>
          <t>SC-1 CEMS shelter</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10</v>
      </c>
      <c r="O4789" s="12" t="n">
        <v>1</v>
      </c>
      <c r="P4789" s="12" t="n"/>
      <c r="Q4789" s="12" t="n"/>
      <c r="R4789" s="12" t="n"/>
      <c r="S4789" s="12" t="inlineStr">
        <is>
          <t>Tray / conduit</t>
        </is>
      </c>
      <c r="T4789" s="17" t="n">
        <v>57</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I-I-0390</t>
        </is>
      </c>
      <c r="B4790" s="12" t="inlineStr">
        <is>
          <t>I</t>
        </is>
      </c>
      <c r="C4790" s="12" t="inlineStr">
        <is>
          <t>Modular / portable power</t>
        </is>
      </c>
      <c r="D4790" s="12" t="inlineStr">
        <is>
          <t>Home run JB-SC-1 CEMS shelter-DI01 to the control / marshalling room</t>
        </is>
      </c>
      <c r="E4790" s="12" t="inlineStr"/>
      <c r="F4790" s="12" t="inlineStr">
        <is>
          <t>SC-1 PCM + 15 kV GCB</t>
        </is>
      </c>
      <c r="G4790" s="12" t="inlineStr">
        <is>
          <t>JB-SC-1 CEMS shelter-DI01</t>
        </is>
      </c>
      <c r="H4790" s="12" t="inlineStr">
        <is>
          <t>SC-1 CEMS shelter</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229</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I-I-0391</t>
        </is>
      </c>
      <c r="B4791" s="12" t="inlineStr">
        <is>
          <t>I</t>
        </is>
      </c>
      <c r="C4791" s="12" t="inlineStr">
        <is>
          <t>Modular / portable power</t>
        </is>
      </c>
      <c r="D4791" s="12" t="inlineStr">
        <is>
          <t>Analog instrument to JB JB-SC-1 SCR / CO cata-AI01: 16 x 1 pr (field cables)</t>
        </is>
      </c>
      <c r="E4791" s="12" t="inlineStr"/>
      <c r="F4791" s="12" t="inlineStr">
        <is>
          <t>SC-1 SCR / CO catalyst</t>
        </is>
      </c>
      <c r="G4791" s="12" t="inlineStr">
        <is>
          <t>JB-SC-1 SCR / CO cata-AI01</t>
        </is>
      </c>
      <c r="H4791" s="12" t="inlineStr">
        <is>
          <t>SC-1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16</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I-I-0392</t>
        </is>
      </c>
      <c r="B4792" s="12" t="inlineStr">
        <is>
          <t>I</t>
        </is>
      </c>
      <c r="C4792" s="12" t="inlineStr">
        <is>
          <t>Modular / portable power</t>
        </is>
      </c>
      <c r="D4792" s="12" t="inlineStr">
        <is>
          <t>Home run JB-SC-1 SCR / CO cata-AI01 to the control / marshalling room</t>
        </is>
      </c>
      <c r="E4792" s="12" t="inlineStr"/>
      <c r="F4792" s="12" t="inlineStr">
        <is>
          <t>SC-1 PCM + 15 kV GCB</t>
        </is>
      </c>
      <c r="G4792" s="12" t="inlineStr">
        <is>
          <t>JB-SC-1 SCR / CO cata-AI01</t>
        </is>
      </c>
      <c r="H4792" s="12" t="inlineStr">
        <is>
          <t>SC-1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154</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I-I-0393</t>
        </is>
      </c>
      <c r="B4793" s="12" t="inlineStr">
        <is>
          <t>I</t>
        </is>
      </c>
      <c r="C4793" s="12" t="inlineStr">
        <is>
          <t>Modular / portable power</t>
        </is>
      </c>
      <c r="D4793" s="12" t="inlineStr">
        <is>
          <t>Discrete device to JB JB-SC-1 SCR / CO cata-DI01: 8 x 1 pr (field cables)</t>
        </is>
      </c>
      <c r="E4793" s="12" t="inlineStr"/>
      <c r="F4793" s="12" t="inlineStr">
        <is>
          <t>SC-1 SCR / CO catalyst</t>
        </is>
      </c>
      <c r="G4793" s="12" t="inlineStr">
        <is>
          <t>JB-SC-1 SCR / CO cata-DI01</t>
        </is>
      </c>
      <c r="H4793" s="12" t="inlineStr">
        <is>
          <t>SC-1 SCR / CO catalyst</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74</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I-I-0394</t>
        </is>
      </c>
      <c r="B4794" s="12" t="inlineStr">
        <is>
          <t>I</t>
        </is>
      </c>
      <c r="C4794" s="12" t="inlineStr">
        <is>
          <t>Modular / portable power</t>
        </is>
      </c>
      <c r="D4794" s="12" t="inlineStr">
        <is>
          <t>Home run JB-SC-1 SCR / CO cata-DI01 to the control / marshalling room</t>
        </is>
      </c>
      <c r="E4794" s="12" t="inlineStr"/>
      <c r="F4794" s="12" t="inlineStr">
        <is>
          <t>SC-1 PCM + 15 kV GCB</t>
        </is>
      </c>
      <c r="G4794" s="12" t="inlineStr">
        <is>
          <t>JB-SC-1 SCR / CO cata-DI01</t>
        </is>
      </c>
      <c r="H4794" s="12" t="inlineStr">
        <is>
          <t>SC-1 SCR / CO catalyst</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154</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I-I-0395</t>
        </is>
      </c>
      <c r="B4795" s="12" t="inlineStr">
        <is>
          <t>I</t>
        </is>
      </c>
      <c r="C4795" s="12" t="inlineStr">
        <is>
          <t>Modular / portable power</t>
        </is>
      </c>
      <c r="D4795" s="12" t="inlineStr">
        <is>
          <t>Analog instrument to JB JB-SC-1 ammonia flow--AI01: 8 x 1 pr (field cables)</t>
        </is>
      </c>
      <c r="E4795" s="12" t="inlineStr"/>
      <c r="F4795" s="12" t="inlineStr">
        <is>
          <t>SC-1 ammonia flow-control unit</t>
        </is>
      </c>
      <c r="G4795" s="12" t="inlineStr">
        <is>
          <t>JB-SC-1 ammonia flow--AI01</t>
        </is>
      </c>
      <c r="H4795" s="12" t="inlineStr">
        <is>
          <t>SC-1 ammonia flow-control unit</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40</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I-I-0396</t>
        </is>
      </c>
      <c r="B4796" s="12" t="inlineStr">
        <is>
          <t>I</t>
        </is>
      </c>
      <c r="C4796" s="12" t="inlineStr">
        <is>
          <t>Modular / portable power</t>
        </is>
      </c>
      <c r="D4796" s="12" t="inlineStr">
        <is>
          <t>Home run JB-SC-1 ammonia flow--AI01 to the control / marshalling room</t>
        </is>
      </c>
      <c r="E4796" s="12" t="inlineStr"/>
      <c r="F4796" s="12" t="inlineStr">
        <is>
          <t>SC-1 PCM + 15 kV GCB</t>
        </is>
      </c>
      <c r="G4796" s="12" t="inlineStr">
        <is>
          <t>JB-SC-1 ammonia flow--AI01</t>
        </is>
      </c>
      <c r="H4796" s="12" t="inlineStr">
        <is>
          <t>SC-1 ammonia flow-control unit</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I-I-0397</t>
        </is>
      </c>
      <c r="B4797" s="12" t="inlineStr">
        <is>
          <t>I</t>
        </is>
      </c>
      <c r="C4797" s="12" t="inlineStr">
        <is>
          <t>Modular / portable power</t>
        </is>
      </c>
      <c r="D4797" s="12" t="inlineStr">
        <is>
          <t>Discrete device to JB JB-SC-1 ammonia flow--DI01: 8 x 1 pr (field cables)</t>
        </is>
      </c>
      <c r="E4797" s="12" t="inlineStr"/>
      <c r="F4797" s="12" t="inlineStr">
        <is>
          <t>SC-1 ammonia flow-control unit</t>
        </is>
      </c>
      <c r="G4797" s="12" t="inlineStr">
        <is>
          <t>JB-SC-1 ammonia flow--DI01</t>
        </is>
      </c>
      <c r="H4797" s="12" t="inlineStr">
        <is>
          <t>SC-1 ammonia flow-control unit</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40</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I-I-0398</t>
        </is>
      </c>
      <c r="B4798" s="12" t="inlineStr">
        <is>
          <t>I</t>
        </is>
      </c>
      <c r="C4798" s="12" t="inlineStr">
        <is>
          <t>Modular / portable power</t>
        </is>
      </c>
      <c r="D4798" s="12" t="inlineStr">
        <is>
          <t>Home run JB-SC-1 ammonia flow--DI01 to the control / marshalling room</t>
        </is>
      </c>
      <c r="E4798" s="12" t="inlineStr"/>
      <c r="F4798" s="12" t="inlineStr">
        <is>
          <t>SC-1 PCM + 15 kV GCB</t>
        </is>
      </c>
      <c r="G4798" s="12" t="inlineStr">
        <is>
          <t>JB-SC-1 ammonia flow--DI01</t>
        </is>
      </c>
      <c r="H4798" s="12" t="inlineStr">
        <is>
          <t>SC-1 ammonia flow-control unit</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152</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I-I-0399</t>
        </is>
      </c>
      <c r="B4799" s="12" t="inlineStr">
        <is>
          <t>I</t>
        </is>
      </c>
      <c r="C4799" s="12" t="inlineStr">
        <is>
          <t>Modular / portable power</t>
        </is>
      </c>
      <c r="D4799" s="12" t="inlineStr">
        <is>
          <t>Analog instrument to JB JB-SC-1 auxiliary ski-AI01: 14 x 1 pr (field cables)</t>
        </is>
      </c>
      <c r="E4799" s="12" t="inlineStr"/>
      <c r="F4799" s="12" t="inlineStr">
        <is>
          <t>SC-1 auxiliary skids: fuel-gas module, water-wash skid</t>
        </is>
      </c>
      <c r="G4799" s="12" t="inlineStr">
        <is>
          <t>JB-SC-1 auxiliary ski-AI01</t>
        </is>
      </c>
      <c r="H4799" s="12" t="inlineStr">
        <is>
          <t>SC-1 auxiliary skids: fuel-gas module, water-wash skid</t>
        </is>
      </c>
      <c r="I4799" s="12" t="inlineStr">
        <is>
          <t>Instrumentation</t>
        </is>
      </c>
      <c r="J4799" s="12" t="inlineStr">
        <is>
          <t>Instrumentation ITC / PLTC, IS, #18 shielded pairs, blue jacket</t>
        </is>
      </c>
      <c r="K4799" s="12" t="inlineStr">
        <is>
          <t>ITC|1 pr|16</t>
        </is>
      </c>
      <c r="L4799" s="12" t="inlineStr">
        <is>
          <t>1 pr</t>
        </is>
      </c>
      <c r="M4799" s="12" t="inlineStr">
        <is>
          <t>16</t>
        </is>
      </c>
      <c r="N4799" s="12" t="n">
        <v>14</v>
      </c>
      <c r="O4799" s="12" t="n">
        <v>1</v>
      </c>
      <c r="P4799" s="12" t="n"/>
      <c r="Q4799" s="12" t="n"/>
      <c r="R4799" s="12" t="n"/>
      <c r="S4799" s="12" t="inlineStr">
        <is>
          <t>Tray / conduit</t>
        </is>
      </c>
      <c r="T4799" s="17" t="n">
        <v>63</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I-I-0400</t>
        </is>
      </c>
      <c r="B4800" s="12" t="inlineStr">
        <is>
          <t>I</t>
        </is>
      </c>
      <c r="C4800" s="12" t="inlineStr">
        <is>
          <t>Modular / portable power</t>
        </is>
      </c>
      <c r="D4800" s="12" t="inlineStr">
        <is>
          <t>Home run JB-SC-1 auxiliary ski-AI01 to the control / marshalling room</t>
        </is>
      </c>
      <c r="E4800" s="12" t="inlineStr"/>
      <c r="F4800" s="12" t="inlineStr">
        <is>
          <t>SC-1 PCM + 15 kV GCB</t>
        </is>
      </c>
      <c r="G4800" s="12" t="inlineStr">
        <is>
          <t>JB-SC-1 auxiliary ski-AI01</t>
        </is>
      </c>
      <c r="H4800" s="12" t="inlineStr">
        <is>
          <t>SC-1 auxiliary skids: fuel-gas module, water-wash skid</t>
        </is>
      </c>
      <c r="I4800" s="12" t="inlineStr">
        <is>
          <t>Instrumentation</t>
        </is>
      </c>
      <c r="J4800" s="12" t="inlineStr">
        <is>
          <t>Instrumentation ITC / PLTC, IS, #18 shielded pairs, blue jacket</t>
        </is>
      </c>
      <c r="K4800" s="12" t="inlineStr">
        <is>
          <t>ITC|24 pr|18</t>
        </is>
      </c>
      <c r="L4800" s="12" t="inlineStr">
        <is>
          <t>24 pr</t>
        </is>
      </c>
      <c r="M4800" s="12" t="inlineStr">
        <is>
          <t>18</t>
        </is>
      </c>
      <c r="N4800" s="12" t="n">
        <v>1</v>
      </c>
      <c r="O4800" s="12" t="n">
        <v>1</v>
      </c>
      <c r="P4800" s="12" t="n"/>
      <c r="Q4800" s="12" t="n"/>
      <c r="R4800" s="12" t="n"/>
      <c r="S4800" s="12" t="inlineStr">
        <is>
          <t>Tray</t>
        </is>
      </c>
      <c r="T4800" s="17" t="n">
        <v>0</v>
      </c>
      <c r="U4800" s="17" t="n">
        <v>77</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I-I-0401</t>
        </is>
      </c>
      <c r="B4801" s="12" t="inlineStr">
        <is>
          <t>I</t>
        </is>
      </c>
      <c r="C4801" s="12" t="inlineStr">
        <is>
          <t>Modular / portable power</t>
        </is>
      </c>
      <c r="D4801" s="12" t="inlineStr">
        <is>
          <t>Discrete device to JB JB-SC-1 auxiliary ski-DI01: 12 x 1 pr (field cables)</t>
        </is>
      </c>
      <c r="E4801" s="12" t="inlineStr"/>
      <c r="F4801" s="12" t="inlineStr">
        <is>
          <t>SC-1 auxiliary skids: fuel-gas module, water-wash skid</t>
        </is>
      </c>
      <c r="G4801" s="12" t="inlineStr">
        <is>
          <t>JB-SC-1 auxiliary ski-DI01</t>
        </is>
      </c>
      <c r="H4801" s="12" t="inlineStr">
        <is>
          <t>SC-1 auxiliary skids: fuel-gas module, water-wash skid</t>
        </is>
      </c>
      <c r="I4801" s="12" t="inlineStr">
        <is>
          <t>Instrumentation</t>
        </is>
      </c>
      <c r="J4801" s="12" t="inlineStr">
        <is>
          <t>Instrumentation ITC / PLTC, IS, #18 shielded pairs, blue jacket</t>
        </is>
      </c>
      <c r="K4801" s="12" t="inlineStr">
        <is>
          <t>ITC|1 pr|16</t>
        </is>
      </c>
      <c r="L4801" s="12" t="inlineStr">
        <is>
          <t>1 pr</t>
        </is>
      </c>
      <c r="M4801" s="12" t="inlineStr">
        <is>
          <t>16</t>
        </is>
      </c>
      <c r="N4801" s="12" t="n">
        <v>12</v>
      </c>
      <c r="O4801" s="12" t="n">
        <v>1</v>
      </c>
      <c r="P4801" s="12" t="n"/>
      <c r="Q4801" s="12" t="n"/>
      <c r="R4801" s="12" t="n"/>
      <c r="S4801" s="12" t="inlineStr">
        <is>
          <t>Tray / conduit</t>
        </is>
      </c>
      <c r="T4801" s="17" t="n">
        <v>63</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I-I-0402</t>
        </is>
      </c>
      <c r="B4802" s="12" t="inlineStr">
        <is>
          <t>I</t>
        </is>
      </c>
      <c r="C4802" s="12" t="inlineStr">
        <is>
          <t>Modular / portable power</t>
        </is>
      </c>
      <c r="D4802" s="12" t="inlineStr">
        <is>
          <t>Home run JB-SC-1 auxiliary ski-DI01 to the control / marshalling room</t>
        </is>
      </c>
      <c r="E4802" s="12" t="inlineStr"/>
      <c r="F4802" s="12" t="inlineStr">
        <is>
          <t>SC-1 PCM + 15 kV GCB</t>
        </is>
      </c>
      <c r="G4802" s="12" t="inlineStr">
        <is>
          <t>JB-SC-1 auxiliary ski-DI01</t>
        </is>
      </c>
      <c r="H4802" s="12" t="inlineStr">
        <is>
          <t>SC-1 auxiliary skids: fuel-gas module, water-wash skid</t>
        </is>
      </c>
      <c r="I4802" s="12" t="inlineStr">
        <is>
          <t>Instrumentation</t>
        </is>
      </c>
      <c r="J4802" s="12" t="inlineStr">
        <is>
          <t>Instrumentation ITC / PLTC, IS, #18 shielded pairs, blue jacket</t>
        </is>
      </c>
      <c r="K4802" s="12" t="inlineStr">
        <is>
          <t>ITC|24 pr|18</t>
        </is>
      </c>
      <c r="L4802" s="12" t="inlineStr">
        <is>
          <t>24 pr</t>
        </is>
      </c>
      <c r="M4802" s="12" t="inlineStr">
        <is>
          <t>18</t>
        </is>
      </c>
      <c r="N4802" s="12" t="n">
        <v>1</v>
      </c>
      <c r="O4802" s="12" t="n">
        <v>1</v>
      </c>
      <c r="P4802" s="12" t="n"/>
      <c r="Q4802" s="12" t="n"/>
      <c r="R4802" s="12" t="n"/>
      <c r="S4802" s="12" t="inlineStr">
        <is>
          <t>Tray</t>
        </is>
      </c>
      <c r="T4802" s="17" t="n">
        <v>0</v>
      </c>
      <c r="U4802" s="17" t="n">
        <v>77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I-I-0403</t>
        </is>
      </c>
      <c r="B4803" s="12" t="inlineStr">
        <is>
          <t>I</t>
        </is>
      </c>
      <c r="C4803" s="12" t="inlineStr">
        <is>
          <t>Modular / portable power</t>
        </is>
      </c>
      <c r="D4803" s="12" t="inlineStr">
        <is>
          <t>Analog instrument to JB JB-SC-1 lube-oil fin--AI01: 4 x 1 pr (field cables)</t>
        </is>
      </c>
      <c r="E4803" s="12" t="inlineStr"/>
      <c r="F4803" s="12" t="inlineStr">
        <is>
          <t>SC-1 lube-oil fin-fan cooler</t>
        </is>
      </c>
      <c r="G4803" s="12" t="inlineStr">
        <is>
          <t>JB-SC-1 lube-oil fin--AI01</t>
        </is>
      </c>
      <c r="H4803" s="12" t="inlineStr">
        <is>
          <t>SC-1 lube-oil fin-fan cooler</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4</v>
      </c>
      <c r="O4803" s="12" t="n">
        <v>1</v>
      </c>
      <c r="P4803" s="12" t="n"/>
      <c r="Q4803" s="12" t="n"/>
      <c r="R4803" s="12" t="n"/>
      <c r="S4803" s="12" t="inlineStr">
        <is>
          <t>Tray / conduit</t>
        </is>
      </c>
      <c r="T4803" s="17" t="n">
        <v>46</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I-I-0404</t>
        </is>
      </c>
      <c r="B4804" s="12" t="inlineStr">
        <is>
          <t>I</t>
        </is>
      </c>
      <c r="C4804" s="12" t="inlineStr">
        <is>
          <t>Modular / portable power</t>
        </is>
      </c>
      <c r="D4804" s="12" t="inlineStr">
        <is>
          <t>Home run JB-SC-1 lube-oil fin--AI01 to the control / marshalling room</t>
        </is>
      </c>
      <c r="E4804" s="12" t="inlineStr"/>
      <c r="F4804" s="12" t="inlineStr">
        <is>
          <t>SC-1 PCM + 15 kV GCB</t>
        </is>
      </c>
      <c r="G4804" s="12" t="inlineStr">
        <is>
          <t>JB-SC-1 lube-oil fin--AI01</t>
        </is>
      </c>
      <c r="H4804" s="12" t="inlineStr">
        <is>
          <t>SC-1 lube-oil fin-fan cooler</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82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I-I-0405</t>
        </is>
      </c>
      <c r="B4805" s="12" t="inlineStr">
        <is>
          <t>I</t>
        </is>
      </c>
      <c r="C4805" s="12" t="inlineStr">
        <is>
          <t>Modular / portable power</t>
        </is>
      </c>
      <c r="D4805" s="12" t="inlineStr">
        <is>
          <t>Discrete device to JB JB-SC-1 lube-oil fin--DI01: 8 x 1 pr (field cables)</t>
        </is>
      </c>
      <c r="E4805" s="12" t="inlineStr"/>
      <c r="F4805" s="12" t="inlineStr">
        <is>
          <t>SC-1 lube-oil fin-fan cooler</t>
        </is>
      </c>
      <c r="G4805" s="12" t="inlineStr">
        <is>
          <t>JB-SC-1 lube-oil fin--DI01</t>
        </is>
      </c>
      <c r="H4805" s="12" t="inlineStr">
        <is>
          <t>SC-1 lube-oil fin-fan cooler</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8</v>
      </c>
      <c r="O4805" s="12" t="n">
        <v>1</v>
      </c>
      <c r="P4805" s="12" t="n"/>
      <c r="Q4805" s="12" t="n"/>
      <c r="R4805" s="12" t="n"/>
      <c r="S4805" s="12" t="inlineStr">
        <is>
          <t>Tray / conduit</t>
        </is>
      </c>
      <c r="T4805" s="17" t="n">
        <v>46</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I-I-0406</t>
        </is>
      </c>
      <c r="B4806" s="12" t="inlineStr">
        <is>
          <t>I</t>
        </is>
      </c>
      <c r="C4806" s="12" t="inlineStr">
        <is>
          <t>Modular / portable power</t>
        </is>
      </c>
      <c r="D4806" s="12" t="inlineStr">
        <is>
          <t>Home run JB-SC-1 lube-oil fin--DI01 to the control / marshalling room</t>
        </is>
      </c>
      <c r="E4806" s="12" t="inlineStr"/>
      <c r="F4806" s="12" t="inlineStr">
        <is>
          <t>SC-1 PCM + 15 kV GCB</t>
        </is>
      </c>
      <c r="G4806" s="12" t="inlineStr">
        <is>
          <t>JB-SC-1 lube-oil fin--DI01</t>
        </is>
      </c>
      <c r="H4806" s="12" t="inlineStr">
        <is>
          <t>SC-1 lube-oil fin-fan cooler</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82</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I-I-0407</t>
        </is>
      </c>
      <c r="B4807" s="12" t="inlineStr">
        <is>
          <t>I</t>
        </is>
      </c>
      <c r="C4807" s="12" t="inlineStr">
        <is>
          <t>Modular / portable power</t>
        </is>
      </c>
      <c r="D4807" s="12" t="inlineStr">
        <is>
          <t>Analog instrument to JB JB-SC-1 tempering-air-AI01: 8 x 1 pr (field cables)</t>
        </is>
      </c>
      <c r="E4807" s="12" t="inlineStr"/>
      <c r="F4807" s="12" t="inlineStr">
        <is>
          <t>SC-1 tempering-air fans (2 x 100 %)</t>
        </is>
      </c>
      <c r="G4807" s="12" t="inlineStr">
        <is>
          <t>JB-SC-1 tempering-air-AI01</t>
        </is>
      </c>
      <c r="H4807" s="12" t="inlineStr">
        <is>
          <t>SC-1 tempering-air fans (2 x 100 %)</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8</v>
      </c>
      <c r="O4807" s="12" t="n">
        <v>1</v>
      </c>
      <c r="P4807" s="12" t="n"/>
      <c r="Q4807" s="12" t="n"/>
      <c r="R4807" s="12" t="n"/>
      <c r="S4807" s="12" t="inlineStr">
        <is>
          <t>Tray / conduit</t>
        </is>
      </c>
      <c r="T4807" s="17" t="n">
        <v>53</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I-I-0408</t>
        </is>
      </c>
      <c r="B4808" s="12" t="inlineStr">
        <is>
          <t>I</t>
        </is>
      </c>
      <c r="C4808" s="12" t="inlineStr">
        <is>
          <t>Modular / portable power</t>
        </is>
      </c>
      <c r="D4808" s="12" t="inlineStr">
        <is>
          <t>Home run JB-SC-1 tempering-air-AI01 to the control / marshalling room</t>
        </is>
      </c>
      <c r="E4808" s="12" t="inlineStr"/>
      <c r="F4808" s="12" t="inlineStr">
        <is>
          <t>SC-1 PCM + 15 kV GCB</t>
        </is>
      </c>
      <c r="G4808" s="12" t="inlineStr">
        <is>
          <t>JB-SC-1 tempering-air-AI01</t>
        </is>
      </c>
      <c r="H4808" s="12" t="inlineStr">
        <is>
          <t>SC-1 tempering-air fans (2 x 100 %)</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156</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I-I-0409</t>
        </is>
      </c>
      <c r="B4809" s="12" t="inlineStr">
        <is>
          <t>I</t>
        </is>
      </c>
      <c r="C4809" s="12" t="inlineStr">
        <is>
          <t>Modular / portable power</t>
        </is>
      </c>
      <c r="D4809" s="12" t="inlineStr">
        <is>
          <t>Discrete device to JB JB-SC-1 tempering-air-DI01: 8 x 1 pr (field cables)</t>
        </is>
      </c>
      <c r="E4809" s="12" t="inlineStr"/>
      <c r="F4809" s="12" t="inlineStr">
        <is>
          <t>SC-1 tempering-air fans (2 x 100 %)</t>
        </is>
      </c>
      <c r="G4809" s="12" t="inlineStr">
        <is>
          <t>JB-SC-1 tempering-air-DI01</t>
        </is>
      </c>
      <c r="H4809" s="12" t="inlineStr">
        <is>
          <t>SC-1 tempering-air fans (2 x 100 %)</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8</v>
      </c>
      <c r="O4809" s="12" t="n">
        <v>1</v>
      </c>
      <c r="P4809" s="12" t="n"/>
      <c r="Q4809" s="12" t="n"/>
      <c r="R4809" s="12" t="n"/>
      <c r="S4809" s="12" t="inlineStr">
        <is>
          <t>Tray / conduit</t>
        </is>
      </c>
      <c r="T4809" s="17" t="n">
        <v>53</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I-I-0410</t>
        </is>
      </c>
      <c r="B4810" s="12" t="inlineStr">
        <is>
          <t>I</t>
        </is>
      </c>
      <c r="C4810" s="12" t="inlineStr">
        <is>
          <t>Modular / portable power</t>
        </is>
      </c>
      <c r="D4810" s="12" t="inlineStr">
        <is>
          <t>Home run JB-SC-1 tempering-air-DI01 to the control / marshalling room</t>
        </is>
      </c>
      <c r="E4810" s="12" t="inlineStr"/>
      <c r="F4810" s="12" t="inlineStr">
        <is>
          <t>SC-1 PCM + 15 kV GCB</t>
        </is>
      </c>
      <c r="G4810" s="12" t="inlineStr">
        <is>
          <t>JB-SC-1 tempering-air-DI01</t>
        </is>
      </c>
      <c r="H4810" s="12" t="inlineStr">
        <is>
          <t>SC-1 tempering-air fans (2 x 100 %)</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156</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I-I-0411</t>
        </is>
      </c>
      <c r="B4811" s="12" t="inlineStr">
        <is>
          <t>I</t>
        </is>
      </c>
      <c r="C4811" s="12" t="inlineStr">
        <is>
          <t>Modular / portable power</t>
        </is>
      </c>
      <c r="D4811" s="12" t="inlineStr">
        <is>
          <t>Analog instrument to JB JB-SC-1-AI01: 20 x 1 pr (field cables)</t>
        </is>
      </c>
      <c r="E4811" s="12" t="inlineStr">
        <is>
          <t>SC-1</t>
        </is>
      </c>
      <c r="F4811" s="12" t="inlineStr">
        <is>
          <t>SC-1: aeroderivative simple-cycle unit (LM6000 class)</t>
        </is>
      </c>
      <c r="G4811" s="12" t="inlineStr">
        <is>
          <t>JB-SC-1-AI01</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I-I-0412</t>
        </is>
      </c>
      <c r="B4812" s="12" t="inlineStr">
        <is>
          <t>I</t>
        </is>
      </c>
      <c r="C4812" s="12" t="inlineStr">
        <is>
          <t>Modular / portable power</t>
        </is>
      </c>
      <c r="D4812" s="12" t="inlineStr">
        <is>
          <t>Home run JB-SC-1-AI01 to the control / marshalling room</t>
        </is>
      </c>
      <c r="E4812" s="12" t="inlineStr"/>
      <c r="F4812" s="12" t="inlineStr">
        <is>
          <t>SC-1 PCM + 15 kV GCB</t>
        </is>
      </c>
      <c r="G4812" s="12" t="inlineStr">
        <is>
          <t>JB-SC-1-AI01</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I-I-0413</t>
        </is>
      </c>
      <c r="B4813" s="12" t="inlineStr">
        <is>
          <t>I</t>
        </is>
      </c>
      <c r="C4813" s="12" t="inlineStr">
        <is>
          <t>Modular / portable power</t>
        </is>
      </c>
      <c r="D4813" s="12" t="inlineStr">
        <is>
          <t>Analog instrument to JB JB-SC-1-AI02: 20 x 1 pr (field cables)</t>
        </is>
      </c>
      <c r="E4813" s="12" t="inlineStr">
        <is>
          <t>SC-1</t>
        </is>
      </c>
      <c r="F4813" s="12" t="inlineStr">
        <is>
          <t>SC-1: aeroderivative simple-cycle unit (LM6000 class)</t>
        </is>
      </c>
      <c r="G4813" s="12" t="inlineStr">
        <is>
          <t>JB-SC-1-AI02</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I-I-0414</t>
        </is>
      </c>
      <c r="B4814" s="12" t="inlineStr">
        <is>
          <t>I</t>
        </is>
      </c>
      <c r="C4814" s="12" t="inlineStr">
        <is>
          <t>Modular / portable power</t>
        </is>
      </c>
      <c r="D4814" s="12" t="inlineStr">
        <is>
          <t>Home run JB-SC-1-AI02 to the control / marshalling room</t>
        </is>
      </c>
      <c r="E4814" s="12" t="inlineStr"/>
      <c r="F4814" s="12" t="inlineStr">
        <is>
          <t>SC-1 PCM + 15 kV GCB</t>
        </is>
      </c>
      <c r="G4814" s="12" t="inlineStr">
        <is>
          <t>JB-SC-1-AI02</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I-I-0415</t>
        </is>
      </c>
      <c r="B4815" s="12" t="inlineStr">
        <is>
          <t>I</t>
        </is>
      </c>
      <c r="C4815" s="12" t="inlineStr">
        <is>
          <t>Modular / portable power</t>
        </is>
      </c>
      <c r="D4815" s="12" t="inlineStr">
        <is>
          <t>Analog instrument to JB JB-SC-1-AI03: 20 x 1 pr (field cables)</t>
        </is>
      </c>
      <c r="E4815" s="12" t="inlineStr">
        <is>
          <t>SC-1</t>
        </is>
      </c>
      <c r="F4815" s="12" t="inlineStr">
        <is>
          <t>SC-1: aeroderivative simple-cycle unit (LM6000 class)</t>
        </is>
      </c>
      <c r="G4815" s="12" t="inlineStr">
        <is>
          <t>JB-SC-1-AI03</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I-I-0416</t>
        </is>
      </c>
      <c r="B4816" s="12" t="inlineStr">
        <is>
          <t>I</t>
        </is>
      </c>
      <c r="C4816" s="12" t="inlineStr">
        <is>
          <t>Modular / portable power</t>
        </is>
      </c>
      <c r="D4816" s="12" t="inlineStr">
        <is>
          <t>Home run JB-SC-1-AI03 to the control / marshalling room</t>
        </is>
      </c>
      <c r="E4816" s="12" t="inlineStr"/>
      <c r="F4816" s="12" t="inlineStr">
        <is>
          <t>SC-1 PCM + 15 kV GCB</t>
        </is>
      </c>
      <c r="G4816" s="12" t="inlineStr">
        <is>
          <t>JB-SC-1-AI03</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I-I-0417</t>
        </is>
      </c>
      <c r="B4817" s="12" t="inlineStr">
        <is>
          <t>I</t>
        </is>
      </c>
      <c r="C4817" s="12" t="inlineStr">
        <is>
          <t>Modular / portable power</t>
        </is>
      </c>
      <c r="D4817" s="12" t="inlineStr">
        <is>
          <t>Analog instrument to JB JB-SC-1-AI04: 20 x 1 pr (field cables)</t>
        </is>
      </c>
      <c r="E4817" s="12" t="inlineStr">
        <is>
          <t>SC-1</t>
        </is>
      </c>
      <c r="F4817" s="12" t="inlineStr">
        <is>
          <t>SC-1: aeroderivative simple-cycle unit (LM6000 class)</t>
        </is>
      </c>
      <c r="G4817" s="12" t="inlineStr">
        <is>
          <t>JB-SC-1-AI04</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I-I-0418</t>
        </is>
      </c>
      <c r="B4818" s="12" t="inlineStr">
        <is>
          <t>I</t>
        </is>
      </c>
      <c r="C4818" s="12" t="inlineStr">
        <is>
          <t>Modular / portable power</t>
        </is>
      </c>
      <c r="D4818" s="12" t="inlineStr">
        <is>
          <t>Home run JB-SC-1-AI04 to the control / marshalling room</t>
        </is>
      </c>
      <c r="E4818" s="12" t="inlineStr"/>
      <c r="F4818" s="12" t="inlineStr">
        <is>
          <t>SC-1 PCM + 15 kV GCB</t>
        </is>
      </c>
      <c r="G4818" s="12" t="inlineStr">
        <is>
          <t>JB-SC-1-AI04</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I-I-0419</t>
        </is>
      </c>
      <c r="B4819" s="12" t="inlineStr">
        <is>
          <t>I</t>
        </is>
      </c>
      <c r="C4819" s="12" t="inlineStr">
        <is>
          <t>Modular / portable power</t>
        </is>
      </c>
      <c r="D4819" s="12" t="inlineStr">
        <is>
          <t>Analog instrument to JB JB-SC-1-AI05: 20 x 1 pr (field cables)</t>
        </is>
      </c>
      <c r="E4819" s="12" t="inlineStr">
        <is>
          <t>SC-1</t>
        </is>
      </c>
      <c r="F4819" s="12" t="inlineStr">
        <is>
          <t>SC-1: aeroderivative simple-cycle unit (LM6000 class)</t>
        </is>
      </c>
      <c r="G4819" s="12" t="inlineStr">
        <is>
          <t>JB-SC-1-AI05</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I-I-0420</t>
        </is>
      </c>
      <c r="B4820" s="12" t="inlineStr">
        <is>
          <t>I</t>
        </is>
      </c>
      <c r="C4820" s="12" t="inlineStr">
        <is>
          <t>Modular / portable power</t>
        </is>
      </c>
      <c r="D4820" s="12" t="inlineStr">
        <is>
          <t>Home run JB-SC-1-AI05 to the control / marshalling room</t>
        </is>
      </c>
      <c r="E4820" s="12" t="inlineStr"/>
      <c r="F4820" s="12" t="inlineStr">
        <is>
          <t>SC-1 PCM + 15 kV GCB</t>
        </is>
      </c>
      <c r="G4820" s="12" t="inlineStr">
        <is>
          <t>JB-SC-1-AI05</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I-I-0421</t>
        </is>
      </c>
      <c r="B4821" s="12" t="inlineStr">
        <is>
          <t>I</t>
        </is>
      </c>
      <c r="C4821" s="12" t="inlineStr">
        <is>
          <t>Modular / portable power</t>
        </is>
      </c>
      <c r="D4821" s="12" t="inlineStr">
        <is>
          <t>Analog instrument to JB JB-SC-1-AI06: 20 x 1 pr (field cables)</t>
        </is>
      </c>
      <c r="E4821" s="12" t="inlineStr">
        <is>
          <t>SC-1</t>
        </is>
      </c>
      <c r="F4821" s="12" t="inlineStr">
        <is>
          <t>SC-1: aeroderivative simple-cycle unit (LM6000 class)</t>
        </is>
      </c>
      <c r="G4821" s="12" t="inlineStr">
        <is>
          <t>JB-SC-1-AI06</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I-I-0422</t>
        </is>
      </c>
      <c r="B4822" s="12" t="inlineStr">
        <is>
          <t>I</t>
        </is>
      </c>
      <c r="C4822" s="12" t="inlineStr">
        <is>
          <t>Modular / portable power</t>
        </is>
      </c>
      <c r="D4822" s="12" t="inlineStr">
        <is>
          <t>Home run JB-SC-1-AI06 to the control / marshalling room</t>
        </is>
      </c>
      <c r="E4822" s="12" t="inlineStr"/>
      <c r="F4822" s="12" t="inlineStr">
        <is>
          <t>SC-1 PCM + 15 kV GCB</t>
        </is>
      </c>
      <c r="G4822" s="12" t="inlineStr">
        <is>
          <t>JB-SC-1-AI06</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I-I-0423</t>
        </is>
      </c>
      <c r="B4823" s="12" t="inlineStr">
        <is>
          <t>I</t>
        </is>
      </c>
      <c r="C4823" s="12" t="inlineStr">
        <is>
          <t>Modular / portable power</t>
        </is>
      </c>
      <c r="D4823" s="12" t="inlineStr">
        <is>
          <t>Analog instrument to JB JB-SC-1-AI07: 20 x 1 pr (field cables)</t>
        </is>
      </c>
      <c r="E4823" s="12" t="inlineStr">
        <is>
          <t>SC-1</t>
        </is>
      </c>
      <c r="F4823" s="12" t="inlineStr">
        <is>
          <t>SC-1: aeroderivative simple-cycle unit (LM6000 class)</t>
        </is>
      </c>
      <c r="G4823" s="12" t="inlineStr">
        <is>
          <t>JB-SC-1-AI07</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I-I-0424</t>
        </is>
      </c>
      <c r="B4824" s="12" t="inlineStr">
        <is>
          <t>I</t>
        </is>
      </c>
      <c r="C4824" s="12" t="inlineStr">
        <is>
          <t>Modular / portable power</t>
        </is>
      </c>
      <c r="D4824" s="12" t="inlineStr">
        <is>
          <t>Home run JB-SC-1-AI07 to the control / marshalling room</t>
        </is>
      </c>
      <c r="E4824" s="12" t="inlineStr"/>
      <c r="F4824" s="12" t="inlineStr">
        <is>
          <t>SC-1 PCM + 15 kV GCB</t>
        </is>
      </c>
      <c r="G4824" s="12" t="inlineStr">
        <is>
          <t>JB-SC-1-AI07</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I-I-0425</t>
        </is>
      </c>
      <c r="B4825" s="12" t="inlineStr">
        <is>
          <t>I</t>
        </is>
      </c>
      <c r="C4825" s="12" t="inlineStr">
        <is>
          <t>Modular / portable power</t>
        </is>
      </c>
      <c r="D4825" s="12" t="inlineStr">
        <is>
          <t>Analog instrument to JB JB-SC-1-AI08: 10 x 1 pr (field cables)</t>
        </is>
      </c>
      <c r="E4825" s="12" t="inlineStr">
        <is>
          <t>SC-1</t>
        </is>
      </c>
      <c r="F4825" s="12" t="inlineStr">
        <is>
          <t>SC-1: aeroderivative simple-cycle unit (LM6000 class)</t>
        </is>
      </c>
      <c r="G4825" s="12" t="inlineStr">
        <is>
          <t>JB-SC-1-AI08</t>
        </is>
      </c>
      <c r="H4825" s="12" t="inlineStr">
        <is>
          <t>SC-1: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I-I-0426</t>
        </is>
      </c>
      <c r="B4826" s="12" t="inlineStr">
        <is>
          <t>I</t>
        </is>
      </c>
      <c r="C4826" s="12" t="inlineStr">
        <is>
          <t>Modular / portable power</t>
        </is>
      </c>
      <c r="D4826" s="12" t="inlineStr">
        <is>
          <t>Home run JB-SC-1-AI08 to the control / marshalling room</t>
        </is>
      </c>
      <c r="E4826" s="12" t="inlineStr"/>
      <c r="F4826" s="12" t="inlineStr">
        <is>
          <t>SC-1 PCM + 15 kV GCB</t>
        </is>
      </c>
      <c r="G4826" s="12" t="inlineStr">
        <is>
          <t>JB-SC-1-AI08</t>
        </is>
      </c>
      <c r="H4826" s="12" t="inlineStr">
        <is>
          <t>SC-1: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I-I-0427</t>
        </is>
      </c>
      <c r="B4827" s="12" t="inlineStr">
        <is>
          <t>I</t>
        </is>
      </c>
      <c r="C4827" s="12" t="inlineStr">
        <is>
          <t>Modular / portable power</t>
        </is>
      </c>
      <c r="D4827" s="12" t="inlineStr">
        <is>
          <t>Discrete device to JB JB-SC-1-DI01: 20 x 1 pr (field cables)</t>
        </is>
      </c>
      <c r="E4827" s="12" t="inlineStr">
        <is>
          <t>SC-1</t>
        </is>
      </c>
      <c r="F4827" s="12" t="inlineStr">
        <is>
          <t>SC-1: aeroderivative simple-cycle unit (LM6000 class)</t>
        </is>
      </c>
      <c r="G4827" s="12" t="inlineStr">
        <is>
          <t>JB-SC-1-DI01</t>
        </is>
      </c>
      <c r="H4827" s="12" t="inlineStr">
        <is>
          <t>SC-1: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I-I-0428</t>
        </is>
      </c>
      <c r="B4828" s="12" t="inlineStr">
        <is>
          <t>I</t>
        </is>
      </c>
      <c r="C4828" s="12" t="inlineStr">
        <is>
          <t>Modular / portable power</t>
        </is>
      </c>
      <c r="D4828" s="12" t="inlineStr">
        <is>
          <t>Home run JB-SC-1-DI01 to the control / marshalling room</t>
        </is>
      </c>
      <c r="E4828" s="12" t="inlineStr"/>
      <c r="F4828" s="12" t="inlineStr">
        <is>
          <t>SC-1 PCM + 15 kV GCB</t>
        </is>
      </c>
      <c r="G4828" s="12" t="inlineStr">
        <is>
          <t>JB-SC-1-DI01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I-I-0429</t>
        </is>
      </c>
      <c r="B4829" s="12" t="inlineStr">
        <is>
          <t>I</t>
        </is>
      </c>
      <c r="C4829" s="12" t="inlineStr">
        <is>
          <t>Modular / portable power</t>
        </is>
      </c>
      <c r="D4829" s="12" t="inlineStr">
        <is>
          <t>Discrete device to JB JB-SC-1-DI02: 20 x 1 pr (field cables)</t>
        </is>
      </c>
      <c r="E4829" s="12" t="inlineStr">
        <is>
          <t>SC-1</t>
        </is>
      </c>
      <c r="F4829" s="12" t="inlineStr">
        <is>
          <t>SC-1: aeroderivative simple-cycle unit (LM6000 class)</t>
        </is>
      </c>
      <c r="G4829" s="12" t="inlineStr">
        <is>
          <t>JB-SC-1-DI02</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7" t="n">
        <v>99</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I-I-0430</t>
        </is>
      </c>
      <c r="B4830" s="12" t="inlineStr">
        <is>
          <t>I</t>
        </is>
      </c>
      <c r="C4830" s="12" t="inlineStr">
        <is>
          <t>Modular / portable power</t>
        </is>
      </c>
      <c r="D4830" s="12" t="inlineStr">
        <is>
          <t>Home run JB-SC-1-DI02 to the control / marshalling room</t>
        </is>
      </c>
      <c r="E4830" s="12" t="inlineStr"/>
      <c r="F4830" s="12" t="inlineStr">
        <is>
          <t>SC-1 PCM + 15 kV GCB</t>
        </is>
      </c>
      <c r="G4830" s="12" t="inlineStr">
        <is>
          <t>JB-SC-1-DI02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Tray</t>
        </is>
      </c>
      <c r="T4830" s="17" t="n">
        <v>0</v>
      </c>
      <c r="U4830" s="17" t="n">
        <v>64</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I-I-0431</t>
        </is>
      </c>
      <c r="B4831" s="12" t="inlineStr">
        <is>
          <t>I</t>
        </is>
      </c>
      <c r="C4831" s="12" t="inlineStr">
        <is>
          <t>Modular / portable power</t>
        </is>
      </c>
      <c r="D4831" s="12" t="inlineStr">
        <is>
          <t>Discrete device to JB JB-SC-1-DI03: 20 x 1 pr (field cables)</t>
        </is>
      </c>
      <c r="E4831" s="12" t="inlineStr">
        <is>
          <t>SC-1</t>
        </is>
      </c>
      <c r="F4831" s="12" t="inlineStr">
        <is>
          <t>SC-1: aeroderivative simple-cycle unit (LM6000 class)</t>
        </is>
      </c>
      <c r="G4831" s="12" t="inlineStr">
        <is>
          <t>JB-SC-1-DI03</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7" t="n">
        <v>99</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I-I-0432</t>
        </is>
      </c>
      <c r="B4832" s="12" t="inlineStr">
        <is>
          <t>I</t>
        </is>
      </c>
      <c r="C4832" s="12" t="inlineStr">
        <is>
          <t>Modular / portable power</t>
        </is>
      </c>
      <c r="D4832" s="12" t="inlineStr">
        <is>
          <t>Home run JB-SC-1-DI03 to the control / marshalling room</t>
        </is>
      </c>
      <c r="E4832" s="12" t="inlineStr"/>
      <c r="F4832" s="12" t="inlineStr">
        <is>
          <t>SC-1 PCM + 15 kV GCB</t>
        </is>
      </c>
      <c r="G4832" s="12" t="inlineStr">
        <is>
          <t>JB-SC-1-DI03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Tray</t>
        </is>
      </c>
      <c r="T4832" s="17" t="n">
        <v>0</v>
      </c>
      <c r="U4832" s="17" t="n">
        <v>64</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I-I-0433</t>
        </is>
      </c>
      <c r="B4833" s="12" t="inlineStr">
        <is>
          <t>I</t>
        </is>
      </c>
      <c r="C4833" s="12" t="inlineStr">
        <is>
          <t>Modular / portable power</t>
        </is>
      </c>
      <c r="D4833" s="12" t="inlineStr">
        <is>
          <t>Discrete device to JB JB-SC-1-DI04: 20 x 1 pr (field cables)</t>
        </is>
      </c>
      <c r="E4833" s="12" t="inlineStr">
        <is>
          <t>SC-1</t>
        </is>
      </c>
      <c r="F4833" s="12" t="inlineStr">
        <is>
          <t>SC-1: aeroderivative simple-cycle unit (LM6000 class)</t>
        </is>
      </c>
      <c r="G4833" s="12" t="inlineStr">
        <is>
          <t>JB-SC-1-DI04</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99</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I-I-0434</t>
        </is>
      </c>
      <c r="B4834" s="12" t="inlineStr">
        <is>
          <t>I</t>
        </is>
      </c>
      <c r="C4834" s="12" t="inlineStr">
        <is>
          <t>Modular / portable power</t>
        </is>
      </c>
      <c r="D4834" s="12" t="inlineStr">
        <is>
          <t>Home run JB-SC-1-DI04 to the control / marshalling room</t>
        </is>
      </c>
      <c r="E4834" s="12" t="inlineStr"/>
      <c r="F4834" s="12" t="inlineStr">
        <is>
          <t>SC-1 PCM + 15 kV GCB</t>
        </is>
      </c>
      <c r="G4834" s="12" t="inlineStr">
        <is>
          <t>JB-SC-1-DI04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Tray</t>
        </is>
      </c>
      <c r="T4834" s="17" t="n">
        <v>0</v>
      </c>
      <c r="U4834" s="17" t="n">
        <v>64</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I-I-0435</t>
        </is>
      </c>
      <c r="B4835" s="12" t="inlineStr">
        <is>
          <t>I</t>
        </is>
      </c>
      <c r="C4835" s="12" t="inlineStr">
        <is>
          <t>Modular / portable power</t>
        </is>
      </c>
      <c r="D4835" s="12" t="inlineStr">
        <is>
          <t>Discrete device to JB JB-SC-1-DI05: 20 x 1 pr (field cables)</t>
        </is>
      </c>
      <c r="E4835" s="12" t="inlineStr">
        <is>
          <t>SC-1</t>
        </is>
      </c>
      <c r="F4835" s="12" t="inlineStr">
        <is>
          <t>SC-1: aeroderivative simple-cycle unit (LM6000 class)</t>
        </is>
      </c>
      <c r="G4835" s="12" t="inlineStr">
        <is>
          <t>JB-SC-1-DI05</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99</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I-I-0436</t>
        </is>
      </c>
      <c r="B4836" s="12" t="inlineStr">
        <is>
          <t>I</t>
        </is>
      </c>
      <c r="C4836" s="12" t="inlineStr">
        <is>
          <t>Modular / portable power</t>
        </is>
      </c>
      <c r="D4836" s="12" t="inlineStr">
        <is>
          <t>Home run JB-SC-1-DI05 to the control / marshalling room</t>
        </is>
      </c>
      <c r="E4836" s="12" t="inlineStr"/>
      <c r="F4836" s="12" t="inlineStr">
        <is>
          <t>SC-1 PCM + 15 kV GCB</t>
        </is>
      </c>
      <c r="G4836" s="12" t="inlineStr">
        <is>
          <t>JB-SC-1-DI05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Tray</t>
        </is>
      </c>
      <c r="T4836" s="17" t="n">
        <v>0</v>
      </c>
      <c r="U4836" s="17" t="n">
        <v>64</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I-I-0437</t>
        </is>
      </c>
      <c r="B4837" s="12" t="inlineStr">
        <is>
          <t>I</t>
        </is>
      </c>
      <c r="C4837" s="12" t="inlineStr">
        <is>
          <t>Modular / portable power</t>
        </is>
      </c>
      <c r="D4837" s="12" t="inlineStr">
        <is>
          <t>Thermocouple to TC JB JB-SC-1-TC01: 20 x 1 pr (field cables)</t>
        </is>
      </c>
      <c r="E4837" s="12" t="inlineStr">
        <is>
          <t>SC-1</t>
        </is>
      </c>
      <c r="F4837" s="12" t="inlineStr">
        <is>
          <t>SC-1: aeroderivative simple-cycle unit (LM6000 class)</t>
        </is>
      </c>
      <c r="G4837" s="12" t="inlineStr">
        <is>
          <t>JB-SC-1-TC01</t>
        </is>
      </c>
      <c r="H4837" s="12" t="inlineStr">
        <is>
          <t>SC-1: aeroderivative simple-cycle unit (LM6000 class)</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7" t="n">
        <v>99</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I-I-0438</t>
        </is>
      </c>
      <c r="B4838" s="12" t="inlineStr">
        <is>
          <t>I</t>
        </is>
      </c>
      <c r="C4838" s="12" t="inlineStr">
        <is>
          <t>Modular / portable power</t>
        </is>
      </c>
      <c r="D4838" s="12" t="inlineStr">
        <is>
          <t>Home run JB-SC-1-TC01 to the control / marshalling room</t>
        </is>
      </c>
      <c r="E4838" s="12" t="inlineStr"/>
      <c r="F4838" s="12" t="inlineStr">
        <is>
          <t>SC-1 PCM + 15 kV GCB</t>
        </is>
      </c>
      <c r="G4838" s="12" t="inlineStr">
        <is>
          <t>JB-SC-1-TC01</t>
        </is>
      </c>
      <c r="H4838" s="12" t="inlineStr">
        <is>
          <t>SC-1: aeroderivative simple-cycle unit (LM6000 class)</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Tray</t>
        </is>
      </c>
      <c r="T4838" s="17" t="n">
        <v>0</v>
      </c>
      <c r="U4838" s="17" t="n">
        <v>64</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I-I-0439</t>
        </is>
      </c>
      <c r="B4839" s="12" t="inlineStr">
        <is>
          <t>I</t>
        </is>
      </c>
      <c r="C4839" s="12" t="inlineStr">
        <is>
          <t>Modular / portable power</t>
        </is>
      </c>
      <c r="D4839" s="12" t="inlineStr">
        <is>
          <t>Thermocouple to TC JB JB-SC-1-TC02: 20 x 1 pr (field cables)</t>
        </is>
      </c>
      <c r="E4839" s="12" t="inlineStr">
        <is>
          <t>SC-1</t>
        </is>
      </c>
      <c r="F4839" s="12" t="inlineStr">
        <is>
          <t>SC-1: aeroderivative simple-cycle unit (LM6000 class)</t>
        </is>
      </c>
      <c r="G4839" s="12" t="inlineStr">
        <is>
          <t>JB-SC-1-TC02</t>
        </is>
      </c>
      <c r="H4839" s="12" t="inlineStr">
        <is>
          <t>SC-1: aeroderivative simple-cycle unit (LM6000 class)</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7" t="n">
        <v>99</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I-I-0440</t>
        </is>
      </c>
      <c r="B4840" s="12" t="inlineStr">
        <is>
          <t>I</t>
        </is>
      </c>
      <c r="C4840" s="12" t="inlineStr">
        <is>
          <t>Modular / portable power</t>
        </is>
      </c>
      <c r="D4840" s="12" t="inlineStr">
        <is>
          <t>Home run JB-SC-1-TC02 to the control / marshalling room</t>
        </is>
      </c>
      <c r="E4840" s="12" t="inlineStr"/>
      <c r="F4840" s="12" t="inlineStr">
        <is>
          <t>SC-1 PCM + 15 kV GCB</t>
        </is>
      </c>
      <c r="G4840" s="12" t="inlineStr">
        <is>
          <t>JB-SC-1-TC02</t>
        </is>
      </c>
      <c r="H4840" s="12" t="inlineStr">
        <is>
          <t>SC-1: aeroderivative simple-cycle unit (LM6000 class)</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Tray</t>
        </is>
      </c>
      <c r="T4840" s="17" t="n">
        <v>0</v>
      </c>
      <c r="U4840" s="17" t="n">
        <v>64</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I-I-0441</t>
        </is>
      </c>
      <c r="B4841" s="12" t="inlineStr">
        <is>
          <t>I</t>
        </is>
      </c>
      <c r="C4841" s="12" t="inlineStr">
        <is>
          <t>Modular / portable power</t>
        </is>
      </c>
      <c r="D4841" s="12" t="inlineStr">
        <is>
          <t>Analog instrument to JB JB-SC-2 CEMS shelter-AI01: 12 x 1 pr (field cables)</t>
        </is>
      </c>
      <c r="E4841" s="12" t="inlineStr"/>
      <c r="F4841" s="12" t="inlineStr">
        <is>
          <t>SC-2 CEMS shelter</t>
        </is>
      </c>
      <c r="G4841" s="12" t="inlineStr">
        <is>
          <t>JB-SC-2 CEMS shelter-AI01</t>
        </is>
      </c>
      <c r="H4841" s="12" t="inlineStr">
        <is>
          <t>SC-2 CEMS shelter</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12</v>
      </c>
      <c r="O4841" s="12" t="n">
        <v>1</v>
      </c>
      <c r="P4841" s="12" t="n"/>
      <c r="Q4841" s="12" t="n"/>
      <c r="R4841" s="12" t="n"/>
      <c r="S4841" s="12" t="inlineStr">
        <is>
          <t>Tray / conduit</t>
        </is>
      </c>
      <c r="T4841" s="17" t="n">
        <v>57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I-I-0442</t>
        </is>
      </c>
      <c r="B4842" s="12" t="inlineStr">
        <is>
          <t>I</t>
        </is>
      </c>
      <c r="C4842" s="12" t="inlineStr">
        <is>
          <t>Modular / portable power</t>
        </is>
      </c>
      <c r="D4842" s="12" t="inlineStr">
        <is>
          <t>Home run JB-SC-2 CEMS shelter-AI01 to the control / marshalling room</t>
        </is>
      </c>
      <c r="E4842" s="12" t="inlineStr"/>
      <c r="F4842" s="12" t="inlineStr">
        <is>
          <t>SC-2 PCM + 15 kV GCB</t>
        </is>
      </c>
      <c r="G4842" s="12" t="inlineStr">
        <is>
          <t>JB-SC-2 CEMS shelter-AI01</t>
        </is>
      </c>
      <c r="H4842" s="12" t="inlineStr">
        <is>
          <t>SC-2 CEMS shelter</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25</v>
      </c>
      <c r="U4842" s="17" t="n">
        <v>197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I-I-0443</t>
        </is>
      </c>
      <c r="B4843" s="12" t="inlineStr">
        <is>
          <t>I</t>
        </is>
      </c>
      <c r="C4843" s="12" t="inlineStr">
        <is>
          <t>Modular / portable power</t>
        </is>
      </c>
      <c r="D4843" s="12" t="inlineStr">
        <is>
          <t>Discrete device to JB JB-SC-2 CEMS shelter-DI01: 10 x 1 pr (field cables)</t>
        </is>
      </c>
      <c r="E4843" s="12" t="inlineStr"/>
      <c r="F4843" s="12" t="inlineStr">
        <is>
          <t>SC-2 CEMS shelter</t>
        </is>
      </c>
      <c r="G4843" s="12" t="inlineStr">
        <is>
          <t>JB-SC-2 CEMS shelter-DI01</t>
        </is>
      </c>
      <c r="H4843" s="12" t="inlineStr">
        <is>
          <t>SC-2 CEMS shelter</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10</v>
      </c>
      <c r="O4843" s="12" t="n">
        <v>1</v>
      </c>
      <c r="P4843" s="12" t="n"/>
      <c r="Q4843" s="12" t="n"/>
      <c r="R4843" s="12" t="n"/>
      <c r="S4843" s="12" t="inlineStr">
        <is>
          <t>Tray / conduit</t>
        </is>
      </c>
      <c r="T4843" s="17" t="n">
        <v>57</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I-I-0444</t>
        </is>
      </c>
      <c r="B4844" s="12" t="inlineStr">
        <is>
          <t>I</t>
        </is>
      </c>
      <c r="C4844" s="12" t="inlineStr">
        <is>
          <t>Modular / portable power</t>
        </is>
      </c>
      <c r="D4844" s="12" t="inlineStr">
        <is>
          <t>Home run JB-SC-2 CEMS shelter-DI01 to the control / marshalling room</t>
        </is>
      </c>
      <c r="E4844" s="12" t="inlineStr"/>
      <c r="F4844" s="12" t="inlineStr">
        <is>
          <t>SC-2 PCM + 15 kV GCB</t>
        </is>
      </c>
      <c r="G4844" s="12" t="inlineStr">
        <is>
          <t>JB-SC-2 CEMS shelter-DI01</t>
        </is>
      </c>
      <c r="H4844" s="12" t="inlineStr">
        <is>
          <t>SC-2 CEMS shelter</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25</v>
      </c>
      <c r="U4844" s="17" t="n">
        <v>197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I-I-0445</t>
        </is>
      </c>
      <c r="B4845" s="12" t="inlineStr">
        <is>
          <t>I</t>
        </is>
      </c>
      <c r="C4845" s="12" t="inlineStr">
        <is>
          <t>Modular / portable power</t>
        </is>
      </c>
      <c r="D4845" s="12" t="inlineStr">
        <is>
          <t>Analog instrument to JB JB-SC-2 SCR / CO cata-AI01: 16 x 1 pr (field cables)</t>
        </is>
      </c>
      <c r="E4845" s="12" t="inlineStr"/>
      <c r="F4845" s="12" t="inlineStr">
        <is>
          <t>SC-2 SCR / CO catalyst</t>
        </is>
      </c>
      <c r="G4845" s="12" t="inlineStr">
        <is>
          <t>JB-SC-2 SCR / CO cata-AI01</t>
        </is>
      </c>
      <c r="H4845" s="12" t="inlineStr">
        <is>
          <t>SC-2 SCR / CO catalyst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16</v>
      </c>
      <c r="O4845" s="12" t="n">
        <v>1</v>
      </c>
      <c r="P4845" s="12" t="n"/>
      <c r="Q4845" s="12" t="n"/>
      <c r="R4845" s="12" t="n"/>
      <c r="S4845" s="12" t="inlineStr">
        <is>
          <t>Tray / conduit</t>
        </is>
      </c>
      <c r="T4845" s="17" t="n">
        <v>74</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I-I-0446</t>
        </is>
      </c>
      <c r="B4846" s="12" t="inlineStr">
        <is>
          <t>I</t>
        </is>
      </c>
      <c r="C4846" s="12" t="inlineStr">
        <is>
          <t>Modular / portable power</t>
        </is>
      </c>
      <c r="D4846" s="12" t="inlineStr">
        <is>
          <t>Home run JB-SC-2 SCR / CO cata-AI01 to the control / marshalling room</t>
        </is>
      </c>
      <c r="E4846" s="12" t="inlineStr"/>
      <c r="F4846" s="12" t="inlineStr">
        <is>
          <t>SC-2 PCM + 15 kV GCB</t>
        </is>
      </c>
      <c r="G4846" s="12" t="inlineStr">
        <is>
          <t>JB-SC-2 SCR / CO cata-AI01</t>
        </is>
      </c>
      <c r="H4846" s="12" t="inlineStr">
        <is>
          <t>SC-2 SCR / CO catalyst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25</v>
      </c>
      <c r="U4846" s="17" t="n">
        <v>122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I-I-0447</t>
        </is>
      </c>
      <c r="B4847" s="12" t="inlineStr">
        <is>
          <t>I</t>
        </is>
      </c>
      <c r="C4847" s="12" t="inlineStr">
        <is>
          <t>Modular / portable power</t>
        </is>
      </c>
      <c r="D4847" s="12" t="inlineStr">
        <is>
          <t>Discrete device to JB JB-SC-2 SCR / CO cata-DI01: 8 x 1 pr (field cables)</t>
        </is>
      </c>
      <c r="E4847" s="12" t="inlineStr"/>
      <c r="F4847" s="12" t="inlineStr">
        <is>
          <t>SC-2 SCR / CO catalyst</t>
        </is>
      </c>
      <c r="G4847" s="12" t="inlineStr">
        <is>
          <t>JB-SC-2 SCR / CO cata-DI01</t>
        </is>
      </c>
      <c r="H4847" s="12" t="inlineStr">
        <is>
          <t>SC-2 SCR / CO catalyst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74</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I-I-0448</t>
        </is>
      </c>
      <c r="B4848" s="12" t="inlineStr">
        <is>
          <t>I</t>
        </is>
      </c>
      <c r="C4848" s="12" t="inlineStr">
        <is>
          <t>Modular / portable power</t>
        </is>
      </c>
      <c r="D4848" s="12" t="inlineStr">
        <is>
          <t>Home run JB-SC-2 SCR / CO cata-DI01 to the control / marshalling room</t>
        </is>
      </c>
      <c r="E4848" s="12" t="inlineStr"/>
      <c r="F4848" s="12" t="inlineStr">
        <is>
          <t>SC-2 PCM + 15 kV GCB</t>
        </is>
      </c>
      <c r="G4848" s="12" t="inlineStr">
        <is>
          <t>JB-SC-2 SCR / CO cata-DI01</t>
        </is>
      </c>
      <c r="H4848" s="12" t="inlineStr">
        <is>
          <t>SC-2 SCR / CO catalyst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7" t="n">
        <v>25</v>
      </c>
      <c r="U4848" s="17" t="n">
        <v>122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I-I-0449</t>
        </is>
      </c>
      <c r="B4849" s="12" t="inlineStr">
        <is>
          <t>I</t>
        </is>
      </c>
      <c r="C4849" s="12" t="inlineStr">
        <is>
          <t>Modular / portable power</t>
        </is>
      </c>
      <c r="D4849" s="12" t="inlineStr">
        <is>
          <t>Analog instrument to JB JB-SC-2 ammonia flow--AI01: 8 x 1 pr (field cables)</t>
        </is>
      </c>
      <c r="E4849" s="12" t="inlineStr"/>
      <c r="F4849" s="12" t="inlineStr">
        <is>
          <t>SC-2 ammonia flow-control unit</t>
        </is>
      </c>
      <c r="G4849" s="12" t="inlineStr">
        <is>
          <t>JB-SC-2 ammonia flow--AI01</t>
        </is>
      </c>
      <c r="H4849" s="12" t="inlineStr">
        <is>
          <t>SC-2 ammonia flow-control unit</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40</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I-I-0450</t>
        </is>
      </c>
      <c r="B4850" s="12" t="inlineStr">
        <is>
          <t>I</t>
        </is>
      </c>
      <c r="C4850" s="12" t="inlineStr">
        <is>
          <t>Modular / portable power</t>
        </is>
      </c>
      <c r="D4850" s="12" t="inlineStr">
        <is>
          <t>Home run JB-SC-2 ammonia flow--AI01 to the control / marshalling room</t>
        </is>
      </c>
      <c r="E4850" s="12" t="inlineStr"/>
      <c r="F4850" s="12" t="inlineStr">
        <is>
          <t>SC-2 PCM + 15 kV GCB</t>
        </is>
      </c>
      <c r="G4850" s="12" t="inlineStr">
        <is>
          <t>JB-SC-2 ammonia flow--AI01</t>
        </is>
      </c>
      <c r="H4850" s="12" t="inlineStr">
        <is>
          <t>SC-2 ammonia flow-control unit</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Tray</t>
        </is>
      </c>
      <c r="T4850" s="17" t="n">
        <v>0</v>
      </c>
      <c r="U4850" s="17" t="n">
        <v>152</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I-I-0451</t>
        </is>
      </c>
      <c r="B4851" s="12" t="inlineStr">
        <is>
          <t>I</t>
        </is>
      </c>
      <c r="C4851" s="12" t="inlineStr">
        <is>
          <t>Modular / portable power</t>
        </is>
      </c>
      <c r="D4851" s="12" t="inlineStr">
        <is>
          <t>Discrete device to JB JB-SC-2 ammonia flow--DI01: 8 x 1 pr (field cables)</t>
        </is>
      </c>
      <c r="E4851" s="12" t="inlineStr"/>
      <c r="F4851" s="12" t="inlineStr">
        <is>
          <t>SC-2 ammonia flow-control unit</t>
        </is>
      </c>
      <c r="G4851" s="12" t="inlineStr">
        <is>
          <t>JB-SC-2 ammonia flow--DI01</t>
        </is>
      </c>
      <c r="H4851" s="12" t="inlineStr">
        <is>
          <t>SC-2 ammonia flow-control unit</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40</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I-I-0452</t>
        </is>
      </c>
      <c r="B4852" s="12" t="inlineStr">
        <is>
          <t>I</t>
        </is>
      </c>
      <c r="C4852" s="12" t="inlineStr">
        <is>
          <t>Modular / portable power</t>
        </is>
      </c>
      <c r="D4852" s="12" t="inlineStr">
        <is>
          <t>Home run JB-SC-2 ammonia flow--DI01 to the control / marshalling room</t>
        </is>
      </c>
      <c r="E4852" s="12" t="inlineStr"/>
      <c r="F4852" s="12" t="inlineStr">
        <is>
          <t>SC-2 PCM + 15 kV GCB</t>
        </is>
      </c>
      <c r="G4852" s="12" t="inlineStr">
        <is>
          <t>JB-SC-2 ammonia flow--DI01</t>
        </is>
      </c>
      <c r="H4852" s="12" t="inlineStr">
        <is>
          <t>SC-2 ammonia flow-control unit</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Tray</t>
        </is>
      </c>
      <c r="T4852" s="17" t="n">
        <v>0</v>
      </c>
      <c r="U4852" s="17" t="n">
        <v>152</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I-I-0453</t>
        </is>
      </c>
      <c r="B4853" s="12" t="inlineStr">
        <is>
          <t>I</t>
        </is>
      </c>
      <c r="C4853" s="12" t="inlineStr">
        <is>
          <t>Modular / portable power</t>
        </is>
      </c>
      <c r="D4853" s="12" t="inlineStr">
        <is>
          <t>Analog instrument to JB JB-SC-2 auxiliary ski-AI01: 14 x 1 pr (field cables)</t>
        </is>
      </c>
      <c r="E4853" s="12" t="inlineStr"/>
      <c r="F4853" s="12" t="inlineStr">
        <is>
          <t>SC-2 auxiliary skids: fuel-gas module, water-wash skid</t>
        </is>
      </c>
      <c r="G4853" s="12" t="inlineStr">
        <is>
          <t>JB-SC-2 auxiliary ski-AI01</t>
        </is>
      </c>
      <c r="H4853" s="12" t="inlineStr">
        <is>
          <t>SC-2 auxiliary skids: fuel-gas module, water-wash skid</t>
        </is>
      </c>
      <c r="I4853" s="12" t="inlineStr">
        <is>
          <t>Instrumentation</t>
        </is>
      </c>
      <c r="J4853" s="12" t="inlineStr">
        <is>
          <t>Instrumentation ITC / PLTC, IS, #18 shielded pairs, blue jacket</t>
        </is>
      </c>
      <c r="K4853" s="12" t="inlineStr">
        <is>
          <t>ITC|1 pr|16</t>
        </is>
      </c>
      <c r="L4853" s="12" t="inlineStr">
        <is>
          <t>1 pr</t>
        </is>
      </c>
      <c r="M4853" s="12" t="inlineStr">
        <is>
          <t>16</t>
        </is>
      </c>
      <c r="N4853" s="12" t="n">
        <v>14</v>
      </c>
      <c r="O4853" s="12" t="n">
        <v>1</v>
      </c>
      <c r="P4853" s="12" t="n"/>
      <c r="Q4853" s="12" t="n"/>
      <c r="R4853" s="12" t="n"/>
      <c r="S4853" s="12" t="inlineStr">
        <is>
          <t>Tray / conduit</t>
        </is>
      </c>
      <c r="T4853" s="17" t="n">
        <v>63</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I-I-0454</t>
        </is>
      </c>
      <c r="B4854" s="12" t="inlineStr">
        <is>
          <t>I</t>
        </is>
      </c>
      <c r="C4854" s="12" t="inlineStr">
        <is>
          <t>Modular / portable power</t>
        </is>
      </c>
      <c r="D4854" s="12" t="inlineStr">
        <is>
          <t>Home run JB-SC-2 auxiliary ski-AI01 to the control / marshalling room</t>
        </is>
      </c>
      <c r="E4854" s="12" t="inlineStr"/>
      <c r="F4854" s="12" t="inlineStr">
        <is>
          <t>SC-2 PCM + 15 kV GCB</t>
        </is>
      </c>
      <c r="G4854" s="12" t="inlineStr">
        <is>
          <t>JB-SC-2 auxiliary ski-AI01</t>
        </is>
      </c>
      <c r="H4854" s="12" t="inlineStr">
        <is>
          <t>SC-2 auxiliary skids: fuel-gas module, water-wash skid</t>
        </is>
      </c>
      <c r="I4854" s="12" t="inlineStr">
        <is>
          <t>Instrumentation</t>
        </is>
      </c>
      <c r="J4854" s="12" t="inlineStr">
        <is>
          <t>Instrumentation ITC / PLTC, IS, #18 shielded pairs, blue jacket</t>
        </is>
      </c>
      <c r="K4854" s="12" t="inlineStr">
        <is>
          <t>ITC|24 pr|18</t>
        </is>
      </c>
      <c r="L4854" s="12" t="inlineStr">
        <is>
          <t>24 pr</t>
        </is>
      </c>
      <c r="M4854" s="12" t="inlineStr">
        <is>
          <t>18</t>
        </is>
      </c>
      <c r="N4854" s="12" t="n">
        <v>1</v>
      </c>
      <c r="O4854" s="12" t="n">
        <v>1</v>
      </c>
      <c r="P4854" s="12" t="n"/>
      <c r="Q4854" s="12" t="n"/>
      <c r="R4854" s="12" t="n"/>
      <c r="S4854" s="12" t="inlineStr">
        <is>
          <t>Tray</t>
        </is>
      </c>
      <c r="T4854" s="17" t="n">
        <v>0</v>
      </c>
      <c r="U4854" s="17" t="n">
        <v>77</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I-I-0455</t>
        </is>
      </c>
      <c r="B4855" s="12" t="inlineStr">
        <is>
          <t>I</t>
        </is>
      </c>
      <c r="C4855" s="12" t="inlineStr">
        <is>
          <t>Modular / portable power</t>
        </is>
      </c>
      <c r="D4855" s="12" t="inlineStr">
        <is>
          <t>Discrete device to JB JB-SC-2 auxiliary ski-DI01: 12 x 1 pr (field cables)</t>
        </is>
      </c>
      <c r="E4855" s="12" t="inlineStr"/>
      <c r="F4855" s="12" t="inlineStr">
        <is>
          <t>SC-2 auxiliary skids: fuel-gas module, water-wash skid</t>
        </is>
      </c>
      <c r="G4855" s="12" t="inlineStr">
        <is>
          <t>JB-SC-2 auxiliary ski-DI01</t>
        </is>
      </c>
      <c r="H4855" s="12" t="inlineStr">
        <is>
          <t>SC-2 auxiliary skids: fuel-gas module, water-wash skid</t>
        </is>
      </c>
      <c r="I4855" s="12" t="inlineStr">
        <is>
          <t>Instrumentation</t>
        </is>
      </c>
      <c r="J4855" s="12" t="inlineStr">
        <is>
          <t>Instrumentation ITC / PLTC, IS, #18 shielded pairs, blue jacket</t>
        </is>
      </c>
      <c r="K4855" s="12" t="inlineStr">
        <is>
          <t>ITC|1 pr|16</t>
        </is>
      </c>
      <c r="L4855" s="12" t="inlineStr">
        <is>
          <t>1 pr</t>
        </is>
      </c>
      <c r="M4855" s="12" t="inlineStr">
        <is>
          <t>16</t>
        </is>
      </c>
      <c r="N4855" s="12" t="n">
        <v>12</v>
      </c>
      <c r="O4855" s="12" t="n">
        <v>1</v>
      </c>
      <c r="P4855" s="12" t="n"/>
      <c r="Q4855" s="12" t="n"/>
      <c r="R4855" s="12" t="n"/>
      <c r="S4855" s="12" t="inlineStr">
        <is>
          <t>Tray / conduit</t>
        </is>
      </c>
      <c r="T4855" s="17" t="n">
        <v>63</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I-I-0456</t>
        </is>
      </c>
      <c r="B4856" s="12" t="inlineStr">
        <is>
          <t>I</t>
        </is>
      </c>
      <c r="C4856" s="12" t="inlineStr">
        <is>
          <t>Modular / portable power</t>
        </is>
      </c>
      <c r="D4856" s="12" t="inlineStr">
        <is>
          <t>Home run JB-SC-2 auxiliary ski-DI01 to the control / marshalling room</t>
        </is>
      </c>
      <c r="E4856" s="12" t="inlineStr"/>
      <c r="F4856" s="12" t="inlineStr">
        <is>
          <t>SC-2 PCM + 15 kV GCB</t>
        </is>
      </c>
      <c r="G4856" s="12" t="inlineStr">
        <is>
          <t>JB-SC-2 auxiliary ski-DI01</t>
        </is>
      </c>
      <c r="H4856" s="12" t="inlineStr">
        <is>
          <t>SC-2 auxiliary skids: fuel-gas module, water-wash skid</t>
        </is>
      </c>
      <c r="I4856" s="12" t="inlineStr">
        <is>
          <t>Instrumentation</t>
        </is>
      </c>
      <c r="J4856" s="12" t="inlineStr">
        <is>
          <t>Instrumentation ITC / PLTC, IS, #18 shielded pairs, blue jacket</t>
        </is>
      </c>
      <c r="K4856" s="12" t="inlineStr">
        <is>
          <t>ITC|24 pr|18</t>
        </is>
      </c>
      <c r="L4856" s="12" t="inlineStr">
        <is>
          <t>24 pr</t>
        </is>
      </c>
      <c r="M4856" s="12" t="inlineStr">
        <is>
          <t>18</t>
        </is>
      </c>
      <c r="N4856" s="12" t="n">
        <v>1</v>
      </c>
      <c r="O4856" s="12" t="n">
        <v>1</v>
      </c>
      <c r="P4856" s="12" t="n"/>
      <c r="Q4856" s="12" t="n"/>
      <c r="R4856" s="12" t="n"/>
      <c r="S4856" s="12" t="inlineStr">
        <is>
          <t>Tray</t>
        </is>
      </c>
      <c r="T4856" s="17" t="n">
        <v>0</v>
      </c>
      <c r="U4856" s="17" t="n">
        <v>77</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I-I-0457</t>
        </is>
      </c>
      <c r="B4857" s="12" t="inlineStr">
        <is>
          <t>I</t>
        </is>
      </c>
      <c r="C4857" s="12" t="inlineStr">
        <is>
          <t>Modular / portable power</t>
        </is>
      </c>
      <c r="D4857" s="12" t="inlineStr">
        <is>
          <t>Analog instrument to JB JB-SC-2 lube-oil fin--AI01: 4 x 1 pr (field cables)</t>
        </is>
      </c>
      <c r="E4857" s="12" t="inlineStr"/>
      <c r="F4857" s="12" t="inlineStr">
        <is>
          <t>SC-2 lube-oil fin-fan cooler</t>
        </is>
      </c>
      <c r="G4857" s="12" t="inlineStr">
        <is>
          <t>JB-SC-2 lube-oil fin--AI01</t>
        </is>
      </c>
      <c r="H4857" s="12" t="inlineStr">
        <is>
          <t>SC-2 lube-oil fin-fan cooler</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4</v>
      </c>
      <c r="O4857" s="12" t="n">
        <v>1</v>
      </c>
      <c r="P4857" s="12" t="n"/>
      <c r="Q4857" s="12" t="n"/>
      <c r="R4857" s="12" t="n"/>
      <c r="S4857" s="12" t="inlineStr">
        <is>
          <t>Tray / conduit</t>
        </is>
      </c>
      <c r="T4857" s="17" t="n">
        <v>46</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I-I-0458</t>
        </is>
      </c>
      <c r="B4858" s="12" t="inlineStr">
        <is>
          <t>I</t>
        </is>
      </c>
      <c r="C4858" s="12" t="inlineStr">
        <is>
          <t>Modular / portable power</t>
        </is>
      </c>
      <c r="D4858" s="12" t="inlineStr">
        <is>
          <t>Home run JB-SC-2 lube-oil fin--AI01 to the control / marshalling room</t>
        </is>
      </c>
      <c r="E4858" s="12" t="inlineStr"/>
      <c r="F4858" s="12" t="inlineStr">
        <is>
          <t>SC-2 PCM + 15 kV GCB</t>
        </is>
      </c>
      <c r="G4858" s="12" t="inlineStr">
        <is>
          <t>JB-SC-2 lube-oil fin--AI01</t>
        </is>
      </c>
      <c r="H4858" s="12" t="inlineStr">
        <is>
          <t>SC-2 lube-oil fin-fan cooler</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82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I-I-0459</t>
        </is>
      </c>
      <c r="B4859" s="12" t="inlineStr">
        <is>
          <t>I</t>
        </is>
      </c>
      <c r="C4859" s="12" t="inlineStr">
        <is>
          <t>Modular / portable power</t>
        </is>
      </c>
      <c r="D4859" s="12" t="inlineStr">
        <is>
          <t>Discrete device to JB JB-SC-2 lube-oil fin--DI01: 8 x 1 pr (field cables)</t>
        </is>
      </c>
      <c r="E4859" s="12" t="inlineStr"/>
      <c r="F4859" s="12" t="inlineStr">
        <is>
          <t>SC-2 lube-oil fin-fan cooler</t>
        </is>
      </c>
      <c r="G4859" s="12" t="inlineStr">
        <is>
          <t>JB-SC-2 lube-oil fin--DI01</t>
        </is>
      </c>
      <c r="H4859" s="12" t="inlineStr">
        <is>
          <t>SC-2 lube-oil fin-fan cooler</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7" t="n">
        <v>46</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I-I-0460</t>
        </is>
      </c>
      <c r="B4860" s="12" t="inlineStr">
        <is>
          <t>I</t>
        </is>
      </c>
      <c r="C4860" s="12" t="inlineStr">
        <is>
          <t>Modular / portable power</t>
        </is>
      </c>
      <c r="D4860" s="12" t="inlineStr">
        <is>
          <t>Home run JB-SC-2 lube-oil fin--DI01 to the control / marshalling room</t>
        </is>
      </c>
      <c r="E4860" s="12" t="inlineStr"/>
      <c r="F4860" s="12" t="inlineStr">
        <is>
          <t>SC-2 PCM + 15 kV GCB</t>
        </is>
      </c>
      <c r="G4860" s="12" t="inlineStr">
        <is>
          <t>JB-SC-2 lube-oil fin--DI01</t>
        </is>
      </c>
      <c r="H4860" s="12" t="inlineStr">
        <is>
          <t>SC-2 lube-oil fin-fan cooler</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82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I-I-0461</t>
        </is>
      </c>
      <c r="B4861" s="12" t="inlineStr">
        <is>
          <t>I</t>
        </is>
      </c>
      <c r="C4861" s="12" t="inlineStr">
        <is>
          <t>Modular / portable power</t>
        </is>
      </c>
      <c r="D4861" s="12" t="inlineStr">
        <is>
          <t>Analog instrument to JB JB-SC-2 tempering-air-AI01: 8 x 1 pr (field cables)</t>
        </is>
      </c>
      <c r="E4861" s="12" t="inlineStr"/>
      <c r="F4861" s="12" t="inlineStr">
        <is>
          <t>SC-2 tempering-air fans (2 x 100 %)</t>
        </is>
      </c>
      <c r="G4861" s="12" t="inlineStr">
        <is>
          <t>JB-SC-2 tempering-air-AI01</t>
        </is>
      </c>
      <c r="H4861" s="12" t="inlineStr">
        <is>
          <t>SC-2 tempering-air fans (2 x 100 %)</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7" t="n">
        <v>53</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I-I-0462</t>
        </is>
      </c>
      <c r="B4862" s="12" t="inlineStr">
        <is>
          <t>I</t>
        </is>
      </c>
      <c r="C4862" s="12" t="inlineStr">
        <is>
          <t>Modular / portable power</t>
        </is>
      </c>
      <c r="D4862" s="12" t="inlineStr">
        <is>
          <t>Home run JB-SC-2 tempering-air-AI01 to the control / marshalling room</t>
        </is>
      </c>
      <c r="E4862" s="12" t="inlineStr"/>
      <c r="F4862" s="12" t="inlineStr">
        <is>
          <t>SC-2 PCM + 15 kV GCB</t>
        </is>
      </c>
      <c r="G4862" s="12" t="inlineStr">
        <is>
          <t>JB-SC-2 tempering-air-AI01</t>
        </is>
      </c>
      <c r="H4862" s="12" t="inlineStr">
        <is>
          <t>SC-2 tempering-air fans (2 x 100 %)</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124</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I-I-0463</t>
        </is>
      </c>
      <c r="B4863" s="12" t="inlineStr">
        <is>
          <t>I</t>
        </is>
      </c>
      <c r="C4863" s="12" t="inlineStr">
        <is>
          <t>Modular / portable power</t>
        </is>
      </c>
      <c r="D4863" s="12" t="inlineStr">
        <is>
          <t>Discrete device to JB JB-SC-2 tempering-air-DI01: 8 x 1 pr (field cables)</t>
        </is>
      </c>
      <c r="E4863" s="12" t="inlineStr"/>
      <c r="F4863" s="12" t="inlineStr">
        <is>
          <t>SC-2 tempering-air fans (2 x 100 %)</t>
        </is>
      </c>
      <c r="G4863" s="12" t="inlineStr">
        <is>
          <t>JB-SC-2 tempering-air-DI01</t>
        </is>
      </c>
      <c r="H4863" s="12" t="inlineStr">
        <is>
          <t>SC-2 tempering-air fans (2 x 100 %)</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8</v>
      </c>
      <c r="O4863" s="12" t="n">
        <v>1</v>
      </c>
      <c r="P4863" s="12" t="n"/>
      <c r="Q4863" s="12" t="n"/>
      <c r="R4863" s="12" t="n"/>
      <c r="S4863" s="12" t="inlineStr">
        <is>
          <t>Tray / conduit</t>
        </is>
      </c>
      <c r="T4863" s="17" t="n">
        <v>53</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I-I-0464</t>
        </is>
      </c>
      <c r="B4864" s="12" t="inlineStr">
        <is>
          <t>I</t>
        </is>
      </c>
      <c r="C4864" s="12" t="inlineStr">
        <is>
          <t>Modular / portable power</t>
        </is>
      </c>
      <c r="D4864" s="12" t="inlineStr">
        <is>
          <t>Home run JB-SC-2 tempering-air-DI01 to the control / marshalling room</t>
        </is>
      </c>
      <c r="E4864" s="12" t="inlineStr"/>
      <c r="F4864" s="12" t="inlineStr">
        <is>
          <t>SC-2 PCM + 15 kV GCB</t>
        </is>
      </c>
      <c r="G4864" s="12" t="inlineStr">
        <is>
          <t>JB-SC-2 tempering-air-DI01</t>
        </is>
      </c>
      <c r="H4864" s="12" t="inlineStr">
        <is>
          <t>SC-2 tempering-air fans (2 x 100 %)</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124</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I-I-0465</t>
        </is>
      </c>
      <c r="B4865" s="12" t="inlineStr">
        <is>
          <t>I</t>
        </is>
      </c>
      <c r="C4865" s="12" t="inlineStr">
        <is>
          <t>Modular / portable power</t>
        </is>
      </c>
      <c r="D4865" s="12" t="inlineStr">
        <is>
          <t>Analog instrument to JB JB-SC-2-AI01: 20 x 1 pr (field cables)</t>
        </is>
      </c>
      <c r="E4865" s="12" t="inlineStr">
        <is>
          <t>SC-2</t>
        </is>
      </c>
      <c r="F4865" s="12" t="inlineStr">
        <is>
          <t>SC-2: aeroderivative simple-cycle unit (LM6000 class)</t>
        </is>
      </c>
      <c r="G4865" s="12" t="inlineStr">
        <is>
          <t>JB-SC-2-AI01</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I-I-0466</t>
        </is>
      </c>
      <c r="B4866" s="12" t="inlineStr">
        <is>
          <t>I</t>
        </is>
      </c>
      <c r="C4866" s="12" t="inlineStr">
        <is>
          <t>Modular / portable power</t>
        </is>
      </c>
      <c r="D4866" s="12" t="inlineStr">
        <is>
          <t>Home run JB-SC-2-AI01 to the control / marshalling room</t>
        </is>
      </c>
      <c r="E4866" s="12" t="inlineStr"/>
      <c r="F4866" s="12" t="inlineStr">
        <is>
          <t>SC-2 PCM + 15 kV GCB</t>
        </is>
      </c>
      <c r="G4866" s="12" t="inlineStr">
        <is>
          <t>JB-SC-2-AI01</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I-I-0467</t>
        </is>
      </c>
      <c r="B4867" s="12" t="inlineStr">
        <is>
          <t>I</t>
        </is>
      </c>
      <c r="C4867" s="12" t="inlineStr">
        <is>
          <t>Modular / portable power</t>
        </is>
      </c>
      <c r="D4867" s="12" t="inlineStr">
        <is>
          <t>Analog instrument to JB JB-SC-2-AI02: 20 x 1 pr (field cables)</t>
        </is>
      </c>
      <c r="E4867" s="12" t="inlineStr">
        <is>
          <t>SC-2</t>
        </is>
      </c>
      <c r="F4867" s="12" t="inlineStr">
        <is>
          <t>SC-2: aeroderivative simple-cycle unit (LM6000 class)</t>
        </is>
      </c>
      <c r="G4867" s="12" t="inlineStr">
        <is>
          <t>JB-SC-2-AI02</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I-I-0468</t>
        </is>
      </c>
      <c r="B4868" s="12" t="inlineStr">
        <is>
          <t>I</t>
        </is>
      </c>
      <c r="C4868" s="12" t="inlineStr">
        <is>
          <t>Modular / portable power</t>
        </is>
      </c>
      <c r="D4868" s="12" t="inlineStr">
        <is>
          <t>Home run JB-SC-2-AI02 to the control / marshalling room</t>
        </is>
      </c>
      <c r="E4868" s="12" t="inlineStr"/>
      <c r="F4868" s="12" t="inlineStr">
        <is>
          <t>SC-2 PCM + 15 kV GCB</t>
        </is>
      </c>
      <c r="G4868" s="12" t="inlineStr">
        <is>
          <t>JB-SC-2-AI02</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I-I-0469</t>
        </is>
      </c>
      <c r="B4869" s="12" t="inlineStr">
        <is>
          <t>I</t>
        </is>
      </c>
      <c r="C4869" s="12" t="inlineStr">
        <is>
          <t>Modular / portable power</t>
        </is>
      </c>
      <c r="D4869" s="12" t="inlineStr">
        <is>
          <t>Analog instrument to JB JB-SC-2-AI03: 20 x 1 pr (field cables)</t>
        </is>
      </c>
      <c r="E4869" s="12" t="inlineStr">
        <is>
          <t>SC-2</t>
        </is>
      </c>
      <c r="F4869" s="12" t="inlineStr">
        <is>
          <t>SC-2: aeroderivative simple-cycle unit (LM6000 class)</t>
        </is>
      </c>
      <c r="G4869" s="12" t="inlineStr">
        <is>
          <t>JB-SC-2-AI03</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I-I-0470</t>
        </is>
      </c>
      <c r="B4870" s="12" t="inlineStr">
        <is>
          <t>I</t>
        </is>
      </c>
      <c r="C4870" s="12" t="inlineStr">
        <is>
          <t>Modular / portable power</t>
        </is>
      </c>
      <c r="D4870" s="12" t="inlineStr">
        <is>
          <t>Home run JB-SC-2-AI03 to the control / marshalling room</t>
        </is>
      </c>
      <c r="E4870" s="12" t="inlineStr"/>
      <c r="F4870" s="12" t="inlineStr">
        <is>
          <t>SC-2 PCM + 15 kV GCB</t>
        </is>
      </c>
      <c r="G4870" s="12" t="inlineStr">
        <is>
          <t>JB-SC-2-AI03</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I-I-0471</t>
        </is>
      </c>
      <c r="B4871" s="12" t="inlineStr">
        <is>
          <t>I</t>
        </is>
      </c>
      <c r="C4871" s="12" t="inlineStr">
        <is>
          <t>Modular / portable power</t>
        </is>
      </c>
      <c r="D4871" s="12" t="inlineStr">
        <is>
          <t>Analog instrument to JB JB-SC-2-AI04: 20 x 1 pr (field cables)</t>
        </is>
      </c>
      <c r="E4871" s="12" t="inlineStr">
        <is>
          <t>SC-2</t>
        </is>
      </c>
      <c r="F4871" s="12" t="inlineStr">
        <is>
          <t>SC-2: aeroderivative simple-cycle unit (LM6000 class)</t>
        </is>
      </c>
      <c r="G4871" s="12" t="inlineStr">
        <is>
          <t>JB-SC-2-AI04</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I-I-0472</t>
        </is>
      </c>
      <c r="B4872" s="12" t="inlineStr">
        <is>
          <t>I</t>
        </is>
      </c>
      <c r="C4872" s="12" t="inlineStr">
        <is>
          <t>Modular / portable power</t>
        </is>
      </c>
      <c r="D4872" s="12" t="inlineStr">
        <is>
          <t>Home run JB-SC-2-AI04 to the control / marshalling room</t>
        </is>
      </c>
      <c r="E4872" s="12" t="inlineStr"/>
      <c r="F4872" s="12" t="inlineStr">
        <is>
          <t>SC-2 PCM + 15 kV GCB</t>
        </is>
      </c>
      <c r="G4872" s="12" t="inlineStr">
        <is>
          <t>JB-SC-2-AI04</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I-I-0473</t>
        </is>
      </c>
      <c r="B4873" s="12" t="inlineStr">
        <is>
          <t>I</t>
        </is>
      </c>
      <c r="C4873" s="12" t="inlineStr">
        <is>
          <t>Modular / portable power</t>
        </is>
      </c>
      <c r="D4873" s="12" t="inlineStr">
        <is>
          <t>Analog instrument to JB JB-SC-2-AI05: 20 x 1 pr (field cables)</t>
        </is>
      </c>
      <c r="E4873" s="12" t="inlineStr">
        <is>
          <t>SC-2</t>
        </is>
      </c>
      <c r="F4873" s="12" t="inlineStr">
        <is>
          <t>SC-2: aeroderivative simple-cycle unit (LM6000 class)</t>
        </is>
      </c>
      <c r="G4873" s="12" t="inlineStr">
        <is>
          <t>JB-SC-2-AI05</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I-I-0474</t>
        </is>
      </c>
      <c r="B4874" s="12" t="inlineStr">
        <is>
          <t>I</t>
        </is>
      </c>
      <c r="C4874" s="12" t="inlineStr">
        <is>
          <t>Modular / portable power</t>
        </is>
      </c>
      <c r="D4874" s="12" t="inlineStr">
        <is>
          <t>Home run JB-SC-2-AI05 to the control / marshalling room</t>
        </is>
      </c>
      <c r="E4874" s="12" t="inlineStr"/>
      <c r="F4874" s="12" t="inlineStr">
        <is>
          <t>SC-2 PCM + 15 kV GCB</t>
        </is>
      </c>
      <c r="G4874" s="12" t="inlineStr">
        <is>
          <t>JB-SC-2-AI05</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I-I-0475</t>
        </is>
      </c>
      <c r="B4875" s="12" t="inlineStr">
        <is>
          <t>I</t>
        </is>
      </c>
      <c r="C4875" s="12" t="inlineStr">
        <is>
          <t>Modular / portable power</t>
        </is>
      </c>
      <c r="D4875" s="12" t="inlineStr">
        <is>
          <t>Analog instrument to JB JB-SC-2-AI06: 20 x 1 pr (field cables)</t>
        </is>
      </c>
      <c r="E4875" s="12" t="inlineStr">
        <is>
          <t>SC-2</t>
        </is>
      </c>
      <c r="F4875" s="12" t="inlineStr">
        <is>
          <t>SC-2: aeroderivative simple-cycle unit (LM6000 class)</t>
        </is>
      </c>
      <c r="G4875" s="12" t="inlineStr">
        <is>
          <t>JB-SC-2-AI06</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I-I-0476</t>
        </is>
      </c>
      <c r="B4876" s="12" t="inlineStr">
        <is>
          <t>I</t>
        </is>
      </c>
      <c r="C4876" s="12" t="inlineStr">
        <is>
          <t>Modular / portable power</t>
        </is>
      </c>
      <c r="D4876" s="12" t="inlineStr">
        <is>
          <t>Home run JB-SC-2-AI06 to the control / marshalling room</t>
        </is>
      </c>
      <c r="E4876" s="12" t="inlineStr"/>
      <c r="F4876" s="12" t="inlineStr">
        <is>
          <t>SC-2 PCM + 15 kV GCB</t>
        </is>
      </c>
      <c r="G4876" s="12" t="inlineStr">
        <is>
          <t>JB-SC-2-AI06</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I-I-0477</t>
        </is>
      </c>
      <c r="B4877" s="12" t="inlineStr">
        <is>
          <t>I</t>
        </is>
      </c>
      <c r="C4877" s="12" t="inlineStr">
        <is>
          <t>Modular / portable power</t>
        </is>
      </c>
      <c r="D4877" s="12" t="inlineStr">
        <is>
          <t>Analog instrument to JB JB-SC-2-AI07: 20 x 1 pr (field cables)</t>
        </is>
      </c>
      <c r="E4877" s="12" t="inlineStr">
        <is>
          <t>SC-2</t>
        </is>
      </c>
      <c r="F4877" s="12" t="inlineStr">
        <is>
          <t>SC-2: aeroderivative simple-cycle unit (LM6000 class)</t>
        </is>
      </c>
      <c r="G4877" s="12" t="inlineStr">
        <is>
          <t>JB-SC-2-AI07</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I-I-0478</t>
        </is>
      </c>
      <c r="B4878" s="12" t="inlineStr">
        <is>
          <t>I</t>
        </is>
      </c>
      <c r="C4878" s="12" t="inlineStr">
        <is>
          <t>Modular / portable power</t>
        </is>
      </c>
      <c r="D4878" s="12" t="inlineStr">
        <is>
          <t>Home run JB-SC-2-AI07 to the control / marshalling room</t>
        </is>
      </c>
      <c r="E4878" s="12" t="inlineStr"/>
      <c r="F4878" s="12" t="inlineStr">
        <is>
          <t>SC-2 PCM + 15 kV GCB</t>
        </is>
      </c>
      <c r="G4878" s="12" t="inlineStr">
        <is>
          <t>JB-SC-2-AI07</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I-I-0479</t>
        </is>
      </c>
      <c r="B4879" s="12" t="inlineStr">
        <is>
          <t>I</t>
        </is>
      </c>
      <c r="C4879" s="12" t="inlineStr">
        <is>
          <t>Modular / portable power</t>
        </is>
      </c>
      <c r="D4879" s="12" t="inlineStr">
        <is>
          <t>Analog instrument to JB JB-SC-2-AI08: 10 x 1 pr (field cables)</t>
        </is>
      </c>
      <c r="E4879" s="12" t="inlineStr">
        <is>
          <t>SC-2</t>
        </is>
      </c>
      <c r="F4879" s="12" t="inlineStr">
        <is>
          <t>SC-2: aeroderivative simple-cycle unit (LM6000 class)</t>
        </is>
      </c>
      <c r="G4879" s="12" t="inlineStr">
        <is>
          <t>JB-SC-2-AI08</t>
        </is>
      </c>
      <c r="H4879" s="12" t="inlineStr">
        <is>
          <t>SC-2: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I-I-0480</t>
        </is>
      </c>
      <c r="B4880" s="12" t="inlineStr">
        <is>
          <t>I</t>
        </is>
      </c>
      <c r="C4880" s="12" t="inlineStr">
        <is>
          <t>Modular / portable power</t>
        </is>
      </c>
      <c r="D4880" s="12" t="inlineStr">
        <is>
          <t>Home run JB-SC-2-AI08 to the control / marshalling room</t>
        </is>
      </c>
      <c r="E4880" s="12" t="inlineStr"/>
      <c r="F4880" s="12" t="inlineStr">
        <is>
          <t>SC-2 PCM + 15 kV GCB</t>
        </is>
      </c>
      <c r="G4880" s="12" t="inlineStr">
        <is>
          <t>JB-SC-2-AI08</t>
        </is>
      </c>
      <c r="H4880" s="12" t="inlineStr">
        <is>
          <t>SC-2: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I-I-0481</t>
        </is>
      </c>
      <c r="B4881" s="12" t="inlineStr">
        <is>
          <t>I</t>
        </is>
      </c>
      <c r="C4881" s="12" t="inlineStr">
        <is>
          <t>Modular / portable power</t>
        </is>
      </c>
      <c r="D4881" s="12" t="inlineStr">
        <is>
          <t>Discrete device to JB JB-SC-2-DI01: 20 x 1 pr (field cables)</t>
        </is>
      </c>
      <c r="E4881" s="12" t="inlineStr">
        <is>
          <t>SC-2</t>
        </is>
      </c>
      <c r="F4881" s="12" t="inlineStr">
        <is>
          <t>SC-2: aeroderivative simple-cycle unit (LM6000 class)</t>
        </is>
      </c>
      <c r="G4881" s="12" t="inlineStr">
        <is>
          <t>JB-SC-2-DI01</t>
        </is>
      </c>
      <c r="H4881" s="12" t="inlineStr">
        <is>
          <t>SC-2: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I-I-0482</t>
        </is>
      </c>
      <c r="B4882" s="12" t="inlineStr">
        <is>
          <t>I</t>
        </is>
      </c>
      <c r="C4882" s="12" t="inlineStr">
        <is>
          <t>Modular / portable power</t>
        </is>
      </c>
      <c r="D4882" s="12" t="inlineStr">
        <is>
          <t>Home run JB-SC-2-DI01 to the control / marshalling room</t>
        </is>
      </c>
      <c r="E4882" s="12" t="inlineStr"/>
      <c r="F4882" s="12" t="inlineStr">
        <is>
          <t>SC-2 PCM + 15 kV GCB</t>
        </is>
      </c>
      <c r="G4882" s="12" t="inlineStr">
        <is>
          <t>JB-SC-2-DI01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I-I-0483</t>
        </is>
      </c>
      <c r="B4883" s="12" t="inlineStr">
        <is>
          <t>I</t>
        </is>
      </c>
      <c r="C4883" s="12" t="inlineStr">
        <is>
          <t>Modular / portable power</t>
        </is>
      </c>
      <c r="D4883" s="12" t="inlineStr">
        <is>
          <t>Discrete device to JB JB-SC-2-DI02: 20 x 1 pr (field cables)</t>
        </is>
      </c>
      <c r="E4883" s="12" t="inlineStr">
        <is>
          <t>SC-2</t>
        </is>
      </c>
      <c r="F4883" s="12" t="inlineStr">
        <is>
          <t>SC-2: aeroderivative simple-cycle unit (LM6000 class)</t>
        </is>
      </c>
      <c r="G4883" s="12" t="inlineStr">
        <is>
          <t>JB-SC-2-DI02</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99</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I-I-0484</t>
        </is>
      </c>
      <c r="B4884" s="12" t="inlineStr">
        <is>
          <t>I</t>
        </is>
      </c>
      <c r="C4884" s="12" t="inlineStr">
        <is>
          <t>Modular / portable power</t>
        </is>
      </c>
      <c r="D4884" s="12" t="inlineStr">
        <is>
          <t>Home run JB-SC-2-DI02 to the control / marshalling room</t>
        </is>
      </c>
      <c r="E4884" s="12" t="inlineStr"/>
      <c r="F4884" s="12" t="inlineStr">
        <is>
          <t>SC-2 PCM + 15 kV GCB</t>
        </is>
      </c>
      <c r="G4884" s="12" t="inlineStr">
        <is>
          <t>JB-SC-2-DI02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7" t="n">
        <v>25</v>
      </c>
      <c r="U4884" s="17" t="n">
        <v>32</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I-I-0485</t>
        </is>
      </c>
      <c r="B4885" s="12" t="inlineStr">
        <is>
          <t>I</t>
        </is>
      </c>
      <c r="C4885" s="12" t="inlineStr">
        <is>
          <t>Modular / portable power</t>
        </is>
      </c>
      <c r="D4885" s="12" t="inlineStr">
        <is>
          <t>Discrete device to JB JB-SC-2-DI03: 20 x 1 pr (field cables)</t>
        </is>
      </c>
      <c r="E4885" s="12" t="inlineStr">
        <is>
          <t>SC-2</t>
        </is>
      </c>
      <c r="F4885" s="12" t="inlineStr">
        <is>
          <t>SC-2: aeroderivative simple-cycle unit (LM6000 class)</t>
        </is>
      </c>
      <c r="G4885" s="12" t="inlineStr">
        <is>
          <t>JB-SC-2-DI03</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99</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I-I-0486</t>
        </is>
      </c>
      <c r="B4886" s="12" t="inlineStr">
        <is>
          <t>I</t>
        </is>
      </c>
      <c r="C4886" s="12" t="inlineStr">
        <is>
          <t>Modular / portable power</t>
        </is>
      </c>
      <c r="D4886" s="12" t="inlineStr">
        <is>
          <t>Home run JB-SC-2-DI03 to the control / marshalling room</t>
        </is>
      </c>
      <c r="E4886" s="12" t="inlineStr"/>
      <c r="F4886" s="12" t="inlineStr">
        <is>
          <t>SC-2 PCM + 15 kV GCB</t>
        </is>
      </c>
      <c r="G4886" s="12" t="inlineStr">
        <is>
          <t>JB-SC-2-DI03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7" t="n">
        <v>25</v>
      </c>
      <c r="U4886" s="17" t="n">
        <v>32</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I-I-0487</t>
        </is>
      </c>
      <c r="B4887" s="12" t="inlineStr">
        <is>
          <t>I</t>
        </is>
      </c>
      <c r="C4887" s="12" t="inlineStr">
        <is>
          <t>Modular / portable power</t>
        </is>
      </c>
      <c r="D4887" s="12" t="inlineStr">
        <is>
          <t>Discrete device to JB JB-SC-2-DI04: 20 x 1 pr (field cables)</t>
        </is>
      </c>
      <c r="E4887" s="12" t="inlineStr">
        <is>
          <t>SC-2</t>
        </is>
      </c>
      <c r="F4887" s="12" t="inlineStr">
        <is>
          <t>SC-2: aeroderivative simple-cycle unit (LM6000 class)</t>
        </is>
      </c>
      <c r="G4887" s="12" t="inlineStr">
        <is>
          <t>JB-SC-2-DI04</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99</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I-I-0488</t>
        </is>
      </c>
      <c r="B4888" s="12" t="inlineStr">
        <is>
          <t>I</t>
        </is>
      </c>
      <c r="C4888" s="12" t="inlineStr">
        <is>
          <t>Modular / portable power</t>
        </is>
      </c>
      <c r="D4888" s="12" t="inlineStr">
        <is>
          <t>Home run JB-SC-2-DI04 to the control / marshalling room</t>
        </is>
      </c>
      <c r="E4888" s="12" t="inlineStr"/>
      <c r="F4888" s="12" t="inlineStr">
        <is>
          <t>SC-2 PCM + 15 kV GCB</t>
        </is>
      </c>
      <c r="G4888" s="12" t="inlineStr">
        <is>
          <t>JB-SC-2-DI04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25</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I-I-0489</t>
        </is>
      </c>
      <c r="B4889" s="12" t="inlineStr">
        <is>
          <t>I</t>
        </is>
      </c>
      <c r="C4889" s="12" t="inlineStr">
        <is>
          <t>Modular / portable power</t>
        </is>
      </c>
      <c r="D4889" s="12" t="inlineStr">
        <is>
          <t>Discrete device to JB JB-SC-2-DI05: 20 x 1 pr (field cables)</t>
        </is>
      </c>
      <c r="E4889" s="12" t="inlineStr">
        <is>
          <t>SC-2</t>
        </is>
      </c>
      <c r="F4889" s="12" t="inlineStr">
        <is>
          <t>SC-2: aeroderivative simple-cycle unit (LM6000 class)</t>
        </is>
      </c>
      <c r="G4889" s="12" t="inlineStr">
        <is>
          <t>JB-SC-2-DI05</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99</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I-I-0490</t>
        </is>
      </c>
      <c r="B4890" s="12" t="inlineStr">
        <is>
          <t>I</t>
        </is>
      </c>
      <c r="C4890" s="12" t="inlineStr">
        <is>
          <t>Modular / portable power</t>
        </is>
      </c>
      <c r="D4890" s="12" t="inlineStr">
        <is>
          <t>Home run JB-SC-2-DI05 to the control / marshalling room</t>
        </is>
      </c>
      <c r="E4890" s="12" t="inlineStr"/>
      <c r="F4890" s="12" t="inlineStr">
        <is>
          <t>SC-2 PCM + 15 kV GCB</t>
        </is>
      </c>
      <c r="G4890" s="12" t="inlineStr">
        <is>
          <t>JB-SC-2-DI05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25</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I-I-0491</t>
        </is>
      </c>
      <c r="B4891" s="12" t="inlineStr">
        <is>
          <t>I</t>
        </is>
      </c>
      <c r="C4891" s="12" t="inlineStr">
        <is>
          <t>Modular / portable power</t>
        </is>
      </c>
      <c r="D4891" s="12" t="inlineStr">
        <is>
          <t>Thermocouple to TC JB JB-SC-2-TC01: 20 x 1 pr (field cables)</t>
        </is>
      </c>
      <c r="E4891" s="12" t="inlineStr">
        <is>
          <t>SC-2</t>
        </is>
      </c>
      <c r="F4891" s="12" t="inlineStr">
        <is>
          <t>SC-2: aeroderivative simple-cycle unit (LM6000 class)</t>
        </is>
      </c>
      <c r="G4891" s="12" t="inlineStr">
        <is>
          <t>JB-SC-2-TC01</t>
        </is>
      </c>
      <c r="H4891" s="12" t="inlineStr">
        <is>
          <t>SC-2: aeroderivative simple-cycle unit (LM6000 class)</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99</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I-I-0492</t>
        </is>
      </c>
      <c r="B4892" s="12" t="inlineStr">
        <is>
          <t>I</t>
        </is>
      </c>
      <c r="C4892" s="12" t="inlineStr">
        <is>
          <t>Modular / portable power</t>
        </is>
      </c>
      <c r="D4892" s="12" t="inlineStr">
        <is>
          <t>Home run JB-SC-2-TC01 to the control / marshalling room</t>
        </is>
      </c>
      <c r="E4892" s="12" t="inlineStr"/>
      <c r="F4892" s="12" t="inlineStr">
        <is>
          <t>SC-2 PCM + 15 kV GCB</t>
        </is>
      </c>
      <c r="G4892" s="12" t="inlineStr">
        <is>
          <t>JB-SC-2-TC01</t>
        </is>
      </c>
      <c r="H4892" s="12" t="inlineStr">
        <is>
          <t>SC-2: aeroderivative simple-cycle unit (LM6000 class)</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7" t="n">
        <v>25</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I-I-0493</t>
        </is>
      </c>
      <c r="B4893" s="12" t="inlineStr">
        <is>
          <t>I</t>
        </is>
      </c>
      <c r="C4893" s="12" t="inlineStr">
        <is>
          <t>Modular / portable power</t>
        </is>
      </c>
      <c r="D4893" s="12" t="inlineStr">
        <is>
          <t>Thermocouple to TC JB JB-SC-2-TC02: 20 x 1 pr (field cables)</t>
        </is>
      </c>
      <c r="E4893" s="12" t="inlineStr">
        <is>
          <t>SC-2</t>
        </is>
      </c>
      <c r="F4893" s="12" t="inlineStr">
        <is>
          <t>SC-2: aeroderivative simple-cycle unit (LM6000 class)</t>
        </is>
      </c>
      <c r="G4893" s="12" t="inlineStr">
        <is>
          <t>JB-SC-2-TC02</t>
        </is>
      </c>
      <c r="H4893" s="12" t="inlineStr">
        <is>
          <t>SC-2: aeroderivative simple-cycle unit (LM6000 class)</t>
        </is>
      </c>
      <c r="I4893" s="12" t="inlineStr">
        <is>
          <t>Instrumentation</t>
        </is>
      </c>
      <c r="J4893" s="12" t="inlineStr">
        <is>
          <t>Thermocouple extension KX, #16 shielded pairs, PLTC</t>
        </is>
      </c>
      <c r="K4893" s="12" t="inlineStr">
        <is>
          <t>TCX|1 pr|16</t>
        </is>
      </c>
      <c r="L4893" s="12" t="inlineStr">
        <is>
          <t>1 pr</t>
        </is>
      </c>
      <c r="M4893" s="12" t="inlineStr">
        <is>
          <t>16</t>
        </is>
      </c>
      <c r="N4893" s="12" t="n">
        <v>20</v>
      </c>
      <c r="O4893" s="12" t="n">
        <v>1</v>
      </c>
      <c r="P4893" s="12" t="n"/>
      <c r="Q4893" s="12" t="n"/>
      <c r="R4893" s="12" t="n"/>
      <c r="S4893" s="12" t="inlineStr">
        <is>
          <t>Tray / conduit</t>
        </is>
      </c>
      <c r="T4893" s="17" t="n">
        <v>99</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I-I-0494</t>
        </is>
      </c>
      <c r="B4894" s="12" t="inlineStr">
        <is>
          <t>I</t>
        </is>
      </c>
      <c r="C4894" s="12" t="inlineStr">
        <is>
          <t>Modular / portable power</t>
        </is>
      </c>
      <c r="D4894" s="12" t="inlineStr">
        <is>
          <t>Home run JB-SC-2-TC02 to the control / marshalling room</t>
        </is>
      </c>
      <c r="E4894" s="12" t="inlineStr"/>
      <c r="F4894" s="12" t="inlineStr">
        <is>
          <t>SC-2 PCM + 15 kV GCB</t>
        </is>
      </c>
      <c r="G4894" s="12" t="inlineStr">
        <is>
          <t>JB-SC-2-TC02</t>
        </is>
      </c>
      <c r="H4894" s="12" t="inlineStr">
        <is>
          <t>SC-2: aeroderivative simple-cycle unit (LM6000 class)</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7" t="n">
        <v>25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I-I-0495</t>
        </is>
      </c>
      <c r="B4895" s="12" t="inlineStr">
        <is>
          <t>I</t>
        </is>
      </c>
      <c r="C4895" s="12" t="inlineStr">
        <is>
          <t>Modular / portable power</t>
        </is>
      </c>
      <c r="D4895" s="12" t="inlineStr">
        <is>
          <t>Analog instrument to JB JB-T-MOD 230 kV take--AI01: 8 x 1 pr (field cables)</t>
        </is>
      </c>
      <c r="E4895" s="12" t="inlineStr"/>
      <c r="F4895" s="12" t="inlineStr">
        <is>
          <t>T-MOD 230 kV take-off gantry with arresters</t>
        </is>
      </c>
      <c r="G4895" s="12" t="inlineStr">
        <is>
          <t>JB-T-MOD 230 kV take--AI01</t>
        </is>
      </c>
      <c r="H4895" s="12" t="inlineStr">
        <is>
          <t>T-MOD 230 kV take-off gantry with arresters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88</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I-I-0496</t>
        </is>
      </c>
      <c r="B4896" s="12" t="inlineStr">
        <is>
          <t>I</t>
        </is>
      </c>
      <c r="C4896" s="12" t="inlineStr">
        <is>
          <t>Modular / portable power</t>
        </is>
      </c>
      <c r="D4896" s="12" t="inlineStr">
        <is>
          <t>Home run JB-T-MOD 230 kV take--AI01 to the control / marshalling room</t>
        </is>
      </c>
      <c r="E4896" s="12" t="inlineStr">
        <is>
          <t>PAD-EH</t>
        </is>
      </c>
      <c r="F4896" s="12" t="inlineStr">
        <is>
          <t>PAD-EH 13.8 kV switchgear e-house</t>
        </is>
      </c>
      <c r="G4896" s="12" t="inlineStr">
        <is>
          <t>JB-T-MOD 230 kV take--AI01</t>
        </is>
      </c>
      <c r="H4896" s="12" t="inlineStr">
        <is>
          <t>T-MOD 230 kV take-off gantry with arresters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HV duct bank</t>
        </is>
      </c>
      <c r="T4896" s="17" t="n">
        <v>2426</v>
      </c>
      <c r="U4896" s="17" t="n">
        <v>141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I-I-0497</t>
        </is>
      </c>
      <c r="B4897" s="12" t="inlineStr">
        <is>
          <t>I</t>
        </is>
      </c>
      <c r="C4897" s="12" t="inlineStr">
        <is>
          <t>Modular / portable power</t>
        </is>
      </c>
      <c r="D4897" s="12" t="inlineStr">
        <is>
          <t>Discrete device to JB JB-T-MOD 230 kV take--DI01: 16 x 1 pr (field cables)</t>
        </is>
      </c>
      <c r="E4897" s="12" t="inlineStr"/>
      <c r="F4897" s="12" t="inlineStr">
        <is>
          <t>T-MOD 230 kV take-off gantry with arresters</t>
        </is>
      </c>
      <c r="G4897" s="12" t="inlineStr">
        <is>
          <t>JB-T-MOD 230 kV take--DI01</t>
        </is>
      </c>
      <c r="H4897" s="12" t="inlineStr">
        <is>
          <t>T-MOD 230 kV take-off gantry with arresters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88</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I-I-0498</t>
        </is>
      </c>
      <c r="B4898" s="12" t="inlineStr">
        <is>
          <t>I</t>
        </is>
      </c>
      <c r="C4898" s="12" t="inlineStr">
        <is>
          <t>Modular / portable power</t>
        </is>
      </c>
      <c r="D4898" s="12" t="inlineStr">
        <is>
          <t>Home run JB-T-MOD 230 kV take--DI01 to the control / marshalling room</t>
        </is>
      </c>
      <c r="E4898" s="12" t="inlineStr">
        <is>
          <t>PAD-EH</t>
        </is>
      </c>
      <c r="F4898" s="12" t="inlineStr">
        <is>
          <t>PAD-EH 13.8 kV switchgear e-house</t>
        </is>
      </c>
      <c r="G4898" s="12" t="inlineStr">
        <is>
          <t>JB-T-MOD 230 kV take--DI01</t>
        </is>
      </c>
      <c r="H4898" s="12" t="inlineStr">
        <is>
          <t>T-MOD 230 kV take-off gantry with arresters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HV duct bank</t>
        </is>
      </c>
      <c r="T4898" s="17" t="n">
        <v>2426</v>
      </c>
      <c r="U4898" s="17" t="n">
        <v>141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I-I-0499</t>
        </is>
      </c>
      <c r="B4899" s="12" t="inlineStr">
        <is>
          <t>I</t>
        </is>
      </c>
      <c r="C4899" s="12" t="inlineStr">
        <is>
          <t>Modular / portable power</t>
        </is>
      </c>
      <c r="D4899" s="12" t="inlineStr">
        <is>
          <t>Analog instrument to JB JB-T-MOD-1 / T-MOD-2 -AI01: 8 x 1 pr (field cables)</t>
        </is>
      </c>
      <c r="E4899" s="12" t="inlineStr"/>
      <c r="F4899" s="12" t="inlineStr">
        <is>
          <t>T-MOD-1 / T-MOD-2 firewall</t>
        </is>
      </c>
      <c r="G4899" s="12" t="inlineStr">
        <is>
          <t>JB-T-MOD-1 / T-MOD-2 -AI01</t>
        </is>
      </c>
      <c r="H4899" s="12" t="inlineStr">
        <is>
          <t>T-MOD-1 / T-MOD-2 firewall</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7" t="n">
        <v>64</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I-I-0500</t>
        </is>
      </c>
      <c r="B4900" s="12" t="inlineStr">
        <is>
          <t>I</t>
        </is>
      </c>
      <c r="C4900" s="12" t="inlineStr">
        <is>
          <t>Modular / portable power</t>
        </is>
      </c>
      <c r="D4900" s="12" t="inlineStr">
        <is>
          <t>Home run JB-T-MOD-1 / T-MOD-2 -AI01 to the control / marshalling room</t>
        </is>
      </c>
      <c r="E4900" s="12" t="inlineStr"/>
      <c r="F4900" s="12" t="inlineStr">
        <is>
          <t>PCM: power control module</t>
        </is>
      </c>
      <c r="G4900" s="12" t="inlineStr">
        <is>
          <t>JB-T-MOD-1 / T-MOD-2 -AI01</t>
        </is>
      </c>
      <c r="H4900" s="12" t="inlineStr">
        <is>
          <t>T-MOD-1 / T-MOD-2 firewall</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7" t="n">
        <v>415</v>
      </c>
      <c r="U4900" s="17" t="n">
        <v>130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I-I-0501</t>
        </is>
      </c>
      <c r="B4901" s="12" t="inlineStr">
        <is>
          <t>I</t>
        </is>
      </c>
      <c r="C4901" s="12" t="inlineStr">
        <is>
          <t>Modular / portable power</t>
        </is>
      </c>
      <c r="D4901" s="12" t="inlineStr">
        <is>
          <t>Discrete device to JB JB-T-MOD-1 / T-MOD-2 -DI01: 16 x 1 pr (field cables)</t>
        </is>
      </c>
      <c r="E4901" s="12" t="inlineStr"/>
      <c r="F4901" s="12" t="inlineStr">
        <is>
          <t>T-MOD-1 / T-MOD-2 firewall</t>
        </is>
      </c>
      <c r="G4901" s="12" t="inlineStr">
        <is>
          <t>JB-T-MOD-1 / T-MOD-2 -DI01</t>
        </is>
      </c>
      <c r="H4901" s="12" t="inlineStr">
        <is>
          <t>T-MOD-1 / T-MOD-2 firewall</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16</v>
      </c>
      <c r="O4901" s="12" t="n">
        <v>1</v>
      </c>
      <c r="P4901" s="12" t="n"/>
      <c r="Q4901" s="12" t="n"/>
      <c r="R4901" s="12" t="n"/>
      <c r="S4901" s="12" t="inlineStr">
        <is>
          <t>Tray / conduit</t>
        </is>
      </c>
      <c r="T4901" s="17" t="n">
        <v>64</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I-I-0502</t>
        </is>
      </c>
      <c r="B4902" s="12" t="inlineStr">
        <is>
          <t>I</t>
        </is>
      </c>
      <c r="C4902" s="12" t="inlineStr">
        <is>
          <t>Modular / portable power</t>
        </is>
      </c>
      <c r="D4902" s="12" t="inlineStr">
        <is>
          <t>Home run JB-T-MOD-1 / T-MOD-2 -DI01 to the control / marshalling room</t>
        </is>
      </c>
      <c r="E4902" s="12" t="inlineStr"/>
      <c r="F4902" s="12" t="inlineStr">
        <is>
          <t>PCM: power control module</t>
        </is>
      </c>
      <c r="G4902" s="12" t="inlineStr">
        <is>
          <t>JB-T-MOD-1 / T-MOD-2 -DI01</t>
        </is>
      </c>
      <c r="H4902" s="12" t="inlineStr">
        <is>
          <t>T-MOD-1 / T-MOD-2 firewall</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7" t="n">
        <v>415</v>
      </c>
      <c r="U4902" s="17" t="n">
        <v>130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I-I-0503</t>
        </is>
      </c>
      <c r="B4903" s="12" t="inlineStr">
        <is>
          <t>I</t>
        </is>
      </c>
      <c r="C4903" s="12" t="inlineStr">
        <is>
          <t>Modular / portable power</t>
        </is>
      </c>
      <c r="D4903" s="12" t="inlineStr">
        <is>
          <t>Analog instrument to JB JB-T-MOD-1-AI01: 8 x 1 pr (field cables)</t>
        </is>
      </c>
      <c r="E4903" s="12" t="inlineStr">
        <is>
          <t>T-MOD-1</t>
        </is>
      </c>
      <c r="F4903" s="12" t="inlineStr">
        <is>
          <t>T-MOD-1: 13.8/230 kV</t>
        </is>
      </c>
      <c r="G4903" s="12" t="inlineStr">
        <is>
          <t>JB-T-MOD-1-AI01</t>
        </is>
      </c>
      <c r="H4903" s="12" t="inlineStr">
        <is>
          <t>T-MOD-1: 13.8/230 kV</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8</v>
      </c>
      <c r="O4903" s="12" t="n">
        <v>1</v>
      </c>
      <c r="P4903" s="12" t="n"/>
      <c r="Q4903" s="12" t="n"/>
      <c r="R4903" s="12" t="n"/>
      <c r="S4903" s="12" t="inlineStr">
        <is>
          <t>Tray / conduit</t>
        </is>
      </c>
      <c r="T4903" s="17" t="n">
        <v>77</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I-I-0504</t>
        </is>
      </c>
      <c r="B4904" s="12" t="inlineStr">
        <is>
          <t>I</t>
        </is>
      </c>
      <c r="C4904" s="12" t="inlineStr">
        <is>
          <t>Modular / portable power</t>
        </is>
      </c>
      <c r="D4904" s="12" t="inlineStr">
        <is>
          <t>Home run JB-T-MOD-1-AI01 to the control / marshalling room</t>
        </is>
      </c>
      <c r="E4904" s="12" t="inlineStr"/>
      <c r="F4904" s="12" t="inlineStr">
        <is>
          <t>PCM: power control module</t>
        </is>
      </c>
      <c r="G4904" s="12" t="inlineStr">
        <is>
          <t>JB-T-MOD-1-AI01</t>
        </is>
      </c>
      <c r="H4904" s="12" t="inlineStr">
        <is>
          <t>T-MOD-1: 13.8/230 kV</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7" t="n">
        <v>415</v>
      </c>
      <c r="U4904" s="17" t="n">
        <v>82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I-I-0505</t>
        </is>
      </c>
      <c r="B4905" s="12" t="inlineStr">
        <is>
          <t>I</t>
        </is>
      </c>
      <c r="C4905" s="12" t="inlineStr">
        <is>
          <t>Modular / portable power</t>
        </is>
      </c>
      <c r="D4905" s="12" t="inlineStr">
        <is>
          <t>Discrete device to JB JB-T-MOD-1-DI01: 16 x 1 pr (field cables)</t>
        </is>
      </c>
      <c r="E4905" s="12" t="inlineStr">
        <is>
          <t>T-MOD-1</t>
        </is>
      </c>
      <c r="F4905" s="12" t="inlineStr">
        <is>
          <t>T-MOD-1: 13.8/230 kV</t>
        </is>
      </c>
      <c r="G4905" s="12" t="inlineStr">
        <is>
          <t>JB-T-MOD-1-DI01</t>
        </is>
      </c>
      <c r="H4905" s="12" t="inlineStr">
        <is>
          <t>T-MOD-1: 13.8/230 kV</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16</v>
      </c>
      <c r="O4905" s="12" t="n">
        <v>1</v>
      </c>
      <c r="P4905" s="12" t="n"/>
      <c r="Q4905" s="12" t="n"/>
      <c r="R4905" s="12" t="n"/>
      <c r="S4905" s="12" t="inlineStr">
        <is>
          <t>Tray / conduit</t>
        </is>
      </c>
      <c r="T4905" s="17" t="n">
        <v>77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I-I-0506</t>
        </is>
      </c>
      <c r="B4906" s="12" t="inlineStr">
        <is>
          <t>I</t>
        </is>
      </c>
      <c r="C4906" s="12" t="inlineStr">
        <is>
          <t>Modular / portable power</t>
        </is>
      </c>
      <c r="D4906" s="12" t="inlineStr">
        <is>
          <t>Home run JB-T-MOD-1-DI01 to the control / marshalling room</t>
        </is>
      </c>
      <c r="E4906" s="12" t="inlineStr"/>
      <c r="F4906" s="12" t="inlineStr">
        <is>
          <t>PCM: power control module</t>
        </is>
      </c>
      <c r="G4906" s="12" t="inlineStr">
        <is>
          <t>JB-T-MOD-1-DI01</t>
        </is>
      </c>
      <c r="H4906" s="12" t="inlineStr">
        <is>
          <t>T-MOD-1: 13.8/230 kV</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7" t="n">
        <v>415</v>
      </c>
      <c r="U4906" s="17" t="n">
        <v>82</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I-I-0507</t>
        </is>
      </c>
      <c r="B4907" s="12" t="inlineStr">
        <is>
          <t>I</t>
        </is>
      </c>
      <c r="C4907" s="12" t="inlineStr">
        <is>
          <t>Modular / portable power</t>
        </is>
      </c>
      <c r="D4907" s="12" t="inlineStr">
        <is>
          <t>Analog instrument to JB JB-T-MOD-2-AI01: 8 x 1 pr (field cables)</t>
        </is>
      </c>
      <c r="E4907" s="12" t="inlineStr">
        <is>
          <t>T-MOD-2</t>
        </is>
      </c>
      <c r="F4907" s="12" t="inlineStr">
        <is>
          <t>T-MOD-2: 13.8/230 kV</t>
        </is>
      </c>
      <c r="G4907" s="12" t="inlineStr">
        <is>
          <t>JB-T-MOD-2-AI01</t>
        </is>
      </c>
      <c r="H4907" s="12" t="inlineStr">
        <is>
          <t>T-MOD-2: 13.8/230 kV</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7" t="n">
        <v>77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I-I-0508</t>
        </is>
      </c>
      <c r="B4908" s="12" t="inlineStr">
        <is>
          <t>I</t>
        </is>
      </c>
      <c r="C4908" s="12" t="inlineStr">
        <is>
          <t>Modular / portable power</t>
        </is>
      </c>
      <c r="D4908" s="12" t="inlineStr">
        <is>
          <t>Home run JB-T-MOD-2-AI01 to the control / marshalling room</t>
        </is>
      </c>
      <c r="E4908" s="12" t="inlineStr"/>
      <c r="F4908" s="12" t="inlineStr">
        <is>
          <t>PCM: power control module</t>
        </is>
      </c>
      <c r="G4908" s="12" t="inlineStr">
        <is>
          <t>JB-T-MOD-2-AI01</t>
        </is>
      </c>
      <c r="H4908" s="12" t="inlineStr">
        <is>
          <t>T-MOD-2: 13.8/230 kV</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7" t="n">
        <v>3272</v>
      </c>
      <c r="U4908" s="17" t="n">
        <v>165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I-I-0509</t>
        </is>
      </c>
      <c r="B4909" s="12" t="inlineStr">
        <is>
          <t>I</t>
        </is>
      </c>
      <c r="C4909" s="12" t="inlineStr">
        <is>
          <t>Modular / portable power</t>
        </is>
      </c>
      <c r="D4909" s="12" t="inlineStr">
        <is>
          <t>Discrete device to JB JB-T-MOD-2-DI01: 16 x 1 pr (field cables)</t>
        </is>
      </c>
      <c r="E4909" s="12" t="inlineStr">
        <is>
          <t>T-MOD-2</t>
        </is>
      </c>
      <c r="F4909" s="12" t="inlineStr">
        <is>
          <t>T-MOD-2: 13.8/230 kV</t>
        </is>
      </c>
      <c r="G4909" s="12" t="inlineStr">
        <is>
          <t>JB-T-MOD-2-DI01</t>
        </is>
      </c>
      <c r="H4909" s="12" t="inlineStr">
        <is>
          <t>T-MOD-2: 13.8/230 kV</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77</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I-I-0510</t>
        </is>
      </c>
      <c r="B4910" s="12" t="inlineStr">
        <is>
          <t>I</t>
        </is>
      </c>
      <c r="C4910" s="12" t="inlineStr">
        <is>
          <t>Modular / portable power</t>
        </is>
      </c>
      <c r="D4910" s="12" t="inlineStr">
        <is>
          <t>Home run JB-T-MOD-2-DI01 to the control / marshalling room</t>
        </is>
      </c>
      <c r="E4910" s="12" t="inlineStr"/>
      <c r="F4910" s="12" t="inlineStr">
        <is>
          <t>PCM: power control module</t>
        </is>
      </c>
      <c r="G4910" s="12" t="inlineStr">
        <is>
          <t>JB-T-MOD-2-DI01</t>
        </is>
      </c>
      <c r="H4910" s="12" t="inlineStr">
        <is>
          <t>T-MOD-2: 13.8/230 kV</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7" t="n">
        <v>3272</v>
      </c>
      <c r="U4910" s="17" t="n">
        <v>165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I-I-0511</t>
        </is>
      </c>
      <c r="B4911" s="12" t="inlineStr">
        <is>
          <t>I</t>
        </is>
      </c>
      <c r="C4911" s="12" t="inlineStr">
        <is>
          <t>Modular / portable power</t>
        </is>
      </c>
      <c r="D4911" s="12" t="inlineStr">
        <is>
          <t>Analog instrument to JB JB-TM-1-AI01: 20 x 1 pr (field cables)</t>
        </is>
      </c>
      <c r="E4911" s="12" t="inlineStr">
        <is>
          <t>TM-1</t>
        </is>
      </c>
      <c r="F4911" s="12" t="inlineStr">
        <is>
          <t>TM-1: trailer-mounted aeroderivative GT (TM2500 class, ~35 MW)</t>
        </is>
      </c>
      <c r="G4911" s="12" t="inlineStr">
        <is>
          <t>JB-TM-1-AI01</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I-I-0512</t>
        </is>
      </c>
      <c r="B4912" s="12" t="inlineStr">
        <is>
          <t>I</t>
        </is>
      </c>
      <c r="C4912" s="12" t="inlineStr">
        <is>
          <t>Modular / portable power</t>
        </is>
      </c>
      <c r="D4912" s="12" t="inlineStr">
        <is>
          <t>Home run JB-TM-1-AI01 to the control / marshalling room</t>
        </is>
      </c>
      <c r="E4912" s="12" t="inlineStr">
        <is>
          <t>PAD-EH</t>
        </is>
      </c>
      <c r="F4912" s="12" t="inlineStr">
        <is>
          <t>PAD-EH 13.8 kV switchgear e-house</t>
        </is>
      </c>
      <c r="G4912" s="12" t="inlineStr">
        <is>
          <t>JB-TM-1-AI01</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I-I-0513</t>
        </is>
      </c>
      <c r="B4913" s="12" t="inlineStr">
        <is>
          <t>I</t>
        </is>
      </c>
      <c r="C4913" s="12" t="inlineStr">
        <is>
          <t>Modular / portable power</t>
        </is>
      </c>
      <c r="D4913" s="12" t="inlineStr">
        <is>
          <t>Analog instrument to JB JB-TM-1-AI02: 20 x 1 pr (field cables)</t>
        </is>
      </c>
      <c r="E4913" s="12" t="inlineStr">
        <is>
          <t>TM-1</t>
        </is>
      </c>
      <c r="F4913" s="12" t="inlineStr">
        <is>
          <t>TM-1: trailer-mounted aeroderivative GT (TM2500 class, ~35 MW)</t>
        </is>
      </c>
      <c r="G4913" s="12" t="inlineStr">
        <is>
          <t>JB-TM-1-AI02</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I-I-0514</t>
        </is>
      </c>
      <c r="B4914" s="12" t="inlineStr">
        <is>
          <t>I</t>
        </is>
      </c>
      <c r="C4914" s="12" t="inlineStr">
        <is>
          <t>Modular / portable power</t>
        </is>
      </c>
      <c r="D4914" s="12" t="inlineStr">
        <is>
          <t>Home run JB-TM-1-AI02 to the control / marshalling room</t>
        </is>
      </c>
      <c r="E4914" s="12" t="inlineStr">
        <is>
          <t>PAD-EH</t>
        </is>
      </c>
      <c r="F4914" s="12" t="inlineStr">
        <is>
          <t>PAD-EH 13.8 kV switchgear e-house</t>
        </is>
      </c>
      <c r="G4914" s="12" t="inlineStr">
        <is>
          <t>JB-TM-1-AI02</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I-I-0515</t>
        </is>
      </c>
      <c r="B4915" s="12" t="inlineStr">
        <is>
          <t>I</t>
        </is>
      </c>
      <c r="C4915" s="12" t="inlineStr">
        <is>
          <t>Modular / portable power</t>
        </is>
      </c>
      <c r="D4915" s="12" t="inlineStr">
        <is>
          <t>Analog instrument to JB JB-TM-1-AI03: 20 x 1 pr (field cables)</t>
        </is>
      </c>
      <c r="E4915" s="12" t="inlineStr">
        <is>
          <t>TM-1</t>
        </is>
      </c>
      <c r="F4915" s="12" t="inlineStr">
        <is>
          <t>TM-1: trailer-mounted aeroderivative GT (TM2500 class, ~35 MW)</t>
        </is>
      </c>
      <c r="G4915" s="12" t="inlineStr">
        <is>
          <t>JB-TM-1-AI03</t>
        </is>
      </c>
      <c r="H4915" s="12" t="inlineStr">
        <is>
          <t>TM-1: trailer-mounted aeroderivative GT (TM2500 class, ~35 MW)</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I-I-0516</t>
        </is>
      </c>
      <c r="B4916" s="12" t="inlineStr">
        <is>
          <t>I</t>
        </is>
      </c>
      <c r="C4916" s="12" t="inlineStr">
        <is>
          <t>Modular / portable power</t>
        </is>
      </c>
      <c r="D4916" s="12" t="inlineStr">
        <is>
          <t>Home run JB-TM-1-AI03 to the control / marshalling room</t>
        </is>
      </c>
      <c r="E4916" s="12" t="inlineStr">
        <is>
          <t>PAD-EH</t>
        </is>
      </c>
      <c r="F4916" s="12" t="inlineStr">
        <is>
          <t>PAD-EH 13.8 kV switchgear e-house</t>
        </is>
      </c>
      <c r="G4916" s="12" t="inlineStr">
        <is>
          <t>JB-TM-1-AI03</t>
        </is>
      </c>
      <c r="H4916" s="12" t="inlineStr">
        <is>
          <t>TM-1: trailer-mounted aeroderivative GT (TM2500 class, ~35 MW)</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I-I-0517</t>
        </is>
      </c>
      <c r="B4917" s="12" t="inlineStr">
        <is>
          <t>I</t>
        </is>
      </c>
      <c r="C4917" s="12" t="inlineStr">
        <is>
          <t>Modular / portable power</t>
        </is>
      </c>
      <c r="D4917" s="12" t="inlineStr">
        <is>
          <t>Analog instrument to JB JB-TM-1-AI04: 20 x 1 pr (field cables)</t>
        </is>
      </c>
      <c r="E4917" s="12" t="inlineStr">
        <is>
          <t>TM-1</t>
        </is>
      </c>
      <c r="F4917" s="12" t="inlineStr">
        <is>
          <t>TM-1: trailer-mounted aeroderivative GT (TM2500 class, ~35 MW)</t>
        </is>
      </c>
      <c r="G4917" s="12" t="inlineStr">
        <is>
          <t>JB-TM-1-AI04</t>
        </is>
      </c>
      <c r="H4917" s="12" t="inlineStr">
        <is>
          <t>TM-1: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I-I-0518</t>
        </is>
      </c>
      <c r="B4918" s="12" t="inlineStr">
        <is>
          <t>I</t>
        </is>
      </c>
      <c r="C4918" s="12" t="inlineStr">
        <is>
          <t>Modular / portable power</t>
        </is>
      </c>
      <c r="D4918" s="12" t="inlineStr">
        <is>
          <t>Home run JB-TM-1-AI04 to the control / marshalling room</t>
        </is>
      </c>
      <c r="E4918" s="12" t="inlineStr">
        <is>
          <t>PAD-EH</t>
        </is>
      </c>
      <c r="F4918" s="12" t="inlineStr">
        <is>
          <t>PAD-EH 13.8 kV switchgear e-house</t>
        </is>
      </c>
      <c r="G4918" s="12" t="inlineStr">
        <is>
          <t>JB-TM-1-AI04</t>
        </is>
      </c>
      <c r="H4918" s="12" t="inlineStr">
        <is>
          <t>TM-1: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382</v>
      </c>
      <c r="U4918" s="17" t="n">
        <v>50</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I-I-0519</t>
        </is>
      </c>
      <c r="B4919" s="12" t="inlineStr">
        <is>
          <t>I</t>
        </is>
      </c>
      <c r="C4919" s="12" t="inlineStr">
        <is>
          <t>Modular / portable power</t>
        </is>
      </c>
      <c r="D4919" s="12" t="inlineStr">
        <is>
          <t>Analog instrument to JB JB-TM-1-AI05: 20 x 1 pr (field cables)</t>
        </is>
      </c>
      <c r="E4919" s="12" t="inlineStr">
        <is>
          <t>TM-1</t>
        </is>
      </c>
      <c r="F4919" s="12" t="inlineStr">
        <is>
          <t>TM-1: trailer-mounted aeroderivative GT (TM2500 class, ~35 MW)</t>
        </is>
      </c>
      <c r="G4919" s="12" t="inlineStr">
        <is>
          <t>JB-TM-1-AI05</t>
        </is>
      </c>
      <c r="H4919" s="12" t="inlineStr">
        <is>
          <t>TM-1: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I-I-0520</t>
        </is>
      </c>
      <c r="B4920" s="12" t="inlineStr">
        <is>
          <t>I</t>
        </is>
      </c>
      <c r="C4920" s="12" t="inlineStr">
        <is>
          <t>Modular / portable power</t>
        </is>
      </c>
      <c r="D4920" s="12" t="inlineStr">
        <is>
          <t>Home run JB-TM-1-AI05 to the control / marshalling room</t>
        </is>
      </c>
      <c r="E4920" s="12" t="inlineStr">
        <is>
          <t>PAD-EH</t>
        </is>
      </c>
      <c r="F4920" s="12" t="inlineStr">
        <is>
          <t>PAD-EH 13.8 kV switchgear e-house</t>
        </is>
      </c>
      <c r="G4920" s="12" t="inlineStr">
        <is>
          <t>JB-TM-1-AI05</t>
        </is>
      </c>
      <c r="H4920" s="12" t="inlineStr">
        <is>
          <t>TM-1: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382</v>
      </c>
      <c r="U4920" s="17" t="n">
        <v>50</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I-I-0521</t>
        </is>
      </c>
      <c r="B4921" s="12" t="inlineStr">
        <is>
          <t>I</t>
        </is>
      </c>
      <c r="C4921" s="12" t="inlineStr">
        <is>
          <t>Modular / portable power</t>
        </is>
      </c>
      <c r="D4921" s="12" t="inlineStr">
        <is>
          <t>Discrete device to JB JB-TM-1-DI01: 20 x 1 pr (field cables)</t>
        </is>
      </c>
      <c r="E4921" s="12" t="inlineStr">
        <is>
          <t>TM-1</t>
        </is>
      </c>
      <c r="F4921" s="12" t="inlineStr">
        <is>
          <t>TM-1: trailer-mounted aeroderivative GT (TM2500 class, ~35 MW)</t>
        </is>
      </c>
      <c r="G4921" s="12" t="inlineStr">
        <is>
          <t>JB-TM-1-DI01</t>
        </is>
      </c>
      <c r="H4921" s="12" t="inlineStr">
        <is>
          <t>TM-1: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I-I-0522</t>
        </is>
      </c>
      <c r="B4922" s="12" t="inlineStr">
        <is>
          <t>I</t>
        </is>
      </c>
      <c r="C4922" s="12" t="inlineStr">
        <is>
          <t>Modular / portable power</t>
        </is>
      </c>
      <c r="D4922" s="12" t="inlineStr">
        <is>
          <t>Home run JB-TM-1-DI01 to the control / marshalling room</t>
        </is>
      </c>
      <c r="E4922" s="12" t="inlineStr">
        <is>
          <t>PAD-EH</t>
        </is>
      </c>
      <c r="F4922" s="12" t="inlineStr">
        <is>
          <t>PAD-EH 13.8 kV switchgear e-house</t>
        </is>
      </c>
      <c r="G4922" s="12" t="inlineStr">
        <is>
          <t>JB-TM-1-DI01</t>
        </is>
      </c>
      <c r="H4922" s="12" t="inlineStr">
        <is>
          <t>TM-1: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382</v>
      </c>
      <c r="U4922" s="17" t="n">
        <v>50</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I-I-0523</t>
        </is>
      </c>
      <c r="B4923" s="12" t="inlineStr">
        <is>
          <t>I</t>
        </is>
      </c>
      <c r="C4923" s="12" t="inlineStr">
        <is>
          <t>Modular / portable power</t>
        </is>
      </c>
      <c r="D4923" s="12" t="inlineStr">
        <is>
          <t>Discrete device to JB JB-TM-1-DI02: 20 x 1 pr (field cables)</t>
        </is>
      </c>
      <c r="E4923" s="12" t="inlineStr">
        <is>
          <t>TM-1</t>
        </is>
      </c>
      <c r="F4923" s="12" t="inlineStr">
        <is>
          <t>TM-1: trailer-mounted aeroderivative GT (TM2500 class, ~35 MW)</t>
        </is>
      </c>
      <c r="G4923" s="12" t="inlineStr">
        <is>
          <t>JB-TM-1-DI02</t>
        </is>
      </c>
      <c r="H4923" s="12" t="inlineStr">
        <is>
          <t>TM-1: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I-I-0524</t>
        </is>
      </c>
      <c r="B4924" s="12" t="inlineStr">
        <is>
          <t>I</t>
        </is>
      </c>
      <c r="C4924" s="12" t="inlineStr">
        <is>
          <t>Modular / portable power</t>
        </is>
      </c>
      <c r="D4924" s="12" t="inlineStr">
        <is>
          <t>Home run JB-TM-1-DI02 to the control / marshalling room</t>
        </is>
      </c>
      <c r="E4924" s="12" t="inlineStr">
        <is>
          <t>PAD-EH</t>
        </is>
      </c>
      <c r="F4924" s="12" t="inlineStr">
        <is>
          <t>PAD-EH 13.8 kV switchgear e-house</t>
        </is>
      </c>
      <c r="G4924" s="12" t="inlineStr">
        <is>
          <t>JB-TM-1-DI02</t>
        </is>
      </c>
      <c r="H4924" s="12" t="inlineStr">
        <is>
          <t>TM-1: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382</v>
      </c>
      <c r="U4924" s="17" t="n">
        <v>50</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I-I-0525</t>
        </is>
      </c>
      <c r="B4925" s="12" t="inlineStr">
        <is>
          <t>I</t>
        </is>
      </c>
      <c r="C4925" s="12" t="inlineStr">
        <is>
          <t>Modular / portable power</t>
        </is>
      </c>
      <c r="D4925" s="12" t="inlineStr">
        <is>
          <t>Discrete device to JB JB-TM-1-DI03: 20 x 1 pr (field cables)</t>
        </is>
      </c>
      <c r="E4925" s="12" t="inlineStr">
        <is>
          <t>TM-1</t>
        </is>
      </c>
      <c r="F4925" s="12" t="inlineStr">
        <is>
          <t>TM-1: trailer-mounted aeroderivative GT (TM2500 class, ~35 MW)</t>
        </is>
      </c>
      <c r="G4925" s="12" t="inlineStr">
        <is>
          <t>JB-TM-1-DI03</t>
        </is>
      </c>
      <c r="H4925" s="12" t="inlineStr">
        <is>
          <t>TM-1: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I-I-0526</t>
        </is>
      </c>
      <c r="B4926" s="12" t="inlineStr">
        <is>
          <t>I</t>
        </is>
      </c>
      <c r="C4926" s="12" t="inlineStr">
        <is>
          <t>Modular / portable power</t>
        </is>
      </c>
      <c r="D4926" s="12" t="inlineStr">
        <is>
          <t>Home run JB-TM-1-DI03 to the control / marshalling room</t>
        </is>
      </c>
      <c r="E4926" s="12" t="inlineStr">
        <is>
          <t>PAD-EH</t>
        </is>
      </c>
      <c r="F4926" s="12" t="inlineStr">
        <is>
          <t>PAD-EH 13.8 kV switchgear e-house</t>
        </is>
      </c>
      <c r="G4926" s="12" t="inlineStr">
        <is>
          <t>JB-TM-1-DI03</t>
        </is>
      </c>
      <c r="H4926" s="12" t="inlineStr">
        <is>
          <t>TM-1: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382</v>
      </c>
      <c r="U4926" s="17" t="n">
        <v>50</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I-I-0527</t>
        </is>
      </c>
      <c r="B4927" s="12" t="inlineStr">
        <is>
          <t>I</t>
        </is>
      </c>
      <c r="C4927" s="12" t="inlineStr">
        <is>
          <t>Modular / portable power</t>
        </is>
      </c>
      <c r="D4927" s="12" t="inlineStr">
        <is>
          <t>Thermocouple to TC JB JB-TM-1-TC01: 20 x 1 pr (field cables)</t>
        </is>
      </c>
      <c r="E4927" s="12" t="inlineStr">
        <is>
          <t>TM-1</t>
        </is>
      </c>
      <c r="F4927" s="12" t="inlineStr">
        <is>
          <t>TM-1: trailer-mounted aeroderivative GT (TM2500 class, ~35 MW)</t>
        </is>
      </c>
      <c r="G4927" s="12" t="inlineStr">
        <is>
          <t>JB-TM-1-TC01</t>
        </is>
      </c>
      <c r="H4927" s="12" t="inlineStr">
        <is>
          <t>TM-1: trailer-mounted aeroderivative GT (TM2500 class, ~35 MW)</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I-I-0528</t>
        </is>
      </c>
      <c r="B4928" s="12" t="inlineStr">
        <is>
          <t>I</t>
        </is>
      </c>
      <c r="C4928" s="12" t="inlineStr">
        <is>
          <t>Modular / portable power</t>
        </is>
      </c>
      <c r="D4928" s="12" t="inlineStr">
        <is>
          <t>Home run JB-TM-1-TC01 to the control / marshalling room</t>
        </is>
      </c>
      <c r="E4928" s="12" t="inlineStr">
        <is>
          <t>PAD-EH</t>
        </is>
      </c>
      <c r="F4928" s="12" t="inlineStr">
        <is>
          <t>PAD-EH 13.8 kV switchgear e-house</t>
        </is>
      </c>
      <c r="G4928" s="12" t="inlineStr">
        <is>
          <t>JB-TM-1-TC01</t>
        </is>
      </c>
      <c r="H4928" s="12" t="inlineStr">
        <is>
          <t>TM-1: trailer-mounted aeroderivative GT (TM2500 class, ~35 MW)</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Surface</t>
        </is>
      </c>
      <c r="T4928" s="17" t="n">
        <v>382</v>
      </c>
      <c r="U4928" s="17" t="n">
        <v>50</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I-I-0529</t>
        </is>
      </c>
      <c r="B4929" s="12" t="inlineStr">
        <is>
          <t>I</t>
        </is>
      </c>
      <c r="C4929" s="12" t="inlineStr">
        <is>
          <t>Modular / portable power</t>
        </is>
      </c>
      <c r="D4929" s="12" t="inlineStr">
        <is>
          <t>Analog instrument to JB JB-TM-2-AI01: 20 x 1 pr (field cables)</t>
        </is>
      </c>
      <c r="E4929" s="12" t="inlineStr">
        <is>
          <t>TM-2</t>
        </is>
      </c>
      <c r="F4929" s="12" t="inlineStr">
        <is>
          <t>TM-2: trailer-mounted aeroderivative GT (TM2500 class, ~35 MW)</t>
        </is>
      </c>
      <c r="G4929" s="12" t="inlineStr">
        <is>
          <t>JB-TM-2-AI01</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I-I-0530</t>
        </is>
      </c>
      <c r="B4930" s="12" t="inlineStr">
        <is>
          <t>I</t>
        </is>
      </c>
      <c r="C4930" s="12" t="inlineStr">
        <is>
          <t>Modular / portable power</t>
        </is>
      </c>
      <c r="D4930" s="12" t="inlineStr">
        <is>
          <t>Home run JB-TM-2-AI01 to the control / marshalling room</t>
        </is>
      </c>
      <c r="E4930" s="12" t="inlineStr">
        <is>
          <t>PAD-EH</t>
        </is>
      </c>
      <c r="F4930" s="12" t="inlineStr">
        <is>
          <t>PAD-EH 13.8 kV switchgear e-house</t>
        </is>
      </c>
      <c r="G4930" s="12" t="inlineStr">
        <is>
          <t>JB-TM-2-AI01</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I-I-0531</t>
        </is>
      </c>
      <c r="B4931" s="12" t="inlineStr">
        <is>
          <t>I</t>
        </is>
      </c>
      <c r="C4931" s="12" t="inlineStr">
        <is>
          <t>Modular / portable power</t>
        </is>
      </c>
      <c r="D4931" s="12" t="inlineStr">
        <is>
          <t>Analog instrument to JB JB-TM-2-AI02: 20 x 1 pr (field cables)</t>
        </is>
      </c>
      <c r="E4931" s="12" t="inlineStr">
        <is>
          <t>TM-2</t>
        </is>
      </c>
      <c r="F4931" s="12" t="inlineStr">
        <is>
          <t>TM-2: trailer-mounted aeroderivative GT (TM2500 class, ~35 MW)</t>
        </is>
      </c>
      <c r="G4931" s="12" t="inlineStr">
        <is>
          <t>JB-TM-2-AI02</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I-I-0532</t>
        </is>
      </c>
      <c r="B4932" s="12" t="inlineStr">
        <is>
          <t>I</t>
        </is>
      </c>
      <c r="C4932" s="12" t="inlineStr">
        <is>
          <t>Modular / portable power</t>
        </is>
      </c>
      <c r="D4932" s="12" t="inlineStr">
        <is>
          <t>Home run JB-TM-2-AI02 to the control / marshalling room</t>
        </is>
      </c>
      <c r="E4932" s="12" t="inlineStr">
        <is>
          <t>PAD-EH</t>
        </is>
      </c>
      <c r="F4932" s="12" t="inlineStr">
        <is>
          <t>PAD-EH 13.8 kV switchgear e-house</t>
        </is>
      </c>
      <c r="G4932" s="12" t="inlineStr">
        <is>
          <t>JB-TM-2-AI02</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I-I-0533</t>
        </is>
      </c>
      <c r="B4933" s="12" t="inlineStr">
        <is>
          <t>I</t>
        </is>
      </c>
      <c r="C4933" s="12" t="inlineStr">
        <is>
          <t>Modular / portable power</t>
        </is>
      </c>
      <c r="D4933" s="12" t="inlineStr">
        <is>
          <t>Analog instrument to JB JB-TM-2-AI03: 20 x 1 pr (field cables)</t>
        </is>
      </c>
      <c r="E4933" s="12" t="inlineStr">
        <is>
          <t>TM-2</t>
        </is>
      </c>
      <c r="F4933" s="12" t="inlineStr">
        <is>
          <t>TM-2: trailer-mounted aeroderivative GT (TM2500 class, ~35 MW)</t>
        </is>
      </c>
      <c r="G4933" s="12" t="inlineStr">
        <is>
          <t>JB-TM-2-AI03</t>
        </is>
      </c>
      <c r="H4933" s="12" t="inlineStr">
        <is>
          <t>TM-2: trailer-mounted aeroderivative GT (TM2500 class, ~35 MW)</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I-I-0534</t>
        </is>
      </c>
      <c r="B4934" s="12" t="inlineStr">
        <is>
          <t>I</t>
        </is>
      </c>
      <c r="C4934" s="12" t="inlineStr">
        <is>
          <t>Modular / portable power</t>
        </is>
      </c>
      <c r="D4934" s="12" t="inlineStr">
        <is>
          <t>Home run JB-TM-2-AI03 to the control / marshalling room</t>
        </is>
      </c>
      <c r="E4934" s="12" t="inlineStr">
        <is>
          <t>PAD-EH</t>
        </is>
      </c>
      <c r="F4934" s="12" t="inlineStr">
        <is>
          <t>PAD-EH 13.8 kV switchgear e-house</t>
        </is>
      </c>
      <c r="G4934" s="12" t="inlineStr">
        <is>
          <t>JB-TM-2-AI03</t>
        </is>
      </c>
      <c r="H4934" s="12" t="inlineStr">
        <is>
          <t>TM-2: trailer-mounted aeroderivative GT (TM2500 class, ~35 MW)</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I-I-0535</t>
        </is>
      </c>
      <c r="B4935" s="12" t="inlineStr">
        <is>
          <t>I</t>
        </is>
      </c>
      <c r="C4935" s="12" t="inlineStr">
        <is>
          <t>Modular / portable power</t>
        </is>
      </c>
      <c r="D4935" s="12" t="inlineStr">
        <is>
          <t>Analog instrument to JB JB-TM-2-AI04: 20 x 1 pr (field cables)</t>
        </is>
      </c>
      <c r="E4935" s="12" t="inlineStr">
        <is>
          <t>TM-2</t>
        </is>
      </c>
      <c r="F4935" s="12" t="inlineStr">
        <is>
          <t>TM-2: trailer-mounted aeroderivative GT (TM2500 class, ~35 MW)</t>
        </is>
      </c>
      <c r="G4935" s="12" t="inlineStr">
        <is>
          <t>JB-TM-2-AI04</t>
        </is>
      </c>
      <c r="H4935" s="12" t="inlineStr">
        <is>
          <t>TM-2: trailer-mounted aeroderivative GT (TM2500 class, ~35 MW)</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108</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I-I-0536</t>
        </is>
      </c>
      <c r="B4936" s="12" t="inlineStr">
        <is>
          <t>I</t>
        </is>
      </c>
      <c r="C4936" s="12" t="inlineStr">
        <is>
          <t>Modular / portable power</t>
        </is>
      </c>
      <c r="D4936" s="12" t="inlineStr">
        <is>
          <t>Home run JB-TM-2-AI04 to the control / marshalling room</t>
        </is>
      </c>
      <c r="E4936" s="12" t="inlineStr">
        <is>
          <t>PAD-EH</t>
        </is>
      </c>
      <c r="F4936" s="12" t="inlineStr">
        <is>
          <t>PAD-EH 13.8 kV switchgear e-house</t>
        </is>
      </c>
      <c r="G4936" s="12" t="inlineStr">
        <is>
          <t>JB-TM-2-AI04</t>
        </is>
      </c>
      <c r="H4936" s="12" t="inlineStr">
        <is>
          <t>TM-2: trailer-mounted aeroderivative GT (TM2500 class, ~35 MW)</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Surface</t>
        </is>
      </c>
      <c r="T4936" s="17" t="n">
        <v>386</v>
      </c>
      <c r="U4936" s="17" t="n">
        <v>52</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I-I-0537</t>
        </is>
      </c>
      <c r="B4937" s="12" t="inlineStr">
        <is>
          <t>I</t>
        </is>
      </c>
      <c r="C4937" s="12" t="inlineStr">
        <is>
          <t>Modular / portable power</t>
        </is>
      </c>
      <c r="D4937" s="12" t="inlineStr">
        <is>
          <t>Analog instrument to JB JB-TM-2-AI05: 20 x 1 pr (field cables)</t>
        </is>
      </c>
      <c r="E4937" s="12" t="inlineStr">
        <is>
          <t>TM-2</t>
        </is>
      </c>
      <c r="F4937" s="12" t="inlineStr">
        <is>
          <t>TM-2: trailer-mounted aeroderivative GT (TM2500 class, ~35 MW)</t>
        </is>
      </c>
      <c r="G4937" s="12" t="inlineStr">
        <is>
          <t>JB-TM-2-AI05</t>
        </is>
      </c>
      <c r="H4937" s="12" t="inlineStr">
        <is>
          <t>TM-2: trailer-mounted aeroderivative GT (TM2500 class, ~35 MW)</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108</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I-I-0538</t>
        </is>
      </c>
      <c r="B4938" s="12" t="inlineStr">
        <is>
          <t>I</t>
        </is>
      </c>
      <c r="C4938" s="12" t="inlineStr">
        <is>
          <t>Modular / portable power</t>
        </is>
      </c>
      <c r="D4938" s="12" t="inlineStr">
        <is>
          <t>Home run JB-TM-2-AI05 to the control / marshalling room</t>
        </is>
      </c>
      <c r="E4938" s="12" t="inlineStr">
        <is>
          <t>PAD-EH</t>
        </is>
      </c>
      <c r="F4938" s="12" t="inlineStr">
        <is>
          <t>PAD-EH 13.8 kV switchgear e-house</t>
        </is>
      </c>
      <c r="G4938" s="12" t="inlineStr">
        <is>
          <t>JB-TM-2-AI05</t>
        </is>
      </c>
      <c r="H4938" s="12" t="inlineStr">
        <is>
          <t>TM-2: trailer-mounted aeroderivative GT (TM2500 class, ~35 MW)</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Surface</t>
        </is>
      </c>
      <c r="T4938" s="17" t="n">
        <v>386</v>
      </c>
      <c r="U4938" s="17" t="n">
        <v>52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I-I-0539</t>
        </is>
      </c>
      <c r="B4939" s="12" t="inlineStr">
        <is>
          <t>I</t>
        </is>
      </c>
      <c r="C4939" s="12" t="inlineStr">
        <is>
          <t>Modular / portable power</t>
        </is>
      </c>
      <c r="D4939" s="12" t="inlineStr">
        <is>
          <t>Discrete device to JB JB-TM-2-DI01: 20 x 1 pr (field cables)</t>
        </is>
      </c>
      <c r="E4939" s="12" t="inlineStr">
        <is>
          <t>TM-2</t>
        </is>
      </c>
      <c r="F4939" s="12" t="inlineStr">
        <is>
          <t>TM-2: trailer-mounted aeroderivative GT (TM2500 class, ~35 MW)</t>
        </is>
      </c>
      <c r="G4939" s="12" t="inlineStr">
        <is>
          <t>JB-TM-2-DI01</t>
        </is>
      </c>
      <c r="H4939" s="12" t="inlineStr">
        <is>
          <t>TM-2: trailer-mounted aeroderivative GT (TM2500 class, ~35 MW)</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108</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I-I-0540</t>
        </is>
      </c>
      <c r="B4940" s="12" t="inlineStr">
        <is>
          <t>I</t>
        </is>
      </c>
      <c r="C4940" s="12" t="inlineStr">
        <is>
          <t>Modular / portable power</t>
        </is>
      </c>
      <c r="D4940" s="12" t="inlineStr">
        <is>
          <t>Home run JB-TM-2-DI01 to the control / marshalling room</t>
        </is>
      </c>
      <c r="E4940" s="12" t="inlineStr">
        <is>
          <t>PAD-EH</t>
        </is>
      </c>
      <c r="F4940" s="12" t="inlineStr">
        <is>
          <t>PAD-EH 13.8 kV switchgear e-house</t>
        </is>
      </c>
      <c r="G4940" s="12" t="inlineStr">
        <is>
          <t>JB-TM-2-DI01</t>
        </is>
      </c>
      <c r="H4940" s="12" t="inlineStr">
        <is>
          <t>TM-2: trailer-mounted aeroderivative GT (TM2500 class, ~35 MW)</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Surface</t>
        </is>
      </c>
      <c r="T4940" s="17" t="n">
        <v>386</v>
      </c>
      <c r="U4940" s="17" t="n">
        <v>52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I-I-0541</t>
        </is>
      </c>
      <c r="B4941" s="12" t="inlineStr">
        <is>
          <t>I</t>
        </is>
      </c>
      <c r="C4941" s="12" t="inlineStr">
        <is>
          <t>Modular / portable power</t>
        </is>
      </c>
      <c r="D4941" s="12" t="inlineStr">
        <is>
          <t>Discrete device to JB JB-TM-2-DI02: 20 x 1 pr (field cables)</t>
        </is>
      </c>
      <c r="E4941" s="12" t="inlineStr">
        <is>
          <t>TM-2</t>
        </is>
      </c>
      <c r="F4941" s="12" t="inlineStr">
        <is>
          <t>TM-2: trailer-mounted aeroderivative GT (TM2500 class, ~35 MW)</t>
        </is>
      </c>
      <c r="G4941" s="12" t="inlineStr">
        <is>
          <t>JB-TM-2-DI02</t>
        </is>
      </c>
      <c r="H4941" s="12" t="inlineStr">
        <is>
          <t>TM-2: trailer-mounted aeroderivative GT (TM2500 class, ~35 MW)</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108</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I-I-0542</t>
        </is>
      </c>
      <c r="B4942" s="12" t="inlineStr">
        <is>
          <t>I</t>
        </is>
      </c>
      <c r="C4942" s="12" t="inlineStr">
        <is>
          <t>Modular / portable power</t>
        </is>
      </c>
      <c r="D4942" s="12" t="inlineStr">
        <is>
          <t>Home run JB-TM-2-DI02 to the control / marshalling room</t>
        </is>
      </c>
      <c r="E4942" s="12" t="inlineStr">
        <is>
          <t>PAD-EH</t>
        </is>
      </c>
      <c r="F4942" s="12" t="inlineStr">
        <is>
          <t>PAD-EH 13.8 kV switchgear e-house</t>
        </is>
      </c>
      <c r="G4942" s="12" t="inlineStr">
        <is>
          <t>JB-TM-2-DI02</t>
        </is>
      </c>
      <c r="H4942" s="12" t="inlineStr">
        <is>
          <t>TM-2: trailer-mounted aeroderivative GT (TM2500 class, ~35 MW)</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Surface</t>
        </is>
      </c>
      <c r="T4942" s="17" t="n">
        <v>386</v>
      </c>
      <c r="U4942" s="17" t="n">
        <v>52</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I-I-0543</t>
        </is>
      </c>
      <c r="B4943" s="12" t="inlineStr">
        <is>
          <t>I</t>
        </is>
      </c>
      <c r="C4943" s="12" t="inlineStr">
        <is>
          <t>Modular / portable power</t>
        </is>
      </c>
      <c r="D4943" s="12" t="inlineStr">
        <is>
          <t>Discrete device to JB JB-TM-2-DI03: 20 x 1 pr (field cables)</t>
        </is>
      </c>
      <c r="E4943" s="12" t="inlineStr">
        <is>
          <t>TM-2</t>
        </is>
      </c>
      <c r="F4943" s="12" t="inlineStr">
        <is>
          <t>TM-2: trailer-mounted aeroderivative GT (TM2500 class, ~35 MW)</t>
        </is>
      </c>
      <c r="G4943" s="12" t="inlineStr">
        <is>
          <t>JB-TM-2-DI03</t>
        </is>
      </c>
      <c r="H4943" s="12" t="inlineStr">
        <is>
          <t>TM-2: trailer-mounted aeroderivative GT (TM2500 class, ~35 MW)</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7" t="n">
        <v>108</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I-I-0544</t>
        </is>
      </c>
      <c r="B4944" s="12" t="inlineStr">
        <is>
          <t>I</t>
        </is>
      </c>
      <c r="C4944" s="12" t="inlineStr">
        <is>
          <t>Modular / portable power</t>
        </is>
      </c>
      <c r="D4944" s="12" t="inlineStr">
        <is>
          <t>Home run JB-TM-2-DI03 to the control / marshalling room</t>
        </is>
      </c>
      <c r="E4944" s="12" t="inlineStr">
        <is>
          <t>PAD-EH</t>
        </is>
      </c>
      <c r="F4944" s="12" t="inlineStr">
        <is>
          <t>PAD-EH 13.8 kV switchgear e-house</t>
        </is>
      </c>
      <c r="G4944" s="12" t="inlineStr">
        <is>
          <t>JB-TM-2-DI03</t>
        </is>
      </c>
      <c r="H4944" s="12" t="inlineStr">
        <is>
          <t>TM-2: trailer-mounted aeroderivative GT (TM2500 class, ~35 MW)</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Surface</t>
        </is>
      </c>
      <c r="T4944" s="17" t="n">
        <v>386</v>
      </c>
      <c r="U4944" s="17" t="n">
        <v>52</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I-I-0545</t>
        </is>
      </c>
      <c r="B4945" s="12" t="inlineStr">
        <is>
          <t>I</t>
        </is>
      </c>
      <c r="C4945" s="12" t="inlineStr">
        <is>
          <t>Modular / portable power</t>
        </is>
      </c>
      <c r="D4945" s="12" t="inlineStr">
        <is>
          <t>Thermocouple to TC JB JB-TM-2-TC01: 20 x 1 pr (field cables)</t>
        </is>
      </c>
      <c r="E4945" s="12" t="inlineStr">
        <is>
          <t>TM-2</t>
        </is>
      </c>
      <c r="F4945" s="12" t="inlineStr">
        <is>
          <t>TM-2: trailer-mounted aeroderivative GT (TM2500 class, ~35 MW)</t>
        </is>
      </c>
      <c r="G4945" s="12" t="inlineStr">
        <is>
          <t>JB-TM-2-TC01</t>
        </is>
      </c>
      <c r="H4945" s="12" t="inlineStr">
        <is>
          <t>TM-2: trailer-mounted aeroderivative GT (TM2500 class, ~35 MW)</t>
        </is>
      </c>
      <c r="I4945" s="12" t="inlineStr">
        <is>
          <t>Instrumentation</t>
        </is>
      </c>
      <c r="J4945" s="12" t="inlineStr">
        <is>
          <t>Thermocouple extension KX, #16 shielded pairs, PLTC</t>
        </is>
      </c>
      <c r="K4945" s="12" t="inlineStr">
        <is>
          <t>TCX|1 pr|16</t>
        </is>
      </c>
      <c r="L4945" s="12" t="inlineStr">
        <is>
          <t>1 pr</t>
        </is>
      </c>
      <c r="M4945" s="12" t="inlineStr">
        <is>
          <t>16</t>
        </is>
      </c>
      <c r="N4945" s="12" t="n">
        <v>20</v>
      </c>
      <c r="O4945" s="12" t="n">
        <v>1</v>
      </c>
      <c r="P4945" s="12" t="n"/>
      <c r="Q4945" s="12" t="n"/>
      <c r="R4945" s="12" t="n"/>
      <c r="S4945" s="12" t="inlineStr">
        <is>
          <t>Tray / conduit</t>
        </is>
      </c>
      <c r="T4945" s="17" t="n">
        <v>108</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I-I-0546</t>
        </is>
      </c>
      <c r="B4946" s="12" t="inlineStr">
        <is>
          <t>I</t>
        </is>
      </c>
      <c r="C4946" s="12" t="inlineStr">
        <is>
          <t>Modular / portable power</t>
        </is>
      </c>
      <c r="D4946" s="12" t="inlineStr">
        <is>
          <t>Home run JB-TM-2-TC01 to the control / marshalling room</t>
        </is>
      </c>
      <c r="E4946" s="12" t="inlineStr">
        <is>
          <t>PAD-EH</t>
        </is>
      </c>
      <c r="F4946" s="12" t="inlineStr">
        <is>
          <t>PAD-EH 13.8 kV switchgear e-house</t>
        </is>
      </c>
      <c r="G4946" s="12" t="inlineStr">
        <is>
          <t>JB-TM-2-TC01</t>
        </is>
      </c>
      <c r="H4946" s="12" t="inlineStr">
        <is>
          <t>TM-2: trailer-mounted aeroderivative GT (TM2500 class, ~35 MW)</t>
        </is>
      </c>
      <c r="I4946" s="12" t="inlineStr">
        <is>
          <t>Instrumentation</t>
        </is>
      </c>
      <c r="J4946" s="12" t="inlineStr">
        <is>
          <t>Thermocouple extension KX, #16 shielded pairs, PLTC</t>
        </is>
      </c>
      <c r="K4946" s="12" t="inlineStr">
        <is>
          <t>TCX|24 pr|16</t>
        </is>
      </c>
      <c r="L4946" s="12" t="inlineStr">
        <is>
          <t>24 pr</t>
        </is>
      </c>
      <c r="M4946" s="12" t="inlineStr">
        <is>
          <t>16</t>
        </is>
      </c>
      <c r="N4946" s="12" t="n">
        <v>1</v>
      </c>
      <c r="O4946" s="12" t="n">
        <v>1</v>
      </c>
      <c r="P4946" s="12" t="n"/>
      <c r="Q4946" s="12" t="n"/>
      <c r="R4946" s="12" t="n"/>
      <c r="S4946" s="12" t="inlineStr">
        <is>
          <t>Surface</t>
        </is>
      </c>
      <c r="T4946" s="17" t="n">
        <v>386</v>
      </c>
      <c r="U4946" s="17" t="n">
        <v>52</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I-I-0547</t>
        </is>
      </c>
      <c r="B4947" s="12" t="inlineStr">
        <is>
          <t>I</t>
        </is>
      </c>
      <c r="C4947" s="12" t="inlineStr">
        <is>
          <t>Modular / portable power</t>
        </is>
      </c>
      <c r="D4947" s="12" t="inlineStr">
        <is>
          <t>Analog instrument to JB JB-Water-injection sk-AI01: 10 x 1 pr (field cables)</t>
        </is>
      </c>
      <c r="E4947" s="12" t="inlineStr"/>
      <c r="F4947" s="12" t="inlineStr">
        <is>
          <t>Water-injection skid</t>
        </is>
      </c>
      <c r="G4947" s="12" t="inlineStr">
        <is>
          <t>JB-Water-injection sk-AI01</t>
        </is>
      </c>
      <c r="H4947" s="12" t="inlineStr">
        <is>
          <t>Water-injection skid</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10</v>
      </c>
      <c r="O4947" s="12" t="n">
        <v>1</v>
      </c>
      <c r="P4947" s="12" t="n"/>
      <c r="Q4947" s="12" t="n"/>
      <c r="R4947" s="12" t="n"/>
      <c r="S4947" s="12" t="inlineStr">
        <is>
          <t>Tray / conduit</t>
        </is>
      </c>
      <c r="T4947" s="17" t="n">
        <v>43</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I-I-0548</t>
        </is>
      </c>
      <c r="B4948" s="12" t="inlineStr">
        <is>
          <t>I</t>
        </is>
      </c>
      <c r="C4948" s="12" t="inlineStr">
        <is>
          <t>Modular / portable power</t>
        </is>
      </c>
      <c r="D4948" s="12" t="inlineStr">
        <is>
          <t>Home run JB-Water-injection sk-AI01 to the control / marshalling room</t>
        </is>
      </c>
      <c r="E4948" s="12" t="inlineStr"/>
      <c r="F4948" s="12" t="inlineStr">
        <is>
          <t>SC-2 PCM + 15 kV GCB</t>
        </is>
      </c>
      <c r="G4948" s="12" t="inlineStr">
        <is>
          <t>JB-Water-injection sk-AI01</t>
        </is>
      </c>
      <c r="H4948" s="12" t="inlineStr">
        <is>
          <t>Water-injection skid</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60</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I-I-0549</t>
        </is>
      </c>
      <c r="B4949" s="12" t="inlineStr">
        <is>
          <t>I</t>
        </is>
      </c>
      <c r="C4949" s="12" t="inlineStr">
        <is>
          <t>Modular / portable power</t>
        </is>
      </c>
      <c r="D4949" s="12" t="inlineStr">
        <is>
          <t>Discrete device to JB JB-Water-injection sk-DI01: 10 x 1 pr (field cables)</t>
        </is>
      </c>
      <c r="E4949" s="12" t="inlineStr"/>
      <c r="F4949" s="12" t="inlineStr">
        <is>
          <t>Water-injection skid</t>
        </is>
      </c>
      <c r="G4949" s="12" t="inlineStr">
        <is>
          <t>JB-Water-injection sk-DI01</t>
        </is>
      </c>
      <c r="H4949" s="12" t="inlineStr">
        <is>
          <t>Water-injection skid</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10</v>
      </c>
      <c r="O4949" s="12" t="n">
        <v>1</v>
      </c>
      <c r="P4949" s="12" t="n"/>
      <c r="Q4949" s="12" t="n"/>
      <c r="R4949" s="12" t="n"/>
      <c r="S4949" s="12" t="inlineStr">
        <is>
          <t>Tray / conduit</t>
        </is>
      </c>
      <c r="T4949" s="17" t="n">
        <v>43</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I-I-0550</t>
        </is>
      </c>
      <c r="B4950" s="12" t="inlineStr">
        <is>
          <t>I</t>
        </is>
      </c>
      <c r="C4950" s="12" t="inlineStr">
        <is>
          <t>Modular / portable power</t>
        </is>
      </c>
      <c r="D4950" s="12" t="inlineStr">
        <is>
          <t>Home run JB-Water-injection sk-DI01 to the control / marshalling room</t>
        </is>
      </c>
      <c r="E4950" s="12" t="inlineStr"/>
      <c r="F4950" s="12" t="inlineStr">
        <is>
          <t>SC-2 PCM + 15 kV GCB</t>
        </is>
      </c>
      <c r="G4950" s="12" t="inlineStr">
        <is>
          <t>JB-Water-injection sk-DI01</t>
        </is>
      </c>
      <c r="H4950" s="12" t="inlineStr">
        <is>
          <t>Water-injection skid</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60</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I-P-0001</t>
        </is>
      </c>
      <c r="B4951" s="12" t="inlineStr">
        <is>
          <t>I</t>
        </is>
      </c>
      <c r="C4951" s="12" t="inlineStr">
        <is>
          <t>Modular / portable power</t>
        </is>
      </c>
      <c r="D4951" s="12" t="inlineStr">
        <is>
          <t>Motor 1 of 2, 3.7 kW</t>
        </is>
      </c>
      <c r="E4951" s="12" t="inlineStr"/>
      <c r="F4951" s="12" t="inlineStr">
        <is>
          <t>SC-2 PCM + 15 kV GCB</t>
        </is>
      </c>
      <c r="G4951" s="12" t="inlineStr"/>
      <c r="H4951" s="12" t="inlineStr">
        <is>
          <t>Aqueous ammonia (SC units)</t>
        </is>
      </c>
      <c r="I4951" s="12" t="inlineStr">
        <is>
          <t>LV 600 V</t>
        </is>
      </c>
      <c r="J4951" s="12" t="inlineStr">
        <is>
          <t>Type TC-ER 600 V 3/C Cu XHHW-2 + ground, PVC jacket</t>
        </is>
      </c>
      <c r="K4951" s="12" t="inlineStr">
        <is>
          <t>LV|3/C+G|10</t>
        </is>
      </c>
      <c r="L4951" s="12" t="inlineStr">
        <is>
          <t>3/C+G</t>
        </is>
      </c>
      <c r="M4951" s="12" t="inlineStr">
        <is>
          <t>10</t>
        </is>
      </c>
      <c r="N4951" s="12" t="n">
        <v>1</v>
      </c>
      <c r="O4951" s="12" t="n">
        <v>1</v>
      </c>
      <c r="P4951" s="12" t="n">
        <v>480</v>
      </c>
      <c r="Q4951" s="12" t="n">
        <v>3.7</v>
      </c>
      <c r="R4951" s="12" t="n">
        <v>5.2</v>
      </c>
      <c r="S4951" s="12" t="inlineStr">
        <is>
          <t>Tray</t>
        </is>
      </c>
      <c r="T4951" s="17" t="n">
        <v>0</v>
      </c>
      <c r="U4951" s="17" t="n">
        <v>98</v>
      </c>
      <c r="V4951" s="17">
        <f>ROUNDUP((T4951+U4951+2*'Read Me'!$B$13)*(1+'Read Me'!$B$12),-1)</f>
        <v/>
      </c>
      <c r="W4951" s="17">
        <f>V4951*N4951*O4951</f>
        <v/>
      </c>
      <c r="X4951" s="12">
        <f>IF(LEFT(I4951,2)="MV",2*N4951*IF(L4951="1/C",O4951,1),0)</f>
        <v/>
      </c>
      <c r="Y4951" s="12">
        <f>IF(OR(LEFT(K4951,4)="LVAX",LEFT(K4951,6)="MV15AX",LEFT(K4951,4)="CTAX",LEFT(K4951,2)="W|"),2*N4951*O4951,0)</f>
        <v/>
      </c>
      <c r="Z4951" s="12" t="inlineStr">
        <is>
          <t>VD 0.2 %</t>
        </is>
      </c>
      <c r="AA4951" s="12">
        <f>N4951*O4951</f>
        <v/>
      </c>
    </row>
    <row r="4952">
      <c r="A4952" s="12" t="inlineStr">
        <is>
          <t>I-P-0002</t>
        </is>
      </c>
      <c r="B4952" s="12" t="inlineStr">
        <is>
          <t>I</t>
        </is>
      </c>
      <c r="C4952" s="12" t="inlineStr">
        <is>
          <t>Modular / portable power</t>
        </is>
      </c>
      <c r="D4952" s="12" t="inlineStr">
        <is>
          <t>Motor 2 of 2, 3.7 kW</t>
        </is>
      </c>
      <c r="E4952" s="12" t="inlineStr"/>
      <c r="F4952" s="12" t="inlineStr">
        <is>
          <t>SC-2 PCM + 15 kV GCB</t>
        </is>
      </c>
      <c r="G4952" s="12" t="inlineStr"/>
      <c r="H4952" s="12" t="inlineStr">
        <is>
          <t>Aqueous ammonia (SC units)</t>
        </is>
      </c>
      <c r="I4952" s="12" t="inlineStr">
        <is>
          <t>LV 600 V</t>
        </is>
      </c>
      <c r="J4952" s="12" t="inlineStr">
        <is>
          <t>Type TC-ER 600 V 3/C Cu XHHW-2 + ground, PVC jacket</t>
        </is>
      </c>
      <c r="K4952" s="12" t="inlineStr">
        <is>
          <t>LV|3/C+G|10</t>
        </is>
      </c>
      <c r="L4952" s="12" t="inlineStr">
        <is>
          <t>3/C+G</t>
        </is>
      </c>
      <c r="M4952" s="12" t="inlineStr">
        <is>
          <t>10</t>
        </is>
      </c>
      <c r="N4952" s="12" t="n">
        <v>1</v>
      </c>
      <c r="O4952" s="12" t="n">
        <v>1</v>
      </c>
      <c r="P4952" s="12" t="n">
        <v>480</v>
      </c>
      <c r="Q4952" s="12" t="n">
        <v>3.7</v>
      </c>
      <c r="R4952" s="12" t="n">
        <v>5.2</v>
      </c>
      <c r="S4952" s="12" t="inlineStr">
        <is>
          <t>Tray</t>
        </is>
      </c>
      <c r="T4952" s="17" t="n">
        <v>0</v>
      </c>
      <c r="U4952" s="17" t="n">
        <v>98</v>
      </c>
      <c r="V4952" s="17">
        <f>ROUNDUP((T4952+U4952+2*'Read Me'!$B$13)*(1+'Read Me'!$B$12),-1)</f>
        <v/>
      </c>
      <c r="W4952" s="17">
        <f>V4952*N4952*O4952</f>
        <v/>
      </c>
      <c r="X4952" s="12">
        <f>IF(LEFT(I4952,2)="MV",2*N4952*IF(L4952="1/C",O4952,1),0)</f>
        <v/>
      </c>
      <c r="Y4952" s="12">
        <f>IF(OR(LEFT(K4952,4)="LVAX",LEFT(K4952,6)="MV15AX",LEFT(K4952,4)="CTAX",LEFT(K4952,2)="W|"),2*N4952*O4952,0)</f>
        <v/>
      </c>
      <c r="Z4952" s="12" t="inlineStr">
        <is>
          <t>VD 0.2 %</t>
        </is>
      </c>
      <c r="AA4952" s="12">
        <f>N4952*O4952</f>
        <v/>
      </c>
    </row>
    <row r="4953">
      <c r="A4953" s="12" t="inlineStr">
        <is>
          <t>I-P-0003</t>
        </is>
      </c>
      <c r="B4953" s="12" t="inlineStr">
        <is>
          <t>I</t>
        </is>
      </c>
      <c r="C4953" s="12" t="inlineStr">
        <is>
          <t>Modular / portable power</t>
        </is>
      </c>
      <c r="D4953" s="12" t="inlineStr">
        <is>
          <t>Black-start genset output</t>
        </is>
      </c>
      <c r="E4953" s="12" t="inlineStr"/>
      <c r="F4953" s="12" t="inlineStr">
        <is>
          <t>Black-start genset (proposed; requires study)</t>
        </is>
      </c>
      <c r="G4953" s="12" t="inlineStr"/>
      <c r="H4953" s="12" t="inlineStr">
        <is>
          <t>BS black-start switchgear</t>
        </is>
      </c>
      <c r="I4953" s="12" t="inlineStr">
        <is>
          <t>LV 600 V</t>
        </is>
      </c>
      <c r="J4953" s="12" t="inlineStr">
        <is>
          <t>Type TC-ER 600 V 3/C Cu XHHW-2 + ground, PVC jacket</t>
        </is>
      </c>
      <c r="K4953" s="12" t="inlineStr">
        <is>
          <t>LV|3/C+G|500</t>
        </is>
      </c>
      <c r="L4953" s="12" t="inlineStr">
        <is>
          <t>3/C+G</t>
        </is>
      </c>
      <c r="M4953" s="12" t="inlineStr">
        <is>
          <t>500 kcmil</t>
        </is>
      </c>
      <c r="N4953" s="12" t="n">
        <v>10</v>
      </c>
      <c r="O4953" s="12" t="n">
        <v>1</v>
      </c>
      <c r="P4953" s="12" t="n">
        <v>480</v>
      </c>
      <c r="Q4953" s="12" t="n">
        <v>2000</v>
      </c>
      <c r="R4953" s="12" t="n">
        <v>2532.3</v>
      </c>
      <c r="S4953" s="12" t="inlineStr">
        <is>
          <t>Tray</t>
        </is>
      </c>
      <c r="T4953" s="17" t="n">
        <v>0</v>
      </c>
      <c r="U4953" s="17" t="n">
        <v>41</v>
      </c>
      <c r="V4953" s="17">
        <f>ROUNDUP((T4953+U4953+2*'Read Me'!$B$13)*(1+'Read Me'!$B$12),-1)</f>
        <v/>
      </c>
      <c r="W4953" s="17">
        <f>V4953*N4953*O4953</f>
        <v/>
      </c>
      <c r="X4953" s="12">
        <f>IF(LEFT(I4953,2)="MV",2*N4953*IF(L4953="1/C",O4953,1),0)</f>
        <v/>
      </c>
      <c r="Y4953" s="12">
        <f>IF(OR(LEFT(K4953,4)="LVAX",LEFT(K4953,6)="MV15AX",LEFT(K4953,4)="CTAX",LEFT(K4953,2)="W|"),2*N4953*O4953,0)</f>
        <v/>
      </c>
      <c r="Z4953" s="12" t="inlineStr">
        <is>
          <t>VD 0.1 %</t>
        </is>
      </c>
      <c r="AA4953" s="12">
        <f>N4953*O4953</f>
        <v/>
      </c>
    </row>
    <row r="4954">
      <c r="A4954" s="12" t="inlineStr">
        <is>
          <t>I-P-0004</t>
        </is>
      </c>
      <c r="B4954" s="12" t="inlineStr">
        <is>
          <t>I</t>
        </is>
      </c>
      <c r="C4954" s="12" t="inlineStr">
        <is>
          <t>Modular / portable power</t>
        </is>
      </c>
      <c r="D4954" s="12" t="inlineStr">
        <is>
          <t>Black-start genset output</t>
        </is>
      </c>
      <c r="E4954" s="12" t="inlineStr"/>
      <c r="F4954" s="12" t="inlineStr">
        <is>
          <t>Black-start genset (proposed; requires study)</t>
        </is>
      </c>
      <c r="G4954" s="12" t="inlineStr"/>
      <c r="H4954" s="12" t="inlineStr">
        <is>
          <t>BS black-start switchgear</t>
        </is>
      </c>
      <c r="I4954" s="12" t="inlineStr">
        <is>
          <t>LV 600 V</t>
        </is>
      </c>
      <c r="J4954" s="12" t="inlineStr">
        <is>
          <t>Type TC-ER 600 V 3/C Cu XHHW-2 + ground, PVC jacket</t>
        </is>
      </c>
      <c r="K4954" s="12" t="inlineStr">
        <is>
          <t>LV|3/C+G|500</t>
        </is>
      </c>
      <c r="L4954" s="12" t="inlineStr">
        <is>
          <t>3/C+G</t>
        </is>
      </c>
      <c r="M4954" s="12" t="inlineStr">
        <is>
          <t>500 kcmil</t>
        </is>
      </c>
      <c r="N4954" s="12" t="n">
        <v>10</v>
      </c>
      <c r="O4954" s="12" t="n">
        <v>1</v>
      </c>
      <c r="P4954" s="12" t="n">
        <v>480</v>
      </c>
      <c r="Q4954" s="12" t="n">
        <v>2000</v>
      </c>
      <c r="R4954" s="12" t="n">
        <v>2532.3</v>
      </c>
      <c r="S4954" s="12" t="inlineStr">
        <is>
          <t>Tray</t>
        </is>
      </c>
      <c r="T4954" s="17" t="n">
        <v>0</v>
      </c>
      <c r="U4954" s="17" t="n">
        <v>49</v>
      </c>
      <c r="V4954" s="17">
        <f>ROUNDUP((T4954+U4954+2*'Read Me'!$B$13)*(1+'Read Me'!$B$12),-1)</f>
        <v/>
      </c>
      <c r="W4954" s="17">
        <f>V4954*N4954*O4954</f>
        <v/>
      </c>
      <c r="X4954" s="12">
        <f>IF(LEFT(I4954,2)="MV",2*N4954*IF(L4954="1/C",O4954,1),0)</f>
        <v/>
      </c>
      <c r="Y4954" s="12">
        <f>IF(OR(LEFT(K4954,4)="LVAX",LEFT(K4954,6)="MV15AX",LEFT(K4954,4)="CTAX",LEFT(K4954,2)="W|"),2*N4954*O4954,0)</f>
        <v/>
      </c>
      <c r="Z4954" s="12" t="inlineStr">
        <is>
          <t>VD 0.1 %</t>
        </is>
      </c>
      <c r="AA4954" s="12">
        <f>N4954*O4954</f>
        <v/>
      </c>
    </row>
    <row r="4955">
      <c r="A4955" s="12" t="inlineStr">
        <is>
          <t>I-P-0005</t>
        </is>
      </c>
      <c r="B4955" s="12" t="inlineStr">
        <is>
          <t>I</t>
        </is>
      </c>
      <c r="C4955" s="12" t="inlineStr">
        <is>
          <t>Modular / portable power</t>
        </is>
      </c>
      <c r="D4955" s="12" t="inlineStr">
        <is>
          <t>LV power feeder</t>
        </is>
      </c>
      <c r="E4955" s="12" t="inlineStr"/>
      <c r="F4955" s="12" t="inlineStr">
        <is>
          <t>PCM: power control module</t>
        </is>
      </c>
      <c r="G4955" s="12" t="inlineStr"/>
      <c r="H4955" s="12" t="inlineStr">
        <is>
          <t>BS black-start switchgear</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7" t="n">
        <v>562</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I-P-0006</t>
        </is>
      </c>
      <c r="B4956" s="12" t="inlineStr">
        <is>
          <t>I</t>
        </is>
      </c>
      <c r="C4956" s="12" t="inlineStr">
        <is>
          <t>Modular / portable power</t>
        </is>
      </c>
      <c r="D4956" s="12" t="inlineStr">
        <is>
          <t>LV power feeder</t>
        </is>
      </c>
      <c r="E4956" s="12" t="inlineStr"/>
      <c r="F4956" s="12" t="inlineStr">
        <is>
          <t>PCM: power control module</t>
        </is>
      </c>
      <c r="G4956" s="12" t="inlineStr"/>
      <c r="H4956" s="12" t="inlineStr">
        <is>
          <t>CONDITIONAL: BESS black-start alternative</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7" t="n">
        <v>550</v>
      </c>
      <c r="U4956" s="17" t="n">
        <v>32</v>
      </c>
      <c r="V4956" s="17">
        <f>ROUNDUP((T4956+U4956+2*'Read Me'!$B$13)*(1+'Read Me'!$B$12),-1)</f>
        <v/>
      </c>
      <c r="W4956" s="17">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I-P-0007</t>
        </is>
      </c>
      <c r="B4957" s="12" t="inlineStr">
        <is>
          <t>I</t>
        </is>
      </c>
      <c r="C4957" s="12" t="inlineStr">
        <is>
          <t>Modular / portable power</t>
        </is>
      </c>
      <c r="D4957" s="12" t="inlineStr">
        <is>
          <t>LV power feeder</t>
        </is>
      </c>
      <c r="E4957" s="12" t="inlineStr"/>
      <c r="F4957" s="12" t="inlineStr">
        <is>
          <t>SC-1 PCM + 15 kV GCB</t>
        </is>
      </c>
      <c r="G4957" s="12" t="inlineStr"/>
      <c r="H4957" s="12" t="inlineStr">
        <is>
          <t>CONDITIONAL: SC-1 inlet chiller / evaporative cooler</t>
        </is>
      </c>
      <c r="I4957" s="12" t="inlineStr">
        <is>
          <t>LV 600 V</t>
        </is>
      </c>
      <c r="J4957" s="12" t="inlineStr">
        <is>
          <t>Type TC-ER 600 V 3/C Cu XHHW-2 + ground, PVC jacket</t>
        </is>
      </c>
      <c r="K4957" s="12" t="inlineStr">
        <is>
          <t>LV|3/C+G|350</t>
        </is>
      </c>
      <c r="L4957" s="12" t="inlineStr">
        <is>
          <t>3/C+G</t>
        </is>
      </c>
      <c r="M4957" s="12" t="inlineStr">
        <is>
          <t>350 kcmil</t>
        </is>
      </c>
      <c r="N4957" s="12" t="n">
        <v>3</v>
      </c>
      <c r="O4957" s="12" t="n">
        <v>1</v>
      </c>
      <c r="P4957" s="12" t="n">
        <v>480</v>
      </c>
      <c r="Q4957" s="12" t="n">
        <v>500</v>
      </c>
      <c r="R4957" s="12" t="n">
        <v>707.6</v>
      </c>
      <c r="S4957" s="12" t="inlineStr">
        <is>
          <t>Tray</t>
        </is>
      </c>
      <c r="T4957" s="17" t="n">
        <v>0</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0.4 %</t>
        </is>
      </c>
      <c r="AA4957" s="12">
        <f>N4957*O4957</f>
        <v/>
      </c>
    </row>
    <row r="4958">
      <c r="A4958" s="12" t="inlineStr">
        <is>
          <t>I-P-0008</t>
        </is>
      </c>
      <c r="B4958" s="12" t="inlineStr">
        <is>
          <t>I</t>
        </is>
      </c>
      <c r="C4958" s="12" t="inlineStr">
        <is>
          <t>Modular / portable power</t>
        </is>
      </c>
      <c r="D4958" s="12" t="inlineStr">
        <is>
          <t>LV power feeder</t>
        </is>
      </c>
      <c r="E4958" s="12" t="inlineStr"/>
      <c r="F4958" s="12" t="inlineStr">
        <is>
          <t>SC-2 PCM + 15 kV GCB</t>
        </is>
      </c>
      <c r="G4958" s="12" t="inlineStr"/>
      <c r="H4958" s="12" t="inlineStr">
        <is>
          <t>CONDITIONAL: SC-2 inlet chiller / evaporative cooler</t>
        </is>
      </c>
      <c r="I4958" s="12" t="inlineStr">
        <is>
          <t>LV 600 V</t>
        </is>
      </c>
      <c r="J4958" s="12" t="inlineStr">
        <is>
          <t>Type TC-ER 600 V 3/C Cu XHHW-2 + ground, PVC jacket</t>
        </is>
      </c>
      <c r="K4958" s="12" t="inlineStr">
        <is>
          <t>LV|3/C+G|350</t>
        </is>
      </c>
      <c r="L4958" s="12" t="inlineStr">
        <is>
          <t>3/C+G</t>
        </is>
      </c>
      <c r="M4958" s="12" t="inlineStr">
        <is>
          <t>350 kcmil</t>
        </is>
      </c>
      <c r="N4958" s="12" t="n">
        <v>3</v>
      </c>
      <c r="O4958" s="12" t="n">
        <v>1</v>
      </c>
      <c r="P4958" s="12" t="n">
        <v>480</v>
      </c>
      <c r="Q4958" s="12" t="n">
        <v>500</v>
      </c>
      <c r="R4958" s="12" t="n">
        <v>707.6</v>
      </c>
      <c r="S4958" s="12" t="inlineStr">
        <is>
          <t>Duct bank</t>
        </is>
      </c>
      <c r="T4958" s="17" t="n">
        <v>75</v>
      </c>
      <c r="U4958" s="17" t="n">
        <v>32</v>
      </c>
      <c r="V4958" s="17">
        <f>ROUNDUP((T4958+U4958+2*'Read Me'!$B$13)*(1+'Read Me'!$B$12),-1)</f>
        <v/>
      </c>
      <c r="W4958" s="17">
        <f>V4958*N4958*O4958</f>
        <v/>
      </c>
      <c r="X4958" s="12">
        <f>IF(LEFT(I4958,2)="MV",2*N4958*IF(L4958="1/C",O4958,1),0)</f>
        <v/>
      </c>
      <c r="Y4958" s="12">
        <f>IF(OR(LEFT(K4958,4)="LVAX",LEFT(K4958,6)="MV15AX",LEFT(K4958,4)="CTAX",LEFT(K4958,2)="W|"),2*N4958*O4958,0)</f>
        <v/>
      </c>
      <c r="Z4958" s="12" t="inlineStr">
        <is>
          <t>VD 0.4 %</t>
        </is>
      </c>
      <c r="AA4958" s="12">
        <f>N4958*O4958</f>
        <v/>
      </c>
    </row>
    <row r="4959">
      <c r="A4959" s="12" t="inlineStr">
        <is>
          <t>I-P-0009</t>
        </is>
      </c>
      <c r="B4959" s="12" t="inlineStr">
        <is>
          <t>I</t>
        </is>
      </c>
      <c r="C4959" s="12" t="inlineStr">
        <is>
          <t>Modular / portable power</t>
        </is>
      </c>
      <c r="D4959" s="12" t="inlineStr">
        <is>
          <t>FC-5 SOFC output to inverter / AC cabinet</t>
        </is>
      </c>
      <c r="E4959" s="12" t="inlineStr">
        <is>
          <t>FC-5</t>
        </is>
      </c>
      <c r="F4959" s="12" t="inlineStr">
        <is>
          <t>FC-5: SOFC module (Bloom ES5 class, 200-300 kW)</t>
        </is>
      </c>
      <c r="G4959" s="12" t="inlineStr"/>
      <c r="H4959" s="12" t="inlineStr">
        <is>
          <t>FC-5..12 inverter / AC cabinet / desulfurizer</t>
        </is>
      </c>
      <c r="I4959" s="12" t="inlineStr">
        <is>
          <t>LV 600 V</t>
        </is>
      </c>
      <c r="J4959" s="12" t="inlineStr">
        <is>
          <t>Type TC-ER 600 V 3/C Cu XHHW-2 + ground, PVC jacket</t>
        </is>
      </c>
      <c r="K4959" s="12" t="inlineStr">
        <is>
          <t>LV|3/C+G|3/0</t>
        </is>
      </c>
      <c r="L4959" s="12" t="inlineStr">
        <is>
          <t>3/C+G</t>
        </is>
      </c>
      <c r="M4959" s="12" t="inlineStr">
        <is>
          <t>3/0</t>
        </is>
      </c>
      <c r="N4959" s="12" t="n">
        <v>2</v>
      </c>
      <c r="O4959" s="12" t="n">
        <v>1</v>
      </c>
      <c r="P4959" s="12" t="n">
        <v>480</v>
      </c>
      <c r="Q4959" s="12" t="n">
        <v>250</v>
      </c>
      <c r="R4959" s="12" t="n">
        <v>316.5</v>
      </c>
      <c r="S4959" s="12" t="inlineStr">
        <is>
          <t>Duct bank</t>
        </is>
      </c>
      <c r="T4959" s="17" t="n">
        <v>139</v>
      </c>
      <c r="U4959" s="17" t="n">
        <v>32</v>
      </c>
      <c r="V4959" s="17">
        <f>ROUNDUP((T4959+U4959+2*'Read Me'!$B$13)*(1+'Read Me'!$B$12),-1)</f>
        <v/>
      </c>
      <c r="W4959" s="17">
        <f>V4959*N4959*O4959</f>
        <v/>
      </c>
      <c r="X4959" s="12">
        <f>IF(LEFT(I4959,2)="MV",2*N4959*IF(L4959="1/C",O4959,1),0)</f>
        <v/>
      </c>
      <c r="Y4959" s="12">
        <f>IF(OR(LEFT(K4959,4)="LVAX",LEFT(K4959,6)="MV15AX",LEFT(K4959,4)="CTAX",LEFT(K4959,2)="W|"),2*N4959*O4959,0)</f>
        <v/>
      </c>
      <c r="Z4959" s="12" t="inlineStr">
        <is>
          <t>VD 0.8 %</t>
        </is>
      </c>
      <c r="AA4959" s="12">
        <f>N4959*O4959</f>
        <v/>
      </c>
    </row>
    <row r="4960">
      <c r="A4960" s="12" t="inlineStr">
        <is>
          <t>I-P-0010</t>
        </is>
      </c>
      <c r="B4960" s="12" t="inlineStr">
        <is>
          <t>I</t>
        </is>
      </c>
      <c r="C4960" s="12" t="inlineStr">
        <is>
          <t>Modular / portable power</t>
        </is>
      </c>
      <c r="D4960" s="12" t="inlineStr">
        <is>
          <t>FC-6 SOFC output to inverter / AC cabinet</t>
        </is>
      </c>
      <c r="E4960" s="12" t="inlineStr">
        <is>
          <t>FC-6</t>
        </is>
      </c>
      <c r="F4960" s="12" t="inlineStr">
        <is>
          <t>FC-6: SOFC module (Bloom ES5 class, 200-300 kW)</t>
        </is>
      </c>
      <c r="G4960" s="12" t="inlineStr"/>
      <c r="H4960" s="12" t="inlineStr">
        <is>
          <t>FC-5..12 inverter / AC cabinet / desulfurizer</t>
        </is>
      </c>
      <c r="I4960" s="12" t="inlineStr">
        <is>
          <t>LV 600 V</t>
        </is>
      </c>
      <c r="J4960" s="12" t="inlineStr">
        <is>
          <t>Type TC-ER 600 V 3/C Cu XHHW-2 + ground, PVC jacket</t>
        </is>
      </c>
      <c r="K4960" s="12" t="inlineStr">
        <is>
          <t>LV|3/C+G|3/0</t>
        </is>
      </c>
      <c r="L4960" s="12" t="inlineStr">
        <is>
          <t>3/C+G</t>
        </is>
      </c>
      <c r="M4960" s="12" t="inlineStr">
        <is>
          <t>3/0</t>
        </is>
      </c>
      <c r="N4960" s="12" t="n">
        <v>2</v>
      </c>
      <c r="O4960" s="12" t="n">
        <v>1</v>
      </c>
      <c r="P4960" s="12" t="n">
        <v>480</v>
      </c>
      <c r="Q4960" s="12" t="n">
        <v>250</v>
      </c>
      <c r="R4960" s="12" t="n">
        <v>316.5</v>
      </c>
      <c r="S4960" s="12" t="inlineStr">
        <is>
          <t>Duct bank</t>
        </is>
      </c>
      <c r="T4960" s="17" t="n">
        <v>125</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0.8 %</t>
        </is>
      </c>
      <c r="AA4960" s="12">
        <f>N4960*O4960</f>
        <v/>
      </c>
    </row>
    <row r="4961">
      <c r="A4961" s="12" t="inlineStr">
        <is>
          <t>I-P-0011</t>
        </is>
      </c>
      <c r="B4961" s="12" t="inlineStr">
        <is>
          <t>I</t>
        </is>
      </c>
      <c r="C4961" s="12" t="inlineStr">
        <is>
          <t>Modular / portable power</t>
        </is>
      </c>
      <c r="D4961" s="12" t="inlineStr">
        <is>
          <t>FC-7 SOFC output to inverter / AC cabinet</t>
        </is>
      </c>
      <c r="E4961" s="12" t="inlineStr">
        <is>
          <t>FC-7</t>
        </is>
      </c>
      <c r="F4961" s="12" t="inlineStr">
        <is>
          <t>FC-7: SOFC module (Bloom ES5 class, 200-300 kW)</t>
        </is>
      </c>
      <c r="G4961" s="12" t="inlineStr"/>
      <c r="H4961" s="12" t="inlineStr">
        <is>
          <t>FC-5..12 inverter / AC cabinet / desulfurizer</t>
        </is>
      </c>
      <c r="I4961" s="12" t="inlineStr">
        <is>
          <t>LV 600 V</t>
        </is>
      </c>
      <c r="J4961" s="12" t="inlineStr">
        <is>
          <t>Type TC-ER 600 V 3/C Cu XHHW-2 + ground, PVC jacket</t>
        </is>
      </c>
      <c r="K4961" s="12" t="inlineStr">
        <is>
          <t>LV|3/C+G|3/0</t>
        </is>
      </c>
      <c r="L4961" s="12" t="inlineStr">
        <is>
          <t>3/C+G</t>
        </is>
      </c>
      <c r="M4961" s="12" t="inlineStr">
        <is>
          <t>3/0</t>
        </is>
      </c>
      <c r="N4961" s="12" t="n">
        <v>2</v>
      </c>
      <c r="O4961" s="12" t="n">
        <v>1</v>
      </c>
      <c r="P4961" s="12" t="n">
        <v>480</v>
      </c>
      <c r="Q4961" s="12" t="n">
        <v>250</v>
      </c>
      <c r="R4961" s="12" t="n">
        <v>316.5</v>
      </c>
      <c r="S4961" s="12" t="inlineStr">
        <is>
          <t>Duct bank</t>
        </is>
      </c>
      <c r="T4961" s="17" t="n">
        <v>111</v>
      </c>
      <c r="U4961" s="17" t="n">
        <v>32</v>
      </c>
      <c r="V4961" s="17">
        <f>ROUNDUP((T4961+U4961+2*'Read Me'!$B$13)*(1+'Read Me'!$B$12),-1)</f>
        <v/>
      </c>
      <c r="W4961" s="17">
        <f>V4961*N4961*O4961</f>
        <v/>
      </c>
      <c r="X4961" s="12">
        <f>IF(LEFT(I4961,2)="MV",2*N4961*IF(L4961="1/C",O4961,1),0)</f>
        <v/>
      </c>
      <c r="Y4961" s="12">
        <f>IF(OR(LEFT(K4961,4)="LVAX",LEFT(K4961,6)="MV15AX",LEFT(K4961,4)="CTAX",LEFT(K4961,2)="W|"),2*N4961*O4961,0)</f>
        <v/>
      </c>
      <c r="Z4961" s="12" t="inlineStr">
        <is>
          <t>VD 0.7 %</t>
        </is>
      </c>
      <c r="AA4961" s="12">
        <f>N4961*O4961</f>
        <v/>
      </c>
    </row>
    <row r="4962">
      <c r="A4962" s="12" t="inlineStr">
        <is>
          <t>I-P-0012</t>
        </is>
      </c>
      <c r="B4962" s="12" t="inlineStr">
        <is>
          <t>I</t>
        </is>
      </c>
      <c r="C4962" s="12" t="inlineStr">
        <is>
          <t>Modular / portable power</t>
        </is>
      </c>
      <c r="D4962" s="12" t="inlineStr">
        <is>
          <t>FC-8 SOFC output to inverter / AC cabinet</t>
        </is>
      </c>
      <c r="E4962" s="12" t="inlineStr">
        <is>
          <t>FC-8</t>
        </is>
      </c>
      <c r="F4962" s="12" t="inlineStr">
        <is>
          <t>FC-8: SOFC module (Bloom ES5 class, 200-300 kW)</t>
        </is>
      </c>
      <c r="G4962" s="12" t="inlineStr"/>
      <c r="H4962" s="12" t="inlineStr">
        <is>
          <t>FC-5..12 inverter / AC cabinet / desulfurizer</t>
        </is>
      </c>
      <c r="I4962" s="12" t="inlineStr">
        <is>
          <t>LV 600 V</t>
        </is>
      </c>
      <c r="J4962" s="12" t="inlineStr">
        <is>
          <t>Type TC-ER 600 V 3/C Cu XHHW-2 + ground, PVC jacket</t>
        </is>
      </c>
      <c r="K4962" s="12" t="inlineStr">
        <is>
          <t>LV|3/C+G|3/0</t>
        </is>
      </c>
      <c r="L4962" s="12" t="inlineStr">
        <is>
          <t>3/C+G</t>
        </is>
      </c>
      <c r="M4962" s="12" t="inlineStr">
        <is>
          <t>3/0</t>
        </is>
      </c>
      <c r="N4962" s="12" t="n">
        <v>2</v>
      </c>
      <c r="O4962" s="12" t="n">
        <v>1</v>
      </c>
      <c r="P4962" s="12" t="n">
        <v>480</v>
      </c>
      <c r="Q4962" s="12" t="n">
        <v>250</v>
      </c>
      <c r="R4962" s="12" t="n">
        <v>316.5</v>
      </c>
      <c r="S4962" s="12" t="inlineStr">
        <is>
          <t>Duct bank</t>
        </is>
      </c>
      <c r="T4962" s="17" t="n">
        <v>97</v>
      </c>
      <c r="U4962" s="17" t="n">
        <v>32</v>
      </c>
      <c r="V4962" s="17">
        <f>ROUNDUP((T4962+U4962+2*'Read Me'!$B$13)*(1+'Read Me'!$B$12),-1)</f>
        <v/>
      </c>
      <c r="W4962" s="17">
        <f>V4962*N4962*O4962</f>
        <v/>
      </c>
      <c r="X4962" s="12">
        <f>IF(LEFT(I4962,2)="MV",2*N4962*IF(L4962="1/C",O4962,1),0)</f>
        <v/>
      </c>
      <c r="Y4962" s="12">
        <f>IF(OR(LEFT(K4962,4)="LVAX",LEFT(K4962,6)="MV15AX",LEFT(K4962,4)="CTAX",LEFT(K4962,2)="W|"),2*N4962*O4962,0)</f>
        <v/>
      </c>
      <c r="Z4962" s="12" t="inlineStr">
        <is>
          <t>VD 0.6 %</t>
        </is>
      </c>
      <c r="AA4962" s="12">
        <f>N4962*O4962</f>
        <v/>
      </c>
    </row>
    <row r="4963">
      <c r="A4963" s="12" t="inlineStr">
        <is>
          <t>I-P-0013</t>
        </is>
      </c>
      <c r="B4963" s="12" t="inlineStr">
        <is>
          <t>I</t>
        </is>
      </c>
      <c r="C4963" s="12" t="inlineStr">
        <is>
          <t>Modular / portable power</t>
        </is>
      </c>
      <c r="D4963" s="12" t="inlineStr">
        <is>
          <t>FC-9 SOFC output to inverter / AC cabinet</t>
        </is>
      </c>
      <c r="E4963" s="12" t="inlineStr">
        <is>
          <t>FC-9</t>
        </is>
      </c>
      <c r="F4963" s="12" t="inlineStr">
        <is>
          <t>FC-9: SOFC module (Bloom ES5 class, 200-300 kW)</t>
        </is>
      </c>
      <c r="G4963" s="12" t="inlineStr"/>
      <c r="H4963" s="12" t="inlineStr">
        <is>
          <t>FC-5..12 inverter / AC cabinet / desulfurizer</t>
        </is>
      </c>
      <c r="I4963" s="12" t="inlineStr">
        <is>
          <t>LV 600 V</t>
        </is>
      </c>
      <c r="J4963" s="12" t="inlineStr">
        <is>
          <t>Type TC-ER 600 V 3/C Cu XHHW-2 + ground, PVC jacket</t>
        </is>
      </c>
      <c r="K4963" s="12" t="inlineStr">
        <is>
          <t>LV|3/C+G|3/0</t>
        </is>
      </c>
      <c r="L4963" s="12" t="inlineStr">
        <is>
          <t>3/C+G</t>
        </is>
      </c>
      <c r="M4963" s="12" t="inlineStr">
        <is>
          <t>3/0</t>
        </is>
      </c>
      <c r="N4963" s="12" t="n">
        <v>2</v>
      </c>
      <c r="O4963" s="12" t="n">
        <v>1</v>
      </c>
      <c r="P4963" s="12" t="n">
        <v>480</v>
      </c>
      <c r="Q4963" s="12" t="n">
        <v>250</v>
      </c>
      <c r="R4963" s="12" t="n">
        <v>316.5</v>
      </c>
      <c r="S4963" s="12" t="inlineStr">
        <is>
          <t>Duct bank</t>
        </is>
      </c>
      <c r="T4963" s="17" t="n">
        <v>83</v>
      </c>
      <c r="U4963" s="17" t="n">
        <v>32</v>
      </c>
      <c r="V4963" s="17">
        <f>ROUNDUP((T4963+U4963+2*'Read Me'!$B$13)*(1+'Read Me'!$B$12),-1)</f>
        <v/>
      </c>
      <c r="W4963" s="17">
        <f>V4963*N4963*O4963</f>
        <v/>
      </c>
      <c r="X4963" s="12">
        <f>IF(LEFT(I4963,2)="MV",2*N4963*IF(L4963="1/C",O4963,1),0)</f>
        <v/>
      </c>
      <c r="Y4963" s="12">
        <f>IF(OR(LEFT(K4963,4)="LVAX",LEFT(K4963,6)="MV15AX",LEFT(K4963,4)="CTAX",LEFT(K4963,2)="W|"),2*N4963*O4963,0)</f>
        <v/>
      </c>
      <c r="Z4963" s="12" t="inlineStr">
        <is>
          <t>VD 0.6 %</t>
        </is>
      </c>
      <c r="AA4963" s="12">
        <f>N4963*O4963</f>
        <v/>
      </c>
    </row>
    <row r="4964">
      <c r="A4964" s="12" t="inlineStr">
        <is>
          <t>I-P-0014</t>
        </is>
      </c>
      <c r="B4964" s="12" t="inlineStr">
        <is>
          <t>I</t>
        </is>
      </c>
      <c r="C4964" s="12" t="inlineStr">
        <is>
          <t>Modular / portable power</t>
        </is>
      </c>
      <c r="D4964" s="12" t="inlineStr">
        <is>
          <t>FC-10 SOFC output to inverter / AC cabinet</t>
        </is>
      </c>
      <c r="E4964" s="12" t="inlineStr">
        <is>
          <t>FC-10</t>
        </is>
      </c>
      <c r="F4964" s="12" t="inlineStr">
        <is>
          <t>FC-10: SOFC module (Bloom ES5 class, 200-300 kW)</t>
        </is>
      </c>
      <c r="G4964" s="12" t="inlineStr"/>
      <c r="H4964" s="12" t="inlineStr">
        <is>
          <t>FC-5..12 inverter / AC cabinet / desulfurizer</t>
        </is>
      </c>
      <c r="I4964" s="12" t="inlineStr">
        <is>
          <t>LV 600 V</t>
        </is>
      </c>
      <c r="J4964" s="12" t="inlineStr">
        <is>
          <t>Type TC-ER 600 V 3/C Cu XHHW-2 + ground, PVC jacket</t>
        </is>
      </c>
      <c r="K4964" s="12" t="inlineStr">
        <is>
          <t>LV|3/C+G|3/0</t>
        </is>
      </c>
      <c r="L4964" s="12" t="inlineStr">
        <is>
          <t>3/C+G</t>
        </is>
      </c>
      <c r="M4964" s="12" t="inlineStr">
        <is>
          <t>3/0</t>
        </is>
      </c>
      <c r="N4964" s="12" t="n">
        <v>2</v>
      </c>
      <c r="O4964" s="12" t="n">
        <v>1</v>
      </c>
      <c r="P4964" s="12" t="n">
        <v>480</v>
      </c>
      <c r="Q4964" s="12" t="n">
        <v>250</v>
      </c>
      <c r="R4964" s="12" t="n">
        <v>316.5</v>
      </c>
      <c r="S4964" s="12" t="inlineStr">
        <is>
          <t>Duct bank</t>
        </is>
      </c>
      <c r="T4964" s="17" t="n">
        <v>69</v>
      </c>
      <c r="U4964" s="17" t="n">
        <v>32</v>
      </c>
      <c r="V4964" s="17">
        <f>ROUNDUP((T4964+U4964+2*'Read Me'!$B$13)*(1+'Read Me'!$B$12),-1)</f>
        <v/>
      </c>
      <c r="W4964" s="17">
        <f>V4964*N4964*O4964</f>
        <v/>
      </c>
      <c r="X4964" s="12">
        <f>IF(LEFT(I4964,2)="MV",2*N4964*IF(L4964="1/C",O4964,1),0)</f>
        <v/>
      </c>
      <c r="Y4964" s="12">
        <f>IF(OR(LEFT(K4964,4)="LVAX",LEFT(K4964,6)="MV15AX",LEFT(K4964,4)="CTAX",LEFT(K4964,2)="W|"),2*N4964*O4964,0)</f>
        <v/>
      </c>
      <c r="Z4964" s="12" t="inlineStr">
        <is>
          <t>VD 0.5 %</t>
        </is>
      </c>
      <c r="AA4964" s="12">
        <f>N4964*O4964</f>
        <v/>
      </c>
    </row>
    <row r="4965">
      <c r="A4965" s="12" t="inlineStr">
        <is>
          <t>I-P-0015</t>
        </is>
      </c>
      <c r="B4965" s="12" t="inlineStr">
        <is>
          <t>I</t>
        </is>
      </c>
      <c r="C4965" s="12" t="inlineStr">
        <is>
          <t>Modular / portable power</t>
        </is>
      </c>
      <c r="D4965" s="12" t="inlineStr">
        <is>
          <t>FC-11 SOFC output to inverter / AC cabinet</t>
        </is>
      </c>
      <c r="E4965" s="12" t="inlineStr">
        <is>
          <t>FC-11</t>
        </is>
      </c>
      <c r="F4965" s="12" t="inlineStr">
        <is>
          <t>FC-11: SOFC module (Bloom ES5 class, 200-300 kW)</t>
        </is>
      </c>
      <c r="G4965" s="12" t="inlineStr"/>
      <c r="H4965" s="12" t="inlineStr">
        <is>
          <t>FC-5..12 inverter / AC cabinet / desulfurizer</t>
        </is>
      </c>
      <c r="I4965" s="12" t="inlineStr">
        <is>
          <t>LV 600 V</t>
        </is>
      </c>
      <c r="J4965" s="12" t="inlineStr">
        <is>
          <t>Type TC-ER 600 V 3/C Cu XHHW-2 + ground, PVC jacket</t>
        </is>
      </c>
      <c r="K4965" s="12" t="inlineStr">
        <is>
          <t>LV|3/C+G|3/0</t>
        </is>
      </c>
      <c r="L4965" s="12" t="inlineStr">
        <is>
          <t>3/C+G</t>
        </is>
      </c>
      <c r="M4965" s="12" t="inlineStr">
        <is>
          <t>3/0</t>
        </is>
      </c>
      <c r="N4965" s="12" t="n">
        <v>2</v>
      </c>
      <c r="O4965" s="12" t="n">
        <v>1</v>
      </c>
      <c r="P4965" s="12" t="n">
        <v>480</v>
      </c>
      <c r="Q4965" s="12" t="n">
        <v>250</v>
      </c>
      <c r="R4965" s="12" t="n">
        <v>316.5</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VD 0.4 %</t>
        </is>
      </c>
      <c r="AA4965" s="12">
        <f>N4965*O4965</f>
        <v/>
      </c>
    </row>
    <row r="4966">
      <c r="A4966" s="12" t="inlineStr">
        <is>
          <t>I-P-0016</t>
        </is>
      </c>
      <c r="B4966" s="12" t="inlineStr">
        <is>
          <t>I</t>
        </is>
      </c>
      <c r="C4966" s="12" t="inlineStr">
        <is>
          <t>Modular / portable power</t>
        </is>
      </c>
      <c r="D4966" s="12" t="inlineStr">
        <is>
          <t>FC-12 SOFC output to inverter / AC cabinet</t>
        </is>
      </c>
      <c r="E4966" s="12" t="inlineStr">
        <is>
          <t>FC-12</t>
        </is>
      </c>
      <c r="F4966" s="12" t="inlineStr">
        <is>
          <t>FC-12: SOFC module (Bloom ES5 class, 200-300 kW)</t>
        </is>
      </c>
      <c r="G4966" s="12" t="inlineStr"/>
      <c r="H4966" s="12" t="inlineStr">
        <is>
          <t>FC-5..12 inverter / AC cabinet / desulfurizer</t>
        </is>
      </c>
      <c r="I4966" s="12" t="inlineStr">
        <is>
          <t>LV 600 V</t>
        </is>
      </c>
      <c r="J4966" s="12" t="inlineStr">
        <is>
          <t>Type TC-ER 600 V 3/C Cu XHHW-2 + ground, PVC jacket</t>
        </is>
      </c>
      <c r="K4966" s="12" t="inlineStr">
        <is>
          <t>LV|3/C+G|3/0</t>
        </is>
      </c>
      <c r="L4966" s="12" t="inlineStr">
        <is>
          <t>3/C+G</t>
        </is>
      </c>
      <c r="M4966" s="12" t="inlineStr">
        <is>
          <t>3/0</t>
        </is>
      </c>
      <c r="N4966" s="12" t="n">
        <v>2</v>
      </c>
      <c r="O4966" s="12" t="n">
        <v>1</v>
      </c>
      <c r="P4966" s="12" t="n">
        <v>480</v>
      </c>
      <c r="Q4966" s="12" t="n">
        <v>250</v>
      </c>
      <c r="R4966" s="12" t="n">
        <v>316.5</v>
      </c>
      <c r="S4966" s="12" t="inlineStr">
        <is>
          <t>Duct bank</t>
        </is>
      </c>
      <c r="T4966" s="17" t="n">
        <v>46</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0.4 %</t>
        </is>
      </c>
      <c r="AA4966" s="12">
        <f>N4966*O4966</f>
        <v/>
      </c>
    </row>
    <row r="4967">
      <c r="A4967" s="12" t="inlineStr">
        <is>
          <t>I-P-0017</t>
        </is>
      </c>
      <c r="B4967" s="12" t="inlineStr">
        <is>
          <t>I</t>
        </is>
      </c>
      <c r="C4967" s="12" t="inlineStr">
        <is>
          <t>Modular / portable power</t>
        </is>
      </c>
      <c r="D4967" s="12" t="inlineStr">
        <is>
          <t>Motor 1 of 6, 15 kW</t>
        </is>
      </c>
      <c r="E4967" s="12" t="inlineStr"/>
      <c r="F4967" s="12" t="inlineStr">
        <is>
          <t>SC-2 PCM + 15 kV GCB</t>
        </is>
      </c>
      <c r="G4967" s="12" t="inlineStr"/>
      <c r="H4967" s="12" t="inlineStr">
        <is>
          <t>Fuel-gas compressors 3 x 100% electric</t>
        </is>
      </c>
      <c r="I4967" s="12" t="inlineStr">
        <is>
          <t>LV 600 V</t>
        </is>
      </c>
      <c r="J4967" s="12" t="inlineStr">
        <is>
          <t>ARMOR-X MC-HL 600 V 3/C Cu XHHW-2 + ground, CWA, black PVC (Class I Div 2)</t>
        </is>
      </c>
      <c r="K4967" s="12" t="inlineStr">
        <is>
          <t>LVAX|3/C+G|10</t>
        </is>
      </c>
      <c r="L4967" s="12" t="inlineStr">
        <is>
          <t>3/C+G</t>
        </is>
      </c>
      <c r="M4967" s="12" t="inlineStr">
        <is>
          <t>10</t>
        </is>
      </c>
      <c r="N4967" s="12" t="n">
        <v>1</v>
      </c>
      <c r="O4967" s="12" t="n">
        <v>1</v>
      </c>
      <c r="P4967" s="12" t="n">
        <v>480</v>
      </c>
      <c r="Q4967" s="12" t="n">
        <v>15</v>
      </c>
      <c r="R4967" s="12" t="n">
        <v>21.2</v>
      </c>
      <c r="S4967" s="12" t="inlineStr">
        <is>
          <t>Duct bank</t>
        </is>
      </c>
      <c r="T4967" s="17" t="n">
        <v>8</v>
      </c>
      <c r="U4967" s="17" t="n">
        <v>108</v>
      </c>
      <c r="V4967" s="17">
        <f>ROUNDUP((T4967+U4967+2*'Read Me'!$B$13)*(1+'Read Me'!$B$12),-1)</f>
        <v/>
      </c>
      <c r="W4967" s="17">
        <f>V4967*N4967*O4967</f>
        <v/>
      </c>
      <c r="X4967" s="12">
        <f>IF(LEFT(I4967,2)="MV",2*N4967*IF(L4967="1/C",O4967,1),0)</f>
        <v/>
      </c>
      <c r="Y4967" s="12">
        <f>IF(OR(LEFT(K4967,4)="LVAX",LEFT(K4967,6)="MV15AX",LEFT(K4967,4)="CTAX",LEFT(K4967,2)="W|"),2*N4967*O4967,0)</f>
        <v/>
      </c>
      <c r="Z4967" s="12" t="inlineStr">
        <is>
          <t>VD 1.2 %</t>
        </is>
      </c>
      <c r="AA4967" s="12">
        <f>N4967*O4967</f>
        <v/>
      </c>
    </row>
    <row r="4968">
      <c r="A4968" s="12" t="inlineStr">
        <is>
          <t>I-P-0018</t>
        </is>
      </c>
      <c r="B4968" s="12" t="inlineStr">
        <is>
          <t>I</t>
        </is>
      </c>
      <c r="C4968" s="12" t="inlineStr">
        <is>
          <t>Modular / portable power</t>
        </is>
      </c>
      <c r="D4968" s="12" t="inlineStr">
        <is>
          <t>Motor 2 of 6, 15 kW</t>
        </is>
      </c>
      <c r="E4968" s="12" t="inlineStr"/>
      <c r="F4968" s="12" t="inlineStr">
        <is>
          <t>SC-2 PCM + 15 kV GCB</t>
        </is>
      </c>
      <c r="G4968" s="12" t="inlineStr"/>
      <c r="H4968" s="12" t="inlineStr">
        <is>
          <t>Fuel-gas compressors 3 x 100% electric</t>
        </is>
      </c>
      <c r="I4968" s="12" t="inlineStr">
        <is>
          <t>LV 600 V</t>
        </is>
      </c>
      <c r="J4968" s="12" t="inlineStr">
        <is>
          <t>ARMOR-X MC-HL 600 V 3/C Cu XHHW-2 + ground, CWA, black PVC (Class I Div 2)</t>
        </is>
      </c>
      <c r="K4968" s="12" t="inlineStr">
        <is>
          <t>LVAX|3/C+G|10</t>
        </is>
      </c>
      <c r="L4968" s="12" t="inlineStr">
        <is>
          <t>3/C+G</t>
        </is>
      </c>
      <c r="M4968" s="12" t="inlineStr">
        <is>
          <t>10</t>
        </is>
      </c>
      <c r="N4968" s="12" t="n">
        <v>1</v>
      </c>
      <c r="O4968" s="12" t="n">
        <v>1</v>
      </c>
      <c r="P4968" s="12" t="n">
        <v>480</v>
      </c>
      <c r="Q4968" s="12" t="n">
        <v>15</v>
      </c>
      <c r="R4968" s="12" t="n">
        <v>21.2</v>
      </c>
      <c r="S4968" s="12" t="inlineStr">
        <is>
          <t>Duct bank</t>
        </is>
      </c>
      <c r="T4968" s="17" t="n">
        <v>8</v>
      </c>
      <c r="U4968" s="17" t="n">
        <v>108</v>
      </c>
      <c r="V4968" s="17">
        <f>ROUNDUP((T4968+U4968+2*'Read Me'!$B$13)*(1+'Read Me'!$B$12),-1)</f>
        <v/>
      </c>
      <c r="W4968" s="17">
        <f>V4968*N4968*O4968</f>
        <v/>
      </c>
      <c r="X4968" s="12">
        <f>IF(LEFT(I4968,2)="MV",2*N4968*IF(L4968="1/C",O4968,1),0)</f>
        <v/>
      </c>
      <c r="Y4968" s="12">
        <f>IF(OR(LEFT(K4968,4)="LVAX",LEFT(K4968,6)="MV15AX",LEFT(K4968,4)="CTAX",LEFT(K4968,2)="W|"),2*N4968*O4968,0)</f>
        <v/>
      </c>
      <c r="Z4968" s="12" t="inlineStr">
        <is>
          <t>VD 1.2 %</t>
        </is>
      </c>
      <c r="AA4968" s="12">
        <f>N4968*O4968</f>
        <v/>
      </c>
    </row>
    <row r="4969">
      <c r="A4969" s="12" t="inlineStr">
        <is>
          <t>I-P-0019</t>
        </is>
      </c>
      <c r="B4969" s="12" t="inlineStr">
        <is>
          <t>I</t>
        </is>
      </c>
      <c r="C4969" s="12" t="inlineStr">
        <is>
          <t>Modular / portable power</t>
        </is>
      </c>
      <c r="D4969" s="12" t="inlineStr">
        <is>
          <t>Motor 3 of 6, 15 kW</t>
        </is>
      </c>
      <c r="E4969" s="12" t="inlineStr"/>
      <c r="F4969" s="12" t="inlineStr">
        <is>
          <t>SC-2 PCM + 15 kV GCB</t>
        </is>
      </c>
      <c r="G4969" s="12" t="inlineStr"/>
      <c r="H4969" s="12" t="inlineStr">
        <is>
          <t>Fuel-gas compressors 3 x 100% electric</t>
        </is>
      </c>
      <c r="I4969" s="12" t="inlineStr">
        <is>
          <t>LV 600 V</t>
        </is>
      </c>
      <c r="J4969" s="12" t="inlineStr">
        <is>
          <t>ARMOR-X MC-HL 600 V 3/C Cu XHHW-2 + ground, CWA, black PVC (Class I Div 2)</t>
        </is>
      </c>
      <c r="K4969" s="12" t="inlineStr">
        <is>
          <t>LVAX|3/C+G|10</t>
        </is>
      </c>
      <c r="L4969" s="12" t="inlineStr">
        <is>
          <t>3/C+G</t>
        </is>
      </c>
      <c r="M4969" s="12" t="inlineStr">
        <is>
          <t>10</t>
        </is>
      </c>
      <c r="N4969" s="12" t="n">
        <v>1</v>
      </c>
      <c r="O4969" s="12" t="n">
        <v>1</v>
      </c>
      <c r="P4969" s="12" t="n">
        <v>480</v>
      </c>
      <c r="Q4969" s="12" t="n">
        <v>15</v>
      </c>
      <c r="R4969" s="12" t="n">
        <v>21.2</v>
      </c>
      <c r="S4969" s="12" t="inlineStr">
        <is>
          <t>Duct bank</t>
        </is>
      </c>
      <c r="T4969" s="17" t="n">
        <v>8</v>
      </c>
      <c r="U4969" s="17" t="n">
        <v>108</v>
      </c>
      <c r="V4969" s="17">
        <f>ROUNDUP((T4969+U4969+2*'Read Me'!$B$13)*(1+'Read Me'!$B$12),-1)</f>
        <v/>
      </c>
      <c r="W4969" s="17">
        <f>V4969*N4969*O4969</f>
        <v/>
      </c>
      <c r="X4969" s="12">
        <f>IF(LEFT(I4969,2)="MV",2*N4969*IF(L4969="1/C",O4969,1),0)</f>
        <v/>
      </c>
      <c r="Y4969" s="12">
        <f>IF(OR(LEFT(K4969,4)="LVAX",LEFT(K4969,6)="MV15AX",LEFT(K4969,4)="CTAX",LEFT(K4969,2)="W|"),2*N4969*O4969,0)</f>
        <v/>
      </c>
      <c r="Z4969" s="12" t="inlineStr">
        <is>
          <t>VD 1.2 %</t>
        </is>
      </c>
      <c r="AA4969" s="12">
        <f>N4969*O4969</f>
        <v/>
      </c>
    </row>
    <row r="4970">
      <c r="A4970" s="12" t="inlineStr">
        <is>
          <t>I-P-0020</t>
        </is>
      </c>
      <c r="B4970" s="12" t="inlineStr">
        <is>
          <t>I</t>
        </is>
      </c>
      <c r="C4970" s="12" t="inlineStr">
        <is>
          <t>Modular / portable power</t>
        </is>
      </c>
      <c r="D4970" s="12" t="inlineStr">
        <is>
          <t>Motor 4 of 6, 15 kW</t>
        </is>
      </c>
      <c r="E4970" s="12" t="inlineStr"/>
      <c r="F4970" s="12" t="inlineStr">
        <is>
          <t>SC-2 PCM + 15 kV GCB</t>
        </is>
      </c>
      <c r="G4970" s="12" t="inlineStr"/>
      <c r="H4970" s="12" t="inlineStr">
        <is>
          <t>Fuel-gas compressors 3 x 100% electric</t>
        </is>
      </c>
      <c r="I4970" s="12" t="inlineStr">
        <is>
          <t>LV 600 V</t>
        </is>
      </c>
      <c r="J4970" s="12" t="inlineStr">
        <is>
          <t>ARMOR-X MC-HL 600 V 3/C Cu XHHW-2 + ground, CWA, black PVC (Class I Div 2)</t>
        </is>
      </c>
      <c r="K4970" s="12" t="inlineStr">
        <is>
          <t>LVAX|3/C+G|10</t>
        </is>
      </c>
      <c r="L4970" s="12" t="inlineStr">
        <is>
          <t>3/C+G</t>
        </is>
      </c>
      <c r="M4970" s="12" t="inlineStr">
        <is>
          <t>10</t>
        </is>
      </c>
      <c r="N4970" s="12" t="n">
        <v>1</v>
      </c>
      <c r="O4970" s="12" t="n">
        <v>1</v>
      </c>
      <c r="P4970" s="12" t="n">
        <v>480</v>
      </c>
      <c r="Q4970" s="12" t="n">
        <v>15</v>
      </c>
      <c r="R4970" s="12" t="n">
        <v>21.2</v>
      </c>
      <c r="S4970" s="12" t="inlineStr">
        <is>
          <t>Duct bank</t>
        </is>
      </c>
      <c r="T4970" s="17" t="n">
        <v>8</v>
      </c>
      <c r="U4970" s="17" t="n">
        <v>108</v>
      </c>
      <c r="V4970" s="17">
        <f>ROUNDUP((T4970+U4970+2*'Read Me'!$B$13)*(1+'Read Me'!$B$12),-1)</f>
        <v/>
      </c>
      <c r="W4970" s="17">
        <f>V4970*N4970*O4970</f>
        <v/>
      </c>
      <c r="X4970" s="12">
        <f>IF(LEFT(I4970,2)="MV",2*N4970*IF(L4970="1/C",O4970,1),0)</f>
        <v/>
      </c>
      <c r="Y4970" s="12">
        <f>IF(OR(LEFT(K4970,4)="LVAX",LEFT(K4970,6)="MV15AX",LEFT(K4970,4)="CTAX",LEFT(K4970,2)="W|"),2*N4970*O4970,0)</f>
        <v/>
      </c>
      <c r="Z4970" s="12" t="inlineStr">
        <is>
          <t>VD 1.2 %</t>
        </is>
      </c>
      <c r="AA4970" s="12">
        <f>N4970*O4970</f>
        <v/>
      </c>
    </row>
    <row r="4971">
      <c r="A4971" s="12" t="inlineStr">
        <is>
          <t>I-P-0021</t>
        </is>
      </c>
      <c r="B4971" s="12" t="inlineStr">
        <is>
          <t>I</t>
        </is>
      </c>
      <c r="C4971" s="12" t="inlineStr">
        <is>
          <t>Modular / portable power</t>
        </is>
      </c>
      <c r="D4971" s="12" t="inlineStr">
        <is>
          <t>Motor 5 of 6, 15 kW</t>
        </is>
      </c>
      <c r="E4971" s="12" t="inlineStr"/>
      <c r="F4971" s="12" t="inlineStr">
        <is>
          <t>SC-2 PCM + 15 kV GCB</t>
        </is>
      </c>
      <c r="G4971" s="12" t="inlineStr"/>
      <c r="H4971" s="12" t="inlineStr">
        <is>
          <t>Fuel-gas compressors 3 x 100% electric</t>
        </is>
      </c>
      <c r="I4971" s="12" t="inlineStr">
        <is>
          <t>LV 600 V</t>
        </is>
      </c>
      <c r="J4971" s="12" t="inlineStr">
        <is>
          <t>ARMOR-X MC-HL 600 V 3/C Cu XHHW-2 + ground, CWA, black PVC (Class I Div 2)</t>
        </is>
      </c>
      <c r="K4971" s="12" t="inlineStr">
        <is>
          <t>LVAX|3/C+G|10</t>
        </is>
      </c>
      <c r="L4971" s="12" t="inlineStr">
        <is>
          <t>3/C+G</t>
        </is>
      </c>
      <c r="M4971" s="12" t="inlineStr">
        <is>
          <t>10</t>
        </is>
      </c>
      <c r="N4971" s="12" t="n">
        <v>1</v>
      </c>
      <c r="O4971" s="12" t="n">
        <v>1</v>
      </c>
      <c r="P4971" s="12" t="n">
        <v>480</v>
      </c>
      <c r="Q4971" s="12" t="n">
        <v>15</v>
      </c>
      <c r="R4971" s="12" t="n">
        <v>21.2</v>
      </c>
      <c r="S4971" s="12" t="inlineStr">
        <is>
          <t>Duct bank</t>
        </is>
      </c>
      <c r="T4971" s="17" t="n">
        <v>8</v>
      </c>
      <c r="U4971" s="17" t="n">
        <v>108</v>
      </c>
      <c r="V4971" s="17">
        <f>ROUNDUP((T4971+U4971+2*'Read Me'!$B$13)*(1+'Read Me'!$B$12),-1)</f>
        <v/>
      </c>
      <c r="W4971" s="17">
        <f>V4971*N4971*O4971</f>
        <v/>
      </c>
      <c r="X4971" s="12">
        <f>IF(LEFT(I4971,2)="MV",2*N4971*IF(L4971="1/C",O4971,1),0)</f>
        <v/>
      </c>
      <c r="Y4971" s="12">
        <f>IF(OR(LEFT(K4971,4)="LVAX",LEFT(K4971,6)="MV15AX",LEFT(K4971,4)="CTAX",LEFT(K4971,2)="W|"),2*N4971*O4971,0)</f>
        <v/>
      </c>
      <c r="Z4971" s="12" t="inlineStr">
        <is>
          <t>VD 1.2 %</t>
        </is>
      </c>
      <c r="AA4971" s="12">
        <f>N4971*O4971</f>
        <v/>
      </c>
    </row>
    <row r="4972">
      <c r="A4972" s="12" t="inlineStr">
        <is>
          <t>I-P-0022</t>
        </is>
      </c>
      <c r="B4972" s="12" t="inlineStr">
        <is>
          <t>I</t>
        </is>
      </c>
      <c r="C4972" s="12" t="inlineStr">
        <is>
          <t>Modular / portable power</t>
        </is>
      </c>
      <c r="D4972" s="12" t="inlineStr">
        <is>
          <t>Motor 6 of 6, 15 kW</t>
        </is>
      </c>
      <c r="E4972" s="12" t="inlineStr"/>
      <c r="F4972" s="12" t="inlineStr">
        <is>
          <t>SC-2 PCM + 15 kV GCB</t>
        </is>
      </c>
      <c r="G4972" s="12" t="inlineStr"/>
      <c r="H4972" s="12" t="inlineStr">
        <is>
          <t>Fuel-gas compressors 3 x 100% electric</t>
        </is>
      </c>
      <c r="I4972" s="12" t="inlineStr">
        <is>
          <t>LV 600 V</t>
        </is>
      </c>
      <c r="J4972" s="12" t="inlineStr">
        <is>
          <t>ARMOR-X MC-HL 600 V 3/C Cu XHHW-2 + ground, CWA, black PVC (Class I Div 2)</t>
        </is>
      </c>
      <c r="K4972" s="12" t="inlineStr">
        <is>
          <t>LVAX|3/C+G|10</t>
        </is>
      </c>
      <c r="L4972" s="12" t="inlineStr">
        <is>
          <t>3/C+G</t>
        </is>
      </c>
      <c r="M4972" s="12" t="inlineStr">
        <is>
          <t>10</t>
        </is>
      </c>
      <c r="N4972" s="12" t="n">
        <v>1</v>
      </c>
      <c r="O4972" s="12" t="n">
        <v>1</v>
      </c>
      <c r="P4972" s="12" t="n">
        <v>480</v>
      </c>
      <c r="Q4972" s="12" t="n">
        <v>15</v>
      </c>
      <c r="R4972" s="12" t="n">
        <v>21.2</v>
      </c>
      <c r="S4972" s="12" t="inlineStr">
        <is>
          <t>Duct bank</t>
        </is>
      </c>
      <c r="T4972" s="17" t="n">
        <v>8</v>
      </c>
      <c r="U4972" s="17" t="n">
        <v>108</v>
      </c>
      <c r="V4972" s="17">
        <f>ROUNDUP((T4972+U4972+2*'Read Me'!$B$13)*(1+'Read Me'!$B$12),-1)</f>
        <v/>
      </c>
      <c r="W4972" s="17">
        <f>V4972*N4972*O4972</f>
        <v/>
      </c>
      <c r="X4972" s="12">
        <f>IF(LEFT(I4972,2)="MV",2*N4972*IF(L4972="1/C",O4972,1),0)</f>
        <v/>
      </c>
      <c r="Y4972" s="12">
        <f>IF(OR(LEFT(K4972,4)="LVAX",LEFT(K4972,6)="MV15AX",LEFT(K4972,4)="CTAX",LEFT(K4972,2)="W|"),2*N4972*O4972,0)</f>
        <v/>
      </c>
      <c r="Z4972" s="12" t="inlineStr">
        <is>
          <t>VD 1.2 %</t>
        </is>
      </c>
      <c r="AA4972" s="12">
        <f>N4972*O4972</f>
        <v/>
      </c>
    </row>
    <row r="4973">
      <c r="A4973" s="12" t="inlineStr">
        <is>
          <t>I-P-0023</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Gas conditioning skid</t>
        </is>
      </c>
      <c r="I4973" s="12" t="inlineStr">
        <is>
          <t>LV 600 V</t>
        </is>
      </c>
      <c r="J4973" s="12" t="inlineStr">
        <is>
          <t>ARMOR-X MC-HL 600 V 3/C Cu XHHW-2 + ground, CWA, black PVC (Class I Div 2)</t>
        </is>
      </c>
      <c r="K4973" s="12" t="inlineStr">
        <is>
          <t>LVAX|3/C+G|6</t>
        </is>
      </c>
      <c r="L4973" s="12" t="inlineStr">
        <is>
          <t>3/C+G</t>
        </is>
      </c>
      <c r="M4973" s="12" t="inlineStr">
        <is>
          <t>6</t>
        </is>
      </c>
      <c r="N4973" s="12" t="n">
        <v>1</v>
      </c>
      <c r="O4973" s="12" t="n">
        <v>1</v>
      </c>
      <c r="P4973" s="12" t="n">
        <v>480</v>
      </c>
      <c r="Q4973" s="12" t="n">
        <v>30</v>
      </c>
      <c r="R4973" s="12" t="n">
        <v>42.5</v>
      </c>
      <c r="S4973" s="12" t="inlineStr">
        <is>
          <t>Tray</t>
        </is>
      </c>
      <c r="T4973" s="17" t="n">
        <v>40</v>
      </c>
      <c r="U4973" s="17" t="n">
        <v>94</v>
      </c>
      <c r="V4973" s="17">
        <f>ROUNDUP((T4973+U4973+2*'Read Me'!$B$13)*(1+'Read Me'!$B$12),-1)</f>
        <v/>
      </c>
      <c r="W4973" s="17">
        <f>V4973*N4973*O4973</f>
        <v/>
      </c>
      <c r="X4973" s="12">
        <f>IF(LEFT(I4973,2)="MV",2*N4973*IF(L4973="1/C",O4973,1),0)</f>
        <v/>
      </c>
      <c r="Y4973" s="12">
        <f>IF(OR(LEFT(K4973,4)="LVAX",LEFT(K4973,6)="MV15AX",LEFT(K4973,4)="CTAX",LEFT(K4973,2)="W|"),2*N4973*O4973,0)</f>
        <v/>
      </c>
      <c r="Z4973" s="12" t="inlineStr">
        <is>
          <t>VD 1.1 %</t>
        </is>
      </c>
      <c r="AA4973" s="12">
        <f>N4973*O4973</f>
        <v/>
      </c>
    </row>
    <row r="4974">
      <c r="A4974" s="12" t="inlineStr">
        <is>
          <t>I-P-0024</t>
        </is>
      </c>
      <c r="B4974" s="12" t="inlineStr">
        <is>
          <t>I</t>
        </is>
      </c>
      <c r="C4974" s="12" t="inlineStr">
        <is>
          <t>Modular / portable power</t>
        </is>
      </c>
      <c r="D4974" s="12" t="inlineStr">
        <is>
          <t>LV panel / distribution feeder</t>
        </is>
      </c>
      <c r="E4974" s="12" t="inlineStr"/>
      <c r="F4974" s="12" t="inlineStr">
        <is>
          <t>PCM: power control module</t>
        </is>
      </c>
      <c r="G4974" s="12" t="inlineStr"/>
      <c r="H4974" s="12" t="inlineStr">
        <is>
          <t>Lube oil / starting air / oily water building</t>
        </is>
      </c>
      <c r="I4974" s="12" t="inlineStr">
        <is>
          <t>LV 600 V</t>
        </is>
      </c>
      <c r="J4974" s="12" t="inlineStr">
        <is>
          <t>Type TC-ER 600 V 3/C Cu XHHW-2 + ground, PVC jacket</t>
        </is>
      </c>
      <c r="K4974" s="12" t="inlineStr">
        <is>
          <t>LV|3/C+G|1/0</t>
        </is>
      </c>
      <c r="L4974" s="12" t="inlineStr">
        <is>
          <t>3/C+G</t>
        </is>
      </c>
      <c r="M4974" s="12" t="inlineStr">
        <is>
          <t>1/0</t>
        </is>
      </c>
      <c r="N4974" s="12" t="n">
        <v>1</v>
      </c>
      <c r="O4974" s="12" t="n">
        <v>1</v>
      </c>
      <c r="P4974" s="12" t="n">
        <v>480</v>
      </c>
      <c r="Q4974" s="12" t="n">
        <v>79</v>
      </c>
      <c r="R4974" s="12" t="n">
        <v>111.8</v>
      </c>
      <c r="S4974" s="12" t="inlineStr">
        <is>
          <t>Tray</t>
        </is>
      </c>
      <c r="T4974" s="17" t="n">
        <v>40</v>
      </c>
      <c r="U4974" s="17" t="n">
        <v>164</v>
      </c>
      <c r="V4974" s="17">
        <f>ROUNDUP((T4974+U4974+2*'Read Me'!$B$13)*(1+'Read Me'!$B$12),-1)</f>
        <v/>
      </c>
      <c r="W4974" s="17">
        <f>V4974*N4974*O4974</f>
        <v/>
      </c>
      <c r="X4974" s="12">
        <f>IF(LEFT(I4974,2)="MV",2*N4974*IF(L4974="1/C",O4974,1),0)</f>
        <v/>
      </c>
      <c r="Y4974" s="12">
        <f>IF(OR(LEFT(K4974,4)="LVAX",LEFT(K4974,6)="MV15AX",LEFT(K4974,4)="CTAX",LEFT(K4974,2)="W|"),2*N4974*O4974,0)</f>
        <v/>
      </c>
      <c r="Z4974" s="12" t="inlineStr">
        <is>
          <t>VD 1.1 %</t>
        </is>
      </c>
      <c r="AA4974" s="12">
        <f>N4974*O4974</f>
        <v/>
      </c>
    </row>
    <row r="4975">
      <c r="A4975" s="12" t="inlineStr">
        <is>
          <t>I-P-0025</t>
        </is>
      </c>
      <c r="B4975" s="12" t="inlineStr">
        <is>
          <t>I</t>
        </is>
      </c>
      <c r="C4975" s="12" t="inlineStr">
        <is>
          <t>Modular / portable power</t>
        </is>
      </c>
      <c r="D4975" s="12" t="inlineStr">
        <is>
          <t>LV panel / distribution feeder</t>
        </is>
      </c>
      <c r="E4975" s="12" t="inlineStr"/>
      <c r="F4975" s="12" t="inlineStr">
        <is>
          <t>MOD-LV 480 V board + 480 V : 13.8 kV step-up</t>
        </is>
      </c>
      <c r="G4975" s="12" t="inlineStr">
        <is>
          <t>MOD-EH</t>
        </is>
      </c>
      <c r="H4975" s="12" t="inlineStr">
        <is>
          <t>MOD-EH: 13.8 kV modular collector e-house</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30</v>
      </c>
      <c r="R4975" s="12" t="n">
        <v>42.5</v>
      </c>
      <c r="S4975" s="12" t="inlineStr">
        <is>
          <t>Duct bank</t>
        </is>
      </c>
      <c r="T4975" s="17" t="n">
        <v>352</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2.0 %</t>
        </is>
      </c>
      <c r="AA4975" s="12">
        <f>N4975*O4975</f>
        <v/>
      </c>
    </row>
    <row r="4976">
      <c r="A4976" s="12" t="inlineStr">
        <is>
          <t>I-P-0026</t>
        </is>
      </c>
      <c r="B4976" s="12" t="inlineStr">
        <is>
          <t>I</t>
        </is>
      </c>
      <c r="C4976" s="12" t="inlineStr">
        <is>
          <t>Modular / portable power</t>
        </is>
      </c>
      <c r="D4976" s="12" t="inlineStr">
        <is>
          <t>Fuel-cell AC cabinet to MOD-LV</t>
        </is>
      </c>
      <c r="E4976" s="12" t="inlineStr"/>
      <c r="F4976" s="12" t="inlineStr">
        <is>
          <t>FC-5..12 inverter / AC cabinet / desulfurizer</t>
        </is>
      </c>
      <c r="G4976" s="12" t="inlineStr"/>
      <c r="H4976" s="12" t="inlineStr">
        <is>
          <t>MOD-LV 480 V board + 480 V : 13.8 kV step-up</t>
        </is>
      </c>
      <c r="I4976" s="12" t="inlineStr">
        <is>
          <t>LV 600 V</t>
        </is>
      </c>
      <c r="J4976" s="12" t="inlineStr">
        <is>
          <t>Type TC-ER 600 V 3/C Cu XHHW-2 + ground, PVC jacket</t>
        </is>
      </c>
      <c r="K4976" s="12" t="inlineStr">
        <is>
          <t>LV|3/C+G|500</t>
        </is>
      </c>
      <c r="L4976" s="12" t="inlineStr">
        <is>
          <t>3/C+G</t>
        </is>
      </c>
      <c r="M4976" s="12" t="inlineStr">
        <is>
          <t>500 kcmil</t>
        </is>
      </c>
      <c r="N4976" s="12" t="n">
        <v>12</v>
      </c>
      <c r="O4976" s="12" t="n">
        <v>1</v>
      </c>
      <c r="P4976" s="12" t="n">
        <v>480</v>
      </c>
      <c r="Q4976" s="12" t="n">
        <v>2000</v>
      </c>
      <c r="R4976" s="12" t="n">
        <v>2532.3</v>
      </c>
      <c r="S4976" s="12" t="inlineStr">
        <is>
          <t>Duct bank</t>
        </is>
      </c>
      <c r="T4976" s="17" t="n">
        <v>2572</v>
      </c>
      <c r="U4976" s="17" t="n">
        <v>34</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I-P-0027</t>
        </is>
      </c>
      <c r="B4977" s="12" t="inlineStr">
        <is>
          <t>I</t>
        </is>
      </c>
      <c r="C4977" s="12" t="inlineStr">
        <is>
          <t>Modular / portable power</t>
        </is>
      </c>
      <c r="D4977" s="12" t="inlineStr">
        <is>
          <t>MT-4 microturbine output</t>
        </is>
      </c>
      <c r="E4977" s="12" t="inlineStr">
        <is>
          <t>MT-4</t>
        </is>
      </c>
      <c r="F4977" s="12" t="inlineStr">
        <is>
          <t>MT-4: microturbine 1 MW (Capstone C1000 class)</t>
        </is>
      </c>
      <c r="G4977" s="12" t="inlineStr"/>
      <c r="H4977" s="12" t="inlineStr">
        <is>
          <t>MOD-LV 480 V board + 480 V : 13.8 kV step-up</t>
        </is>
      </c>
      <c r="I4977" s="12" t="inlineStr">
        <is>
          <t>LV 600 V</t>
        </is>
      </c>
      <c r="J4977" s="12" t="inlineStr">
        <is>
          <t>Type TC-ER 600 V 3/C Cu XHHW-2 + ground, PVC jacket</t>
        </is>
      </c>
      <c r="K4977" s="12" t="inlineStr">
        <is>
          <t>LV|3/C+G|500</t>
        </is>
      </c>
      <c r="L4977" s="12" t="inlineStr">
        <is>
          <t>3/C+G</t>
        </is>
      </c>
      <c r="M4977" s="12" t="inlineStr">
        <is>
          <t>500 kcmil</t>
        </is>
      </c>
      <c r="N4977" s="12" t="n">
        <v>12</v>
      </c>
      <c r="O4977" s="12" t="n">
        <v>1</v>
      </c>
      <c r="P4977" s="12" t="n">
        <v>480</v>
      </c>
      <c r="Q4977" s="12" t="n">
        <v>1000</v>
      </c>
      <c r="R4977" s="12" t="n">
        <v>1266.2</v>
      </c>
      <c r="S4977" s="12" t="inlineStr">
        <is>
          <t>Duct bank</t>
        </is>
      </c>
      <c r="T4977" s="17" t="n">
        <v>2596</v>
      </c>
      <c r="U4977" s="17" t="n">
        <v>44</v>
      </c>
      <c r="V4977" s="17">
        <f>ROUNDUP((T4977+U4977+2*'Read Me'!$B$13)*(1+'Read Me'!$B$12),-1)</f>
        <v/>
      </c>
      <c r="W4977" s="17">
        <f>V4977*N4977*O4977</f>
        <v/>
      </c>
      <c r="X4977" s="12">
        <f>IF(LEFT(I4977,2)="MV",2*N4977*IF(L4977="1/C",O4977,1),0)</f>
        <v/>
      </c>
      <c r="Y4977" s="12">
        <f>IF(OR(LEFT(K4977,4)="LVAX",LEFT(K4977,6)="MV15AX",LEFT(K4977,4)="CTAX",LEFT(K4977,2)="W|"),2*N4977*O4977,0)</f>
        <v/>
      </c>
      <c r="Z4977" s="12" t="inlineStr">
        <is>
          <t>VD 2.9 %</t>
        </is>
      </c>
      <c r="AA4977" s="12">
        <f>N4977*O4977</f>
        <v/>
      </c>
    </row>
    <row r="4978">
      <c r="A4978" s="12" t="inlineStr">
        <is>
          <t>I-P-0028</t>
        </is>
      </c>
      <c r="B4978" s="12" t="inlineStr">
        <is>
          <t>I</t>
        </is>
      </c>
      <c r="C4978" s="12" t="inlineStr">
        <is>
          <t>Modular / portable power</t>
        </is>
      </c>
      <c r="D4978" s="12" t="inlineStr">
        <is>
          <t>MT-5 microturbine output</t>
        </is>
      </c>
      <c r="E4978" s="12" t="inlineStr">
        <is>
          <t>MT-5</t>
        </is>
      </c>
      <c r="F4978" s="12" t="inlineStr">
        <is>
          <t>MT-5: microturbine 1 MW (Capstone C1000 class)</t>
        </is>
      </c>
      <c r="G4978" s="12" t="inlineStr"/>
      <c r="H4978" s="12" t="inlineStr">
        <is>
          <t>MOD-LV 480 V board + 480 V : 13.8 kV step-up</t>
        </is>
      </c>
      <c r="I4978" s="12" t="inlineStr">
        <is>
          <t>LV 600 V</t>
        </is>
      </c>
      <c r="J4978" s="12" t="inlineStr">
        <is>
          <t>Type TC-ER 600 V 3/C Cu XHHW-2 + ground, PVC jacket</t>
        </is>
      </c>
      <c r="K4978" s="12" t="inlineStr">
        <is>
          <t>LV|3/C+G|500</t>
        </is>
      </c>
      <c r="L4978" s="12" t="inlineStr">
        <is>
          <t>3/C+G</t>
        </is>
      </c>
      <c r="M4978" s="12" t="inlineStr">
        <is>
          <t>500 kcmil</t>
        </is>
      </c>
      <c r="N4978" s="12" t="n">
        <v>12</v>
      </c>
      <c r="O4978" s="12" t="n">
        <v>1</v>
      </c>
      <c r="P4978" s="12" t="n">
        <v>480</v>
      </c>
      <c r="Q4978" s="12" t="n">
        <v>1000</v>
      </c>
      <c r="R4978" s="12" t="n">
        <v>1266.2</v>
      </c>
      <c r="S4978" s="12" t="inlineStr">
        <is>
          <t>Duct bank</t>
        </is>
      </c>
      <c r="T4978" s="17" t="n">
        <v>2620</v>
      </c>
      <c r="U4978" s="17" t="n">
        <v>34</v>
      </c>
      <c r="V4978" s="17">
        <f>ROUNDUP((T4978+U4978+2*'Read Me'!$B$13)*(1+'Read Me'!$B$12),-1)</f>
        <v/>
      </c>
      <c r="W4978" s="17">
        <f>V4978*N4978*O4978</f>
        <v/>
      </c>
      <c r="X4978" s="12">
        <f>IF(LEFT(I4978,2)="MV",2*N4978*IF(L4978="1/C",O4978,1),0)</f>
        <v/>
      </c>
      <c r="Y4978" s="12">
        <f>IF(OR(LEFT(K4978,4)="LVAX",LEFT(K4978,6)="MV15AX",LEFT(K4978,4)="CTAX",LEFT(K4978,2)="W|"),2*N4978*O4978,0)</f>
        <v/>
      </c>
      <c r="Z4978" s="12" t="inlineStr">
        <is>
          <t>VD 2.9 %</t>
        </is>
      </c>
      <c r="AA4978" s="12">
        <f>N4978*O4978</f>
        <v/>
      </c>
    </row>
    <row r="4979">
      <c r="A4979" s="12" t="inlineStr">
        <is>
          <t>I-P-0029</t>
        </is>
      </c>
      <c r="B4979" s="12" t="inlineStr">
        <is>
          <t>I</t>
        </is>
      </c>
      <c r="C4979" s="12" t="inlineStr">
        <is>
          <t>Modular / portable power</t>
        </is>
      </c>
      <c r="D4979" s="12" t="inlineStr">
        <is>
          <t>MT-6 microturbine output</t>
        </is>
      </c>
      <c r="E4979" s="12" t="inlineStr">
        <is>
          <t>MT-6</t>
        </is>
      </c>
      <c r="F4979" s="12" t="inlineStr">
        <is>
          <t>MT-6: microturbine 1 MW (Capstone C1000 class)</t>
        </is>
      </c>
      <c r="G4979" s="12" t="inlineStr"/>
      <c r="H4979" s="12" t="inlineStr">
        <is>
          <t>MOD-LV 480 V board + 480 V : 13.8 kV step-up</t>
        </is>
      </c>
      <c r="I4979" s="12" t="inlineStr">
        <is>
          <t>LV 600 V</t>
        </is>
      </c>
      <c r="J4979" s="12" t="inlineStr">
        <is>
          <t>Type TC-ER 600 V 3/C Cu XHHW-2 + ground, PVC jacket</t>
        </is>
      </c>
      <c r="K4979" s="12" t="inlineStr">
        <is>
          <t>LV|3/C+G|500</t>
        </is>
      </c>
      <c r="L4979" s="12" t="inlineStr">
        <is>
          <t>3/C+G</t>
        </is>
      </c>
      <c r="M4979" s="12" t="inlineStr">
        <is>
          <t>500 kcmil</t>
        </is>
      </c>
      <c r="N4979" s="12" t="n">
        <v>12</v>
      </c>
      <c r="O4979" s="12" t="n">
        <v>1</v>
      </c>
      <c r="P4979" s="12" t="n">
        <v>480</v>
      </c>
      <c r="Q4979" s="12" t="n">
        <v>1000</v>
      </c>
      <c r="R4979" s="12" t="n">
        <v>1266.2</v>
      </c>
      <c r="S4979" s="12" t="inlineStr">
        <is>
          <t>Duct bank</t>
        </is>
      </c>
      <c r="T4979" s="17" t="n">
        <v>2753</v>
      </c>
      <c r="U4979" s="17" t="n">
        <v>51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I-P-0030</t>
        </is>
      </c>
      <c r="B4980" s="12" t="inlineStr">
        <is>
          <t>I</t>
        </is>
      </c>
      <c r="C4980" s="12" t="inlineStr">
        <is>
          <t>Modular / portable power</t>
        </is>
      </c>
      <c r="D4980" s="12" t="inlineStr">
        <is>
          <t>PAD-LV to PAD-TX</t>
        </is>
      </c>
      <c r="E4980" s="12" t="inlineStr">
        <is>
          <t>PAD-LV</t>
        </is>
      </c>
      <c r="F4980" s="12" t="inlineStr">
        <is>
          <t>PAD-LV 480 V paralleling switchboard</t>
        </is>
      </c>
      <c r="G4980" s="12" t="inlineStr">
        <is>
          <t>PAD-TX</t>
        </is>
      </c>
      <c r="H4980" s="12" t="inlineStr">
        <is>
          <t>PAD-TX 480 V : 13.8 kV</t>
        </is>
      </c>
      <c r="I4980" s="12" t="inlineStr">
        <is>
          <t>LV 600 V</t>
        </is>
      </c>
      <c r="J4980" s="12" t="inlineStr">
        <is>
          <t>XHHW-2 600 V 1/C Cu (feeder sets in tray / duct)</t>
        </is>
      </c>
      <c r="K4980" s="12" t="inlineStr">
        <is>
          <t>LV1C|1/C|500</t>
        </is>
      </c>
      <c r="L4980" s="12" t="inlineStr">
        <is>
          <t>1/C</t>
        </is>
      </c>
      <c r="M4980" s="12" t="inlineStr">
        <is>
          <t>500 kcmil</t>
        </is>
      </c>
      <c r="N4980" s="12" t="n">
        <v>12</v>
      </c>
      <c r="O4980" s="12" t="n">
        <v>4</v>
      </c>
      <c r="P4980" s="12" t="n">
        <v>480</v>
      </c>
      <c r="Q4980" s="12" t="n">
        <v>3000</v>
      </c>
      <c r="R4980" s="12" t="n">
        <v>3600</v>
      </c>
      <c r="S4980" s="12" t="inlineStr">
        <is>
          <t>Duct bank</t>
        </is>
      </c>
      <c r="T4980" s="17" t="n">
        <v>55</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12 sets of 4 x 1/C (or bus duct)</t>
        </is>
      </c>
      <c r="AA4980" s="12">
        <f>N4980*O4980</f>
        <v/>
      </c>
    </row>
    <row r="4981">
      <c r="A4981" s="12" t="inlineStr">
        <is>
          <t>I-P-0031</t>
        </is>
      </c>
      <c r="B4981" s="12" t="inlineStr">
        <is>
          <t>I</t>
        </is>
      </c>
      <c r="C4981" s="12" t="inlineStr">
        <is>
          <t>Modular / portable power</t>
        </is>
      </c>
      <c r="D4981" s="12" t="inlineStr">
        <is>
          <t>LV panel / distribution feeder</t>
        </is>
      </c>
      <c r="E4981" s="12" t="inlineStr"/>
      <c r="F4981" s="12" t="inlineStr">
        <is>
          <t>PCM: power control module</t>
        </is>
      </c>
      <c r="G4981" s="12" t="inlineStr"/>
      <c r="H4981" s="12" t="inlineStr">
        <is>
          <t>PCM: power control module</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38</v>
      </c>
      <c r="R4981" s="12" t="n">
        <v>53.8</v>
      </c>
      <c r="S4981" s="12" t="inlineStr">
        <is>
          <t>Tray</t>
        </is>
      </c>
      <c r="T4981" s="17" t="n">
        <v>0</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0.2 %</t>
        </is>
      </c>
      <c r="AA4981" s="12">
        <f>N4981*O4981</f>
        <v/>
      </c>
    </row>
    <row r="4982">
      <c r="A4982" s="12" t="inlineStr">
        <is>
          <t>I-P-0032</t>
        </is>
      </c>
      <c r="B4982" s="12" t="inlineStr">
        <is>
          <t>I</t>
        </is>
      </c>
      <c r="C4982" s="12" t="inlineStr">
        <is>
          <t>Modular / portable power</t>
        </is>
      </c>
      <c r="D4982" s="12" t="inlineStr">
        <is>
          <t>Motor 1 of 1, 15 kW</t>
        </is>
      </c>
      <c r="E4982" s="12" t="inlineStr"/>
      <c r="F4982" s="12" t="inlineStr">
        <is>
          <t>PCM: power control module</t>
        </is>
      </c>
      <c r="G4982" s="12" t="inlineStr"/>
      <c r="H4982" s="12" t="inlineStr">
        <is>
          <t>RICE 1 SCR + oxidation catalyst and stack</t>
        </is>
      </c>
      <c r="I4982" s="12" t="inlineStr">
        <is>
          <t>LV 600 V</t>
        </is>
      </c>
      <c r="J4982" s="12" t="inlineStr">
        <is>
          <t>Type TC-ER 600 V 3/C Cu XHHW-2 + ground, PVC jacket</t>
        </is>
      </c>
      <c r="K4982" s="12" t="inlineStr">
        <is>
          <t>LV|3/C+G|6</t>
        </is>
      </c>
      <c r="L4982" s="12" t="inlineStr">
        <is>
          <t>3/C+G</t>
        </is>
      </c>
      <c r="M4982" s="12" t="inlineStr">
        <is>
          <t>6</t>
        </is>
      </c>
      <c r="N4982" s="12" t="n">
        <v>1</v>
      </c>
      <c r="O4982" s="12" t="n">
        <v>1</v>
      </c>
      <c r="P4982" s="12" t="n">
        <v>480</v>
      </c>
      <c r="Q4982" s="12" t="n">
        <v>15</v>
      </c>
      <c r="R4982" s="12" t="n">
        <v>21.2</v>
      </c>
      <c r="S4982" s="12" t="inlineStr">
        <is>
          <t>Duct bank</t>
        </is>
      </c>
      <c r="T4982" s="17" t="n">
        <v>470</v>
      </c>
      <c r="U4982" s="17" t="n">
        <v>160</v>
      </c>
      <c r="V4982" s="17">
        <f>ROUNDUP((T4982+U4982+2*'Read Me'!$B$13)*(1+'Read Me'!$B$12),-1)</f>
        <v/>
      </c>
      <c r="W4982" s="17">
        <f>V4982*N4982*O4982</f>
        <v/>
      </c>
      <c r="X4982" s="12">
        <f>IF(LEFT(I4982,2)="MV",2*N4982*IF(L4982="1/C",O4982,1),0)</f>
        <v/>
      </c>
      <c r="Y4982" s="12">
        <f>IF(OR(LEFT(K4982,4)="LVAX",LEFT(K4982,6)="MV15AX",LEFT(K4982,4)="CTAX",LEFT(K4982,2)="W|"),2*N4982*O4982,0)</f>
        <v/>
      </c>
      <c r="Z4982" s="12" t="inlineStr">
        <is>
          <t>VD 2.6 %</t>
        </is>
      </c>
      <c r="AA4982" s="12">
        <f>N4982*O4982</f>
        <v/>
      </c>
    </row>
    <row r="4983">
      <c r="A4983" s="12" t="inlineStr">
        <is>
          <t>I-P-0033</t>
        </is>
      </c>
      <c r="B4983" s="12" t="inlineStr">
        <is>
          <t>I</t>
        </is>
      </c>
      <c r="C4983" s="12" t="inlineStr">
        <is>
          <t>Modular / portable power</t>
        </is>
      </c>
      <c r="D4983" s="12" t="inlineStr">
        <is>
          <t>Area / platform lighting circuit 1 (6 fixtures)</t>
        </is>
      </c>
      <c r="E4983" s="12" t="inlineStr"/>
      <c r="F4983" s="12" t="inlineStr">
        <is>
          <t>PCM: power control module</t>
        </is>
      </c>
      <c r="G4983" s="12" t="inlineStr"/>
      <c r="H4983" s="12" t="inlineStr">
        <is>
          <t>RICE 1 SCR + oxidation catalyst and stack</t>
        </is>
      </c>
      <c r="I4983" s="12" t="inlineStr">
        <is>
          <t>LV 600 V</t>
        </is>
      </c>
      <c r="J4983" s="12" t="inlineStr">
        <is>
          <t>Type TC-ER 600 V 3/C Cu XHHW-2 + ground, PVC jacket</t>
        </is>
      </c>
      <c r="K4983" s="12" t="inlineStr">
        <is>
          <t>LV|3/C+G|10</t>
        </is>
      </c>
      <c r="L4983" s="12" t="inlineStr">
        <is>
          <t>3/C+G</t>
        </is>
      </c>
      <c r="M4983" s="12" t="inlineStr">
        <is>
          <t>10</t>
        </is>
      </c>
      <c r="N4983" s="12" t="n">
        <v>1</v>
      </c>
      <c r="O4983" s="12" t="n">
        <v>1</v>
      </c>
      <c r="P4983" s="12" t="n">
        <v>480</v>
      </c>
      <c r="Q4983" s="12" t="n">
        <v>3</v>
      </c>
      <c r="R4983" s="12" t="n">
        <v>5</v>
      </c>
      <c r="S4983" s="12" t="inlineStr">
        <is>
          <t>Duct bank</t>
        </is>
      </c>
      <c r="T4983" s="17" t="n">
        <v>770</v>
      </c>
      <c r="U4983" s="17" t="n">
        <v>160</v>
      </c>
      <c r="V4983" s="17">
        <f>ROUNDUP((T4983+U4983+2*'Read Me'!$B$13)*(1+'Read Me'!$B$12),-1)</f>
        <v/>
      </c>
      <c r="W4983" s="17">
        <f>V4983*N4983*O4983</f>
        <v/>
      </c>
      <c r="X4983" s="12">
        <f>IF(LEFT(I4983,2)="MV",2*N4983*IF(L4983="1/C",O4983,1),0)</f>
        <v/>
      </c>
      <c r="Y4983" s="12">
        <f>IF(OR(LEFT(K4983,4)="LVAX",LEFT(K4983,6)="MV15AX",LEFT(K4983,4)="CTAX",LEFT(K4983,2)="W|"),2*N4983*O4983,0)</f>
        <v/>
      </c>
      <c r="Z4983" s="12" t="inlineStr">
        <is>
          <t>fixture-to-fixture run included</t>
        </is>
      </c>
      <c r="AA4983" s="12">
        <f>N4983*O4983</f>
        <v/>
      </c>
    </row>
    <row r="4984">
      <c r="A4984" s="12" t="inlineStr">
        <is>
          <t>I-P-0034</t>
        </is>
      </c>
      <c r="B4984" s="12" t="inlineStr">
        <is>
          <t>I</t>
        </is>
      </c>
      <c r="C4984" s="12" t="inlineStr">
        <is>
          <t>Modular / portable power</t>
        </is>
      </c>
      <c r="D4984" s="12" t="inlineStr">
        <is>
          <t>Motor 1 of 5, 30 kW (VFD output)</t>
        </is>
      </c>
      <c r="E4984" s="12" t="inlineStr"/>
      <c r="F4984" s="12" t="inlineStr">
        <is>
          <t>PCM: power control module</t>
        </is>
      </c>
      <c r="G4984" s="12" t="inlineStr"/>
      <c r="H4984" s="12" t="inlineStr">
        <is>
          <t>RICE 1 radiators (5)</t>
        </is>
      </c>
      <c r="I4984" s="12" t="inlineStr">
        <is>
          <t>LV 600 V</t>
        </is>
      </c>
      <c r="J4984" s="12" t="inlineStr">
        <is>
          <t>VFD cable 600 V 3/C Cu XHHW-2, 3 symmetrical grounds, overall Cu tape shield, TC-ER</t>
        </is>
      </c>
      <c r="K4984" s="12" t="inlineStr">
        <is>
          <t>VFD|3/C+3G|1</t>
        </is>
      </c>
      <c r="L4984" s="12" t="inlineStr">
        <is>
          <t>3/C+3G</t>
        </is>
      </c>
      <c r="M4984" s="12" t="inlineStr">
        <is>
          <t>1</t>
        </is>
      </c>
      <c r="N4984" s="12" t="n">
        <v>1</v>
      </c>
      <c r="O4984" s="12" t="n">
        <v>1</v>
      </c>
      <c r="P4984" s="12" t="n">
        <v>480</v>
      </c>
      <c r="Q4984" s="12" t="n">
        <v>30</v>
      </c>
      <c r="R4984" s="12" t="n">
        <v>42</v>
      </c>
      <c r="S4984" s="12" t="inlineStr">
        <is>
          <t>Duct bank</t>
        </is>
      </c>
      <c r="T4984" s="17" t="n">
        <v>825</v>
      </c>
      <c r="U4984" s="17" t="n">
        <v>139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I-P-0035</t>
        </is>
      </c>
      <c r="B4985" s="12" t="inlineStr">
        <is>
          <t>I</t>
        </is>
      </c>
      <c r="C4985" s="12" t="inlineStr">
        <is>
          <t>Modular / portable power</t>
        </is>
      </c>
      <c r="D4985" s="12" t="inlineStr">
        <is>
          <t>Motor 2 of 5, 30 kW (VFD output)</t>
        </is>
      </c>
      <c r="E4985" s="12" t="inlineStr"/>
      <c r="F4985" s="12" t="inlineStr">
        <is>
          <t>PCM: power control module</t>
        </is>
      </c>
      <c r="G4985" s="12" t="inlineStr"/>
      <c r="H4985" s="12" t="inlineStr">
        <is>
          <t>RICE 1 radiators (5)</t>
        </is>
      </c>
      <c r="I4985" s="12" t="inlineStr">
        <is>
          <t>LV 600 V</t>
        </is>
      </c>
      <c r="J4985" s="12" t="inlineStr">
        <is>
          <t>VFD cable 600 V 3/C Cu XHHW-2, 3 symmetrical grounds, overall Cu tape shield, TC-ER</t>
        </is>
      </c>
      <c r="K4985" s="12" t="inlineStr">
        <is>
          <t>VFD|3/C+3G|1</t>
        </is>
      </c>
      <c r="L4985" s="12" t="inlineStr">
        <is>
          <t>3/C+3G</t>
        </is>
      </c>
      <c r="M4985" s="12" t="inlineStr">
        <is>
          <t>1</t>
        </is>
      </c>
      <c r="N4985" s="12" t="n">
        <v>1</v>
      </c>
      <c r="O4985" s="12" t="n">
        <v>1</v>
      </c>
      <c r="P4985" s="12" t="n">
        <v>480</v>
      </c>
      <c r="Q4985" s="12" t="n">
        <v>30</v>
      </c>
      <c r="R4985" s="12" t="n">
        <v>42</v>
      </c>
      <c r="S4985" s="12" t="inlineStr">
        <is>
          <t>Duct bank</t>
        </is>
      </c>
      <c r="T4985" s="17" t="n">
        <v>825</v>
      </c>
      <c r="U4985" s="17" t="n">
        <v>139</v>
      </c>
      <c r="V4985" s="17">
        <f>ROUNDUP((T4985+U4985+2*'Read Me'!$B$13)*(1+'Read Me'!$B$12),-1)</f>
        <v/>
      </c>
      <c r="W4985" s="17">
        <f>V4985*N4985*O4985</f>
        <v/>
      </c>
      <c r="X4985" s="12">
        <f>IF(LEFT(I4985,2)="MV",2*N4985*IF(L4985="1/C",O4985,1),0)</f>
        <v/>
      </c>
      <c r="Y4985" s="12">
        <f>IF(OR(LEFT(K4985,4)="LVAX",LEFT(K4985,6)="MV15AX",LEFT(K4985,4)="CTAX",LEFT(K4985,2)="W|"),2*N4985*O4985,0)</f>
        <v/>
      </c>
      <c r="Z4985" s="12" t="inlineStr">
        <is>
          <t>VD 2.5 %</t>
        </is>
      </c>
      <c r="AA4985" s="12">
        <f>N4985*O4985</f>
        <v/>
      </c>
    </row>
    <row r="4986">
      <c r="A4986" s="12" t="inlineStr">
        <is>
          <t>I-P-0036</t>
        </is>
      </c>
      <c r="B4986" s="12" t="inlineStr">
        <is>
          <t>I</t>
        </is>
      </c>
      <c r="C4986" s="12" t="inlineStr">
        <is>
          <t>Modular / portable power</t>
        </is>
      </c>
      <c r="D4986" s="12" t="inlineStr">
        <is>
          <t>Motor 3 of 5, 30 kW (VFD output)</t>
        </is>
      </c>
      <c r="E4986" s="12" t="inlineStr"/>
      <c r="F4986" s="12" t="inlineStr">
        <is>
          <t>PCM: power control module</t>
        </is>
      </c>
      <c r="G4986" s="12" t="inlineStr"/>
      <c r="H4986" s="12" t="inlineStr">
        <is>
          <t>RICE 1 radiators (5)</t>
        </is>
      </c>
      <c r="I4986" s="12" t="inlineStr">
        <is>
          <t>LV 600 V</t>
        </is>
      </c>
      <c r="J4986" s="12" t="inlineStr">
        <is>
          <t>VFD cable 600 V 3/C Cu XHHW-2, 3 symmetrical grounds, overall Cu tape shield, TC-ER</t>
        </is>
      </c>
      <c r="K4986" s="12" t="inlineStr">
        <is>
          <t>VFD|3/C+3G|1</t>
        </is>
      </c>
      <c r="L4986" s="12" t="inlineStr">
        <is>
          <t>3/C+3G</t>
        </is>
      </c>
      <c r="M4986" s="12" t="inlineStr">
        <is>
          <t>1</t>
        </is>
      </c>
      <c r="N4986" s="12" t="n">
        <v>1</v>
      </c>
      <c r="O4986" s="12" t="n">
        <v>1</v>
      </c>
      <c r="P4986" s="12" t="n">
        <v>480</v>
      </c>
      <c r="Q4986" s="12" t="n">
        <v>30</v>
      </c>
      <c r="R4986" s="12" t="n">
        <v>42</v>
      </c>
      <c r="S4986" s="12" t="inlineStr">
        <is>
          <t>Duct bank</t>
        </is>
      </c>
      <c r="T4986" s="17" t="n">
        <v>825</v>
      </c>
      <c r="U4986" s="17" t="n">
        <v>139</v>
      </c>
      <c r="V4986" s="17">
        <f>ROUNDUP((T4986+U4986+2*'Read Me'!$B$13)*(1+'Read Me'!$B$12),-1)</f>
        <v/>
      </c>
      <c r="W4986" s="17">
        <f>V4986*N4986*O4986</f>
        <v/>
      </c>
      <c r="X4986" s="12">
        <f>IF(LEFT(I4986,2)="MV",2*N4986*IF(L4986="1/C",O4986,1),0)</f>
        <v/>
      </c>
      <c r="Y4986" s="12">
        <f>IF(OR(LEFT(K4986,4)="LVAX",LEFT(K4986,6)="MV15AX",LEFT(K4986,4)="CTAX",LEFT(K4986,2)="W|"),2*N4986*O4986,0)</f>
        <v/>
      </c>
      <c r="Z4986" s="12" t="inlineStr">
        <is>
          <t>VD 2.5 %</t>
        </is>
      </c>
      <c r="AA4986" s="12">
        <f>N4986*O4986</f>
        <v/>
      </c>
    </row>
    <row r="4987">
      <c r="A4987" s="12" t="inlineStr">
        <is>
          <t>I-P-0037</t>
        </is>
      </c>
      <c r="B4987" s="12" t="inlineStr">
        <is>
          <t>I</t>
        </is>
      </c>
      <c r="C4987" s="12" t="inlineStr">
        <is>
          <t>Modular / portable power</t>
        </is>
      </c>
      <c r="D4987" s="12" t="inlineStr">
        <is>
          <t>Motor 4 of 5, 30 kW (VFD output)</t>
        </is>
      </c>
      <c r="E4987" s="12" t="inlineStr"/>
      <c r="F4987" s="12" t="inlineStr">
        <is>
          <t>PCM: power control module</t>
        </is>
      </c>
      <c r="G4987" s="12" t="inlineStr"/>
      <c r="H4987" s="12" t="inlineStr">
        <is>
          <t>RICE 1 radiators (5)</t>
        </is>
      </c>
      <c r="I4987" s="12" t="inlineStr">
        <is>
          <t>LV 600 V</t>
        </is>
      </c>
      <c r="J4987" s="12" t="inlineStr">
        <is>
          <t>VFD cable 600 V 3/C Cu XHHW-2, 3 symmetrical grounds, overall Cu tape shield, TC-ER</t>
        </is>
      </c>
      <c r="K4987" s="12" t="inlineStr">
        <is>
          <t>VFD|3/C+3G|1</t>
        </is>
      </c>
      <c r="L4987" s="12" t="inlineStr">
        <is>
          <t>3/C+3G</t>
        </is>
      </c>
      <c r="M4987" s="12" t="inlineStr">
        <is>
          <t>1</t>
        </is>
      </c>
      <c r="N4987" s="12" t="n">
        <v>1</v>
      </c>
      <c r="O4987" s="12" t="n">
        <v>1</v>
      </c>
      <c r="P4987" s="12" t="n">
        <v>480</v>
      </c>
      <c r="Q4987" s="12" t="n">
        <v>30</v>
      </c>
      <c r="R4987" s="12" t="n">
        <v>42</v>
      </c>
      <c r="S4987" s="12" t="inlineStr">
        <is>
          <t>Duct bank</t>
        </is>
      </c>
      <c r="T4987" s="17" t="n">
        <v>825</v>
      </c>
      <c r="U4987" s="17" t="n">
        <v>139</v>
      </c>
      <c r="V4987" s="17">
        <f>ROUNDUP((T4987+U4987+2*'Read Me'!$B$13)*(1+'Read Me'!$B$12),-1)</f>
        <v/>
      </c>
      <c r="W4987" s="17">
        <f>V4987*N4987*O4987</f>
        <v/>
      </c>
      <c r="X4987" s="12">
        <f>IF(LEFT(I4987,2)="MV",2*N4987*IF(L4987="1/C",O4987,1),0)</f>
        <v/>
      </c>
      <c r="Y4987" s="12">
        <f>IF(OR(LEFT(K4987,4)="LVAX",LEFT(K4987,6)="MV15AX",LEFT(K4987,4)="CTAX",LEFT(K4987,2)="W|"),2*N4987*O4987,0)</f>
        <v/>
      </c>
      <c r="Z4987" s="12" t="inlineStr">
        <is>
          <t>VD 2.5 %</t>
        </is>
      </c>
      <c r="AA4987" s="12">
        <f>N4987*O4987</f>
        <v/>
      </c>
    </row>
    <row r="4988">
      <c r="A4988" s="12" t="inlineStr">
        <is>
          <t>I-P-0038</t>
        </is>
      </c>
      <c r="B4988" s="12" t="inlineStr">
        <is>
          <t>I</t>
        </is>
      </c>
      <c r="C4988" s="12" t="inlineStr">
        <is>
          <t>Modular / portable power</t>
        </is>
      </c>
      <c r="D4988" s="12" t="inlineStr">
        <is>
          <t>Motor 5 of 5, 30 kW (VFD output)</t>
        </is>
      </c>
      <c r="E4988" s="12" t="inlineStr"/>
      <c r="F4988" s="12" t="inlineStr">
        <is>
          <t>PCM: power control module</t>
        </is>
      </c>
      <c r="G4988" s="12" t="inlineStr"/>
      <c r="H4988" s="12" t="inlineStr">
        <is>
          <t>RICE 1 radiators (5)</t>
        </is>
      </c>
      <c r="I4988" s="12" t="inlineStr">
        <is>
          <t>LV 600 V</t>
        </is>
      </c>
      <c r="J4988" s="12" t="inlineStr">
        <is>
          <t>VFD cable 600 V 3/C Cu XHHW-2, 3 symmetrical grounds, overall Cu tape shield, TC-ER</t>
        </is>
      </c>
      <c r="K4988" s="12" t="inlineStr">
        <is>
          <t>VFD|3/C+3G|1</t>
        </is>
      </c>
      <c r="L4988" s="12" t="inlineStr">
        <is>
          <t>3/C+3G</t>
        </is>
      </c>
      <c r="M4988" s="12" t="inlineStr">
        <is>
          <t>1</t>
        </is>
      </c>
      <c r="N4988" s="12" t="n">
        <v>1</v>
      </c>
      <c r="O4988" s="12" t="n">
        <v>1</v>
      </c>
      <c r="P4988" s="12" t="n">
        <v>480</v>
      </c>
      <c r="Q4988" s="12" t="n">
        <v>30</v>
      </c>
      <c r="R4988" s="12" t="n">
        <v>42</v>
      </c>
      <c r="S4988" s="12" t="inlineStr">
        <is>
          <t>Duct bank</t>
        </is>
      </c>
      <c r="T4988" s="17" t="n">
        <v>825</v>
      </c>
      <c r="U4988" s="17" t="n">
        <v>139</v>
      </c>
      <c r="V4988" s="17">
        <f>ROUNDUP((T4988+U4988+2*'Read Me'!$B$13)*(1+'Read Me'!$B$12),-1)</f>
        <v/>
      </c>
      <c r="W4988" s="17">
        <f>V4988*N4988*O4988</f>
        <v/>
      </c>
      <c r="X4988" s="12">
        <f>IF(LEFT(I4988,2)="MV",2*N4988*IF(L4988="1/C",O4988,1),0)</f>
        <v/>
      </c>
      <c r="Y4988" s="12">
        <f>IF(OR(LEFT(K4988,4)="LVAX",LEFT(K4988,6)="MV15AX",LEFT(K4988,4)="CTAX",LEFT(K4988,2)="W|"),2*N4988*O4988,0)</f>
        <v/>
      </c>
      <c r="Z4988" s="12" t="inlineStr">
        <is>
          <t>VD 2.5 %</t>
        </is>
      </c>
      <c r="AA4988" s="12">
        <f>N4988*O4988</f>
        <v/>
      </c>
    </row>
    <row r="4989">
      <c r="A4989" s="12" t="inlineStr">
        <is>
          <t>I-P-0039</t>
        </is>
      </c>
      <c r="B4989" s="12" t="inlineStr">
        <is>
          <t>I</t>
        </is>
      </c>
      <c r="C4989" s="12" t="inlineStr">
        <is>
          <t>Modular / portable power</t>
        </is>
      </c>
      <c r="D4989" s="12" t="inlineStr">
        <is>
          <t>Motor 1 of 1, 15 kW</t>
        </is>
      </c>
      <c r="E4989" s="12" t="inlineStr"/>
      <c r="F4989" s="12" t="inlineStr">
        <is>
          <t>PCM: power control module</t>
        </is>
      </c>
      <c r="G4989" s="12" t="inlineStr"/>
      <c r="H4989" s="12" t="inlineStr">
        <is>
          <t>RICE 2 SCR + oxidation catalyst and stack</t>
        </is>
      </c>
      <c r="I4989" s="12" t="inlineStr">
        <is>
          <t>LV 600 V</t>
        </is>
      </c>
      <c r="J4989" s="12" t="inlineStr">
        <is>
          <t>Type TC-ER 600 V 3/C Cu XHHW-2 + ground, PVC jacket</t>
        </is>
      </c>
      <c r="K4989" s="12" t="inlineStr">
        <is>
          <t>LV|3/C+G|6</t>
        </is>
      </c>
      <c r="L4989" s="12" t="inlineStr">
        <is>
          <t>3/C+G</t>
        </is>
      </c>
      <c r="M4989" s="12" t="inlineStr">
        <is>
          <t>6</t>
        </is>
      </c>
      <c r="N4989" s="12" t="n">
        <v>1</v>
      </c>
      <c r="O4989" s="12" t="n">
        <v>1</v>
      </c>
      <c r="P4989" s="12" t="n">
        <v>480</v>
      </c>
      <c r="Q4989" s="12" t="n">
        <v>15</v>
      </c>
      <c r="R4989" s="12" t="n">
        <v>21.2</v>
      </c>
      <c r="S4989" s="12" t="inlineStr">
        <is>
          <t>Duct bank</t>
        </is>
      </c>
      <c r="T4989" s="17" t="n">
        <v>470</v>
      </c>
      <c r="U4989" s="17" t="n">
        <v>132</v>
      </c>
      <c r="V4989" s="17">
        <f>ROUNDUP((T4989+U4989+2*'Read Me'!$B$13)*(1+'Read Me'!$B$12),-1)</f>
        <v/>
      </c>
      <c r="W4989" s="17">
        <f>V4989*N4989*O4989</f>
        <v/>
      </c>
      <c r="X4989" s="12">
        <f>IF(LEFT(I4989,2)="MV",2*N4989*IF(L4989="1/C",O4989,1),0)</f>
        <v/>
      </c>
      <c r="Y4989" s="12">
        <f>IF(OR(LEFT(K4989,4)="LVAX",LEFT(K4989,6)="MV15AX",LEFT(K4989,4)="CTAX",LEFT(K4989,2)="W|"),2*N4989*O4989,0)</f>
        <v/>
      </c>
      <c r="Z4989" s="12" t="inlineStr">
        <is>
          <t>VD 2.5 %</t>
        </is>
      </c>
      <c r="AA4989" s="12">
        <f>N4989*O4989</f>
        <v/>
      </c>
    </row>
    <row r="4990">
      <c r="A4990" s="12" t="inlineStr">
        <is>
          <t>I-P-0040</t>
        </is>
      </c>
      <c r="B4990" s="12" t="inlineStr">
        <is>
          <t>I</t>
        </is>
      </c>
      <c r="C4990" s="12" t="inlineStr">
        <is>
          <t>Modular / portable power</t>
        </is>
      </c>
      <c r="D4990" s="12" t="inlineStr">
        <is>
          <t>Area / platform lighting circuit 1 (6 fixtures)</t>
        </is>
      </c>
      <c r="E4990" s="12" t="inlineStr"/>
      <c r="F4990" s="12" t="inlineStr">
        <is>
          <t>PCM: power control module</t>
        </is>
      </c>
      <c r="G4990" s="12" t="inlineStr"/>
      <c r="H4990" s="12" t="inlineStr">
        <is>
          <t>RICE 2 SCR + oxidation catalyst and stack</t>
        </is>
      </c>
      <c r="I4990" s="12" t="inlineStr">
        <is>
          <t>LV 600 V</t>
        </is>
      </c>
      <c r="J4990" s="12" t="inlineStr">
        <is>
          <t>Type TC-ER 600 V 3/C Cu XHHW-2 + ground, PVC jacket</t>
        </is>
      </c>
      <c r="K4990" s="12" t="inlineStr">
        <is>
          <t>LV|3/C+G|10</t>
        </is>
      </c>
      <c r="L4990" s="12" t="inlineStr">
        <is>
          <t>3/C+G</t>
        </is>
      </c>
      <c r="M4990" s="12" t="inlineStr">
        <is>
          <t>10</t>
        </is>
      </c>
      <c r="N4990" s="12" t="n">
        <v>1</v>
      </c>
      <c r="O4990" s="12" t="n">
        <v>1</v>
      </c>
      <c r="P4990" s="12" t="n">
        <v>480</v>
      </c>
      <c r="Q4990" s="12" t="n">
        <v>3</v>
      </c>
      <c r="R4990" s="12" t="n">
        <v>5</v>
      </c>
      <c r="S4990" s="12" t="inlineStr">
        <is>
          <t>Duct bank</t>
        </is>
      </c>
      <c r="T4990" s="17" t="n">
        <v>770</v>
      </c>
      <c r="U4990" s="17" t="n">
        <v>132</v>
      </c>
      <c r="V4990" s="17">
        <f>ROUNDUP((T4990+U4990+2*'Read Me'!$B$13)*(1+'Read Me'!$B$12),-1)</f>
        <v/>
      </c>
      <c r="W4990" s="17">
        <f>V4990*N4990*O4990</f>
        <v/>
      </c>
      <c r="X4990" s="12">
        <f>IF(LEFT(I4990,2)="MV",2*N4990*IF(L4990="1/C",O4990,1),0)</f>
        <v/>
      </c>
      <c r="Y4990" s="12">
        <f>IF(OR(LEFT(K4990,4)="LVAX",LEFT(K4990,6)="MV15AX",LEFT(K4990,4)="CTAX",LEFT(K4990,2)="W|"),2*N4990*O4990,0)</f>
        <v/>
      </c>
      <c r="Z4990" s="12" t="inlineStr">
        <is>
          <t>fixture-to-fixture run included</t>
        </is>
      </c>
      <c r="AA4990" s="12">
        <f>N4990*O4990</f>
        <v/>
      </c>
    </row>
    <row r="4991">
      <c r="A4991" s="12" t="inlineStr">
        <is>
          <t>I-P-0041</t>
        </is>
      </c>
      <c r="B4991" s="12" t="inlineStr">
        <is>
          <t>I</t>
        </is>
      </c>
      <c r="C4991" s="12" t="inlineStr">
        <is>
          <t>Modular / portable power</t>
        </is>
      </c>
      <c r="D4991" s="12" t="inlineStr">
        <is>
          <t>Motor 1 of 5, 30 kW (VFD output)</t>
        </is>
      </c>
      <c r="E4991" s="12" t="inlineStr"/>
      <c r="F4991" s="12" t="inlineStr">
        <is>
          <t>PCM: power control module</t>
        </is>
      </c>
      <c r="G4991" s="12" t="inlineStr"/>
      <c r="H4991" s="12" t="inlineStr">
        <is>
          <t>RICE 2 radiators (5)</t>
        </is>
      </c>
      <c r="I4991" s="12" t="inlineStr">
        <is>
          <t>LV 600 V</t>
        </is>
      </c>
      <c r="J4991" s="12" t="inlineStr">
        <is>
          <t>VFD cable 600 V 3/C Cu XHHW-2, 3 symmetrical grounds, overall Cu tape shield, TC-ER</t>
        </is>
      </c>
      <c r="K4991" s="12" t="inlineStr">
        <is>
          <t>VFD|3/C+3G|2</t>
        </is>
      </c>
      <c r="L4991" s="12" t="inlineStr">
        <is>
          <t>3/C+3G</t>
        </is>
      </c>
      <c r="M4991" s="12" t="inlineStr">
        <is>
          <t>2</t>
        </is>
      </c>
      <c r="N4991" s="12" t="n">
        <v>1</v>
      </c>
      <c r="O4991" s="12" t="n">
        <v>1</v>
      </c>
      <c r="P4991" s="12" t="n">
        <v>480</v>
      </c>
      <c r="Q4991" s="12" t="n">
        <v>30</v>
      </c>
      <c r="R4991" s="12" t="n">
        <v>42</v>
      </c>
      <c r="S4991" s="12" t="inlineStr">
        <is>
          <t>Duct bank</t>
        </is>
      </c>
      <c r="T4991" s="17" t="n">
        <v>630</v>
      </c>
      <c r="U4991" s="17" t="n">
        <v>192</v>
      </c>
      <c r="V4991" s="17">
        <f>ROUNDUP((T4991+U4991+2*'Read Me'!$B$13)*(1+'Read Me'!$B$12),-1)</f>
        <v/>
      </c>
      <c r="W4991" s="17">
        <f>V4991*N4991*O4991</f>
        <v/>
      </c>
      <c r="X4991" s="12">
        <f>IF(LEFT(I4991,2)="MV",2*N4991*IF(L4991="1/C",O4991,1),0)</f>
        <v/>
      </c>
      <c r="Y4991" s="12">
        <f>IF(OR(LEFT(K4991,4)="LVAX",LEFT(K4991,6)="MV15AX",LEFT(K4991,4)="CTAX",LEFT(K4991,2)="W|"),2*N4991*O4991,0)</f>
        <v/>
      </c>
      <c r="Z4991" s="12" t="inlineStr">
        <is>
          <t>VD 2.7 %</t>
        </is>
      </c>
      <c r="AA4991" s="12">
        <f>N4991*O4991</f>
        <v/>
      </c>
    </row>
    <row r="4992">
      <c r="A4992" s="12" t="inlineStr">
        <is>
          <t>I-P-0042</t>
        </is>
      </c>
      <c r="B4992" s="12" t="inlineStr">
        <is>
          <t>I</t>
        </is>
      </c>
      <c r="C4992" s="12" t="inlineStr">
        <is>
          <t>Modular / portable power</t>
        </is>
      </c>
      <c r="D4992" s="12" t="inlineStr">
        <is>
          <t>Motor 2 of 5, 30 kW (VFD output)</t>
        </is>
      </c>
      <c r="E4992" s="12" t="inlineStr"/>
      <c r="F4992" s="12" t="inlineStr">
        <is>
          <t>PCM: power control module</t>
        </is>
      </c>
      <c r="G4992" s="12" t="inlineStr"/>
      <c r="H4992" s="12" t="inlineStr">
        <is>
          <t>RICE 2 radiators (5)</t>
        </is>
      </c>
      <c r="I4992" s="12" t="inlineStr">
        <is>
          <t>LV 600 V</t>
        </is>
      </c>
      <c r="J4992" s="12" t="inlineStr">
        <is>
          <t>VFD cable 600 V 3/C Cu XHHW-2, 3 symmetrical grounds, overall Cu tape shield, TC-ER</t>
        </is>
      </c>
      <c r="K4992" s="12" t="inlineStr">
        <is>
          <t>VFD|3/C+3G|2</t>
        </is>
      </c>
      <c r="L4992" s="12" t="inlineStr">
        <is>
          <t>3/C+3G</t>
        </is>
      </c>
      <c r="M4992" s="12" t="inlineStr">
        <is>
          <t>2</t>
        </is>
      </c>
      <c r="N4992" s="12" t="n">
        <v>1</v>
      </c>
      <c r="O4992" s="12" t="n">
        <v>1</v>
      </c>
      <c r="P4992" s="12" t="n">
        <v>480</v>
      </c>
      <c r="Q4992" s="12" t="n">
        <v>30</v>
      </c>
      <c r="R4992" s="12" t="n">
        <v>42</v>
      </c>
      <c r="S4992" s="12" t="inlineStr">
        <is>
          <t>Duct bank</t>
        </is>
      </c>
      <c r="T4992" s="17" t="n">
        <v>630</v>
      </c>
      <c r="U4992" s="17" t="n">
        <v>192</v>
      </c>
      <c r="V4992" s="17">
        <f>ROUNDUP((T4992+U4992+2*'Read Me'!$B$13)*(1+'Read Me'!$B$12),-1)</f>
        <v/>
      </c>
      <c r="W4992" s="17">
        <f>V4992*N4992*O4992</f>
        <v/>
      </c>
      <c r="X4992" s="12">
        <f>IF(LEFT(I4992,2)="MV",2*N4992*IF(L4992="1/C",O4992,1),0)</f>
        <v/>
      </c>
      <c r="Y4992" s="12">
        <f>IF(OR(LEFT(K4992,4)="LVAX",LEFT(K4992,6)="MV15AX",LEFT(K4992,4)="CTAX",LEFT(K4992,2)="W|"),2*N4992*O4992,0)</f>
        <v/>
      </c>
      <c r="Z4992" s="12" t="inlineStr">
        <is>
          <t>VD 2.7 %</t>
        </is>
      </c>
      <c r="AA4992" s="12">
        <f>N4992*O4992</f>
        <v/>
      </c>
    </row>
    <row r="4993">
      <c r="A4993" s="12" t="inlineStr">
        <is>
          <t>I-P-0043</t>
        </is>
      </c>
      <c r="B4993" s="12" t="inlineStr">
        <is>
          <t>I</t>
        </is>
      </c>
      <c r="C4993" s="12" t="inlineStr">
        <is>
          <t>Modular / portable power</t>
        </is>
      </c>
      <c r="D4993" s="12" t="inlineStr">
        <is>
          <t>Motor 3 of 5, 30 kW (VFD output)</t>
        </is>
      </c>
      <c r="E4993" s="12" t="inlineStr"/>
      <c r="F4993" s="12" t="inlineStr">
        <is>
          <t>PCM: power control module</t>
        </is>
      </c>
      <c r="G4993" s="12" t="inlineStr"/>
      <c r="H4993" s="12" t="inlineStr">
        <is>
          <t>RICE 2 radiators (5)</t>
        </is>
      </c>
      <c r="I4993" s="12" t="inlineStr">
        <is>
          <t>LV 600 V</t>
        </is>
      </c>
      <c r="J4993" s="12" t="inlineStr">
        <is>
          <t>VFD cable 600 V 3/C Cu XHHW-2, 3 symmetrical grounds, overall Cu tape shield, TC-ER</t>
        </is>
      </c>
      <c r="K4993" s="12" t="inlineStr">
        <is>
          <t>VFD|3/C+3G|2</t>
        </is>
      </c>
      <c r="L4993" s="12" t="inlineStr">
        <is>
          <t>3/C+3G</t>
        </is>
      </c>
      <c r="M4993" s="12" t="inlineStr">
        <is>
          <t>2</t>
        </is>
      </c>
      <c r="N4993" s="12" t="n">
        <v>1</v>
      </c>
      <c r="O4993" s="12" t="n">
        <v>1</v>
      </c>
      <c r="P4993" s="12" t="n">
        <v>480</v>
      </c>
      <c r="Q4993" s="12" t="n">
        <v>30</v>
      </c>
      <c r="R4993" s="12" t="n">
        <v>42</v>
      </c>
      <c r="S4993" s="12" t="inlineStr">
        <is>
          <t>Duct bank</t>
        </is>
      </c>
      <c r="T4993" s="17" t="n">
        <v>630</v>
      </c>
      <c r="U4993" s="17" t="n">
        <v>192</v>
      </c>
      <c r="V4993" s="17">
        <f>ROUNDUP((T4993+U4993+2*'Read Me'!$B$13)*(1+'Read Me'!$B$12),-1)</f>
        <v/>
      </c>
      <c r="W4993" s="17">
        <f>V4993*N4993*O4993</f>
        <v/>
      </c>
      <c r="X4993" s="12">
        <f>IF(LEFT(I4993,2)="MV",2*N4993*IF(L4993="1/C",O4993,1),0)</f>
        <v/>
      </c>
      <c r="Y4993" s="12">
        <f>IF(OR(LEFT(K4993,4)="LVAX",LEFT(K4993,6)="MV15AX",LEFT(K4993,4)="CTAX",LEFT(K4993,2)="W|"),2*N4993*O4993,0)</f>
        <v/>
      </c>
      <c r="Z4993" s="12" t="inlineStr">
        <is>
          <t>VD 2.7 %</t>
        </is>
      </c>
      <c r="AA4993" s="12">
        <f>N4993*O4993</f>
        <v/>
      </c>
    </row>
    <row r="4994">
      <c r="A4994" s="12" t="inlineStr">
        <is>
          <t>I-P-0044</t>
        </is>
      </c>
      <c r="B4994" s="12" t="inlineStr">
        <is>
          <t>I</t>
        </is>
      </c>
      <c r="C4994" s="12" t="inlineStr">
        <is>
          <t>Modular / portable power</t>
        </is>
      </c>
      <c r="D4994" s="12" t="inlineStr">
        <is>
          <t>Motor 4 of 5, 30 kW (VFD output)</t>
        </is>
      </c>
      <c r="E4994" s="12" t="inlineStr"/>
      <c r="F4994" s="12" t="inlineStr">
        <is>
          <t>PCM: power control module</t>
        </is>
      </c>
      <c r="G4994" s="12" t="inlineStr"/>
      <c r="H4994" s="12" t="inlineStr">
        <is>
          <t>RICE 2 radiators (5)</t>
        </is>
      </c>
      <c r="I4994" s="12" t="inlineStr">
        <is>
          <t>LV 600 V</t>
        </is>
      </c>
      <c r="J4994" s="12" t="inlineStr">
        <is>
          <t>VFD cable 600 V 3/C Cu XHHW-2, 3 symmetrical grounds, overall Cu tape shield, TC-ER</t>
        </is>
      </c>
      <c r="K4994" s="12" t="inlineStr">
        <is>
          <t>VFD|3/C+3G|2</t>
        </is>
      </c>
      <c r="L4994" s="12" t="inlineStr">
        <is>
          <t>3/C+3G</t>
        </is>
      </c>
      <c r="M4994" s="12" t="inlineStr">
        <is>
          <t>2</t>
        </is>
      </c>
      <c r="N4994" s="12" t="n">
        <v>1</v>
      </c>
      <c r="O4994" s="12" t="n">
        <v>1</v>
      </c>
      <c r="P4994" s="12" t="n">
        <v>480</v>
      </c>
      <c r="Q4994" s="12" t="n">
        <v>30</v>
      </c>
      <c r="R4994" s="12" t="n">
        <v>42</v>
      </c>
      <c r="S4994" s="12" t="inlineStr">
        <is>
          <t>Duct bank</t>
        </is>
      </c>
      <c r="T4994" s="17" t="n">
        <v>630</v>
      </c>
      <c r="U4994" s="17" t="n">
        <v>192</v>
      </c>
      <c r="V4994" s="17">
        <f>ROUNDUP((T4994+U4994+2*'Read Me'!$B$13)*(1+'Read Me'!$B$12),-1)</f>
        <v/>
      </c>
      <c r="W4994" s="17">
        <f>V4994*N4994*O4994</f>
        <v/>
      </c>
      <c r="X4994" s="12">
        <f>IF(LEFT(I4994,2)="MV",2*N4994*IF(L4994="1/C",O4994,1),0)</f>
        <v/>
      </c>
      <c r="Y4994" s="12">
        <f>IF(OR(LEFT(K4994,4)="LVAX",LEFT(K4994,6)="MV15AX",LEFT(K4994,4)="CTAX",LEFT(K4994,2)="W|"),2*N4994*O4994,0)</f>
        <v/>
      </c>
      <c r="Z4994" s="12" t="inlineStr">
        <is>
          <t>VD 2.7 %</t>
        </is>
      </c>
      <c r="AA4994" s="12">
        <f>N4994*O4994</f>
        <v/>
      </c>
    </row>
    <row r="4995">
      <c r="A4995" s="12" t="inlineStr">
        <is>
          <t>I-P-0045</t>
        </is>
      </c>
      <c r="B4995" s="12" t="inlineStr">
        <is>
          <t>I</t>
        </is>
      </c>
      <c r="C4995" s="12" t="inlineStr">
        <is>
          <t>Modular / portable power</t>
        </is>
      </c>
      <c r="D4995" s="12" t="inlineStr">
        <is>
          <t>Motor 5 of 5, 30 kW (VFD output)</t>
        </is>
      </c>
      <c r="E4995" s="12" t="inlineStr"/>
      <c r="F4995" s="12" t="inlineStr">
        <is>
          <t>PCM: power control module</t>
        </is>
      </c>
      <c r="G4995" s="12" t="inlineStr"/>
      <c r="H4995" s="12" t="inlineStr">
        <is>
          <t>RICE 2 radiators (5)</t>
        </is>
      </c>
      <c r="I4995" s="12" t="inlineStr">
        <is>
          <t>LV 600 V</t>
        </is>
      </c>
      <c r="J4995" s="12" t="inlineStr">
        <is>
          <t>VFD cable 600 V 3/C Cu XHHW-2, 3 symmetrical grounds, overall Cu tape shield, TC-ER</t>
        </is>
      </c>
      <c r="K4995" s="12" t="inlineStr">
        <is>
          <t>VFD|3/C+3G|2</t>
        </is>
      </c>
      <c r="L4995" s="12" t="inlineStr">
        <is>
          <t>3/C+3G</t>
        </is>
      </c>
      <c r="M4995" s="12" t="inlineStr">
        <is>
          <t>2</t>
        </is>
      </c>
      <c r="N4995" s="12" t="n">
        <v>1</v>
      </c>
      <c r="O4995" s="12" t="n">
        <v>1</v>
      </c>
      <c r="P4995" s="12" t="n">
        <v>480</v>
      </c>
      <c r="Q4995" s="12" t="n">
        <v>30</v>
      </c>
      <c r="R4995" s="12" t="n">
        <v>42</v>
      </c>
      <c r="S4995" s="12" t="inlineStr">
        <is>
          <t>Duct bank</t>
        </is>
      </c>
      <c r="T4995" s="17" t="n">
        <v>630</v>
      </c>
      <c r="U4995" s="17" t="n">
        <v>192</v>
      </c>
      <c r="V4995" s="17">
        <f>ROUNDUP((T4995+U4995+2*'Read Me'!$B$13)*(1+'Read Me'!$B$12),-1)</f>
        <v/>
      </c>
      <c r="W4995" s="17">
        <f>V4995*N4995*O4995</f>
        <v/>
      </c>
      <c r="X4995" s="12">
        <f>IF(LEFT(I4995,2)="MV",2*N4995*IF(L4995="1/C",O4995,1),0)</f>
        <v/>
      </c>
      <c r="Y4995" s="12">
        <f>IF(OR(LEFT(K4995,4)="LVAX",LEFT(K4995,6)="MV15AX",LEFT(K4995,4)="CTAX",LEFT(K4995,2)="W|"),2*N4995*O4995,0)</f>
        <v/>
      </c>
      <c r="Z4995" s="12" t="inlineStr">
        <is>
          <t>VD 2.7 %</t>
        </is>
      </c>
      <c r="AA4995" s="12">
        <f>N4995*O4995</f>
        <v/>
      </c>
    </row>
    <row r="4996">
      <c r="A4996" s="12" t="inlineStr">
        <is>
          <t>I-P-0046</t>
        </is>
      </c>
      <c r="B4996" s="12" t="inlineStr">
        <is>
          <t>I</t>
        </is>
      </c>
      <c r="C4996" s="12" t="inlineStr">
        <is>
          <t>Modular / portable power</t>
        </is>
      </c>
      <c r="D4996" s="12" t="inlineStr">
        <is>
          <t>Motor 1 of 1, 15 kW</t>
        </is>
      </c>
      <c r="E4996" s="12" t="inlineStr"/>
      <c r="F4996" s="12" t="inlineStr">
        <is>
          <t>PCM: power control module</t>
        </is>
      </c>
      <c r="G4996" s="12" t="inlineStr"/>
      <c r="H4996" s="12" t="inlineStr">
        <is>
          <t>RICE 3 SCR + oxidation catalyst and stack</t>
        </is>
      </c>
      <c r="I4996" s="12" t="inlineStr">
        <is>
          <t>LV 600 V</t>
        </is>
      </c>
      <c r="J4996" s="12" t="inlineStr">
        <is>
          <t>Type TC-ER 600 V 3/C Cu XHHW-2 + ground, PVC jacket</t>
        </is>
      </c>
      <c r="K4996" s="12" t="inlineStr">
        <is>
          <t>LV|3/C+G|6</t>
        </is>
      </c>
      <c r="L4996" s="12" t="inlineStr">
        <is>
          <t>3/C+G</t>
        </is>
      </c>
      <c r="M4996" s="12" t="inlineStr">
        <is>
          <t>6</t>
        </is>
      </c>
      <c r="N4996" s="12" t="n">
        <v>1</v>
      </c>
      <c r="O4996" s="12" t="n">
        <v>1</v>
      </c>
      <c r="P4996" s="12" t="n">
        <v>480</v>
      </c>
      <c r="Q4996" s="12" t="n">
        <v>15</v>
      </c>
      <c r="R4996" s="12" t="n">
        <v>21.2</v>
      </c>
      <c r="S4996" s="12" t="inlineStr">
        <is>
          <t>Duct bank</t>
        </is>
      </c>
      <c r="T4996" s="17" t="n">
        <v>470</v>
      </c>
      <c r="U4996" s="17" t="n">
        <v>104</v>
      </c>
      <c r="V4996" s="17">
        <f>ROUNDUP((T4996+U4996+2*'Read Me'!$B$13)*(1+'Read Me'!$B$12),-1)</f>
        <v/>
      </c>
      <c r="W4996" s="17">
        <f>V4996*N4996*O4996</f>
        <v/>
      </c>
      <c r="X4996" s="12">
        <f>IF(LEFT(I4996,2)="MV",2*N4996*IF(L4996="1/C",O4996,1),0)</f>
        <v/>
      </c>
      <c r="Y4996" s="12">
        <f>IF(OR(LEFT(K4996,4)="LVAX",LEFT(K4996,6)="MV15AX",LEFT(K4996,4)="CTAX",LEFT(K4996,2)="W|"),2*N4996*O4996,0)</f>
        <v/>
      </c>
      <c r="Z4996" s="12" t="inlineStr">
        <is>
          <t>VD 2.4 %</t>
        </is>
      </c>
      <c r="AA4996" s="12">
        <f>N4996*O4996</f>
        <v/>
      </c>
    </row>
    <row r="4997">
      <c r="A4997" s="12" t="inlineStr">
        <is>
          <t>I-P-0047</t>
        </is>
      </c>
      <c r="B4997" s="12" t="inlineStr">
        <is>
          <t>I</t>
        </is>
      </c>
      <c r="C4997" s="12" t="inlineStr">
        <is>
          <t>Modular / portable power</t>
        </is>
      </c>
      <c r="D4997" s="12" t="inlineStr">
        <is>
          <t>Area / platform lighting circuit 1 (6 fixtures)</t>
        </is>
      </c>
      <c r="E4997" s="12" t="inlineStr"/>
      <c r="F4997" s="12" t="inlineStr">
        <is>
          <t>PCM: power control module</t>
        </is>
      </c>
      <c r="G4997" s="12" t="inlineStr"/>
      <c r="H4997" s="12" t="inlineStr">
        <is>
          <t>RICE 3 SCR + oxidation catalyst and stack</t>
        </is>
      </c>
      <c r="I4997" s="12" t="inlineStr">
        <is>
          <t>LV 600 V</t>
        </is>
      </c>
      <c r="J4997" s="12" t="inlineStr">
        <is>
          <t>Type TC-ER 600 V 3/C Cu XHHW-2 + ground, PVC jacket</t>
        </is>
      </c>
      <c r="K4997" s="12" t="inlineStr">
        <is>
          <t>LV|3/C+G|10</t>
        </is>
      </c>
      <c r="L4997" s="12" t="inlineStr">
        <is>
          <t>3/C+G</t>
        </is>
      </c>
      <c r="M4997" s="12" t="inlineStr">
        <is>
          <t>10</t>
        </is>
      </c>
      <c r="N4997" s="12" t="n">
        <v>1</v>
      </c>
      <c r="O4997" s="12" t="n">
        <v>1</v>
      </c>
      <c r="P4997" s="12" t="n">
        <v>480</v>
      </c>
      <c r="Q4997" s="12" t="n">
        <v>3</v>
      </c>
      <c r="R4997" s="12" t="n">
        <v>5</v>
      </c>
      <c r="S4997" s="12" t="inlineStr">
        <is>
          <t>Duct bank</t>
        </is>
      </c>
      <c r="T4997" s="17" t="n">
        <v>770</v>
      </c>
      <c r="U4997" s="17" t="n">
        <v>104</v>
      </c>
      <c r="V4997" s="17">
        <f>ROUNDUP((T4997+U4997+2*'Read Me'!$B$13)*(1+'Read Me'!$B$12),-1)</f>
        <v/>
      </c>
      <c r="W4997" s="17">
        <f>V4997*N4997*O4997</f>
        <v/>
      </c>
      <c r="X4997" s="12">
        <f>IF(LEFT(I4997,2)="MV",2*N4997*IF(L4997="1/C",O4997,1),0)</f>
        <v/>
      </c>
      <c r="Y4997" s="12">
        <f>IF(OR(LEFT(K4997,4)="LVAX",LEFT(K4997,6)="MV15AX",LEFT(K4997,4)="CTAX",LEFT(K4997,2)="W|"),2*N4997*O4997,0)</f>
        <v/>
      </c>
      <c r="Z4997" s="12" t="inlineStr">
        <is>
          <t>fixture-to-fixture run included</t>
        </is>
      </c>
      <c r="AA4997" s="12">
        <f>N4997*O4997</f>
        <v/>
      </c>
    </row>
    <row r="4998">
      <c r="A4998" s="12" t="inlineStr">
        <is>
          <t>I-P-0048</t>
        </is>
      </c>
      <c r="B4998" s="12" t="inlineStr">
        <is>
          <t>I</t>
        </is>
      </c>
      <c r="C4998" s="12" t="inlineStr">
        <is>
          <t>Modular / portable power</t>
        </is>
      </c>
      <c r="D4998" s="12" t="inlineStr">
        <is>
          <t>Motor 1 of 5, 30 kW (VFD output)</t>
        </is>
      </c>
      <c r="E4998" s="12" t="inlineStr"/>
      <c r="F4998" s="12" t="inlineStr">
        <is>
          <t>PCM: power control module</t>
        </is>
      </c>
      <c r="G4998" s="12" t="inlineStr"/>
      <c r="H4998" s="12" t="inlineStr">
        <is>
          <t>RICE 3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120</v>
      </c>
      <c r="U4998" s="17" t="n">
        <v>240</v>
      </c>
      <c r="V4998" s="17">
        <f>ROUNDUP((T4998+U4998+2*'Read Me'!$B$13)*(1+'Read Me'!$B$12),-1)</f>
        <v/>
      </c>
      <c r="W4998" s="17">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I-P-0049</t>
        </is>
      </c>
      <c r="B4999" s="12" t="inlineStr">
        <is>
          <t>I</t>
        </is>
      </c>
      <c r="C4999" s="12" t="inlineStr">
        <is>
          <t>Modular / portable power</t>
        </is>
      </c>
      <c r="D4999" s="12" t="inlineStr">
        <is>
          <t>Motor 2 of 5, 30 kW (VFD output)</t>
        </is>
      </c>
      <c r="E4999" s="12" t="inlineStr"/>
      <c r="F4999" s="12" t="inlineStr">
        <is>
          <t>PCM: power control module</t>
        </is>
      </c>
      <c r="G4999" s="12" t="inlineStr"/>
      <c r="H4999" s="12" t="inlineStr">
        <is>
          <t>RICE 3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120</v>
      </c>
      <c r="U4999" s="17" t="n">
        <v>240</v>
      </c>
      <c r="V4999" s="17">
        <f>ROUNDUP((T4999+U4999+2*'Read Me'!$B$13)*(1+'Read Me'!$B$12),-1)</f>
        <v/>
      </c>
      <c r="W4999" s="17">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I-P-0050</t>
        </is>
      </c>
      <c r="B5000" s="12" t="inlineStr">
        <is>
          <t>I</t>
        </is>
      </c>
      <c r="C5000" s="12" t="inlineStr">
        <is>
          <t>Modular / portable power</t>
        </is>
      </c>
      <c r="D5000" s="12" t="inlineStr">
        <is>
          <t>Motor 3 of 5, 30 kW (VFD output)</t>
        </is>
      </c>
      <c r="E5000" s="12" t="inlineStr"/>
      <c r="F5000" s="12" t="inlineStr">
        <is>
          <t>PCM: power control module</t>
        </is>
      </c>
      <c r="G5000" s="12" t="inlineStr"/>
      <c r="H5000" s="12" t="inlineStr">
        <is>
          <t>RICE 3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120</v>
      </c>
      <c r="U5000" s="17" t="n">
        <v>240</v>
      </c>
      <c r="V5000" s="17">
        <f>ROUNDUP((T5000+U5000+2*'Read Me'!$B$13)*(1+'Read Me'!$B$12),-1)</f>
        <v/>
      </c>
      <c r="W5000" s="17">
        <f>V5000*N5000*O5000</f>
        <v/>
      </c>
      <c r="X5000" s="12">
        <f>IF(LEFT(I5000,2)="MV",2*N5000*IF(L5000="1/C",O5000,1),0)</f>
        <v/>
      </c>
      <c r="Y5000" s="12">
        <f>IF(OR(LEFT(K5000,4)="LVAX",LEFT(K5000,6)="MV15AX",LEFT(K5000,4)="CTAX",LEFT(K5000,2)="W|"),2*N5000*O5000,0)</f>
        <v/>
      </c>
      <c r="Z5000" s="12" t="inlineStr">
        <is>
          <t>VD 3.0 %</t>
        </is>
      </c>
      <c r="AA5000" s="12">
        <f>N5000*O5000</f>
        <v/>
      </c>
    </row>
    <row r="5001">
      <c r="A5001" s="12" t="inlineStr">
        <is>
          <t>I-P-0051</t>
        </is>
      </c>
      <c r="B5001" s="12" t="inlineStr">
        <is>
          <t>I</t>
        </is>
      </c>
      <c r="C5001" s="12" t="inlineStr">
        <is>
          <t>Modular / portable power</t>
        </is>
      </c>
      <c r="D5001" s="12" t="inlineStr">
        <is>
          <t>Motor 4 of 5, 30 kW (VFD output)</t>
        </is>
      </c>
      <c r="E5001" s="12" t="inlineStr"/>
      <c r="F5001" s="12" t="inlineStr">
        <is>
          <t>PCM: power control module</t>
        </is>
      </c>
      <c r="G5001" s="12" t="inlineStr"/>
      <c r="H5001" s="12" t="inlineStr">
        <is>
          <t>RICE 3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120</v>
      </c>
      <c r="U5001" s="17" t="n">
        <v>240</v>
      </c>
      <c r="V5001" s="17">
        <f>ROUNDUP((T5001+U5001+2*'Read Me'!$B$13)*(1+'Read Me'!$B$12),-1)</f>
        <v/>
      </c>
      <c r="W5001" s="17">
        <f>V5001*N5001*O5001</f>
        <v/>
      </c>
      <c r="X5001" s="12">
        <f>IF(LEFT(I5001,2)="MV",2*N5001*IF(L5001="1/C",O5001,1),0)</f>
        <v/>
      </c>
      <c r="Y5001" s="12">
        <f>IF(OR(LEFT(K5001,4)="LVAX",LEFT(K5001,6)="MV15AX",LEFT(K5001,4)="CTAX",LEFT(K5001,2)="W|"),2*N5001*O5001,0)</f>
        <v/>
      </c>
      <c r="Z5001" s="12" t="inlineStr">
        <is>
          <t>VD 3.0 %</t>
        </is>
      </c>
      <c r="AA5001" s="12">
        <f>N5001*O5001</f>
        <v/>
      </c>
    </row>
    <row r="5002">
      <c r="A5002" s="12" t="inlineStr">
        <is>
          <t>I-P-0052</t>
        </is>
      </c>
      <c r="B5002" s="12" t="inlineStr">
        <is>
          <t>I</t>
        </is>
      </c>
      <c r="C5002" s="12" t="inlineStr">
        <is>
          <t>Modular / portable power</t>
        </is>
      </c>
      <c r="D5002" s="12" t="inlineStr">
        <is>
          <t>Motor 5 of 5, 30 kW (VFD output)</t>
        </is>
      </c>
      <c r="E5002" s="12" t="inlineStr"/>
      <c r="F5002" s="12" t="inlineStr">
        <is>
          <t>PCM: power control module</t>
        </is>
      </c>
      <c r="G5002" s="12" t="inlineStr"/>
      <c r="H5002" s="12" t="inlineStr">
        <is>
          <t>RICE 3 radiators (5)</t>
        </is>
      </c>
      <c r="I5002" s="12" t="inlineStr">
        <is>
          <t>LV 600 V</t>
        </is>
      </c>
      <c r="J5002" s="12" t="inlineStr">
        <is>
          <t>VFD cable 600 V 3/C Cu XHHW-2, 3 symmetrical grounds, overall Cu tape shield, TC-ER</t>
        </is>
      </c>
      <c r="K5002" s="12" t="inlineStr">
        <is>
          <t>VFD|3/C+3G|6</t>
        </is>
      </c>
      <c r="L5002" s="12" t="inlineStr">
        <is>
          <t>3/C+3G</t>
        </is>
      </c>
      <c r="M5002" s="12" t="inlineStr">
        <is>
          <t>6</t>
        </is>
      </c>
      <c r="N5002" s="12" t="n">
        <v>1</v>
      </c>
      <c r="O5002" s="12" t="n">
        <v>1</v>
      </c>
      <c r="P5002" s="12" t="n">
        <v>480</v>
      </c>
      <c r="Q5002" s="12" t="n">
        <v>30</v>
      </c>
      <c r="R5002" s="12" t="n">
        <v>42</v>
      </c>
      <c r="S5002" s="12" t="inlineStr">
        <is>
          <t>Tray</t>
        </is>
      </c>
      <c r="T5002" s="17" t="n">
        <v>120</v>
      </c>
      <c r="U5002" s="17" t="n">
        <v>240</v>
      </c>
      <c r="V5002" s="17">
        <f>ROUNDUP((T5002+U5002+2*'Read Me'!$B$13)*(1+'Read Me'!$B$12),-1)</f>
        <v/>
      </c>
      <c r="W5002" s="17">
        <f>V5002*N5002*O5002</f>
        <v/>
      </c>
      <c r="X5002" s="12">
        <f>IF(LEFT(I5002,2)="MV",2*N5002*IF(L5002="1/C",O5002,1),0)</f>
        <v/>
      </c>
      <c r="Y5002" s="12">
        <f>IF(OR(LEFT(K5002,4)="LVAX",LEFT(K5002,6)="MV15AX",LEFT(K5002,4)="CTAX",LEFT(K5002,2)="W|"),2*N5002*O5002,0)</f>
        <v/>
      </c>
      <c r="Z5002" s="12" t="inlineStr">
        <is>
          <t>VD 3.0 %</t>
        </is>
      </c>
      <c r="AA5002" s="12">
        <f>N5002*O5002</f>
        <v/>
      </c>
    </row>
    <row r="5003">
      <c r="A5003" s="12" t="inlineStr">
        <is>
          <t>I-P-0053</t>
        </is>
      </c>
      <c r="B5003" s="12" t="inlineStr">
        <is>
          <t>I</t>
        </is>
      </c>
      <c r="C5003" s="12" t="inlineStr">
        <is>
          <t>Modular / portable power</t>
        </is>
      </c>
      <c r="D5003" s="12" t="inlineStr">
        <is>
          <t>Motor 1 of 1, 15 kW</t>
        </is>
      </c>
      <c r="E5003" s="12" t="inlineStr"/>
      <c r="F5003" s="12" t="inlineStr">
        <is>
          <t>PCM: power control module</t>
        </is>
      </c>
      <c r="G5003" s="12" t="inlineStr"/>
      <c r="H5003" s="12" t="inlineStr">
        <is>
          <t>RICE 4 SCR + oxidation catalyst and stack</t>
        </is>
      </c>
      <c r="I5003" s="12" t="inlineStr">
        <is>
          <t>LV 600 V</t>
        </is>
      </c>
      <c r="J5003" s="12" t="inlineStr">
        <is>
          <t>Type TC-ER 600 V 3/C Cu XHHW-2 + ground, PVC jacket</t>
        </is>
      </c>
      <c r="K5003" s="12" t="inlineStr">
        <is>
          <t>LV|3/C+G|6</t>
        </is>
      </c>
      <c r="L5003" s="12" t="inlineStr">
        <is>
          <t>3/C+G</t>
        </is>
      </c>
      <c r="M5003" s="12" t="inlineStr">
        <is>
          <t>6</t>
        </is>
      </c>
      <c r="N5003" s="12" t="n">
        <v>1</v>
      </c>
      <c r="O5003" s="12" t="n">
        <v>1</v>
      </c>
      <c r="P5003" s="12" t="n">
        <v>480</v>
      </c>
      <c r="Q5003" s="12" t="n">
        <v>15</v>
      </c>
      <c r="R5003" s="12" t="n">
        <v>21.2</v>
      </c>
      <c r="S5003" s="12" t="inlineStr">
        <is>
          <t>Duct bank</t>
        </is>
      </c>
      <c r="T5003" s="17" t="n">
        <v>470</v>
      </c>
      <c r="U5003" s="17" t="n">
        <v>76</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I-P-0054</t>
        </is>
      </c>
      <c r="B5004" s="12" t="inlineStr">
        <is>
          <t>I</t>
        </is>
      </c>
      <c r="C5004" s="12" t="inlineStr">
        <is>
          <t>Modular / portable power</t>
        </is>
      </c>
      <c r="D5004" s="12" t="inlineStr">
        <is>
          <t>Area / platform lighting circuit 1 (6 fixtures)</t>
        </is>
      </c>
      <c r="E5004" s="12" t="inlineStr"/>
      <c r="F5004" s="12" t="inlineStr">
        <is>
          <t>PCM: power control module</t>
        </is>
      </c>
      <c r="G5004" s="12" t="inlineStr"/>
      <c r="H5004" s="12" t="inlineStr">
        <is>
          <t>RICE 4 SCR + oxidation catalyst and stack</t>
        </is>
      </c>
      <c r="I5004" s="12" t="inlineStr">
        <is>
          <t>LV 600 V</t>
        </is>
      </c>
      <c r="J5004" s="12" t="inlineStr">
        <is>
          <t>Type TC-ER 600 V 3/C Cu XHHW-2 + ground, PVC jacket</t>
        </is>
      </c>
      <c r="K5004" s="12" t="inlineStr">
        <is>
          <t>LV|3/C+G|10</t>
        </is>
      </c>
      <c r="L5004" s="12" t="inlineStr">
        <is>
          <t>3/C+G</t>
        </is>
      </c>
      <c r="M5004" s="12" t="inlineStr">
        <is>
          <t>10</t>
        </is>
      </c>
      <c r="N5004" s="12" t="n">
        <v>1</v>
      </c>
      <c r="O5004" s="12" t="n">
        <v>1</v>
      </c>
      <c r="P5004" s="12" t="n">
        <v>480</v>
      </c>
      <c r="Q5004" s="12" t="n">
        <v>3</v>
      </c>
      <c r="R5004" s="12" t="n">
        <v>5</v>
      </c>
      <c r="S5004" s="12" t="inlineStr">
        <is>
          <t>Duct bank</t>
        </is>
      </c>
      <c r="T5004" s="17" t="n">
        <v>770</v>
      </c>
      <c r="U5004" s="17" t="n">
        <v>76</v>
      </c>
      <c r="V5004" s="17">
        <f>ROUNDUP((T5004+U5004+2*'Read Me'!$B$13)*(1+'Read Me'!$B$12),-1)</f>
        <v/>
      </c>
      <c r="W5004" s="17">
        <f>V5004*N5004*O5004</f>
        <v/>
      </c>
      <c r="X5004" s="12">
        <f>IF(LEFT(I5004,2)="MV",2*N5004*IF(L5004="1/C",O5004,1),0)</f>
        <v/>
      </c>
      <c r="Y5004" s="12">
        <f>IF(OR(LEFT(K5004,4)="LVAX",LEFT(K5004,6)="MV15AX",LEFT(K5004,4)="CTAX",LEFT(K5004,2)="W|"),2*N5004*O5004,0)</f>
        <v/>
      </c>
      <c r="Z5004" s="12" t="inlineStr">
        <is>
          <t>fixture-to-fixture run included</t>
        </is>
      </c>
      <c r="AA5004" s="12">
        <f>N5004*O5004</f>
        <v/>
      </c>
    </row>
    <row r="5005">
      <c r="A5005" s="12" t="inlineStr">
        <is>
          <t>I-P-0055</t>
        </is>
      </c>
      <c r="B5005" s="12" t="inlineStr">
        <is>
          <t>I</t>
        </is>
      </c>
      <c r="C5005" s="12" t="inlineStr">
        <is>
          <t>Modular / portable power</t>
        </is>
      </c>
      <c r="D5005" s="12" t="inlineStr">
        <is>
          <t>Motor 1 of 5, 30 kW (VFD output)</t>
        </is>
      </c>
      <c r="E5005" s="12" t="inlineStr"/>
      <c r="F5005" s="12" t="inlineStr">
        <is>
          <t>PCM: power control module</t>
        </is>
      </c>
      <c r="G5005" s="12" t="inlineStr"/>
      <c r="H5005" s="12" t="inlineStr">
        <is>
          <t>RICE 4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206</v>
      </c>
      <c r="V5005" s="17">
        <f>ROUNDUP((T5005+U5005+2*'Read Me'!$B$13)*(1+'Read Me'!$B$12),-1)</f>
        <v/>
      </c>
      <c r="W5005" s="17">
        <f>V5005*N5005*O5005</f>
        <v/>
      </c>
      <c r="X5005" s="12">
        <f>IF(LEFT(I5005,2)="MV",2*N5005*IF(L5005="1/C",O5005,1),0)</f>
        <v/>
      </c>
      <c r="Y5005" s="12">
        <f>IF(OR(LEFT(K5005,4)="LVAX",LEFT(K5005,6)="MV15AX",LEFT(K5005,4)="CTAX",LEFT(K5005,2)="W|"),2*N5005*O5005,0)</f>
        <v/>
      </c>
      <c r="Z5005" s="12" t="inlineStr">
        <is>
          <t>VD 2.4 %</t>
        </is>
      </c>
      <c r="AA5005" s="12">
        <f>N5005*O5005</f>
        <v/>
      </c>
    </row>
    <row r="5006">
      <c r="A5006" s="12" t="inlineStr">
        <is>
          <t>I-P-0056</t>
        </is>
      </c>
      <c r="B5006" s="12" t="inlineStr">
        <is>
          <t>I</t>
        </is>
      </c>
      <c r="C5006" s="12" t="inlineStr">
        <is>
          <t>Modular / portable power</t>
        </is>
      </c>
      <c r="D5006" s="12" t="inlineStr">
        <is>
          <t>Motor 2 of 5, 30 kW (VFD output)</t>
        </is>
      </c>
      <c r="E5006" s="12" t="inlineStr"/>
      <c r="F5006" s="12" t="inlineStr">
        <is>
          <t>PCM: power control module</t>
        </is>
      </c>
      <c r="G5006" s="12" t="inlineStr"/>
      <c r="H5006" s="12" t="inlineStr">
        <is>
          <t>RICE 4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206</v>
      </c>
      <c r="V5006" s="17">
        <f>ROUNDUP((T5006+U5006+2*'Read Me'!$B$13)*(1+'Read Me'!$B$12),-1)</f>
        <v/>
      </c>
      <c r="W5006" s="17">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I-P-0057</t>
        </is>
      </c>
      <c r="B5007" s="12" t="inlineStr">
        <is>
          <t>I</t>
        </is>
      </c>
      <c r="C5007" s="12" t="inlineStr">
        <is>
          <t>Modular / portable power</t>
        </is>
      </c>
      <c r="D5007" s="12" t="inlineStr">
        <is>
          <t>Motor 3 of 5, 30 kW (VFD output)</t>
        </is>
      </c>
      <c r="E5007" s="12" t="inlineStr"/>
      <c r="F5007" s="12" t="inlineStr">
        <is>
          <t>PCM: power control module</t>
        </is>
      </c>
      <c r="G5007" s="12" t="inlineStr"/>
      <c r="H5007" s="12" t="inlineStr">
        <is>
          <t>RICE 4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206</v>
      </c>
      <c r="V5007" s="17">
        <f>ROUNDUP((T5007+U5007+2*'Read Me'!$B$13)*(1+'Read Me'!$B$12),-1)</f>
        <v/>
      </c>
      <c r="W5007" s="17">
        <f>V5007*N5007*O5007</f>
        <v/>
      </c>
      <c r="X5007" s="12">
        <f>IF(LEFT(I5007,2)="MV",2*N5007*IF(L5007="1/C",O5007,1),0)</f>
        <v/>
      </c>
      <c r="Y5007" s="12">
        <f>IF(OR(LEFT(K5007,4)="LVAX",LEFT(K5007,6)="MV15AX",LEFT(K5007,4)="CTAX",LEFT(K5007,2)="W|"),2*N5007*O5007,0)</f>
        <v/>
      </c>
      <c r="Z5007" s="12" t="inlineStr">
        <is>
          <t>VD 2.4 %</t>
        </is>
      </c>
      <c r="AA5007" s="12">
        <f>N5007*O5007</f>
        <v/>
      </c>
    </row>
    <row r="5008">
      <c r="A5008" s="12" t="inlineStr">
        <is>
          <t>I-P-0058</t>
        </is>
      </c>
      <c r="B5008" s="12" t="inlineStr">
        <is>
          <t>I</t>
        </is>
      </c>
      <c r="C5008" s="12" t="inlineStr">
        <is>
          <t>Modular / portable power</t>
        </is>
      </c>
      <c r="D5008" s="12" t="inlineStr">
        <is>
          <t>Motor 4 of 5, 30 kW (VFD output)</t>
        </is>
      </c>
      <c r="E5008" s="12" t="inlineStr"/>
      <c r="F5008" s="12" t="inlineStr">
        <is>
          <t>PCM: power control module</t>
        </is>
      </c>
      <c r="G5008" s="12" t="inlineStr"/>
      <c r="H5008" s="12" t="inlineStr">
        <is>
          <t>RICE 4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206</v>
      </c>
      <c r="V5008" s="17">
        <f>ROUNDUP((T5008+U5008+2*'Read Me'!$B$13)*(1+'Read Me'!$B$12),-1)</f>
        <v/>
      </c>
      <c r="W5008" s="17">
        <f>V5008*N5008*O5008</f>
        <v/>
      </c>
      <c r="X5008" s="12">
        <f>IF(LEFT(I5008,2)="MV",2*N5008*IF(L5008="1/C",O5008,1),0)</f>
        <v/>
      </c>
      <c r="Y5008" s="12">
        <f>IF(OR(LEFT(K5008,4)="LVAX",LEFT(K5008,6)="MV15AX",LEFT(K5008,4)="CTAX",LEFT(K5008,2)="W|"),2*N5008*O5008,0)</f>
        <v/>
      </c>
      <c r="Z5008" s="12" t="inlineStr">
        <is>
          <t>VD 2.4 %</t>
        </is>
      </c>
      <c r="AA5008" s="12">
        <f>N5008*O5008</f>
        <v/>
      </c>
    </row>
    <row r="5009">
      <c r="A5009" s="12" t="inlineStr">
        <is>
          <t>I-P-0059</t>
        </is>
      </c>
      <c r="B5009" s="12" t="inlineStr">
        <is>
          <t>I</t>
        </is>
      </c>
      <c r="C5009" s="12" t="inlineStr">
        <is>
          <t>Modular / portable power</t>
        </is>
      </c>
      <c r="D5009" s="12" t="inlineStr">
        <is>
          <t>Motor 5 of 5, 30 kW (VFD output)</t>
        </is>
      </c>
      <c r="E5009" s="12" t="inlineStr"/>
      <c r="F5009" s="12" t="inlineStr">
        <is>
          <t>PCM: power control module</t>
        </is>
      </c>
      <c r="G5009" s="12" t="inlineStr"/>
      <c r="H5009" s="12" t="inlineStr">
        <is>
          <t>RICE 4 radiators (5)</t>
        </is>
      </c>
      <c r="I5009" s="12" t="inlineStr">
        <is>
          <t>LV 600 V</t>
        </is>
      </c>
      <c r="J5009" s="12" t="inlineStr">
        <is>
          <t>VFD cable 600 V 3/C Cu XHHW-2, 3 symmetrical grounds, overall Cu tape shield, TC-ER</t>
        </is>
      </c>
      <c r="K5009" s="12" t="inlineStr">
        <is>
          <t>VFD|3/C+3G|6</t>
        </is>
      </c>
      <c r="L5009" s="12" t="inlineStr">
        <is>
          <t>3/C+3G</t>
        </is>
      </c>
      <c r="M5009" s="12" t="inlineStr">
        <is>
          <t>6</t>
        </is>
      </c>
      <c r="N5009" s="12" t="n">
        <v>1</v>
      </c>
      <c r="O5009" s="12" t="n">
        <v>1</v>
      </c>
      <c r="P5009" s="12" t="n">
        <v>480</v>
      </c>
      <c r="Q5009" s="12" t="n">
        <v>30</v>
      </c>
      <c r="R5009" s="12" t="n">
        <v>42</v>
      </c>
      <c r="S5009" s="12" t="inlineStr">
        <is>
          <t>Tray</t>
        </is>
      </c>
      <c r="T5009" s="17" t="n">
        <v>80</v>
      </c>
      <c r="U5009" s="17" t="n">
        <v>206</v>
      </c>
      <c r="V5009" s="17">
        <f>ROUNDUP((T5009+U5009+2*'Read Me'!$B$13)*(1+'Read Me'!$B$12),-1)</f>
        <v/>
      </c>
      <c r="W5009" s="17">
        <f>V5009*N5009*O5009</f>
        <v/>
      </c>
      <c r="X5009" s="12">
        <f>IF(LEFT(I5009,2)="MV",2*N5009*IF(L5009="1/C",O5009,1),0)</f>
        <v/>
      </c>
      <c r="Y5009" s="12">
        <f>IF(OR(LEFT(K5009,4)="LVAX",LEFT(K5009,6)="MV15AX",LEFT(K5009,4)="CTAX",LEFT(K5009,2)="W|"),2*N5009*O5009,0)</f>
        <v/>
      </c>
      <c r="Z5009" s="12" t="inlineStr">
        <is>
          <t>VD 2.4 %</t>
        </is>
      </c>
      <c r="AA5009" s="12">
        <f>N5009*O5009</f>
        <v/>
      </c>
    </row>
    <row r="5010">
      <c r="A5010" s="12" t="inlineStr">
        <is>
          <t>I-P-0060</t>
        </is>
      </c>
      <c r="B5010" s="12" t="inlineStr">
        <is>
          <t>I</t>
        </is>
      </c>
      <c r="C5010" s="12" t="inlineStr">
        <is>
          <t>Modular / portable power</t>
        </is>
      </c>
      <c r="D5010" s="12" t="inlineStr">
        <is>
          <t>Motor 1 of 1, 15 kW</t>
        </is>
      </c>
      <c r="E5010" s="12" t="inlineStr"/>
      <c r="F5010" s="12" t="inlineStr">
        <is>
          <t>PCM: power control module</t>
        </is>
      </c>
      <c r="G5010" s="12" t="inlineStr"/>
      <c r="H5010" s="12" t="inlineStr">
        <is>
          <t>RICE 5 SCR + oxidation catalyst and stack</t>
        </is>
      </c>
      <c r="I5010" s="12" t="inlineStr">
        <is>
          <t>LV 600 V</t>
        </is>
      </c>
      <c r="J5010" s="12" t="inlineStr">
        <is>
          <t>Type TC-ER 600 V 3/C Cu XHHW-2 + ground, PVC jacket</t>
        </is>
      </c>
      <c r="K5010" s="12" t="inlineStr">
        <is>
          <t>LV|3/C+G|6</t>
        </is>
      </c>
      <c r="L5010" s="12" t="inlineStr">
        <is>
          <t>3/C+G</t>
        </is>
      </c>
      <c r="M5010" s="12" t="inlineStr">
        <is>
          <t>6</t>
        </is>
      </c>
      <c r="N5010" s="12" t="n">
        <v>1</v>
      </c>
      <c r="O5010" s="12" t="n">
        <v>1</v>
      </c>
      <c r="P5010" s="12" t="n">
        <v>480</v>
      </c>
      <c r="Q5010" s="12" t="n">
        <v>15</v>
      </c>
      <c r="R5010" s="12" t="n">
        <v>21.2</v>
      </c>
      <c r="S5010" s="12" t="inlineStr">
        <is>
          <t>Duct bank</t>
        </is>
      </c>
      <c r="T5010" s="17" t="n">
        <v>322</v>
      </c>
      <c r="U5010" s="17" t="n">
        <v>196</v>
      </c>
      <c r="V5010" s="17">
        <f>ROUNDUP((T5010+U5010+2*'Read Me'!$B$13)*(1+'Read Me'!$B$12),-1)</f>
        <v/>
      </c>
      <c r="W5010" s="17">
        <f>V5010*N5010*O5010</f>
        <v/>
      </c>
      <c r="X5010" s="12">
        <f>IF(LEFT(I5010,2)="MV",2*N5010*IF(L5010="1/C",O5010,1),0)</f>
        <v/>
      </c>
      <c r="Y5010" s="12">
        <f>IF(OR(LEFT(K5010,4)="LVAX",LEFT(K5010,6)="MV15AX",LEFT(K5010,4)="CTAX",LEFT(K5010,2)="W|"),2*N5010*O5010,0)</f>
        <v/>
      </c>
      <c r="Z5010" s="12" t="inlineStr">
        <is>
          <t>VD 2.1 %</t>
        </is>
      </c>
      <c r="AA5010" s="12">
        <f>N5010*O5010</f>
        <v/>
      </c>
    </row>
    <row r="5011">
      <c r="A5011" s="12" t="inlineStr">
        <is>
          <t>I-P-0061</t>
        </is>
      </c>
      <c r="B5011" s="12" t="inlineStr">
        <is>
          <t>I</t>
        </is>
      </c>
      <c r="C5011" s="12" t="inlineStr">
        <is>
          <t>Modular / portable power</t>
        </is>
      </c>
      <c r="D5011" s="12" t="inlineStr">
        <is>
          <t>Area / platform lighting circuit 1 (6 fixtures)</t>
        </is>
      </c>
      <c r="E5011" s="12" t="inlineStr"/>
      <c r="F5011" s="12" t="inlineStr">
        <is>
          <t>PCM: power control module</t>
        </is>
      </c>
      <c r="G5011" s="12" t="inlineStr"/>
      <c r="H5011" s="12" t="inlineStr">
        <is>
          <t>RICE 5 SCR + oxidation catalyst and stack</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3</v>
      </c>
      <c r="R5011" s="12" t="n">
        <v>5</v>
      </c>
      <c r="S5011" s="12" t="inlineStr">
        <is>
          <t>Duct bank</t>
        </is>
      </c>
      <c r="T5011" s="17" t="n">
        <v>622</v>
      </c>
      <c r="U5011" s="17" t="n">
        <v>196</v>
      </c>
      <c r="V5011" s="17">
        <f>ROUNDUP((T5011+U5011+2*'Read Me'!$B$13)*(1+'Read Me'!$B$12),-1)</f>
        <v/>
      </c>
      <c r="W5011" s="17">
        <f>V5011*N5011*O5011</f>
        <v/>
      </c>
      <c r="X5011" s="12">
        <f>IF(LEFT(I5011,2)="MV",2*N5011*IF(L5011="1/C",O5011,1),0)</f>
        <v/>
      </c>
      <c r="Y5011" s="12">
        <f>IF(OR(LEFT(K5011,4)="LVAX",LEFT(K5011,6)="MV15AX",LEFT(K5011,4)="CTAX",LEFT(K5011,2)="W|"),2*N5011*O5011,0)</f>
        <v/>
      </c>
      <c r="Z5011" s="12" t="inlineStr">
        <is>
          <t>fixture-to-fixture run included</t>
        </is>
      </c>
      <c r="AA5011" s="12">
        <f>N5011*O5011</f>
        <v/>
      </c>
    </row>
    <row r="5012">
      <c r="A5012" s="12" t="inlineStr">
        <is>
          <t>I-P-0062</t>
        </is>
      </c>
      <c r="B5012" s="12" t="inlineStr">
        <is>
          <t>I</t>
        </is>
      </c>
      <c r="C5012" s="12" t="inlineStr">
        <is>
          <t>Modular / portable power</t>
        </is>
      </c>
      <c r="D5012" s="12" t="inlineStr">
        <is>
          <t>Motor 1 of 5, 30 kW (VFD output)</t>
        </is>
      </c>
      <c r="E5012" s="12" t="inlineStr"/>
      <c r="F5012" s="12" t="inlineStr">
        <is>
          <t>PCM: power control module</t>
        </is>
      </c>
      <c r="G5012" s="12" t="inlineStr"/>
      <c r="H5012" s="12" t="inlineStr">
        <is>
          <t>RICE 5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178</v>
      </c>
      <c r="V5012" s="17">
        <f>ROUNDUP((T5012+U5012+2*'Read Me'!$B$13)*(1+'Read Me'!$B$12),-1)</f>
        <v/>
      </c>
      <c r="W5012" s="17">
        <f>V5012*N5012*O5012</f>
        <v/>
      </c>
      <c r="X5012" s="12">
        <f>IF(LEFT(I5012,2)="MV",2*N5012*IF(L5012="1/C",O5012,1),0)</f>
        <v/>
      </c>
      <c r="Y5012" s="12">
        <f>IF(OR(LEFT(K5012,4)="LVAX",LEFT(K5012,6)="MV15AX",LEFT(K5012,4)="CTAX",LEFT(K5012,2)="W|"),2*N5012*O5012,0)</f>
        <v/>
      </c>
      <c r="Z5012" s="12" t="inlineStr">
        <is>
          <t>VD 2.1 %</t>
        </is>
      </c>
      <c r="AA5012" s="12">
        <f>N5012*O5012</f>
        <v/>
      </c>
    </row>
    <row r="5013">
      <c r="A5013" s="12" t="inlineStr">
        <is>
          <t>I-P-0063</t>
        </is>
      </c>
      <c r="B5013" s="12" t="inlineStr">
        <is>
          <t>I</t>
        </is>
      </c>
      <c r="C5013" s="12" t="inlineStr">
        <is>
          <t>Modular / portable power</t>
        </is>
      </c>
      <c r="D5013" s="12" t="inlineStr">
        <is>
          <t>Motor 2 of 5, 30 kW (VFD output)</t>
        </is>
      </c>
      <c r="E5013" s="12" t="inlineStr"/>
      <c r="F5013" s="12" t="inlineStr">
        <is>
          <t>PCM: power control module</t>
        </is>
      </c>
      <c r="G5013" s="12" t="inlineStr"/>
      <c r="H5013" s="12" t="inlineStr">
        <is>
          <t>RICE 5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178</v>
      </c>
      <c r="V5013" s="17">
        <f>ROUNDUP((T5013+U5013+2*'Read Me'!$B$13)*(1+'Read Me'!$B$12),-1)</f>
        <v/>
      </c>
      <c r="W5013" s="17">
        <f>V5013*N5013*O5013</f>
        <v/>
      </c>
      <c r="X5013" s="12">
        <f>IF(LEFT(I5013,2)="MV",2*N5013*IF(L5013="1/C",O5013,1),0)</f>
        <v/>
      </c>
      <c r="Y5013" s="12">
        <f>IF(OR(LEFT(K5013,4)="LVAX",LEFT(K5013,6)="MV15AX",LEFT(K5013,4)="CTAX",LEFT(K5013,2)="W|"),2*N5013*O5013,0)</f>
        <v/>
      </c>
      <c r="Z5013" s="12" t="inlineStr">
        <is>
          <t>VD 2.1 %</t>
        </is>
      </c>
      <c r="AA5013" s="12">
        <f>N5013*O5013</f>
        <v/>
      </c>
    </row>
    <row r="5014">
      <c r="A5014" s="12" t="inlineStr">
        <is>
          <t>I-P-0064</t>
        </is>
      </c>
      <c r="B5014" s="12" t="inlineStr">
        <is>
          <t>I</t>
        </is>
      </c>
      <c r="C5014" s="12" t="inlineStr">
        <is>
          <t>Modular / portable power</t>
        </is>
      </c>
      <c r="D5014" s="12" t="inlineStr">
        <is>
          <t>Motor 3 of 5, 30 kW (VFD output)</t>
        </is>
      </c>
      <c r="E5014" s="12" t="inlineStr"/>
      <c r="F5014" s="12" t="inlineStr">
        <is>
          <t>PCM: power control module</t>
        </is>
      </c>
      <c r="G5014" s="12" t="inlineStr"/>
      <c r="H5014" s="12" t="inlineStr">
        <is>
          <t>RICE 5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178</v>
      </c>
      <c r="V5014" s="17">
        <f>ROUNDUP((T5014+U5014+2*'Read Me'!$B$13)*(1+'Read Me'!$B$12),-1)</f>
        <v/>
      </c>
      <c r="W5014" s="17">
        <f>V5014*N5014*O5014</f>
        <v/>
      </c>
      <c r="X5014" s="12">
        <f>IF(LEFT(I5014,2)="MV",2*N5014*IF(L5014="1/C",O5014,1),0)</f>
        <v/>
      </c>
      <c r="Y5014" s="12">
        <f>IF(OR(LEFT(K5014,4)="LVAX",LEFT(K5014,6)="MV15AX",LEFT(K5014,4)="CTAX",LEFT(K5014,2)="W|"),2*N5014*O5014,0)</f>
        <v/>
      </c>
      <c r="Z5014" s="12" t="inlineStr">
        <is>
          <t>VD 2.1 %</t>
        </is>
      </c>
      <c r="AA5014" s="12">
        <f>N5014*O5014</f>
        <v/>
      </c>
    </row>
    <row r="5015">
      <c r="A5015" s="12" t="inlineStr">
        <is>
          <t>I-P-0065</t>
        </is>
      </c>
      <c r="B5015" s="12" t="inlineStr">
        <is>
          <t>I</t>
        </is>
      </c>
      <c r="C5015" s="12" t="inlineStr">
        <is>
          <t>Modular / portable power</t>
        </is>
      </c>
      <c r="D5015" s="12" t="inlineStr">
        <is>
          <t>Motor 4 of 5, 30 kW (VFD output)</t>
        </is>
      </c>
      <c r="E5015" s="12" t="inlineStr"/>
      <c r="F5015" s="12" t="inlineStr">
        <is>
          <t>PCM: power control module</t>
        </is>
      </c>
      <c r="G5015" s="12" t="inlineStr"/>
      <c r="H5015" s="12" t="inlineStr">
        <is>
          <t>RICE 5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178</v>
      </c>
      <c r="V5015" s="17">
        <f>ROUNDUP((T5015+U5015+2*'Read Me'!$B$13)*(1+'Read Me'!$B$12),-1)</f>
        <v/>
      </c>
      <c r="W5015" s="17">
        <f>V5015*N5015*O5015</f>
        <v/>
      </c>
      <c r="X5015" s="12">
        <f>IF(LEFT(I5015,2)="MV",2*N5015*IF(L5015="1/C",O5015,1),0)</f>
        <v/>
      </c>
      <c r="Y5015" s="12">
        <f>IF(OR(LEFT(K5015,4)="LVAX",LEFT(K5015,6)="MV15AX",LEFT(K5015,4)="CTAX",LEFT(K5015,2)="W|"),2*N5015*O5015,0)</f>
        <v/>
      </c>
      <c r="Z5015" s="12" t="inlineStr">
        <is>
          <t>VD 2.1 %</t>
        </is>
      </c>
      <c r="AA5015" s="12">
        <f>N5015*O5015</f>
        <v/>
      </c>
    </row>
    <row r="5016">
      <c r="A5016" s="12" t="inlineStr">
        <is>
          <t>I-P-0066</t>
        </is>
      </c>
      <c r="B5016" s="12" t="inlineStr">
        <is>
          <t>I</t>
        </is>
      </c>
      <c r="C5016" s="12" t="inlineStr">
        <is>
          <t>Modular / portable power</t>
        </is>
      </c>
      <c r="D5016" s="12" t="inlineStr">
        <is>
          <t>Motor 5 of 5, 30 kW (VFD output)</t>
        </is>
      </c>
      <c r="E5016" s="12" t="inlineStr"/>
      <c r="F5016" s="12" t="inlineStr">
        <is>
          <t>PCM: power control module</t>
        </is>
      </c>
      <c r="G5016" s="12" t="inlineStr"/>
      <c r="H5016" s="12" t="inlineStr">
        <is>
          <t>RICE 5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80</v>
      </c>
      <c r="U5016" s="17" t="n">
        <v>178</v>
      </c>
      <c r="V5016" s="17">
        <f>ROUNDUP((T5016+U5016+2*'Read Me'!$B$13)*(1+'Read Me'!$B$12),-1)</f>
        <v/>
      </c>
      <c r="W5016" s="17">
        <f>V5016*N5016*O5016</f>
        <v/>
      </c>
      <c r="X5016" s="12">
        <f>IF(LEFT(I5016,2)="MV",2*N5016*IF(L5016="1/C",O5016,1),0)</f>
        <v/>
      </c>
      <c r="Y5016" s="12">
        <f>IF(OR(LEFT(K5016,4)="LVAX",LEFT(K5016,6)="MV15AX",LEFT(K5016,4)="CTAX",LEFT(K5016,2)="W|"),2*N5016*O5016,0)</f>
        <v/>
      </c>
      <c r="Z5016" s="12" t="inlineStr">
        <is>
          <t>VD 2.1 %</t>
        </is>
      </c>
      <c r="AA5016" s="12">
        <f>N5016*O5016</f>
        <v/>
      </c>
    </row>
    <row r="5017">
      <c r="A5017" s="12" t="inlineStr">
        <is>
          <t>I-P-0067</t>
        </is>
      </c>
      <c r="B5017" s="12" t="inlineStr">
        <is>
          <t>I</t>
        </is>
      </c>
      <c r="C5017" s="12" t="inlineStr">
        <is>
          <t>Modular / portable power</t>
        </is>
      </c>
      <c r="D5017" s="12" t="inlineStr">
        <is>
          <t>Motor 1 of 1, 15 kW</t>
        </is>
      </c>
      <c r="E5017" s="12" t="inlineStr"/>
      <c r="F5017" s="12" t="inlineStr">
        <is>
          <t>PCM: power control module</t>
        </is>
      </c>
      <c r="G5017" s="12" t="inlineStr"/>
      <c r="H5017" s="12" t="inlineStr">
        <is>
          <t>RICE 6 SCR + oxidation catalyst and stack</t>
        </is>
      </c>
      <c r="I5017" s="12" t="inlineStr">
        <is>
          <t>LV 600 V</t>
        </is>
      </c>
      <c r="J5017" s="12" t="inlineStr">
        <is>
          <t>Type TC-ER 600 V 3/C Cu XHHW-2 + ground, PVC jacket</t>
        </is>
      </c>
      <c r="K5017" s="12" t="inlineStr">
        <is>
          <t>LV|3/C+G|6</t>
        </is>
      </c>
      <c r="L5017" s="12" t="inlineStr">
        <is>
          <t>3/C+G</t>
        </is>
      </c>
      <c r="M5017" s="12" t="inlineStr">
        <is>
          <t>6</t>
        </is>
      </c>
      <c r="N5017" s="12" t="n">
        <v>1</v>
      </c>
      <c r="O5017" s="12" t="n">
        <v>1</v>
      </c>
      <c r="P5017" s="12" t="n">
        <v>480</v>
      </c>
      <c r="Q5017" s="12" t="n">
        <v>15</v>
      </c>
      <c r="R5017" s="12" t="n">
        <v>21.2</v>
      </c>
      <c r="S5017" s="12" t="inlineStr">
        <is>
          <t>Duct bank</t>
        </is>
      </c>
      <c r="T5017" s="17" t="n">
        <v>322</v>
      </c>
      <c r="U5017" s="17" t="n">
        <v>168</v>
      </c>
      <c r="V5017" s="17">
        <f>ROUNDUP((T5017+U5017+2*'Read Me'!$B$13)*(1+'Read Me'!$B$12),-1)</f>
        <v/>
      </c>
      <c r="W5017" s="17">
        <f>V5017*N5017*O5017</f>
        <v/>
      </c>
      <c r="X5017" s="12">
        <f>IF(LEFT(I5017,2)="MV",2*N5017*IF(L5017="1/C",O5017,1),0)</f>
        <v/>
      </c>
      <c r="Y5017" s="12">
        <f>IF(OR(LEFT(K5017,4)="LVAX",LEFT(K5017,6)="MV15AX",LEFT(K5017,4)="CTAX",LEFT(K5017,2)="W|"),2*N5017*O5017,0)</f>
        <v/>
      </c>
      <c r="Z5017" s="12" t="inlineStr">
        <is>
          <t>VD 2.0 %</t>
        </is>
      </c>
      <c r="AA5017" s="12">
        <f>N5017*O5017</f>
        <v/>
      </c>
    </row>
    <row r="5018">
      <c r="A5018" s="12" t="inlineStr">
        <is>
          <t>I-P-0068</t>
        </is>
      </c>
      <c r="B5018" s="12" t="inlineStr">
        <is>
          <t>I</t>
        </is>
      </c>
      <c r="C5018" s="12" t="inlineStr">
        <is>
          <t>Modular / portable power</t>
        </is>
      </c>
      <c r="D5018" s="12" t="inlineStr">
        <is>
          <t>Area / platform lighting circuit 1 (6 fixtures)</t>
        </is>
      </c>
      <c r="E5018" s="12" t="inlineStr"/>
      <c r="F5018" s="12" t="inlineStr">
        <is>
          <t>PCM: power control module</t>
        </is>
      </c>
      <c r="G5018" s="12" t="inlineStr"/>
      <c r="H5018" s="12" t="inlineStr">
        <is>
          <t>RICE 6 SCR + oxidation catalyst and stack</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3</v>
      </c>
      <c r="R5018" s="12" t="n">
        <v>5</v>
      </c>
      <c r="S5018" s="12" t="inlineStr">
        <is>
          <t>Duct bank</t>
        </is>
      </c>
      <c r="T5018" s="17" t="n">
        <v>622</v>
      </c>
      <c r="U5018" s="17" t="n">
        <v>168</v>
      </c>
      <c r="V5018" s="17">
        <f>ROUNDUP((T5018+U5018+2*'Read Me'!$B$13)*(1+'Read Me'!$B$12),-1)</f>
        <v/>
      </c>
      <c r="W5018" s="17">
        <f>V5018*N5018*O5018</f>
        <v/>
      </c>
      <c r="X5018" s="12">
        <f>IF(LEFT(I5018,2)="MV",2*N5018*IF(L5018="1/C",O5018,1),0)</f>
        <v/>
      </c>
      <c r="Y5018" s="12">
        <f>IF(OR(LEFT(K5018,4)="LVAX",LEFT(K5018,6)="MV15AX",LEFT(K5018,4)="CTAX",LEFT(K5018,2)="W|"),2*N5018*O5018,0)</f>
        <v/>
      </c>
      <c r="Z5018" s="12" t="inlineStr">
        <is>
          <t>fixture-to-fixture run included</t>
        </is>
      </c>
      <c r="AA5018" s="12">
        <f>N5018*O5018</f>
        <v/>
      </c>
    </row>
    <row r="5019">
      <c r="A5019" s="12" t="inlineStr">
        <is>
          <t>I-P-0069</t>
        </is>
      </c>
      <c r="B5019" s="12" t="inlineStr">
        <is>
          <t>I</t>
        </is>
      </c>
      <c r="C5019" s="12" t="inlineStr">
        <is>
          <t>Modular / portable power</t>
        </is>
      </c>
      <c r="D5019" s="12" t="inlineStr">
        <is>
          <t>Motor 1 of 5, 30 kW (VFD output)</t>
        </is>
      </c>
      <c r="E5019" s="12" t="inlineStr"/>
      <c r="F5019" s="12" t="inlineStr">
        <is>
          <t>PCM: power control module</t>
        </is>
      </c>
      <c r="G5019" s="12" t="inlineStr"/>
      <c r="H5019" s="12" t="inlineStr">
        <is>
          <t>RICE 6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150</v>
      </c>
      <c r="V5019" s="17">
        <f>ROUNDUP((T5019+U5019+2*'Read Me'!$B$13)*(1+'Read Me'!$B$12),-1)</f>
        <v/>
      </c>
      <c r="W5019" s="17">
        <f>V5019*N5019*O5019</f>
        <v/>
      </c>
      <c r="X5019" s="12">
        <f>IF(LEFT(I5019,2)="MV",2*N5019*IF(L5019="1/C",O5019,1),0)</f>
        <v/>
      </c>
      <c r="Y5019" s="12">
        <f>IF(OR(LEFT(K5019,4)="LVAX",LEFT(K5019,6)="MV15AX",LEFT(K5019,4)="CTAX",LEFT(K5019,2)="W|"),2*N5019*O5019,0)</f>
        <v/>
      </c>
      <c r="Z5019" s="12" t="inlineStr">
        <is>
          <t>VD 1.9 %</t>
        </is>
      </c>
      <c r="AA5019" s="12">
        <f>N5019*O5019</f>
        <v/>
      </c>
    </row>
    <row r="5020">
      <c r="A5020" s="12" t="inlineStr">
        <is>
          <t>I-P-0070</t>
        </is>
      </c>
      <c r="B5020" s="12" t="inlineStr">
        <is>
          <t>I</t>
        </is>
      </c>
      <c r="C5020" s="12" t="inlineStr">
        <is>
          <t>Modular / portable power</t>
        </is>
      </c>
      <c r="D5020" s="12" t="inlineStr">
        <is>
          <t>Motor 2 of 5, 30 kW (VFD output)</t>
        </is>
      </c>
      <c r="E5020" s="12" t="inlineStr"/>
      <c r="F5020" s="12" t="inlineStr">
        <is>
          <t>PCM: power control module</t>
        </is>
      </c>
      <c r="G5020" s="12" t="inlineStr"/>
      <c r="H5020" s="12" t="inlineStr">
        <is>
          <t>RICE 6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150</v>
      </c>
      <c r="V5020" s="17">
        <f>ROUNDUP((T5020+U5020+2*'Read Me'!$B$13)*(1+'Read Me'!$B$12),-1)</f>
        <v/>
      </c>
      <c r="W5020" s="17">
        <f>V5020*N5020*O5020</f>
        <v/>
      </c>
      <c r="X5020" s="12">
        <f>IF(LEFT(I5020,2)="MV",2*N5020*IF(L5020="1/C",O5020,1),0)</f>
        <v/>
      </c>
      <c r="Y5020" s="12">
        <f>IF(OR(LEFT(K5020,4)="LVAX",LEFT(K5020,6)="MV15AX",LEFT(K5020,4)="CTAX",LEFT(K5020,2)="W|"),2*N5020*O5020,0)</f>
        <v/>
      </c>
      <c r="Z5020" s="12" t="inlineStr">
        <is>
          <t>VD 1.9 %</t>
        </is>
      </c>
      <c r="AA5020" s="12">
        <f>N5020*O5020</f>
        <v/>
      </c>
    </row>
    <row r="5021">
      <c r="A5021" s="12" t="inlineStr">
        <is>
          <t>I-P-0071</t>
        </is>
      </c>
      <c r="B5021" s="12" t="inlineStr">
        <is>
          <t>I</t>
        </is>
      </c>
      <c r="C5021" s="12" t="inlineStr">
        <is>
          <t>Modular / portable power</t>
        </is>
      </c>
      <c r="D5021" s="12" t="inlineStr">
        <is>
          <t>Motor 3 of 5, 30 kW (VFD output)</t>
        </is>
      </c>
      <c r="E5021" s="12" t="inlineStr"/>
      <c r="F5021" s="12" t="inlineStr">
        <is>
          <t>PCM: power control module</t>
        </is>
      </c>
      <c r="G5021" s="12" t="inlineStr"/>
      <c r="H5021" s="12" t="inlineStr">
        <is>
          <t>RICE 6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150</v>
      </c>
      <c r="V5021" s="17">
        <f>ROUNDUP((T5021+U5021+2*'Read Me'!$B$13)*(1+'Read Me'!$B$12),-1)</f>
        <v/>
      </c>
      <c r="W5021" s="17">
        <f>V5021*N5021*O5021</f>
        <v/>
      </c>
      <c r="X5021" s="12">
        <f>IF(LEFT(I5021,2)="MV",2*N5021*IF(L5021="1/C",O5021,1),0)</f>
        <v/>
      </c>
      <c r="Y5021" s="12">
        <f>IF(OR(LEFT(K5021,4)="LVAX",LEFT(K5021,6)="MV15AX",LEFT(K5021,4)="CTAX",LEFT(K5021,2)="W|"),2*N5021*O5021,0)</f>
        <v/>
      </c>
      <c r="Z5021" s="12" t="inlineStr">
        <is>
          <t>VD 1.9 %</t>
        </is>
      </c>
      <c r="AA5021" s="12">
        <f>N5021*O5021</f>
        <v/>
      </c>
    </row>
    <row r="5022">
      <c r="A5022" s="12" t="inlineStr">
        <is>
          <t>I-P-0072</t>
        </is>
      </c>
      <c r="B5022" s="12" t="inlineStr">
        <is>
          <t>I</t>
        </is>
      </c>
      <c r="C5022" s="12" t="inlineStr">
        <is>
          <t>Modular / portable power</t>
        </is>
      </c>
      <c r="D5022" s="12" t="inlineStr">
        <is>
          <t>Motor 4 of 5, 30 kW (VFD output)</t>
        </is>
      </c>
      <c r="E5022" s="12" t="inlineStr"/>
      <c r="F5022" s="12" t="inlineStr">
        <is>
          <t>PCM: power control module</t>
        </is>
      </c>
      <c r="G5022" s="12" t="inlineStr"/>
      <c r="H5022" s="12" t="inlineStr">
        <is>
          <t>RICE 6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150</v>
      </c>
      <c r="V5022" s="17">
        <f>ROUNDUP((T5022+U5022+2*'Read Me'!$B$13)*(1+'Read Me'!$B$12),-1)</f>
        <v/>
      </c>
      <c r="W5022" s="17">
        <f>V5022*N5022*O5022</f>
        <v/>
      </c>
      <c r="X5022" s="12">
        <f>IF(LEFT(I5022,2)="MV",2*N5022*IF(L5022="1/C",O5022,1),0)</f>
        <v/>
      </c>
      <c r="Y5022" s="12">
        <f>IF(OR(LEFT(K5022,4)="LVAX",LEFT(K5022,6)="MV15AX",LEFT(K5022,4)="CTAX",LEFT(K5022,2)="W|"),2*N5022*O5022,0)</f>
        <v/>
      </c>
      <c r="Z5022" s="12" t="inlineStr">
        <is>
          <t>VD 1.9 %</t>
        </is>
      </c>
      <c r="AA5022" s="12">
        <f>N5022*O5022</f>
        <v/>
      </c>
    </row>
    <row r="5023">
      <c r="A5023" s="12" t="inlineStr">
        <is>
          <t>I-P-0073</t>
        </is>
      </c>
      <c r="B5023" s="12" t="inlineStr">
        <is>
          <t>I</t>
        </is>
      </c>
      <c r="C5023" s="12" t="inlineStr">
        <is>
          <t>Modular / portable power</t>
        </is>
      </c>
      <c r="D5023" s="12" t="inlineStr">
        <is>
          <t>Motor 5 of 5, 30 kW (VFD output)</t>
        </is>
      </c>
      <c r="E5023" s="12" t="inlineStr"/>
      <c r="F5023" s="12" t="inlineStr">
        <is>
          <t>PCM: power control module</t>
        </is>
      </c>
      <c r="G5023" s="12" t="inlineStr"/>
      <c r="H5023" s="12" t="inlineStr">
        <is>
          <t>RICE 6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150</v>
      </c>
      <c r="V5023" s="17">
        <f>ROUNDUP((T5023+U5023+2*'Read Me'!$B$13)*(1+'Read Me'!$B$12),-1)</f>
        <v/>
      </c>
      <c r="W5023" s="17">
        <f>V5023*N5023*O5023</f>
        <v/>
      </c>
      <c r="X5023" s="12">
        <f>IF(LEFT(I5023,2)="MV",2*N5023*IF(L5023="1/C",O5023,1),0)</f>
        <v/>
      </c>
      <c r="Y5023" s="12">
        <f>IF(OR(LEFT(K5023,4)="LVAX",LEFT(K5023,6)="MV15AX",LEFT(K5023,4)="CTAX",LEFT(K5023,2)="W|"),2*N5023*O5023,0)</f>
        <v/>
      </c>
      <c r="Z5023" s="12" t="inlineStr">
        <is>
          <t>VD 1.9 %</t>
        </is>
      </c>
      <c r="AA5023" s="12">
        <f>N5023*O5023</f>
        <v/>
      </c>
    </row>
    <row r="5024">
      <c r="A5024" s="12" t="inlineStr">
        <is>
          <t>I-P-0074</t>
        </is>
      </c>
      <c r="B5024" s="12" t="inlineStr">
        <is>
          <t>I</t>
        </is>
      </c>
      <c r="C5024" s="12" t="inlineStr">
        <is>
          <t>Modular / portable power</t>
        </is>
      </c>
      <c r="D5024" s="12" t="inlineStr">
        <is>
          <t>Motor 1 of 1, 15 kW</t>
        </is>
      </c>
      <c r="E5024" s="12" t="inlineStr"/>
      <c r="F5024" s="12" t="inlineStr">
        <is>
          <t>PCM: power control module</t>
        </is>
      </c>
      <c r="G5024" s="12" t="inlineStr"/>
      <c r="H5024" s="12" t="inlineStr">
        <is>
          <t>RICE 7 SCR + oxidation catalyst and stack</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322</v>
      </c>
      <c r="U5024" s="17" t="n">
        <v>140</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I-P-0075</t>
        </is>
      </c>
      <c r="B5025" s="12" t="inlineStr">
        <is>
          <t>I</t>
        </is>
      </c>
      <c r="C5025" s="12" t="inlineStr">
        <is>
          <t>Modular / portable power</t>
        </is>
      </c>
      <c r="D5025" s="12" t="inlineStr">
        <is>
          <t>Area / platform lighting circuit 1 (6 fixtures)</t>
        </is>
      </c>
      <c r="E5025" s="12" t="inlineStr"/>
      <c r="F5025" s="12" t="inlineStr">
        <is>
          <t>PCM: power control module</t>
        </is>
      </c>
      <c r="G5025" s="12" t="inlineStr"/>
      <c r="H5025" s="12" t="inlineStr">
        <is>
          <t>RICE 7 SCR + oxidation catalyst and stack</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3</v>
      </c>
      <c r="R5025" s="12" t="n">
        <v>5</v>
      </c>
      <c r="S5025" s="12" t="inlineStr">
        <is>
          <t>Duct bank</t>
        </is>
      </c>
      <c r="T5025" s="17" t="n">
        <v>622</v>
      </c>
      <c r="U5025" s="17" t="n">
        <v>140</v>
      </c>
      <c r="V5025" s="17">
        <f>ROUNDUP((T5025+U5025+2*'Read Me'!$B$13)*(1+'Read Me'!$B$12),-1)</f>
        <v/>
      </c>
      <c r="W5025" s="17">
        <f>V5025*N5025*O5025</f>
        <v/>
      </c>
      <c r="X5025" s="12">
        <f>IF(LEFT(I5025,2)="MV",2*N5025*IF(L5025="1/C",O5025,1),0)</f>
        <v/>
      </c>
      <c r="Y5025" s="12">
        <f>IF(OR(LEFT(K5025,4)="LVAX",LEFT(K5025,6)="MV15AX",LEFT(K5025,4)="CTAX",LEFT(K5025,2)="W|"),2*N5025*O5025,0)</f>
        <v/>
      </c>
      <c r="Z5025" s="12" t="inlineStr">
        <is>
          <t>fixture-to-fixture run included</t>
        </is>
      </c>
      <c r="AA5025" s="12">
        <f>N5025*O5025</f>
        <v/>
      </c>
    </row>
    <row r="5026">
      <c r="A5026" s="12" t="inlineStr">
        <is>
          <t>I-P-0076</t>
        </is>
      </c>
      <c r="B5026" s="12" t="inlineStr">
        <is>
          <t>I</t>
        </is>
      </c>
      <c r="C5026" s="12" t="inlineStr">
        <is>
          <t>Modular / portable power</t>
        </is>
      </c>
      <c r="D5026" s="12" t="inlineStr">
        <is>
          <t>Motor 1 of 5, 30 kW (VFD output)</t>
        </is>
      </c>
      <c r="E5026" s="12" t="inlineStr"/>
      <c r="F5026" s="12" t="inlineStr">
        <is>
          <t>PCM: power control module</t>
        </is>
      </c>
      <c r="G5026" s="12" t="inlineStr"/>
      <c r="H5026" s="12" t="inlineStr">
        <is>
          <t>RICE 7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122</v>
      </c>
      <c r="V5026" s="17">
        <f>ROUNDUP((T5026+U5026+2*'Read Me'!$B$13)*(1+'Read Me'!$B$12),-1)</f>
        <v/>
      </c>
      <c r="W5026" s="17">
        <f>V5026*N5026*O5026</f>
        <v/>
      </c>
      <c r="X5026" s="12">
        <f>IF(LEFT(I5026,2)="MV",2*N5026*IF(L5026="1/C",O5026,1),0)</f>
        <v/>
      </c>
      <c r="Y5026" s="12">
        <f>IF(OR(LEFT(K5026,4)="LVAX",LEFT(K5026,6)="MV15AX",LEFT(K5026,4)="CTAX",LEFT(K5026,2)="W|"),2*N5026*O5026,0)</f>
        <v/>
      </c>
      <c r="Z5026" s="12" t="inlineStr">
        <is>
          <t>VD 1.7 %</t>
        </is>
      </c>
      <c r="AA5026" s="12">
        <f>N5026*O5026</f>
        <v/>
      </c>
    </row>
    <row r="5027">
      <c r="A5027" s="12" t="inlineStr">
        <is>
          <t>I-P-0077</t>
        </is>
      </c>
      <c r="B5027" s="12" t="inlineStr">
        <is>
          <t>I</t>
        </is>
      </c>
      <c r="C5027" s="12" t="inlineStr">
        <is>
          <t>Modular / portable power</t>
        </is>
      </c>
      <c r="D5027" s="12" t="inlineStr">
        <is>
          <t>Motor 2 of 5, 30 kW (VFD output)</t>
        </is>
      </c>
      <c r="E5027" s="12" t="inlineStr"/>
      <c r="F5027" s="12" t="inlineStr">
        <is>
          <t>PCM: power control module</t>
        </is>
      </c>
      <c r="G5027" s="12" t="inlineStr"/>
      <c r="H5027" s="12" t="inlineStr">
        <is>
          <t>RICE 7 radiators (5)</t>
        </is>
      </c>
      <c r="I5027" s="12" t="inlineStr">
        <is>
          <t>LV 600 V</t>
        </is>
      </c>
      <c r="J5027" s="12" t="inlineStr">
        <is>
          <t>VFD cable 600 V 3/C Cu XHHW-2, 3 symmetrical grounds, overall Cu tape shield, TC-ER</t>
        </is>
      </c>
      <c r="K5027" s="12" t="inlineStr">
        <is>
          <t>VFD|3/C+3G|6</t>
        </is>
      </c>
      <c r="L5027" s="12" t="inlineStr">
        <is>
          <t>3/C+3G</t>
        </is>
      </c>
      <c r="M5027" s="12" t="inlineStr">
        <is>
          <t>6</t>
        </is>
      </c>
      <c r="N5027" s="12" t="n">
        <v>1</v>
      </c>
      <c r="O5027" s="12" t="n">
        <v>1</v>
      </c>
      <c r="P5027" s="12" t="n">
        <v>480</v>
      </c>
      <c r="Q5027" s="12" t="n">
        <v>30</v>
      </c>
      <c r="R5027" s="12" t="n">
        <v>42</v>
      </c>
      <c r="S5027" s="12" t="inlineStr">
        <is>
          <t>Tray</t>
        </is>
      </c>
      <c r="T5027" s="17" t="n">
        <v>80</v>
      </c>
      <c r="U5027" s="17" t="n">
        <v>122</v>
      </c>
      <c r="V5027" s="17">
        <f>ROUNDUP((T5027+U5027+2*'Read Me'!$B$13)*(1+'Read Me'!$B$12),-1)</f>
        <v/>
      </c>
      <c r="W5027" s="17">
        <f>V5027*N5027*O5027</f>
        <v/>
      </c>
      <c r="X5027" s="12">
        <f>IF(LEFT(I5027,2)="MV",2*N5027*IF(L5027="1/C",O5027,1),0)</f>
        <v/>
      </c>
      <c r="Y5027" s="12">
        <f>IF(OR(LEFT(K5027,4)="LVAX",LEFT(K5027,6)="MV15AX",LEFT(K5027,4)="CTAX",LEFT(K5027,2)="W|"),2*N5027*O5027,0)</f>
        <v/>
      </c>
      <c r="Z5027" s="12" t="inlineStr">
        <is>
          <t>VD 1.7 %</t>
        </is>
      </c>
      <c r="AA5027" s="12">
        <f>N5027*O5027</f>
        <v/>
      </c>
    </row>
    <row r="5028">
      <c r="A5028" s="12" t="inlineStr">
        <is>
          <t>I-P-0078</t>
        </is>
      </c>
      <c r="B5028" s="12" t="inlineStr">
        <is>
          <t>I</t>
        </is>
      </c>
      <c r="C5028" s="12" t="inlineStr">
        <is>
          <t>Modular / portable power</t>
        </is>
      </c>
      <c r="D5028" s="12" t="inlineStr">
        <is>
          <t>Motor 3 of 5, 30 kW (VFD output)</t>
        </is>
      </c>
      <c r="E5028" s="12" t="inlineStr"/>
      <c r="F5028" s="12" t="inlineStr">
        <is>
          <t>PCM: power control module</t>
        </is>
      </c>
      <c r="G5028" s="12" t="inlineStr"/>
      <c r="H5028" s="12" t="inlineStr">
        <is>
          <t>RICE 7 radiators (5)</t>
        </is>
      </c>
      <c r="I5028" s="12" t="inlineStr">
        <is>
          <t>LV 600 V</t>
        </is>
      </c>
      <c r="J5028" s="12" t="inlineStr">
        <is>
          <t>VFD cable 600 V 3/C Cu XHHW-2, 3 symmetrical grounds, overall Cu tape shield, TC-ER</t>
        </is>
      </c>
      <c r="K5028" s="12" t="inlineStr">
        <is>
          <t>VFD|3/C+3G|6</t>
        </is>
      </c>
      <c r="L5028" s="12" t="inlineStr">
        <is>
          <t>3/C+3G</t>
        </is>
      </c>
      <c r="M5028" s="12" t="inlineStr">
        <is>
          <t>6</t>
        </is>
      </c>
      <c r="N5028" s="12" t="n">
        <v>1</v>
      </c>
      <c r="O5028" s="12" t="n">
        <v>1</v>
      </c>
      <c r="P5028" s="12" t="n">
        <v>480</v>
      </c>
      <c r="Q5028" s="12" t="n">
        <v>30</v>
      </c>
      <c r="R5028" s="12" t="n">
        <v>42</v>
      </c>
      <c r="S5028" s="12" t="inlineStr">
        <is>
          <t>Tray</t>
        </is>
      </c>
      <c r="T5028" s="17" t="n">
        <v>80</v>
      </c>
      <c r="U5028" s="17" t="n">
        <v>122</v>
      </c>
      <c r="V5028" s="17">
        <f>ROUNDUP((T5028+U5028+2*'Read Me'!$B$13)*(1+'Read Me'!$B$12),-1)</f>
        <v/>
      </c>
      <c r="W5028" s="17">
        <f>V5028*N5028*O5028</f>
        <v/>
      </c>
      <c r="X5028" s="12">
        <f>IF(LEFT(I5028,2)="MV",2*N5028*IF(L5028="1/C",O5028,1),0)</f>
        <v/>
      </c>
      <c r="Y5028" s="12">
        <f>IF(OR(LEFT(K5028,4)="LVAX",LEFT(K5028,6)="MV15AX",LEFT(K5028,4)="CTAX",LEFT(K5028,2)="W|"),2*N5028*O5028,0)</f>
        <v/>
      </c>
      <c r="Z5028" s="12" t="inlineStr">
        <is>
          <t>VD 1.7 %</t>
        </is>
      </c>
      <c r="AA5028" s="12">
        <f>N5028*O5028</f>
        <v/>
      </c>
    </row>
    <row r="5029">
      <c r="A5029" s="12" t="inlineStr">
        <is>
          <t>I-P-0079</t>
        </is>
      </c>
      <c r="B5029" s="12" t="inlineStr">
        <is>
          <t>I</t>
        </is>
      </c>
      <c r="C5029" s="12" t="inlineStr">
        <is>
          <t>Modular / portable power</t>
        </is>
      </c>
      <c r="D5029" s="12" t="inlineStr">
        <is>
          <t>Motor 4 of 5, 30 kW (VFD output)</t>
        </is>
      </c>
      <c r="E5029" s="12" t="inlineStr"/>
      <c r="F5029" s="12" t="inlineStr">
        <is>
          <t>PCM: power control module</t>
        </is>
      </c>
      <c r="G5029" s="12" t="inlineStr"/>
      <c r="H5029" s="12" t="inlineStr">
        <is>
          <t>RICE 7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122</v>
      </c>
      <c r="V5029" s="17">
        <f>ROUNDUP((T5029+U5029+2*'Read Me'!$B$13)*(1+'Read Me'!$B$12),-1)</f>
        <v/>
      </c>
      <c r="W5029" s="17">
        <f>V5029*N5029*O5029</f>
        <v/>
      </c>
      <c r="X5029" s="12">
        <f>IF(LEFT(I5029,2)="MV",2*N5029*IF(L5029="1/C",O5029,1),0)</f>
        <v/>
      </c>
      <c r="Y5029" s="12">
        <f>IF(OR(LEFT(K5029,4)="LVAX",LEFT(K5029,6)="MV15AX",LEFT(K5029,4)="CTAX",LEFT(K5029,2)="W|"),2*N5029*O5029,0)</f>
        <v/>
      </c>
      <c r="Z5029" s="12" t="inlineStr">
        <is>
          <t>VD 1.7 %</t>
        </is>
      </c>
      <c r="AA5029" s="12">
        <f>N5029*O5029</f>
        <v/>
      </c>
    </row>
    <row r="5030">
      <c r="A5030" s="12" t="inlineStr">
        <is>
          <t>I-P-0080</t>
        </is>
      </c>
      <c r="B5030" s="12" t="inlineStr">
        <is>
          <t>I</t>
        </is>
      </c>
      <c r="C5030" s="12" t="inlineStr">
        <is>
          <t>Modular / portable power</t>
        </is>
      </c>
      <c r="D5030" s="12" t="inlineStr">
        <is>
          <t>Motor 5 of 5, 30 kW (VFD output)</t>
        </is>
      </c>
      <c r="E5030" s="12" t="inlineStr"/>
      <c r="F5030" s="12" t="inlineStr">
        <is>
          <t>PCM: power control module</t>
        </is>
      </c>
      <c r="G5030" s="12" t="inlineStr"/>
      <c r="H5030" s="12" t="inlineStr">
        <is>
          <t>RICE 7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122</v>
      </c>
      <c r="V5030" s="17">
        <f>ROUNDUP((T5030+U5030+2*'Read Me'!$B$13)*(1+'Read Me'!$B$12),-1)</f>
        <v/>
      </c>
      <c r="W5030" s="17">
        <f>V5030*N5030*O5030</f>
        <v/>
      </c>
      <c r="X5030" s="12">
        <f>IF(LEFT(I5030,2)="MV",2*N5030*IF(L5030="1/C",O5030,1),0)</f>
        <v/>
      </c>
      <c r="Y5030" s="12">
        <f>IF(OR(LEFT(K5030,4)="LVAX",LEFT(K5030,6)="MV15AX",LEFT(K5030,4)="CTAX",LEFT(K5030,2)="W|"),2*N5030*O5030,0)</f>
        <v/>
      </c>
      <c r="Z5030" s="12" t="inlineStr">
        <is>
          <t>VD 1.7 %</t>
        </is>
      </c>
      <c r="AA5030" s="12">
        <f>N5030*O5030</f>
        <v/>
      </c>
    </row>
    <row r="5031">
      <c r="A5031" s="12" t="inlineStr">
        <is>
          <t>I-P-0081</t>
        </is>
      </c>
      <c r="B5031" s="12" t="inlineStr">
        <is>
          <t>I</t>
        </is>
      </c>
      <c r="C5031" s="12" t="inlineStr">
        <is>
          <t>Modular / portable power</t>
        </is>
      </c>
      <c r="D5031" s="12" t="inlineStr">
        <is>
          <t>Motor 1 of 1, 15 kW</t>
        </is>
      </c>
      <c r="E5031" s="12" t="inlineStr"/>
      <c r="F5031" s="12" t="inlineStr">
        <is>
          <t>PCM: power control module</t>
        </is>
      </c>
      <c r="G5031" s="12" t="inlineStr"/>
      <c r="H5031" s="12" t="inlineStr">
        <is>
          <t>RICE 8 SCR + oxidation catalyst and stack</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15</v>
      </c>
      <c r="R5031" s="12" t="n">
        <v>21.2</v>
      </c>
      <c r="S5031" s="12" t="inlineStr">
        <is>
          <t>Duct bank</t>
        </is>
      </c>
      <c r="T5031" s="17" t="n">
        <v>322</v>
      </c>
      <c r="U5031" s="17" t="n">
        <v>112</v>
      </c>
      <c r="V5031" s="17">
        <f>ROUNDUP((T5031+U5031+2*'Read Me'!$B$13)*(1+'Read Me'!$B$12),-1)</f>
        <v/>
      </c>
      <c r="W5031" s="17">
        <f>V5031*N5031*O5031</f>
        <v/>
      </c>
      <c r="X5031" s="12">
        <f>IF(LEFT(I5031,2)="MV",2*N5031*IF(L5031="1/C",O5031,1),0)</f>
        <v/>
      </c>
      <c r="Y5031" s="12">
        <f>IF(OR(LEFT(K5031,4)="LVAX",LEFT(K5031,6)="MV15AX",LEFT(K5031,4)="CTAX",LEFT(K5031,2)="W|"),2*N5031*O5031,0)</f>
        <v/>
      </c>
      <c r="Z5031" s="12" t="inlineStr">
        <is>
          <t>VD 2.8 %</t>
        </is>
      </c>
      <c r="AA5031" s="12">
        <f>N5031*O5031</f>
        <v/>
      </c>
    </row>
    <row r="5032">
      <c r="A5032" s="12" t="inlineStr">
        <is>
          <t>I-P-0082</t>
        </is>
      </c>
      <c r="B5032" s="12" t="inlineStr">
        <is>
          <t>I</t>
        </is>
      </c>
      <c r="C5032" s="12" t="inlineStr">
        <is>
          <t>Modular / portable power</t>
        </is>
      </c>
      <c r="D5032" s="12" t="inlineStr">
        <is>
          <t>Area / platform lighting circuit 1 (6 fixtures)</t>
        </is>
      </c>
      <c r="E5032" s="12" t="inlineStr"/>
      <c r="F5032" s="12" t="inlineStr">
        <is>
          <t>PCM: power control module</t>
        </is>
      </c>
      <c r="G5032" s="12" t="inlineStr"/>
      <c r="H5032" s="12" t="inlineStr">
        <is>
          <t>RICE 8 SCR + oxidation catalyst and stack</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v>
      </c>
      <c r="R5032" s="12" t="n">
        <v>5</v>
      </c>
      <c r="S5032" s="12" t="inlineStr">
        <is>
          <t>Duct bank</t>
        </is>
      </c>
      <c r="T5032" s="17" t="n">
        <v>622</v>
      </c>
      <c r="U5032" s="17" t="n">
        <v>112</v>
      </c>
      <c r="V5032" s="17">
        <f>ROUNDUP((T5032+U5032+2*'Read Me'!$B$13)*(1+'Read Me'!$B$12),-1)</f>
        <v/>
      </c>
      <c r="W5032" s="17">
        <f>V5032*N5032*O5032</f>
        <v/>
      </c>
      <c r="X5032" s="12">
        <f>IF(LEFT(I5032,2)="MV",2*N5032*IF(L5032="1/C",O5032,1),0)</f>
        <v/>
      </c>
      <c r="Y5032" s="12">
        <f>IF(OR(LEFT(K5032,4)="LVAX",LEFT(K5032,6)="MV15AX",LEFT(K5032,4)="CTAX",LEFT(K5032,2)="W|"),2*N5032*O5032,0)</f>
        <v/>
      </c>
      <c r="Z5032" s="12" t="inlineStr">
        <is>
          <t>fixture-to-fixture run included</t>
        </is>
      </c>
      <c r="AA5032" s="12">
        <f>N5032*O5032</f>
        <v/>
      </c>
    </row>
    <row r="5033">
      <c r="A5033" s="12" t="inlineStr">
        <is>
          <t>I-P-0083</t>
        </is>
      </c>
      <c r="B5033" s="12" t="inlineStr">
        <is>
          <t>I</t>
        </is>
      </c>
      <c r="C5033" s="12" t="inlineStr">
        <is>
          <t>Modular / portable power</t>
        </is>
      </c>
      <c r="D5033" s="12" t="inlineStr">
        <is>
          <t>Motor 1 of 5, 30 kW (VFD output)</t>
        </is>
      </c>
      <c r="E5033" s="12" t="inlineStr"/>
      <c r="F5033" s="12" t="inlineStr">
        <is>
          <t>PCM: power control module</t>
        </is>
      </c>
      <c r="G5033" s="12" t="inlineStr"/>
      <c r="H5033" s="12" t="inlineStr">
        <is>
          <t>RICE 8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94</v>
      </c>
      <c r="V5033" s="17">
        <f>ROUNDUP((T5033+U5033+2*'Read Me'!$B$13)*(1+'Read Me'!$B$12),-1)</f>
        <v/>
      </c>
      <c r="W5033" s="17">
        <f>V5033*N5033*O5033</f>
        <v/>
      </c>
      <c r="X5033" s="12">
        <f>IF(LEFT(I5033,2)="MV",2*N5033*IF(L5033="1/C",O5033,1),0)</f>
        <v/>
      </c>
      <c r="Y5033" s="12">
        <f>IF(OR(LEFT(K5033,4)="LVAX",LEFT(K5033,6)="MV15AX",LEFT(K5033,4)="CTAX",LEFT(K5033,2)="W|"),2*N5033*O5033,0)</f>
        <v/>
      </c>
      <c r="Z5033" s="12" t="inlineStr">
        <is>
          <t>VD 1.4 %</t>
        </is>
      </c>
      <c r="AA5033" s="12">
        <f>N5033*O5033</f>
        <v/>
      </c>
    </row>
    <row r="5034">
      <c r="A5034" s="12" t="inlineStr">
        <is>
          <t>I-P-0084</t>
        </is>
      </c>
      <c r="B5034" s="12" t="inlineStr">
        <is>
          <t>I</t>
        </is>
      </c>
      <c r="C5034" s="12" t="inlineStr">
        <is>
          <t>Modular / portable power</t>
        </is>
      </c>
      <c r="D5034" s="12" t="inlineStr">
        <is>
          <t>Motor 2 of 5, 30 kW (VFD output)</t>
        </is>
      </c>
      <c r="E5034" s="12" t="inlineStr"/>
      <c r="F5034" s="12" t="inlineStr">
        <is>
          <t>PCM: power control module</t>
        </is>
      </c>
      <c r="G5034" s="12" t="inlineStr"/>
      <c r="H5034" s="12" t="inlineStr">
        <is>
          <t>RICE 8 radiators (5)</t>
        </is>
      </c>
      <c r="I5034" s="12" t="inlineStr">
        <is>
          <t>LV 600 V</t>
        </is>
      </c>
      <c r="J5034" s="12" t="inlineStr">
        <is>
          <t>VFD cable 600 V 3/C Cu XHHW-2, 3 symmetrical grounds, overall Cu tape shield, TC-ER</t>
        </is>
      </c>
      <c r="K5034" s="12" t="inlineStr">
        <is>
          <t>VFD|3/C+3G|6</t>
        </is>
      </c>
      <c r="L5034" s="12" t="inlineStr">
        <is>
          <t>3/C+3G</t>
        </is>
      </c>
      <c r="M5034" s="12" t="inlineStr">
        <is>
          <t>6</t>
        </is>
      </c>
      <c r="N5034" s="12" t="n">
        <v>1</v>
      </c>
      <c r="O5034" s="12" t="n">
        <v>1</v>
      </c>
      <c r="P5034" s="12" t="n">
        <v>480</v>
      </c>
      <c r="Q5034" s="12" t="n">
        <v>30</v>
      </c>
      <c r="R5034" s="12" t="n">
        <v>42</v>
      </c>
      <c r="S5034" s="12" t="inlineStr">
        <is>
          <t>Tray</t>
        </is>
      </c>
      <c r="T5034" s="17" t="n">
        <v>80</v>
      </c>
      <c r="U5034" s="17" t="n">
        <v>94</v>
      </c>
      <c r="V5034" s="17">
        <f>ROUNDUP((T5034+U5034+2*'Read Me'!$B$13)*(1+'Read Me'!$B$12),-1)</f>
        <v/>
      </c>
      <c r="W5034" s="17">
        <f>V5034*N5034*O5034</f>
        <v/>
      </c>
      <c r="X5034" s="12">
        <f>IF(LEFT(I5034,2)="MV",2*N5034*IF(L5034="1/C",O5034,1),0)</f>
        <v/>
      </c>
      <c r="Y5034" s="12">
        <f>IF(OR(LEFT(K5034,4)="LVAX",LEFT(K5034,6)="MV15AX",LEFT(K5034,4)="CTAX",LEFT(K5034,2)="W|"),2*N5034*O5034,0)</f>
        <v/>
      </c>
      <c r="Z5034" s="12" t="inlineStr">
        <is>
          <t>VD 1.4 %</t>
        </is>
      </c>
      <c r="AA5034" s="12">
        <f>N5034*O5034</f>
        <v/>
      </c>
    </row>
    <row r="5035">
      <c r="A5035" s="12" t="inlineStr">
        <is>
          <t>I-P-0085</t>
        </is>
      </c>
      <c r="B5035" s="12" t="inlineStr">
        <is>
          <t>I</t>
        </is>
      </c>
      <c r="C5035" s="12" t="inlineStr">
        <is>
          <t>Modular / portable power</t>
        </is>
      </c>
      <c r="D5035" s="12" t="inlineStr">
        <is>
          <t>Motor 3 of 5, 30 kW (VFD output)</t>
        </is>
      </c>
      <c r="E5035" s="12" t="inlineStr"/>
      <c r="F5035" s="12" t="inlineStr">
        <is>
          <t>PCM: power control module</t>
        </is>
      </c>
      <c r="G5035" s="12" t="inlineStr"/>
      <c r="H5035" s="12" t="inlineStr">
        <is>
          <t>RICE 8 radiators (5)</t>
        </is>
      </c>
      <c r="I5035" s="12" t="inlineStr">
        <is>
          <t>LV 600 V</t>
        </is>
      </c>
      <c r="J5035" s="12" t="inlineStr">
        <is>
          <t>VFD cable 600 V 3/C Cu XHHW-2, 3 symmetrical grounds, overall Cu tape shield, TC-ER</t>
        </is>
      </c>
      <c r="K5035" s="12" t="inlineStr">
        <is>
          <t>VFD|3/C+3G|6</t>
        </is>
      </c>
      <c r="L5035" s="12" t="inlineStr">
        <is>
          <t>3/C+3G</t>
        </is>
      </c>
      <c r="M5035" s="12" t="inlineStr">
        <is>
          <t>6</t>
        </is>
      </c>
      <c r="N5035" s="12" t="n">
        <v>1</v>
      </c>
      <c r="O5035" s="12" t="n">
        <v>1</v>
      </c>
      <c r="P5035" s="12" t="n">
        <v>480</v>
      </c>
      <c r="Q5035" s="12" t="n">
        <v>30</v>
      </c>
      <c r="R5035" s="12" t="n">
        <v>42</v>
      </c>
      <c r="S5035" s="12" t="inlineStr">
        <is>
          <t>Tray</t>
        </is>
      </c>
      <c r="T5035" s="17" t="n">
        <v>80</v>
      </c>
      <c r="U5035" s="17" t="n">
        <v>94</v>
      </c>
      <c r="V5035" s="17">
        <f>ROUNDUP((T5035+U5035+2*'Read Me'!$B$13)*(1+'Read Me'!$B$12),-1)</f>
        <v/>
      </c>
      <c r="W5035" s="17">
        <f>V5035*N5035*O5035</f>
        <v/>
      </c>
      <c r="X5035" s="12">
        <f>IF(LEFT(I5035,2)="MV",2*N5035*IF(L5035="1/C",O5035,1),0)</f>
        <v/>
      </c>
      <c r="Y5035" s="12">
        <f>IF(OR(LEFT(K5035,4)="LVAX",LEFT(K5035,6)="MV15AX",LEFT(K5035,4)="CTAX",LEFT(K5035,2)="W|"),2*N5035*O5035,0)</f>
        <v/>
      </c>
      <c r="Z5035" s="12" t="inlineStr">
        <is>
          <t>VD 1.4 %</t>
        </is>
      </c>
      <c r="AA5035" s="12">
        <f>N5035*O5035</f>
        <v/>
      </c>
    </row>
    <row r="5036">
      <c r="A5036" s="12" t="inlineStr">
        <is>
          <t>I-P-0086</t>
        </is>
      </c>
      <c r="B5036" s="12" t="inlineStr">
        <is>
          <t>I</t>
        </is>
      </c>
      <c r="C5036" s="12" t="inlineStr">
        <is>
          <t>Modular / portable power</t>
        </is>
      </c>
      <c r="D5036" s="12" t="inlineStr">
        <is>
          <t>Motor 4 of 5, 30 kW (VFD output)</t>
        </is>
      </c>
      <c r="E5036" s="12" t="inlineStr"/>
      <c r="F5036" s="12" t="inlineStr">
        <is>
          <t>PCM: power control module</t>
        </is>
      </c>
      <c r="G5036" s="12" t="inlineStr"/>
      <c r="H5036" s="12" t="inlineStr">
        <is>
          <t>RICE 8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94</v>
      </c>
      <c r="V5036" s="17">
        <f>ROUNDUP((T5036+U5036+2*'Read Me'!$B$13)*(1+'Read Me'!$B$12),-1)</f>
        <v/>
      </c>
      <c r="W5036" s="17">
        <f>V5036*N5036*O5036</f>
        <v/>
      </c>
      <c r="X5036" s="12">
        <f>IF(LEFT(I5036,2)="MV",2*N5036*IF(L5036="1/C",O5036,1),0)</f>
        <v/>
      </c>
      <c r="Y5036" s="12">
        <f>IF(OR(LEFT(K5036,4)="LVAX",LEFT(K5036,6)="MV15AX",LEFT(K5036,4)="CTAX",LEFT(K5036,2)="W|"),2*N5036*O5036,0)</f>
        <v/>
      </c>
      <c r="Z5036" s="12" t="inlineStr">
        <is>
          <t>VD 1.4 %</t>
        </is>
      </c>
      <c r="AA5036" s="12">
        <f>N5036*O5036</f>
        <v/>
      </c>
    </row>
    <row r="5037">
      <c r="A5037" s="12" t="inlineStr">
        <is>
          <t>I-P-0087</t>
        </is>
      </c>
      <c r="B5037" s="12" t="inlineStr">
        <is>
          <t>I</t>
        </is>
      </c>
      <c r="C5037" s="12" t="inlineStr">
        <is>
          <t>Modular / portable power</t>
        </is>
      </c>
      <c r="D5037" s="12" t="inlineStr">
        <is>
          <t>Motor 5 of 5, 30 kW (VFD output)</t>
        </is>
      </c>
      <c r="E5037" s="12" t="inlineStr"/>
      <c r="F5037" s="12" t="inlineStr">
        <is>
          <t>PCM: power control module</t>
        </is>
      </c>
      <c r="G5037" s="12" t="inlineStr"/>
      <c r="H5037" s="12" t="inlineStr">
        <is>
          <t>RICE 8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94</v>
      </c>
      <c r="V5037" s="17">
        <f>ROUNDUP((T5037+U5037+2*'Read Me'!$B$13)*(1+'Read Me'!$B$12),-1)</f>
        <v/>
      </c>
      <c r="W5037" s="17">
        <f>V5037*N5037*O5037</f>
        <v/>
      </c>
      <c r="X5037" s="12">
        <f>IF(LEFT(I5037,2)="MV",2*N5037*IF(L5037="1/C",O5037,1),0)</f>
        <v/>
      </c>
      <c r="Y5037" s="12">
        <f>IF(OR(LEFT(K5037,4)="LVAX",LEFT(K5037,6)="MV15AX",LEFT(K5037,4)="CTAX",LEFT(K5037,2)="W|"),2*N5037*O5037,0)</f>
        <v/>
      </c>
      <c r="Z5037" s="12" t="inlineStr">
        <is>
          <t>VD 1.4 %</t>
        </is>
      </c>
      <c r="AA5037" s="12">
        <f>N5037*O5037</f>
        <v/>
      </c>
    </row>
    <row r="5038">
      <c r="A5038" s="12" t="inlineStr">
        <is>
          <t>I-P-0088</t>
        </is>
      </c>
      <c r="B5038" s="12" t="inlineStr">
        <is>
          <t>I</t>
        </is>
      </c>
      <c r="C5038" s="12" t="inlineStr">
        <is>
          <t>Modular / portable power</t>
        </is>
      </c>
      <c r="D5038" s="12" t="inlineStr">
        <is>
          <t>LV panel / distribution feeder</t>
        </is>
      </c>
      <c r="E5038" s="12" t="inlineStr"/>
      <c r="F5038" s="12" t="inlineStr">
        <is>
          <t>PCM: power control module</t>
        </is>
      </c>
      <c r="G5038" s="12" t="inlineStr"/>
      <c r="H5038" s="12" t="inlineStr">
        <is>
          <t>RICE CEMS</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30</v>
      </c>
      <c r="R5038" s="12" t="n">
        <v>42.5</v>
      </c>
      <c r="S5038" s="12" t="inlineStr">
        <is>
          <t>Duct bank</t>
        </is>
      </c>
      <c r="T5038" s="17" t="n">
        <v>260</v>
      </c>
      <c r="U5038" s="17" t="n">
        <v>131</v>
      </c>
      <c r="V5038" s="17">
        <f>ROUNDUP((T5038+U5038+2*'Read Me'!$B$13)*(1+'Read Me'!$B$12),-1)</f>
        <v/>
      </c>
      <c r="W5038" s="17">
        <f>V5038*N5038*O5038</f>
        <v/>
      </c>
      <c r="X5038" s="12">
        <f>IF(LEFT(I5038,2)="MV",2*N5038*IF(L5038="1/C",O5038,1),0)</f>
        <v/>
      </c>
      <c r="Y5038" s="12">
        <f>IF(OR(LEFT(K5038,4)="LVAX",LEFT(K5038,6)="MV15AX",LEFT(K5038,4)="CTAX",LEFT(K5038,2)="W|"),2*N5038*O5038,0)</f>
        <v/>
      </c>
      <c r="Z5038" s="12" t="inlineStr">
        <is>
          <t>VD 2.0 %</t>
        </is>
      </c>
      <c r="AA5038" s="12">
        <f>N5038*O5038</f>
        <v/>
      </c>
    </row>
    <row r="5039">
      <c r="A5039" s="12" t="inlineStr">
        <is>
          <t>I-P-0089</t>
        </is>
      </c>
      <c r="B5039" s="12" t="inlineStr">
        <is>
          <t>I</t>
        </is>
      </c>
      <c r="C5039" s="12" t="inlineStr">
        <is>
          <t>Modular / portable power</t>
        </is>
      </c>
      <c r="D5039" s="12" t="inlineStr">
        <is>
          <t>LV power feeder</t>
        </is>
      </c>
      <c r="E5039" s="12" t="inlineStr"/>
      <c r="F5039" s="12" t="inlineStr">
        <is>
          <t>PCM: power control module</t>
        </is>
      </c>
      <c r="G5039" s="12" t="inlineStr">
        <is>
          <t>RICE</t>
        </is>
      </c>
      <c r="H5039" s="12" t="inlineStr">
        <is>
          <t>RICE engine hall (8 engines)</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15</v>
      </c>
      <c r="R5039" s="12" t="n">
        <v>21.2</v>
      </c>
      <c r="S5039" s="12" t="inlineStr">
        <is>
          <t>Duct bank</t>
        </is>
      </c>
      <c r="T5039" s="17" t="n">
        <v>367</v>
      </c>
      <c r="U5039" s="17" t="n">
        <v>95</v>
      </c>
      <c r="V5039" s="17">
        <f>ROUNDUP((T5039+U5039+2*'Read Me'!$B$13)*(1+'Read Me'!$B$12),-1)</f>
        <v/>
      </c>
      <c r="W5039" s="17">
        <f>V5039*N5039*O5039</f>
        <v/>
      </c>
      <c r="X5039" s="12">
        <f>IF(LEFT(I5039,2)="MV",2*N5039*IF(L5039="1/C",O5039,1),0)</f>
        <v/>
      </c>
      <c r="Y5039" s="12">
        <f>IF(OR(LEFT(K5039,4)="LVAX",LEFT(K5039,6)="MV15AX",LEFT(K5039,4)="CTAX",LEFT(K5039,2)="W|"),2*N5039*O5039,0)</f>
        <v/>
      </c>
      <c r="Z5039" s="12" t="inlineStr">
        <is>
          <t>VD 3.0 %</t>
        </is>
      </c>
      <c r="AA5039" s="12">
        <f>N5039*O5039</f>
        <v/>
      </c>
    </row>
    <row r="5040">
      <c r="A5040" s="12" t="inlineStr">
        <is>
          <t>I-P-0090</t>
        </is>
      </c>
      <c r="B5040" s="12" t="inlineStr">
        <is>
          <t>I</t>
        </is>
      </c>
      <c r="C5040" s="12" t="inlineStr">
        <is>
          <t>Modular / portable power</t>
        </is>
      </c>
      <c r="D5040" s="12" t="inlineStr">
        <is>
          <t>Motor 1 of 6, 22 kW</t>
        </is>
      </c>
      <c r="E5040" s="12" t="inlineStr"/>
      <c r="F5040" s="12" t="inlineStr">
        <is>
          <t>PCM: power control module</t>
        </is>
      </c>
      <c r="G5040" s="12" t="inlineStr">
        <is>
          <t>RICE-1</t>
        </is>
      </c>
      <c r="H5040" s="12" t="inlineStr">
        <is>
          <t>RICE engine-generator 1</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137</v>
      </c>
      <c r="V5040" s="17">
        <f>ROUNDUP((T5040+U5040+2*'Read Me'!$B$13)*(1+'Read Me'!$B$12),-1)</f>
        <v/>
      </c>
      <c r="W5040" s="17">
        <f>V5040*N5040*O5040</f>
        <v/>
      </c>
      <c r="X5040" s="12">
        <f>IF(LEFT(I5040,2)="MV",2*N5040*IF(L5040="1/C",O5040,1),0)</f>
        <v/>
      </c>
      <c r="Y5040" s="12">
        <f>IF(OR(LEFT(K5040,4)="LVAX",LEFT(K5040,6)="MV15AX",LEFT(K5040,4)="CTAX",LEFT(K5040,2)="W|"),2*N5040*O5040,0)</f>
        <v/>
      </c>
      <c r="Z5040" s="12" t="inlineStr">
        <is>
          <t>VD 2.6 %</t>
        </is>
      </c>
      <c r="AA5040" s="12">
        <f>N5040*O5040</f>
        <v/>
      </c>
    </row>
    <row r="5041">
      <c r="A5041" s="12" t="inlineStr">
        <is>
          <t>I-P-0091</t>
        </is>
      </c>
      <c r="B5041" s="12" t="inlineStr">
        <is>
          <t>I</t>
        </is>
      </c>
      <c r="C5041" s="12" t="inlineStr">
        <is>
          <t>Modular / portable power</t>
        </is>
      </c>
      <c r="D5041" s="12" t="inlineStr">
        <is>
          <t>Motor 2 of 6, 22 kW</t>
        </is>
      </c>
      <c r="E5041" s="12" t="inlineStr"/>
      <c r="F5041" s="12" t="inlineStr">
        <is>
          <t>PCM: power control module</t>
        </is>
      </c>
      <c r="G5041" s="12" t="inlineStr">
        <is>
          <t>RICE-1</t>
        </is>
      </c>
      <c r="H5041" s="12" t="inlineStr">
        <is>
          <t>RICE engine-generator 1</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7" t="n">
        <v>550</v>
      </c>
      <c r="U5041" s="17" t="n">
        <v>137</v>
      </c>
      <c r="V5041" s="17">
        <f>ROUNDUP((T5041+U5041+2*'Read Me'!$B$13)*(1+'Read Me'!$B$12),-1)</f>
        <v/>
      </c>
      <c r="W5041" s="17">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I-P-0092</t>
        </is>
      </c>
      <c r="B5042" s="12" t="inlineStr">
        <is>
          <t>I</t>
        </is>
      </c>
      <c r="C5042" s="12" t="inlineStr">
        <is>
          <t>Modular / portable power</t>
        </is>
      </c>
      <c r="D5042" s="12" t="inlineStr">
        <is>
          <t>Motor 3 of 6, 22 kW</t>
        </is>
      </c>
      <c r="E5042" s="12" t="inlineStr"/>
      <c r="F5042" s="12" t="inlineStr">
        <is>
          <t>PCM: power control module</t>
        </is>
      </c>
      <c r="G5042" s="12" t="inlineStr">
        <is>
          <t>RICE-1</t>
        </is>
      </c>
      <c r="H5042" s="12" t="inlineStr">
        <is>
          <t>RICE engine-generator 1</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7" t="n">
        <v>550</v>
      </c>
      <c r="U5042" s="17" t="n">
        <v>137</v>
      </c>
      <c r="V5042" s="17">
        <f>ROUNDUP((T5042+U5042+2*'Read Me'!$B$13)*(1+'Read Me'!$B$12),-1)</f>
        <v/>
      </c>
      <c r="W5042" s="17">
        <f>V5042*N5042*O5042</f>
        <v/>
      </c>
      <c r="X5042" s="12">
        <f>IF(LEFT(I5042,2)="MV",2*N5042*IF(L5042="1/C",O5042,1),0)</f>
        <v/>
      </c>
      <c r="Y5042" s="12">
        <f>IF(OR(LEFT(K5042,4)="LVAX",LEFT(K5042,6)="MV15AX",LEFT(K5042,4)="CTAX",LEFT(K5042,2)="W|"),2*N5042*O5042,0)</f>
        <v/>
      </c>
      <c r="Z5042" s="12" t="inlineStr">
        <is>
          <t>VD 2.6 %</t>
        </is>
      </c>
      <c r="AA5042" s="12">
        <f>N5042*O5042</f>
        <v/>
      </c>
    </row>
    <row r="5043">
      <c r="A5043" s="12" t="inlineStr">
        <is>
          <t>I-P-0093</t>
        </is>
      </c>
      <c r="B5043" s="12" t="inlineStr">
        <is>
          <t>I</t>
        </is>
      </c>
      <c r="C5043" s="12" t="inlineStr">
        <is>
          <t>Modular / portable power</t>
        </is>
      </c>
      <c r="D5043" s="12" t="inlineStr">
        <is>
          <t>Motor 4 of 6, 22 kW</t>
        </is>
      </c>
      <c r="E5043" s="12" t="inlineStr"/>
      <c r="F5043" s="12" t="inlineStr">
        <is>
          <t>PCM: power control module</t>
        </is>
      </c>
      <c r="G5043" s="12" t="inlineStr">
        <is>
          <t>RICE-1</t>
        </is>
      </c>
      <c r="H5043" s="12" t="inlineStr">
        <is>
          <t>RICE engine-generator 1</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7" t="n">
        <v>550</v>
      </c>
      <c r="U5043" s="17" t="n">
        <v>137</v>
      </c>
      <c r="V5043" s="17">
        <f>ROUNDUP((T5043+U5043+2*'Read Me'!$B$13)*(1+'Read Me'!$B$12),-1)</f>
        <v/>
      </c>
      <c r="W5043" s="17">
        <f>V5043*N5043*O5043</f>
        <v/>
      </c>
      <c r="X5043" s="12">
        <f>IF(LEFT(I5043,2)="MV",2*N5043*IF(L5043="1/C",O5043,1),0)</f>
        <v/>
      </c>
      <c r="Y5043" s="12">
        <f>IF(OR(LEFT(K5043,4)="LVAX",LEFT(K5043,6)="MV15AX",LEFT(K5043,4)="CTAX",LEFT(K5043,2)="W|"),2*N5043*O5043,0)</f>
        <v/>
      </c>
      <c r="Z5043" s="12" t="inlineStr">
        <is>
          <t>VD 2.6 %</t>
        </is>
      </c>
      <c r="AA5043" s="12">
        <f>N5043*O5043</f>
        <v/>
      </c>
    </row>
    <row r="5044">
      <c r="A5044" s="12" t="inlineStr">
        <is>
          <t>I-P-0094</t>
        </is>
      </c>
      <c r="B5044" s="12" t="inlineStr">
        <is>
          <t>I</t>
        </is>
      </c>
      <c r="C5044" s="12" t="inlineStr">
        <is>
          <t>Modular / portable power</t>
        </is>
      </c>
      <c r="D5044" s="12" t="inlineStr">
        <is>
          <t>Motor 5 of 6, 22 kW</t>
        </is>
      </c>
      <c r="E5044" s="12" t="inlineStr"/>
      <c r="F5044" s="12" t="inlineStr">
        <is>
          <t>PCM: power control module</t>
        </is>
      </c>
      <c r="G5044" s="12" t="inlineStr">
        <is>
          <t>RICE-1</t>
        </is>
      </c>
      <c r="H5044" s="12" t="inlineStr">
        <is>
          <t>RICE engine-generator 1</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7" t="n">
        <v>550</v>
      </c>
      <c r="U5044" s="17" t="n">
        <v>137</v>
      </c>
      <c r="V5044" s="17">
        <f>ROUNDUP((T5044+U5044+2*'Read Me'!$B$13)*(1+'Read Me'!$B$12),-1)</f>
        <v/>
      </c>
      <c r="W5044" s="17">
        <f>V5044*N5044*O5044</f>
        <v/>
      </c>
      <c r="X5044" s="12">
        <f>IF(LEFT(I5044,2)="MV",2*N5044*IF(L5044="1/C",O5044,1),0)</f>
        <v/>
      </c>
      <c r="Y5044" s="12">
        <f>IF(OR(LEFT(K5044,4)="LVAX",LEFT(K5044,6)="MV15AX",LEFT(K5044,4)="CTAX",LEFT(K5044,2)="W|"),2*N5044*O5044,0)</f>
        <v/>
      </c>
      <c r="Z5044" s="12" t="inlineStr">
        <is>
          <t>VD 2.6 %</t>
        </is>
      </c>
      <c r="AA5044" s="12">
        <f>N5044*O5044</f>
        <v/>
      </c>
    </row>
    <row r="5045">
      <c r="A5045" s="12" t="inlineStr">
        <is>
          <t>I-P-0095</t>
        </is>
      </c>
      <c r="B5045" s="12" t="inlineStr">
        <is>
          <t>I</t>
        </is>
      </c>
      <c r="C5045" s="12" t="inlineStr">
        <is>
          <t>Modular / portable power</t>
        </is>
      </c>
      <c r="D5045" s="12" t="inlineStr">
        <is>
          <t>Motor 6 of 6, 22 kW</t>
        </is>
      </c>
      <c r="E5045" s="12" t="inlineStr"/>
      <c r="F5045" s="12" t="inlineStr">
        <is>
          <t>PCM: power control module</t>
        </is>
      </c>
      <c r="G5045" s="12" t="inlineStr">
        <is>
          <t>RICE-1</t>
        </is>
      </c>
      <c r="H5045" s="12" t="inlineStr">
        <is>
          <t>RICE engine-generator 1</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137</v>
      </c>
      <c r="V5045" s="17">
        <f>ROUNDUP((T5045+U5045+2*'Read Me'!$B$13)*(1+'Read Me'!$B$12),-1)</f>
        <v/>
      </c>
      <c r="W5045" s="17">
        <f>V5045*N5045*O5045</f>
        <v/>
      </c>
      <c r="X5045" s="12">
        <f>IF(LEFT(I5045,2)="MV",2*N5045*IF(L5045="1/C",O5045,1),0)</f>
        <v/>
      </c>
      <c r="Y5045" s="12">
        <f>IF(OR(LEFT(K5045,4)="LVAX",LEFT(K5045,6)="MV15AX",LEFT(K5045,4)="CTAX",LEFT(K5045,2)="W|"),2*N5045*O5045,0)</f>
        <v/>
      </c>
      <c r="Z5045" s="12" t="inlineStr">
        <is>
          <t>VD 2.6 %</t>
        </is>
      </c>
      <c r="AA5045" s="12">
        <f>N5045*O5045</f>
        <v/>
      </c>
    </row>
    <row r="5046">
      <c r="A5046" s="12" t="inlineStr">
        <is>
          <t>I-P-0096</t>
        </is>
      </c>
      <c r="B5046" s="12" t="inlineStr">
        <is>
          <t>I</t>
        </is>
      </c>
      <c r="C5046" s="12" t="inlineStr">
        <is>
          <t>Modular / portable power</t>
        </is>
      </c>
      <c r="D5046" s="12" t="inlineStr">
        <is>
          <t>480 V welding receptacle 1</t>
        </is>
      </c>
      <c r="E5046" s="12" t="inlineStr"/>
      <c r="F5046" s="12" t="inlineStr">
        <is>
          <t>PCM: power control module</t>
        </is>
      </c>
      <c r="G5046" s="12" t="inlineStr">
        <is>
          <t>RICE-1</t>
        </is>
      </c>
      <c r="H5046" s="12" t="inlineStr">
        <is>
          <t>RICE engine-generator 1</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60</v>
      </c>
      <c r="R5046" s="12" t="n">
        <v>76</v>
      </c>
      <c r="S5046" s="12" t="inlineStr">
        <is>
          <t>Duct bank</t>
        </is>
      </c>
      <c r="T5046" s="17" t="n">
        <v>550</v>
      </c>
      <c r="U5046" s="17" t="n">
        <v>137</v>
      </c>
      <c r="V5046" s="17">
        <f>ROUNDUP((T5046+U5046+2*'Read Me'!$B$13)*(1+'Read Me'!$B$12),-1)</f>
        <v/>
      </c>
      <c r="W5046" s="17">
        <f>V5046*N5046*O5046</f>
        <v/>
      </c>
      <c r="X5046" s="12">
        <f>IF(LEFT(I5046,2)="MV",2*N5046*IF(L5046="1/C",O5046,1),0)</f>
        <v/>
      </c>
      <c r="Y5046" s="12">
        <f>IF(OR(LEFT(K5046,4)="LVAX",LEFT(K5046,6)="MV15AX",LEFT(K5046,4)="CTAX",LEFT(K5046,2)="W|"),2*N5046*O5046,0)</f>
        <v/>
      </c>
      <c r="Z5046" s="12" t="inlineStr">
        <is>
          <t>VD 2.5 %</t>
        </is>
      </c>
      <c r="AA5046" s="12">
        <f>N5046*O5046</f>
        <v/>
      </c>
    </row>
    <row r="5047">
      <c r="A5047" s="12" t="inlineStr">
        <is>
          <t>I-P-0097</t>
        </is>
      </c>
      <c r="B5047" s="12" t="inlineStr">
        <is>
          <t>I</t>
        </is>
      </c>
      <c r="C5047" s="12" t="inlineStr">
        <is>
          <t>Modular / portable power</t>
        </is>
      </c>
      <c r="D5047" s="12" t="inlineStr">
        <is>
          <t>480 V welding receptacle 2</t>
        </is>
      </c>
      <c r="E5047" s="12" t="inlineStr"/>
      <c r="F5047" s="12" t="inlineStr">
        <is>
          <t>PCM: power control module</t>
        </is>
      </c>
      <c r="G5047" s="12" t="inlineStr">
        <is>
          <t>RICE-1</t>
        </is>
      </c>
      <c r="H5047" s="12" t="inlineStr">
        <is>
          <t>RICE engine-generator 1</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60</v>
      </c>
      <c r="R5047" s="12" t="n">
        <v>76</v>
      </c>
      <c r="S5047" s="12" t="inlineStr">
        <is>
          <t>Duct bank</t>
        </is>
      </c>
      <c r="T5047" s="17" t="n">
        <v>550</v>
      </c>
      <c r="U5047" s="17" t="n">
        <v>137</v>
      </c>
      <c r="V5047" s="17">
        <f>ROUNDUP((T5047+U5047+2*'Read Me'!$B$13)*(1+'Read Me'!$B$12),-1)</f>
        <v/>
      </c>
      <c r="W5047" s="17">
        <f>V5047*N5047*O5047</f>
        <v/>
      </c>
      <c r="X5047" s="12">
        <f>IF(LEFT(I5047,2)="MV",2*N5047*IF(L5047="1/C",O5047,1),0)</f>
        <v/>
      </c>
      <c r="Y5047" s="12">
        <f>IF(OR(LEFT(K5047,4)="LVAX",LEFT(K5047,6)="MV15AX",LEFT(K5047,4)="CTAX",LEFT(K5047,2)="W|"),2*N5047*O5047,0)</f>
        <v/>
      </c>
      <c r="Z5047" s="12" t="inlineStr">
        <is>
          <t>VD 2.5 %</t>
        </is>
      </c>
      <c r="AA5047" s="12">
        <f>N5047*O5047</f>
        <v/>
      </c>
    </row>
    <row r="5048">
      <c r="A5048" s="12" t="inlineStr">
        <is>
          <t>I-P-0098</t>
        </is>
      </c>
      <c r="B5048" s="12" t="inlineStr">
        <is>
          <t>I</t>
        </is>
      </c>
      <c r="C5048" s="12" t="inlineStr">
        <is>
          <t>Modular / portable power</t>
        </is>
      </c>
      <c r="D5048" s="12" t="inlineStr">
        <is>
          <t>480 V welding receptacle 3</t>
        </is>
      </c>
      <c r="E5048" s="12" t="inlineStr"/>
      <c r="F5048" s="12" t="inlineStr">
        <is>
          <t>PCM: power control module</t>
        </is>
      </c>
      <c r="G5048" s="12" t="inlineStr">
        <is>
          <t>RICE-1</t>
        </is>
      </c>
      <c r="H5048" s="12" t="inlineStr">
        <is>
          <t>RICE engine-generator 1</t>
        </is>
      </c>
      <c r="I5048" s="12" t="inlineStr">
        <is>
          <t>LV 600 V</t>
        </is>
      </c>
      <c r="J5048" s="12" t="inlineStr">
        <is>
          <t>Type TC-ER 600 V 3/C Cu XHHW-2 + ground, PVC jacket</t>
        </is>
      </c>
      <c r="K5048" s="12" t="inlineStr">
        <is>
          <t>LV|3/C+G|1/0</t>
        </is>
      </c>
      <c r="L5048" s="12" t="inlineStr">
        <is>
          <t>3/C+G</t>
        </is>
      </c>
      <c r="M5048" s="12" t="inlineStr">
        <is>
          <t>1/0</t>
        </is>
      </c>
      <c r="N5048" s="12" t="n">
        <v>1</v>
      </c>
      <c r="O5048" s="12" t="n">
        <v>1</v>
      </c>
      <c r="P5048" s="12" t="n">
        <v>480</v>
      </c>
      <c r="Q5048" s="12" t="n">
        <v>60</v>
      </c>
      <c r="R5048" s="12" t="n">
        <v>76</v>
      </c>
      <c r="S5048" s="12" t="inlineStr">
        <is>
          <t>Duct bank</t>
        </is>
      </c>
      <c r="T5048" s="17" t="n">
        <v>550</v>
      </c>
      <c r="U5048" s="17" t="n">
        <v>137</v>
      </c>
      <c r="V5048" s="17">
        <f>ROUNDUP((T5048+U5048+2*'Read Me'!$B$13)*(1+'Read Me'!$B$12),-1)</f>
        <v/>
      </c>
      <c r="W5048" s="17">
        <f>V5048*N5048*O5048</f>
        <v/>
      </c>
      <c r="X5048" s="12">
        <f>IF(LEFT(I5048,2)="MV",2*N5048*IF(L5048="1/C",O5048,1),0)</f>
        <v/>
      </c>
      <c r="Y5048" s="12">
        <f>IF(OR(LEFT(K5048,4)="LVAX",LEFT(K5048,6)="MV15AX",LEFT(K5048,4)="CTAX",LEFT(K5048,2)="W|"),2*N5048*O5048,0)</f>
        <v/>
      </c>
      <c r="Z5048" s="12" t="inlineStr">
        <is>
          <t>VD 2.5 %</t>
        </is>
      </c>
      <c r="AA5048" s="12">
        <f>N5048*O5048</f>
        <v/>
      </c>
    </row>
    <row r="5049">
      <c r="A5049" s="12" t="inlineStr">
        <is>
          <t>I-P-0099</t>
        </is>
      </c>
      <c r="B5049" s="12" t="inlineStr">
        <is>
          <t>I</t>
        </is>
      </c>
      <c r="C5049" s="12" t="inlineStr">
        <is>
          <t>Modular / portable power</t>
        </is>
      </c>
      <c r="D5049" s="12" t="inlineStr">
        <is>
          <t>480 V welding receptacle 4</t>
        </is>
      </c>
      <c r="E5049" s="12" t="inlineStr"/>
      <c r="F5049" s="12" t="inlineStr">
        <is>
          <t>PCM: power control module</t>
        </is>
      </c>
      <c r="G5049" s="12" t="inlineStr">
        <is>
          <t>RICE-1</t>
        </is>
      </c>
      <c r="H5049" s="12" t="inlineStr">
        <is>
          <t>RICE engine-generator 1</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60</v>
      </c>
      <c r="R5049" s="12" t="n">
        <v>76</v>
      </c>
      <c r="S5049" s="12" t="inlineStr">
        <is>
          <t>Duct bank</t>
        </is>
      </c>
      <c r="T5049" s="17" t="n">
        <v>550</v>
      </c>
      <c r="U5049" s="17" t="n">
        <v>137</v>
      </c>
      <c r="V5049" s="17">
        <f>ROUNDUP((T5049+U5049+2*'Read Me'!$B$13)*(1+'Read Me'!$B$12),-1)</f>
        <v/>
      </c>
      <c r="W5049" s="17">
        <f>V5049*N5049*O5049</f>
        <v/>
      </c>
      <c r="X5049" s="12">
        <f>IF(LEFT(I5049,2)="MV",2*N5049*IF(L5049="1/C",O5049,1),0)</f>
        <v/>
      </c>
      <c r="Y5049" s="12">
        <f>IF(OR(LEFT(K5049,4)="LVAX",LEFT(K5049,6)="MV15AX",LEFT(K5049,4)="CTAX",LEFT(K5049,2)="W|"),2*N5049*O5049,0)</f>
        <v/>
      </c>
      <c r="Z5049" s="12" t="inlineStr">
        <is>
          <t>VD 2.5 %</t>
        </is>
      </c>
      <c r="AA5049" s="12">
        <f>N5049*O5049</f>
        <v/>
      </c>
    </row>
    <row r="5050">
      <c r="A5050" s="12" t="inlineStr">
        <is>
          <t>I-P-0100</t>
        </is>
      </c>
      <c r="B5050" s="12" t="inlineStr">
        <is>
          <t>I</t>
        </is>
      </c>
      <c r="C5050" s="12" t="inlineStr">
        <is>
          <t>Modular / portable power</t>
        </is>
      </c>
      <c r="D5050" s="12" t="inlineStr">
        <is>
          <t>Motor 1 of 6, 22 kW</t>
        </is>
      </c>
      <c r="E5050" s="12" t="inlineStr"/>
      <c r="F5050" s="12" t="inlineStr">
        <is>
          <t>PCM: power control module</t>
        </is>
      </c>
      <c r="G5050" s="12" t="inlineStr">
        <is>
          <t>RICE-2</t>
        </is>
      </c>
      <c r="H5050" s="12" t="inlineStr">
        <is>
          <t>RICE engine-generator 2</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109</v>
      </c>
      <c r="V5050" s="17">
        <f>ROUNDUP((T5050+U5050+2*'Read Me'!$B$13)*(1+'Read Me'!$B$12),-1)</f>
        <v/>
      </c>
      <c r="W5050" s="17">
        <f>V5050*N5050*O5050</f>
        <v/>
      </c>
      <c r="X5050" s="12">
        <f>IF(LEFT(I5050,2)="MV",2*N5050*IF(L5050="1/C",O5050,1),0)</f>
        <v/>
      </c>
      <c r="Y5050" s="12">
        <f>IF(OR(LEFT(K5050,4)="LVAX",LEFT(K5050,6)="MV15AX",LEFT(K5050,4)="CTAX",LEFT(K5050,2)="W|"),2*N5050*O5050,0)</f>
        <v/>
      </c>
      <c r="Z5050" s="12" t="inlineStr">
        <is>
          <t>VD 2.5 %</t>
        </is>
      </c>
      <c r="AA5050" s="12">
        <f>N5050*O5050</f>
        <v/>
      </c>
    </row>
    <row r="5051">
      <c r="A5051" s="12" t="inlineStr">
        <is>
          <t>I-P-0101</t>
        </is>
      </c>
      <c r="B5051" s="12" t="inlineStr">
        <is>
          <t>I</t>
        </is>
      </c>
      <c r="C5051" s="12" t="inlineStr">
        <is>
          <t>Modular / portable power</t>
        </is>
      </c>
      <c r="D5051" s="12" t="inlineStr">
        <is>
          <t>Motor 2 of 6, 22 kW</t>
        </is>
      </c>
      <c r="E5051" s="12" t="inlineStr"/>
      <c r="F5051" s="12" t="inlineStr">
        <is>
          <t>PCM: power control module</t>
        </is>
      </c>
      <c r="G5051" s="12" t="inlineStr">
        <is>
          <t>RICE-2</t>
        </is>
      </c>
      <c r="H5051" s="12" t="inlineStr">
        <is>
          <t>RICE engine-generator 2</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7" t="n">
        <v>550</v>
      </c>
      <c r="U5051" s="17" t="n">
        <v>109</v>
      </c>
      <c r="V5051" s="17">
        <f>ROUNDUP((T5051+U5051+2*'Read Me'!$B$13)*(1+'Read Me'!$B$12),-1)</f>
        <v/>
      </c>
      <c r="W5051" s="17">
        <f>V5051*N5051*O5051</f>
        <v/>
      </c>
      <c r="X5051" s="12">
        <f>IF(LEFT(I5051,2)="MV",2*N5051*IF(L5051="1/C",O5051,1),0)</f>
        <v/>
      </c>
      <c r="Y5051" s="12">
        <f>IF(OR(LEFT(K5051,4)="LVAX",LEFT(K5051,6)="MV15AX",LEFT(K5051,4)="CTAX",LEFT(K5051,2)="W|"),2*N5051*O5051,0)</f>
        <v/>
      </c>
      <c r="Z5051" s="12" t="inlineStr">
        <is>
          <t>VD 2.5 %</t>
        </is>
      </c>
      <c r="AA5051" s="12">
        <f>N5051*O5051</f>
        <v/>
      </c>
    </row>
    <row r="5052">
      <c r="A5052" s="12" t="inlineStr">
        <is>
          <t>I-P-0102</t>
        </is>
      </c>
      <c r="B5052" s="12" t="inlineStr">
        <is>
          <t>I</t>
        </is>
      </c>
      <c r="C5052" s="12" t="inlineStr">
        <is>
          <t>Modular / portable power</t>
        </is>
      </c>
      <c r="D5052" s="12" t="inlineStr">
        <is>
          <t>Motor 3 of 6, 22 kW</t>
        </is>
      </c>
      <c r="E5052" s="12" t="inlineStr"/>
      <c r="F5052" s="12" t="inlineStr">
        <is>
          <t>PCM: power control module</t>
        </is>
      </c>
      <c r="G5052" s="12" t="inlineStr">
        <is>
          <t>RICE-2</t>
        </is>
      </c>
      <c r="H5052" s="12" t="inlineStr">
        <is>
          <t>RICE engine-generator 2</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7" t="n">
        <v>550</v>
      </c>
      <c r="U5052" s="17" t="n">
        <v>109</v>
      </c>
      <c r="V5052" s="17">
        <f>ROUNDUP((T5052+U5052+2*'Read Me'!$B$13)*(1+'Read Me'!$B$12),-1)</f>
        <v/>
      </c>
      <c r="W5052" s="17">
        <f>V5052*N5052*O5052</f>
        <v/>
      </c>
      <c r="X5052" s="12">
        <f>IF(LEFT(I5052,2)="MV",2*N5052*IF(L5052="1/C",O5052,1),0)</f>
        <v/>
      </c>
      <c r="Y5052" s="12">
        <f>IF(OR(LEFT(K5052,4)="LVAX",LEFT(K5052,6)="MV15AX",LEFT(K5052,4)="CTAX",LEFT(K5052,2)="W|"),2*N5052*O5052,0)</f>
        <v/>
      </c>
      <c r="Z5052" s="12" t="inlineStr">
        <is>
          <t>VD 2.5 %</t>
        </is>
      </c>
      <c r="AA5052" s="12">
        <f>N5052*O5052</f>
        <v/>
      </c>
    </row>
    <row r="5053">
      <c r="A5053" s="12" t="inlineStr">
        <is>
          <t>I-P-0103</t>
        </is>
      </c>
      <c r="B5053" s="12" t="inlineStr">
        <is>
          <t>I</t>
        </is>
      </c>
      <c r="C5053" s="12" t="inlineStr">
        <is>
          <t>Modular / portable power</t>
        </is>
      </c>
      <c r="D5053" s="12" t="inlineStr">
        <is>
          <t>Motor 4 of 6, 22 kW</t>
        </is>
      </c>
      <c r="E5053" s="12" t="inlineStr"/>
      <c r="F5053" s="12" t="inlineStr">
        <is>
          <t>PCM: power control module</t>
        </is>
      </c>
      <c r="G5053" s="12" t="inlineStr">
        <is>
          <t>RICE-2</t>
        </is>
      </c>
      <c r="H5053" s="12" t="inlineStr">
        <is>
          <t>RICE engine-generator 2</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7" t="n">
        <v>550</v>
      </c>
      <c r="U5053" s="17" t="n">
        <v>109</v>
      </c>
      <c r="V5053" s="17">
        <f>ROUNDUP((T5053+U5053+2*'Read Me'!$B$13)*(1+'Read Me'!$B$12),-1)</f>
        <v/>
      </c>
      <c r="W5053" s="17">
        <f>V5053*N5053*O5053</f>
        <v/>
      </c>
      <c r="X5053" s="12">
        <f>IF(LEFT(I5053,2)="MV",2*N5053*IF(L5053="1/C",O5053,1),0)</f>
        <v/>
      </c>
      <c r="Y5053" s="12">
        <f>IF(OR(LEFT(K5053,4)="LVAX",LEFT(K5053,6)="MV15AX",LEFT(K5053,4)="CTAX",LEFT(K5053,2)="W|"),2*N5053*O5053,0)</f>
        <v/>
      </c>
      <c r="Z5053" s="12" t="inlineStr">
        <is>
          <t>VD 2.5 %</t>
        </is>
      </c>
      <c r="AA5053" s="12">
        <f>N5053*O5053</f>
        <v/>
      </c>
    </row>
    <row r="5054">
      <c r="A5054" s="12" t="inlineStr">
        <is>
          <t>I-P-0104</t>
        </is>
      </c>
      <c r="B5054" s="12" t="inlineStr">
        <is>
          <t>I</t>
        </is>
      </c>
      <c r="C5054" s="12" t="inlineStr">
        <is>
          <t>Modular / portable power</t>
        </is>
      </c>
      <c r="D5054" s="12" t="inlineStr">
        <is>
          <t>Motor 5 of 6, 22 kW</t>
        </is>
      </c>
      <c r="E5054" s="12" t="inlineStr"/>
      <c r="F5054" s="12" t="inlineStr">
        <is>
          <t>PCM: power control module</t>
        </is>
      </c>
      <c r="G5054" s="12" t="inlineStr">
        <is>
          <t>RICE-2</t>
        </is>
      </c>
      <c r="H5054" s="12" t="inlineStr">
        <is>
          <t>RICE engine-generator 2</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7" t="n">
        <v>550</v>
      </c>
      <c r="U5054" s="17" t="n">
        <v>109</v>
      </c>
      <c r="V5054" s="17">
        <f>ROUNDUP((T5054+U5054+2*'Read Me'!$B$13)*(1+'Read Me'!$B$12),-1)</f>
        <v/>
      </c>
      <c r="W5054" s="17">
        <f>V5054*N5054*O5054</f>
        <v/>
      </c>
      <c r="X5054" s="12">
        <f>IF(LEFT(I5054,2)="MV",2*N5054*IF(L5054="1/C",O5054,1),0)</f>
        <v/>
      </c>
      <c r="Y5054" s="12">
        <f>IF(OR(LEFT(K5054,4)="LVAX",LEFT(K5054,6)="MV15AX",LEFT(K5054,4)="CTAX",LEFT(K5054,2)="W|"),2*N5054*O5054,0)</f>
        <v/>
      </c>
      <c r="Z5054" s="12" t="inlineStr">
        <is>
          <t>VD 2.5 %</t>
        </is>
      </c>
      <c r="AA5054" s="12">
        <f>N5054*O5054</f>
        <v/>
      </c>
    </row>
    <row r="5055">
      <c r="A5055" s="12" t="inlineStr">
        <is>
          <t>I-P-0105</t>
        </is>
      </c>
      <c r="B5055" s="12" t="inlineStr">
        <is>
          <t>I</t>
        </is>
      </c>
      <c r="C5055" s="12" t="inlineStr">
        <is>
          <t>Modular / portable power</t>
        </is>
      </c>
      <c r="D5055" s="12" t="inlineStr">
        <is>
          <t>Motor 6 of 6, 22 kW</t>
        </is>
      </c>
      <c r="E5055" s="12" t="inlineStr"/>
      <c r="F5055" s="12" t="inlineStr">
        <is>
          <t>PCM: power control module</t>
        </is>
      </c>
      <c r="G5055" s="12" t="inlineStr">
        <is>
          <t>RICE-2</t>
        </is>
      </c>
      <c r="H5055" s="12" t="inlineStr">
        <is>
          <t>RICE engine-generator 2</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109</v>
      </c>
      <c r="V5055" s="17">
        <f>ROUNDUP((T5055+U5055+2*'Read Me'!$B$13)*(1+'Read Me'!$B$12),-1)</f>
        <v/>
      </c>
      <c r="W5055" s="17">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I-P-0106</t>
        </is>
      </c>
      <c r="B5056" s="12" t="inlineStr">
        <is>
          <t>I</t>
        </is>
      </c>
      <c r="C5056" s="12" t="inlineStr">
        <is>
          <t>Modular / portable power</t>
        </is>
      </c>
      <c r="D5056" s="12" t="inlineStr">
        <is>
          <t>480 V welding receptacle 1</t>
        </is>
      </c>
      <c r="E5056" s="12" t="inlineStr"/>
      <c r="F5056" s="12" t="inlineStr">
        <is>
          <t>PCM: power control module</t>
        </is>
      </c>
      <c r="G5056" s="12" t="inlineStr">
        <is>
          <t>RICE-2</t>
        </is>
      </c>
      <c r="H5056" s="12" t="inlineStr">
        <is>
          <t>RICE engine-generator 2</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60</v>
      </c>
      <c r="R5056" s="12" t="n">
        <v>76</v>
      </c>
      <c r="S5056" s="12" t="inlineStr">
        <is>
          <t>Duct bank</t>
        </is>
      </c>
      <c r="T5056" s="17" t="n">
        <v>550</v>
      </c>
      <c r="U5056" s="17" t="n">
        <v>109</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I-P-0107</t>
        </is>
      </c>
      <c r="B5057" s="12" t="inlineStr">
        <is>
          <t>I</t>
        </is>
      </c>
      <c r="C5057" s="12" t="inlineStr">
        <is>
          <t>Modular / portable power</t>
        </is>
      </c>
      <c r="D5057" s="12" t="inlineStr">
        <is>
          <t>480 V welding receptacle 2</t>
        </is>
      </c>
      <c r="E5057" s="12" t="inlineStr"/>
      <c r="F5057" s="12" t="inlineStr">
        <is>
          <t>PCM: power control module</t>
        </is>
      </c>
      <c r="G5057" s="12" t="inlineStr">
        <is>
          <t>RICE-2</t>
        </is>
      </c>
      <c r="H5057" s="12" t="inlineStr">
        <is>
          <t>RICE engine-generator 2</t>
        </is>
      </c>
      <c r="I5057" s="12" t="inlineStr">
        <is>
          <t>LV 600 V</t>
        </is>
      </c>
      <c r="J5057" s="12" t="inlineStr">
        <is>
          <t>Type TC-ER 600 V 3/C Cu XHHW-2 + ground, PVC jacket</t>
        </is>
      </c>
      <c r="K5057" s="12" t="inlineStr">
        <is>
          <t>LV|3/C+G|1/0</t>
        </is>
      </c>
      <c r="L5057" s="12" t="inlineStr">
        <is>
          <t>3/C+G</t>
        </is>
      </c>
      <c r="M5057" s="12" t="inlineStr">
        <is>
          <t>1/0</t>
        </is>
      </c>
      <c r="N5057" s="12" t="n">
        <v>1</v>
      </c>
      <c r="O5057" s="12" t="n">
        <v>1</v>
      </c>
      <c r="P5057" s="12" t="n">
        <v>480</v>
      </c>
      <c r="Q5057" s="12" t="n">
        <v>60</v>
      </c>
      <c r="R5057" s="12" t="n">
        <v>76</v>
      </c>
      <c r="S5057" s="12" t="inlineStr">
        <is>
          <t>Duct bank</t>
        </is>
      </c>
      <c r="T5057" s="17" t="n">
        <v>550</v>
      </c>
      <c r="U5057" s="17" t="n">
        <v>109</v>
      </c>
      <c r="V5057" s="17">
        <f>ROUNDUP((T5057+U5057+2*'Read Me'!$B$13)*(1+'Read Me'!$B$12),-1)</f>
        <v/>
      </c>
      <c r="W5057" s="17">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I-P-0108</t>
        </is>
      </c>
      <c r="B5058" s="12" t="inlineStr">
        <is>
          <t>I</t>
        </is>
      </c>
      <c r="C5058" s="12" t="inlineStr">
        <is>
          <t>Modular / portable power</t>
        </is>
      </c>
      <c r="D5058" s="12" t="inlineStr">
        <is>
          <t>480 V welding receptacle 3</t>
        </is>
      </c>
      <c r="E5058" s="12" t="inlineStr"/>
      <c r="F5058" s="12" t="inlineStr">
        <is>
          <t>PCM: power control module</t>
        </is>
      </c>
      <c r="G5058" s="12" t="inlineStr">
        <is>
          <t>RICE-2</t>
        </is>
      </c>
      <c r="H5058" s="12" t="inlineStr">
        <is>
          <t>RICE engine-generator 2</t>
        </is>
      </c>
      <c r="I5058" s="12" t="inlineStr">
        <is>
          <t>LV 600 V</t>
        </is>
      </c>
      <c r="J5058" s="12" t="inlineStr">
        <is>
          <t>Type TC-ER 600 V 3/C Cu XHHW-2 + ground, PVC jacket</t>
        </is>
      </c>
      <c r="K5058" s="12" t="inlineStr">
        <is>
          <t>LV|3/C+G|1/0</t>
        </is>
      </c>
      <c r="L5058" s="12" t="inlineStr">
        <is>
          <t>3/C+G</t>
        </is>
      </c>
      <c r="M5058" s="12" t="inlineStr">
        <is>
          <t>1/0</t>
        </is>
      </c>
      <c r="N5058" s="12" t="n">
        <v>1</v>
      </c>
      <c r="O5058" s="12" t="n">
        <v>1</v>
      </c>
      <c r="P5058" s="12" t="n">
        <v>480</v>
      </c>
      <c r="Q5058" s="12" t="n">
        <v>60</v>
      </c>
      <c r="R5058" s="12" t="n">
        <v>76</v>
      </c>
      <c r="S5058" s="12" t="inlineStr">
        <is>
          <t>Duct bank</t>
        </is>
      </c>
      <c r="T5058" s="17" t="n">
        <v>550</v>
      </c>
      <c r="U5058" s="17" t="n">
        <v>109</v>
      </c>
      <c r="V5058" s="17">
        <f>ROUNDUP((T5058+U5058+2*'Read Me'!$B$13)*(1+'Read Me'!$B$12),-1)</f>
        <v/>
      </c>
      <c r="W5058" s="17">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I-P-0109</t>
        </is>
      </c>
      <c r="B5059" s="12" t="inlineStr">
        <is>
          <t>I</t>
        </is>
      </c>
      <c r="C5059" s="12" t="inlineStr">
        <is>
          <t>Modular / portable power</t>
        </is>
      </c>
      <c r="D5059" s="12" t="inlineStr">
        <is>
          <t>480 V welding receptacle 4</t>
        </is>
      </c>
      <c r="E5059" s="12" t="inlineStr"/>
      <c r="F5059" s="12" t="inlineStr">
        <is>
          <t>PCM: power control module</t>
        </is>
      </c>
      <c r="G5059" s="12" t="inlineStr">
        <is>
          <t>RICE-2</t>
        </is>
      </c>
      <c r="H5059" s="12" t="inlineStr">
        <is>
          <t>RICE engine-generator 2</t>
        </is>
      </c>
      <c r="I5059" s="12" t="inlineStr">
        <is>
          <t>LV 600 V</t>
        </is>
      </c>
      <c r="J5059" s="12" t="inlineStr">
        <is>
          <t>Type TC-ER 600 V 3/C Cu XHHW-2 + ground, PVC jacket</t>
        </is>
      </c>
      <c r="K5059" s="12" t="inlineStr">
        <is>
          <t>LV|3/C+G|1/0</t>
        </is>
      </c>
      <c r="L5059" s="12" t="inlineStr">
        <is>
          <t>3/C+G</t>
        </is>
      </c>
      <c r="M5059" s="12" t="inlineStr">
        <is>
          <t>1/0</t>
        </is>
      </c>
      <c r="N5059" s="12" t="n">
        <v>1</v>
      </c>
      <c r="O5059" s="12" t="n">
        <v>1</v>
      </c>
      <c r="P5059" s="12" t="n">
        <v>480</v>
      </c>
      <c r="Q5059" s="12" t="n">
        <v>60</v>
      </c>
      <c r="R5059" s="12" t="n">
        <v>76</v>
      </c>
      <c r="S5059" s="12" t="inlineStr">
        <is>
          <t>Duct bank</t>
        </is>
      </c>
      <c r="T5059" s="17" t="n">
        <v>550</v>
      </c>
      <c r="U5059" s="17" t="n">
        <v>109</v>
      </c>
      <c r="V5059" s="17">
        <f>ROUNDUP((T5059+U5059+2*'Read Me'!$B$13)*(1+'Read Me'!$B$12),-1)</f>
        <v/>
      </c>
      <c r="W5059" s="17">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I-P-0110</t>
        </is>
      </c>
      <c r="B5060" s="12" t="inlineStr">
        <is>
          <t>I</t>
        </is>
      </c>
      <c r="C5060" s="12" t="inlineStr">
        <is>
          <t>Modular / portable power</t>
        </is>
      </c>
      <c r="D5060" s="12" t="inlineStr">
        <is>
          <t>Motor 1 of 6, 22 kW</t>
        </is>
      </c>
      <c r="E5060" s="12" t="inlineStr"/>
      <c r="F5060" s="12" t="inlineStr">
        <is>
          <t>PCM: power control module</t>
        </is>
      </c>
      <c r="G5060" s="12" t="inlineStr">
        <is>
          <t>RICE-3</t>
        </is>
      </c>
      <c r="H5060" s="12" t="inlineStr">
        <is>
          <t>RICE engine-generator 3</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81</v>
      </c>
      <c r="V5060" s="17">
        <f>ROUNDUP((T5060+U5060+2*'Read Me'!$B$13)*(1+'Read Me'!$B$12),-1)</f>
        <v/>
      </c>
      <c r="W5060" s="17">
        <f>V5060*N5060*O5060</f>
        <v/>
      </c>
      <c r="X5060" s="12">
        <f>IF(LEFT(I5060,2)="MV",2*N5060*IF(L5060="1/C",O5060,1),0)</f>
        <v/>
      </c>
      <c r="Y5060" s="12">
        <f>IF(OR(LEFT(K5060,4)="LVAX",LEFT(K5060,6)="MV15AX",LEFT(K5060,4)="CTAX",LEFT(K5060,2)="W|"),2*N5060*O5060,0)</f>
        <v/>
      </c>
      <c r="Z5060" s="12" t="inlineStr">
        <is>
          <t>VD 2.4 %</t>
        </is>
      </c>
      <c r="AA5060" s="12">
        <f>N5060*O5060</f>
        <v/>
      </c>
    </row>
    <row r="5061">
      <c r="A5061" s="12" t="inlineStr">
        <is>
          <t>I-P-0111</t>
        </is>
      </c>
      <c r="B5061" s="12" t="inlineStr">
        <is>
          <t>I</t>
        </is>
      </c>
      <c r="C5061" s="12" t="inlineStr">
        <is>
          <t>Modular / portable power</t>
        </is>
      </c>
      <c r="D5061" s="12" t="inlineStr">
        <is>
          <t>Motor 2 of 6, 22 kW</t>
        </is>
      </c>
      <c r="E5061" s="12" t="inlineStr"/>
      <c r="F5061" s="12" t="inlineStr">
        <is>
          <t>PCM: power control module</t>
        </is>
      </c>
      <c r="G5061" s="12" t="inlineStr">
        <is>
          <t>RICE-3</t>
        </is>
      </c>
      <c r="H5061" s="12" t="inlineStr">
        <is>
          <t>RICE engine-generator 3</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81</v>
      </c>
      <c r="V5061" s="17">
        <f>ROUNDUP((T5061+U5061+2*'Read Me'!$B$13)*(1+'Read Me'!$B$12),-1)</f>
        <v/>
      </c>
      <c r="W5061" s="17">
        <f>V5061*N5061*O5061</f>
        <v/>
      </c>
      <c r="X5061" s="12">
        <f>IF(LEFT(I5061,2)="MV",2*N5061*IF(L5061="1/C",O5061,1),0)</f>
        <v/>
      </c>
      <c r="Y5061" s="12">
        <f>IF(OR(LEFT(K5061,4)="LVAX",LEFT(K5061,6)="MV15AX",LEFT(K5061,4)="CTAX",LEFT(K5061,2)="W|"),2*N5061*O5061,0)</f>
        <v/>
      </c>
      <c r="Z5061" s="12" t="inlineStr">
        <is>
          <t>VD 2.4 %</t>
        </is>
      </c>
      <c r="AA5061" s="12">
        <f>N5061*O5061</f>
        <v/>
      </c>
    </row>
    <row r="5062">
      <c r="A5062" s="12" t="inlineStr">
        <is>
          <t>I-P-0112</t>
        </is>
      </c>
      <c r="B5062" s="12" t="inlineStr">
        <is>
          <t>I</t>
        </is>
      </c>
      <c r="C5062" s="12" t="inlineStr">
        <is>
          <t>Modular / portable power</t>
        </is>
      </c>
      <c r="D5062" s="12" t="inlineStr">
        <is>
          <t>Motor 3 of 6, 22 kW</t>
        </is>
      </c>
      <c r="E5062" s="12" t="inlineStr"/>
      <c r="F5062" s="12" t="inlineStr">
        <is>
          <t>PCM: power control module</t>
        </is>
      </c>
      <c r="G5062" s="12" t="inlineStr">
        <is>
          <t>RICE-3</t>
        </is>
      </c>
      <c r="H5062" s="12" t="inlineStr">
        <is>
          <t>RICE engine-generator 3</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81</v>
      </c>
      <c r="V5062" s="17">
        <f>ROUNDUP((T5062+U5062+2*'Read Me'!$B$13)*(1+'Read Me'!$B$12),-1)</f>
        <v/>
      </c>
      <c r="W5062" s="17">
        <f>V5062*N5062*O5062</f>
        <v/>
      </c>
      <c r="X5062" s="12">
        <f>IF(LEFT(I5062,2)="MV",2*N5062*IF(L5062="1/C",O5062,1),0)</f>
        <v/>
      </c>
      <c r="Y5062" s="12">
        <f>IF(OR(LEFT(K5062,4)="LVAX",LEFT(K5062,6)="MV15AX",LEFT(K5062,4)="CTAX",LEFT(K5062,2)="W|"),2*N5062*O5062,0)</f>
        <v/>
      </c>
      <c r="Z5062" s="12" t="inlineStr">
        <is>
          <t>VD 2.4 %</t>
        </is>
      </c>
      <c r="AA5062" s="12">
        <f>N5062*O5062</f>
        <v/>
      </c>
    </row>
    <row r="5063">
      <c r="A5063" s="12" t="inlineStr">
        <is>
          <t>I-P-0113</t>
        </is>
      </c>
      <c r="B5063" s="12" t="inlineStr">
        <is>
          <t>I</t>
        </is>
      </c>
      <c r="C5063" s="12" t="inlineStr">
        <is>
          <t>Modular / portable power</t>
        </is>
      </c>
      <c r="D5063" s="12" t="inlineStr">
        <is>
          <t>Motor 4 of 6, 22 kW</t>
        </is>
      </c>
      <c r="E5063" s="12" t="inlineStr"/>
      <c r="F5063" s="12" t="inlineStr">
        <is>
          <t>PCM: power control module</t>
        </is>
      </c>
      <c r="G5063" s="12" t="inlineStr">
        <is>
          <t>RICE-3</t>
        </is>
      </c>
      <c r="H5063" s="12" t="inlineStr">
        <is>
          <t>RICE engine-generator 3</t>
        </is>
      </c>
      <c r="I5063" s="12" t="inlineStr">
        <is>
          <t>LV 600 V</t>
        </is>
      </c>
      <c r="J5063" s="12" t="inlineStr">
        <is>
          <t>Type TC-ER 600 V 3/C Cu XHHW-2 + ground, PVC jacket</t>
        </is>
      </c>
      <c r="K5063" s="12" t="inlineStr">
        <is>
          <t>LV|3/C+G|4</t>
        </is>
      </c>
      <c r="L5063" s="12" t="inlineStr">
        <is>
          <t>3/C+G</t>
        </is>
      </c>
      <c r="M5063" s="12" t="inlineStr">
        <is>
          <t>4</t>
        </is>
      </c>
      <c r="N5063" s="12" t="n">
        <v>1</v>
      </c>
      <c r="O5063" s="12" t="n">
        <v>1</v>
      </c>
      <c r="P5063" s="12" t="n">
        <v>480</v>
      </c>
      <c r="Q5063" s="12" t="n">
        <v>22</v>
      </c>
      <c r="R5063" s="12" t="n">
        <v>31.1</v>
      </c>
      <c r="S5063" s="12" t="inlineStr">
        <is>
          <t>Duct bank</t>
        </is>
      </c>
      <c r="T5063" s="17" t="n">
        <v>550</v>
      </c>
      <c r="U5063" s="17" t="n">
        <v>81</v>
      </c>
      <c r="V5063" s="17">
        <f>ROUNDUP((T5063+U5063+2*'Read Me'!$B$13)*(1+'Read Me'!$B$12),-1)</f>
        <v/>
      </c>
      <c r="W5063" s="17">
        <f>V5063*N5063*O5063</f>
        <v/>
      </c>
      <c r="X5063" s="12">
        <f>IF(LEFT(I5063,2)="MV",2*N5063*IF(L5063="1/C",O5063,1),0)</f>
        <v/>
      </c>
      <c r="Y5063" s="12">
        <f>IF(OR(LEFT(K5063,4)="LVAX",LEFT(K5063,6)="MV15AX",LEFT(K5063,4)="CTAX",LEFT(K5063,2)="W|"),2*N5063*O5063,0)</f>
        <v/>
      </c>
      <c r="Z5063" s="12" t="inlineStr">
        <is>
          <t>VD 2.4 %</t>
        </is>
      </c>
      <c r="AA5063" s="12">
        <f>N5063*O5063</f>
        <v/>
      </c>
    </row>
    <row r="5064">
      <c r="A5064" s="12" t="inlineStr">
        <is>
          <t>I-P-0114</t>
        </is>
      </c>
      <c r="B5064" s="12" t="inlineStr">
        <is>
          <t>I</t>
        </is>
      </c>
      <c r="C5064" s="12" t="inlineStr">
        <is>
          <t>Modular / portable power</t>
        </is>
      </c>
      <c r="D5064" s="12" t="inlineStr">
        <is>
          <t>Motor 5 of 6, 22 kW</t>
        </is>
      </c>
      <c r="E5064" s="12" t="inlineStr"/>
      <c r="F5064" s="12" t="inlineStr">
        <is>
          <t>PCM: power control module</t>
        </is>
      </c>
      <c r="G5064" s="12" t="inlineStr">
        <is>
          <t>RICE-3</t>
        </is>
      </c>
      <c r="H5064" s="12" t="inlineStr">
        <is>
          <t>RICE engine-generator 3</t>
        </is>
      </c>
      <c r="I5064" s="12" t="inlineStr">
        <is>
          <t>LV 600 V</t>
        </is>
      </c>
      <c r="J5064" s="12" t="inlineStr">
        <is>
          <t>Type TC-ER 600 V 3/C Cu XHHW-2 + ground, PVC jacket</t>
        </is>
      </c>
      <c r="K5064" s="12" t="inlineStr">
        <is>
          <t>LV|3/C+G|4</t>
        </is>
      </c>
      <c r="L5064" s="12" t="inlineStr">
        <is>
          <t>3/C+G</t>
        </is>
      </c>
      <c r="M5064" s="12" t="inlineStr">
        <is>
          <t>4</t>
        </is>
      </c>
      <c r="N5064" s="12" t="n">
        <v>1</v>
      </c>
      <c r="O5064" s="12" t="n">
        <v>1</v>
      </c>
      <c r="P5064" s="12" t="n">
        <v>480</v>
      </c>
      <c r="Q5064" s="12" t="n">
        <v>22</v>
      </c>
      <c r="R5064" s="12" t="n">
        <v>31.1</v>
      </c>
      <c r="S5064" s="12" t="inlineStr">
        <is>
          <t>Duct bank</t>
        </is>
      </c>
      <c r="T5064" s="17" t="n">
        <v>550</v>
      </c>
      <c r="U5064" s="17" t="n">
        <v>81</v>
      </c>
      <c r="V5064" s="17">
        <f>ROUNDUP((T5064+U5064+2*'Read Me'!$B$13)*(1+'Read Me'!$B$12),-1)</f>
        <v/>
      </c>
      <c r="W5064" s="17">
        <f>V5064*N5064*O5064</f>
        <v/>
      </c>
      <c r="X5064" s="12">
        <f>IF(LEFT(I5064,2)="MV",2*N5064*IF(L5064="1/C",O5064,1),0)</f>
        <v/>
      </c>
      <c r="Y5064" s="12">
        <f>IF(OR(LEFT(K5064,4)="LVAX",LEFT(K5064,6)="MV15AX",LEFT(K5064,4)="CTAX",LEFT(K5064,2)="W|"),2*N5064*O5064,0)</f>
        <v/>
      </c>
      <c r="Z5064" s="12" t="inlineStr">
        <is>
          <t>VD 2.4 %</t>
        </is>
      </c>
      <c r="AA5064" s="12">
        <f>N5064*O5064</f>
        <v/>
      </c>
    </row>
    <row r="5065">
      <c r="A5065" s="12" t="inlineStr">
        <is>
          <t>I-P-0115</t>
        </is>
      </c>
      <c r="B5065" s="12" t="inlineStr">
        <is>
          <t>I</t>
        </is>
      </c>
      <c r="C5065" s="12" t="inlineStr">
        <is>
          <t>Modular / portable power</t>
        </is>
      </c>
      <c r="D5065" s="12" t="inlineStr">
        <is>
          <t>Motor 6 of 6, 22 kW</t>
        </is>
      </c>
      <c r="E5065" s="12" t="inlineStr"/>
      <c r="F5065" s="12" t="inlineStr">
        <is>
          <t>PCM: power control module</t>
        </is>
      </c>
      <c r="G5065" s="12" t="inlineStr">
        <is>
          <t>RICE-3</t>
        </is>
      </c>
      <c r="H5065" s="12" t="inlineStr">
        <is>
          <t>RICE engine-generator 3</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550</v>
      </c>
      <c r="U5065" s="17" t="n">
        <v>81</v>
      </c>
      <c r="V5065" s="17">
        <f>ROUNDUP((T5065+U5065+2*'Read Me'!$B$13)*(1+'Read Me'!$B$12),-1)</f>
        <v/>
      </c>
      <c r="W5065" s="17">
        <f>V5065*N5065*O5065</f>
        <v/>
      </c>
      <c r="X5065" s="12">
        <f>IF(LEFT(I5065,2)="MV",2*N5065*IF(L5065="1/C",O5065,1),0)</f>
        <v/>
      </c>
      <c r="Y5065" s="12">
        <f>IF(OR(LEFT(K5065,4)="LVAX",LEFT(K5065,6)="MV15AX",LEFT(K5065,4)="CTAX",LEFT(K5065,2)="W|"),2*N5065*O5065,0)</f>
        <v/>
      </c>
      <c r="Z5065" s="12" t="inlineStr">
        <is>
          <t>VD 2.4 %</t>
        </is>
      </c>
      <c r="AA5065" s="12">
        <f>N5065*O5065</f>
        <v/>
      </c>
    </row>
    <row r="5066">
      <c r="A5066" s="12" t="inlineStr">
        <is>
          <t>I-P-0116</t>
        </is>
      </c>
      <c r="B5066" s="12" t="inlineStr">
        <is>
          <t>I</t>
        </is>
      </c>
      <c r="C5066" s="12" t="inlineStr">
        <is>
          <t>Modular / portable power</t>
        </is>
      </c>
      <c r="D5066" s="12" t="inlineStr">
        <is>
          <t>480 V welding receptacle 1</t>
        </is>
      </c>
      <c r="E5066" s="12" t="inlineStr"/>
      <c r="F5066" s="12" t="inlineStr">
        <is>
          <t>PCM: power control module</t>
        </is>
      </c>
      <c r="G5066" s="12" t="inlineStr">
        <is>
          <t>RICE-3</t>
        </is>
      </c>
      <c r="H5066" s="12" t="inlineStr">
        <is>
          <t>RICE engine-generator 3</t>
        </is>
      </c>
      <c r="I5066" s="12" t="inlineStr">
        <is>
          <t>LV 600 V</t>
        </is>
      </c>
      <c r="J5066" s="12" t="inlineStr">
        <is>
          <t>Type TC-ER 600 V 3/C Cu XHHW-2 + ground, PVC jacket</t>
        </is>
      </c>
      <c r="K5066" s="12" t="inlineStr">
        <is>
          <t>LV|3/C+G|1</t>
        </is>
      </c>
      <c r="L5066" s="12" t="inlineStr">
        <is>
          <t>3/C+G</t>
        </is>
      </c>
      <c r="M5066" s="12" t="inlineStr">
        <is>
          <t>1</t>
        </is>
      </c>
      <c r="N5066" s="12" t="n">
        <v>1</v>
      </c>
      <c r="O5066" s="12" t="n">
        <v>1</v>
      </c>
      <c r="P5066" s="12" t="n">
        <v>480</v>
      </c>
      <c r="Q5066" s="12" t="n">
        <v>60</v>
      </c>
      <c r="R5066" s="12" t="n">
        <v>76</v>
      </c>
      <c r="S5066" s="12" t="inlineStr">
        <is>
          <t>Duct bank</t>
        </is>
      </c>
      <c r="T5066" s="17" t="n">
        <v>550</v>
      </c>
      <c r="U5066" s="17" t="n">
        <v>81</v>
      </c>
      <c r="V5066" s="17">
        <f>ROUNDUP((T5066+U5066+2*'Read Me'!$B$13)*(1+'Read Me'!$B$12),-1)</f>
        <v/>
      </c>
      <c r="W5066" s="17">
        <f>V5066*N5066*O5066</f>
        <v/>
      </c>
      <c r="X5066" s="12">
        <f>IF(LEFT(I5066,2)="MV",2*N5066*IF(L5066="1/C",O5066,1),0)</f>
        <v/>
      </c>
      <c r="Y5066" s="12">
        <f>IF(OR(LEFT(K5066,4)="LVAX",LEFT(K5066,6)="MV15AX",LEFT(K5066,4)="CTAX",LEFT(K5066,2)="W|"),2*N5066*O5066,0)</f>
        <v/>
      </c>
      <c r="Z5066" s="12" t="inlineStr">
        <is>
          <t>VD 2.9 %</t>
        </is>
      </c>
      <c r="AA5066" s="12">
        <f>N5066*O5066</f>
        <v/>
      </c>
    </row>
    <row r="5067">
      <c r="A5067" s="12" t="inlineStr">
        <is>
          <t>I-P-0117</t>
        </is>
      </c>
      <c r="B5067" s="12" t="inlineStr">
        <is>
          <t>I</t>
        </is>
      </c>
      <c r="C5067" s="12" t="inlineStr">
        <is>
          <t>Modular / portable power</t>
        </is>
      </c>
      <c r="D5067" s="12" t="inlineStr">
        <is>
          <t>480 V welding receptacle 2</t>
        </is>
      </c>
      <c r="E5067" s="12" t="inlineStr"/>
      <c r="F5067" s="12" t="inlineStr">
        <is>
          <t>PCM: power control module</t>
        </is>
      </c>
      <c r="G5067" s="12" t="inlineStr">
        <is>
          <t>RICE-3</t>
        </is>
      </c>
      <c r="H5067" s="12" t="inlineStr">
        <is>
          <t>RICE engine-generator 3</t>
        </is>
      </c>
      <c r="I5067" s="12" t="inlineStr">
        <is>
          <t>LV 600 V</t>
        </is>
      </c>
      <c r="J5067" s="12" t="inlineStr">
        <is>
          <t>Type TC-ER 600 V 3/C Cu XHHW-2 + ground, PVC jacket</t>
        </is>
      </c>
      <c r="K5067" s="12" t="inlineStr">
        <is>
          <t>LV|3/C+G|1</t>
        </is>
      </c>
      <c r="L5067" s="12" t="inlineStr">
        <is>
          <t>3/C+G</t>
        </is>
      </c>
      <c r="M5067" s="12" t="inlineStr">
        <is>
          <t>1</t>
        </is>
      </c>
      <c r="N5067" s="12" t="n">
        <v>1</v>
      </c>
      <c r="O5067" s="12" t="n">
        <v>1</v>
      </c>
      <c r="P5067" s="12" t="n">
        <v>480</v>
      </c>
      <c r="Q5067" s="12" t="n">
        <v>60</v>
      </c>
      <c r="R5067" s="12" t="n">
        <v>76</v>
      </c>
      <c r="S5067" s="12" t="inlineStr">
        <is>
          <t>Duct bank</t>
        </is>
      </c>
      <c r="T5067" s="17" t="n">
        <v>550</v>
      </c>
      <c r="U5067" s="17" t="n">
        <v>81</v>
      </c>
      <c r="V5067" s="17">
        <f>ROUNDUP((T5067+U5067+2*'Read Me'!$B$13)*(1+'Read Me'!$B$12),-1)</f>
        <v/>
      </c>
      <c r="W5067" s="17">
        <f>V5067*N5067*O5067</f>
        <v/>
      </c>
      <c r="X5067" s="12">
        <f>IF(LEFT(I5067,2)="MV",2*N5067*IF(L5067="1/C",O5067,1),0)</f>
        <v/>
      </c>
      <c r="Y5067" s="12">
        <f>IF(OR(LEFT(K5067,4)="LVAX",LEFT(K5067,6)="MV15AX",LEFT(K5067,4)="CTAX",LEFT(K5067,2)="W|"),2*N5067*O5067,0)</f>
        <v/>
      </c>
      <c r="Z5067" s="12" t="inlineStr">
        <is>
          <t>VD 2.9 %</t>
        </is>
      </c>
      <c r="AA5067" s="12">
        <f>N5067*O5067</f>
        <v/>
      </c>
    </row>
    <row r="5068">
      <c r="A5068" s="12" t="inlineStr">
        <is>
          <t>I-P-0118</t>
        </is>
      </c>
      <c r="B5068" s="12" t="inlineStr">
        <is>
          <t>I</t>
        </is>
      </c>
      <c r="C5068" s="12" t="inlineStr">
        <is>
          <t>Modular / portable power</t>
        </is>
      </c>
      <c r="D5068" s="12" t="inlineStr">
        <is>
          <t>480 V welding receptacle 3</t>
        </is>
      </c>
      <c r="E5068" s="12" t="inlineStr"/>
      <c r="F5068" s="12" t="inlineStr">
        <is>
          <t>PCM: power control module</t>
        </is>
      </c>
      <c r="G5068" s="12" t="inlineStr">
        <is>
          <t>RICE-3</t>
        </is>
      </c>
      <c r="H5068" s="12" t="inlineStr">
        <is>
          <t>RICE engine-generator 3</t>
        </is>
      </c>
      <c r="I5068" s="12" t="inlineStr">
        <is>
          <t>LV 600 V</t>
        </is>
      </c>
      <c r="J5068" s="12" t="inlineStr">
        <is>
          <t>Type TC-ER 600 V 3/C Cu XHHW-2 + ground, PVC jacket</t>
        </is>
      </c>
      <c r="K5068" s="12" t="inlineStr">
        <is>
          <t>LV|3/C+G|1</t>
        </is>
      </c>
      <c r="L5068" s="12" t="inlineStr">
        <is>
          <t>3/C+G</t>
        </is>
      </c>
      <c r="M5068" s="12" t="inlineStr">
        <is>
          <t>1</t>
        </is>
      </c>
      <c r="N5068" s="12" t="n">
        <v>1</v>
      </c>
      <c r="O5068" s="12" t="n">
        <v>1</v>
      </c>
      <c r="P5068" s="12" t="n">
        <v>480</v>
      </c>
      <c r="Q5068" s="12" t="n">
        <v>60</v>
      </c>
      <c r="R5068" s="12" t="n">
        <v>76</v>
      </c>
      <c r="S5068" s="12" t="inlineStr">
        <is>
          <t>Duct bank</t>
        </is>
      </c>
      <c r="T5068" s="17" t="n">
        <v>550</v>
      </c>
      <c r="U5068" s="17" t="n">
        <v>81</v>
      </c>
      <c r="V5068" s="17">
        <f>ROUNDUP((T5068+U5068+2*'Read Me'!$B$13)*(1+'Read Me'!$B$12),-1)</f>
        <v/>
      </c>
      <c r="W5068" s="17">
        <f>V5068*N5068*O5068</f>
        <v/>
      </c>
      <c r="X5068" s="12">
        <f>IF(LEFT(I5068,2)="MV",2*N5068*IF(L5068="1/C",O5068,1),0)</f>
        <v/>
      </c>
      <c r="Y5068" s="12">
        <f>IF(OR(LEFT(K5068,4)="LVAX",LEFT(K5068,6)="MV15AX",LEFT(K5068,4)="CTAX",LEFT(K5068,2)="W|"),2*N5068*O5068,0)</f>
        <v/>
      </c>
      <c r="Z5068" s="12" t="inlineStr">
        <is>
          <t>VD 2.9 %</t>
        </is>
      </c>
      <c r="AA5068" s="12">
        <f>N5068*O5068</f>
        <v/>
      </c>
    </row>
    <row r="5069">
      <c r="A5069" s="12" t="inlineStr">
        <is>
          <t>I-P-0119</t>
        </is>
      </c>
      <c r="B5069" s="12" t="inlineStr">
        <is>
          <t>I</t>
        </is>
      </c>
      <c r="C5069" s="12" t="inlineStr">
        <is>
          <t>Modular / portable power</t>
        </is>
      </c>
      <c r="D5069" s="12" t="inlineStr">
        <is>
          <t>480 V welding receptacle 4</t>
        </is>
      </c>
      <c r="E5069" s="12" t="inlineStr"/>
      <c r="F5069" s="12" t="inlineStr">
        <is>
          <t>PCM: power control module</t>
        </is>
      </c>
      <c r="G5069" s="12" t="inlineStr">
        <is>
          <t>RICE-3</t>
        </is>
      </c>
      <c r="H5069" s="12" t="inlineStr">
        <is>
          <t>RICE engine-generator 3</t>
        </is>
      </c>
      <c r="I5069" s="12" t="inlineStr">
        <is>
          <t>LV 600 V</t>
        </is>
      </c>
      <c r="J5069" s="12" t="inlineStr">
        <is>
          <t>Type TC-ER 600 V 3/C Cu XHHW-2 + ground, PVC jacket</t>
        </is>
      </c>
      <c r="K5069" s="12" t="inlineStr">
        <is>
          <t>LV|3/C+G|1</t>
        </is>
      </c>
      <c r="L5069" s="12" t="inlineStr">
        <is>
          <t>3/C+G</t>
        </is>
      </c>
      <c r="M5069" s="12" t="inlineStr">
        <is>
          <t>1</t>
        </is>
      </c>
      <c r="N5069" s="12" t="n">
        <v>1</v>
      </c>
      <c r="O5069" s="12" t="n">
        <v>1</v>
      </c>
      <c r="P5069" s="12" t="n">
        <v>480</v>
      </c>
      <c r="Q5069" s="12" t="n">
        <v>60</v>
      </c>
      <c r="R5069" s="12" t="n">
        <v>76</v>
      </c>
      <c r="S5069" s="12" t="inlineStr">
        <is>
          <t>Duct bank</t>
        </is>
      </c>
      <c r="T5069" s="17" t="n">
        <v>550</v>
      </c>
      <c r="U5069" s="17" t="n">
        <v>81</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I-P-0120</t>
        </is>
      </c>
      <c r="B5070" s="12" t="inlineStr">
        <is>
          <t>I</t>
        </is>
      </c>
      <c r="C5070" s="12" t="inlineStr">
        <is>
          <t>Modular / portable power</t>
        </is>
      </c>
      <c r="D5070" s="12" t="inlineStr">
        <is>
          <t>Motor 1 of 6, 22 kW</t>
        </is>
      </c>
      <c r="E5070" s="12" t="inlineStr"/>
      <c r="F5070" s="12" t="inlineStr">
        <is>
          <t>PCM: power control module</t>
        </is>
      </c>
      <c r="G5070" s="12" t="inlineStr">
        <is>
          <t>RICE-4</t>
        </is>
      </c>
      <c r="H5070" s="12" t="inlineStr">
        <is>
          <t>RICE engine-generator 4</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53</v>
      </c>
      <c r="V5070" s="17">
        <f>ROUNDUP((T5070+U5070+2*'Read Me'!$B$13)*(1+'Read Me'!$B$12),-1)</f>
        <v/>
      </c>
      <c r="W5070" s="17">
        <f>V5070*N5070*O5070</f>
        <v/>
      </c>
      <c r="X5070" s="12">
        <f>IF(LEFT(I5070,2)="MV",2*N5070*IF(L5070="1/C",O5070,1),0)</f>
        <v/>
      </c>
      <c r="Y5070" s="12">
        <f>IF(OR(LEFT(K5070,4)="LVAX",LEFT(K5070,6)="MV15AX",LEFT(K5070,4)="CTAX",LEFT(K5070,2)="W|"),2*N5070*O5070,0)</f>
        <v/>
      </c>
      <c r="Z5070" s="12" t="inlineStr">
        <is>
          <t>VD 2.3 %</t>
        </is>
      </c>
      <c r="AA5070" s="12">
        <f>N5070*O5070</f>
        <v/>
      </c>
    </row>
    <row r="5071">
      <c r="A5071" s="12" t="inlineStr">
        <is>
          <t>I-P-0121</t>
        </is>
      </c>
      <c r="B5071" s="12" t="inlineStr">
        <is>
          <t>I</t>
        </is>
      </c>
      <c r="C5071" s="12" t="inlineStr">
        <is>
          <t>Modular / portable power</t>
        </is>
      </c>
      <c r="D5071" s="12" t="inlineStr">
        <is>
          <t>Motor 2 of 6, 22 kW</t>
        </is>
      </c>
      <c r="E5071" s="12" t="inlineStr"/>
      <c r="F5071" s="12" t="inlineStr">
        <is>
          <t>PCM: power control module</t>
        </is>
      </c>
      <c r="G5071" s="12" t="inlineStr">
        <is>
          <t>RICE-4</t>
        </is>
      </c>
      <c r="H5071" s="12" t="inlineStr">
        <is>
          <t>RICE engine-generator 4</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53</v>
      </c>
      <c r="V5071" s="17">
        <f>ROUNDUP((T5071+U5071+2*'Read Me'!$B$13)*(1+'Read Me'!$B$12),-1)</f>
        <v/>
      </c>
      <c r="W5071" s="17">
        <f>V5071*N5071*O5071</f>
        <v/>
      </c>
      <c r="X5071" s="12">
        <f>IF(LEFT(I5071,2)="MV",2*N5071*IF(L5071="1/C",O5071,1),0)</f>
        <v/>
      </c>
      <c r="Y5071" s="12">
        <f>IF(OR(LEFT(K5071,4)="LVAX",LEFT(K5071,6)="MV15AX",LEFT(K5071,4)="CTAX",LEFT(K5071,2)="W|"),2*N5071*O5071,0)</f>
        <v/>
      </c>
      <c r="Z5071" s="12" t="inlineStr">
        <is>
          <t>VD 2.3 %</t>
        </is>
      </c>
      <c r="AA5071" s="12">
        <f>N5071*O5071</f>
        <v/>
      </c>
    </row>
    <row r="5072">
      <c r="A5072" s="12" t="inlineStr">
        <is>
          <t>I-P-0122</t>
        </is>
      </c>
      <c r="B5072" s="12" t="inlineStr">
        <is>
          <t>I</t>
        </is>
      </c>
      <c r="C5072" s="12" t="inlineStr">
        <is>
          <t>Modular / portable power</t>
        </is>
      </c>
      <c r="D5072" s="12" t="inlineStr">
        <is>
          <t>Motor 3 of 6, 22 kW</t>
        </is>
      </c>
      <c r="E5072" s="12" t="inlineStr"/>
      <c r="F5072" s="12" t="inlineStr">
        <is>
          <t>PCM: power control module</t>
        </is>
      </c>
      <c r="G5072" s="12" t="inlineStr">
        <is>
          <t>RICE-4</t>
        </is>
      </c>
      <c r="H5072" s="12" t="inlineStr">
        <is>
          <t>RICE engine-generator 4</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53</v>
      </c>
      <c r="V5072" s="17">
        <f>ROUNDUP((T5072+U5072+2*'Read Me'!$B$13)*(1+'Read Me'!$B$12),-1)</f>
        <v/>
      </c>
      <c r="W5072" s="17">
        <f>V5072*N5072*O5072</f>
        <v/>
      </c>
      <c r="X5072" s="12">
        <f>IF(LEFT(I5072,2)="MV",2*N5072*IF(L5072="1/C",O5072,1),0)</f>
        <v/>
      </c>
      <c r="Y5072" s="12">
        <f>IF(OR(LEFT(K5072,4)="LVAX",LEFT(K5072,6)="MV15AX",LEFT(K5072,4)="CTAX",LEFT(K5072,2)="W|"),2*N5072*O5072,0)</f>
        <v/>
      </c>
      <c r="Z5072" s="12" t="inlineStr">
        <is>
          <t>VD 2.3 %</t>
        </is>
      </c>
      <c r="AA5072" s="12">
        <f>N5072*O5072</f>
        <v/>
      </c>
    </row>
    <row r="5073">
      <c r="A5073" s="12" t="inlineStr">
        <is>
          <t>I-P-0123</t>
        </is>
      </c>
      <c r="B5073" s="12" t="inlineStr">
        <is>
          <t>I</t>
        </is>
      </c>
      <c r="C5073" s="12" t="inlineStr">
        <is>
          <t>Modular / portable power</t>
        </is>
      </c>
      <c r="D5073" s="12" t="inlineStr">
        <is>
          <t>Motor 4 of 6, 22 kW</t>
        </is>
      </c>
      <c r="E5073" s="12" t="inlineStr"/>
      <c r="F5073" s="12" t="inlineStr">
        <is>
          <t>PCM: power control module</t>
        </is>
      </c>
      <c r="G5073" s="12" t="inlineStr">
        <is>
          <t>RICE-4</t>
        </is>
      </c>
      <c r="H5073" s="12" t="inlineStr">
        <is>
          <t>RICE engine-generator 4</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22</v>
      </c>
      <c r="R5073" s="12" t="n">
        <v>31.1</v>
      </c>
      <c r="S5073" s="12" t="inlineStr">
        <is>
          <t>Duct bank</t>
        </is>
      </c>
      <c r="T5073" s="17" t="n">
        <v>550</v>
      </c>
      <c r="U5073" s="17" t="n">
        <v>53</v>
      </c>
      <c r="V5073" s="17">
        <f>ROUNDUP((T5073+U5073+2*'Read Me'!$B$13)*(1+'Read Me'!$B$12),-1)</f>
        <v/>
      </c>
      <c r="W5073" s="17">
        <f>V5073*N5073*O5073</f>
        <v/>
      </c>
      <c r="X5073" s="12">
        <f>IF(LEFT(I5073,2)="MV",2*N5073*IF(L5073="1/C",O5073,1),0)</f>
        <v/>
      </c>
      <c r="Y5073" s="12">
        <f>IF(OR(LEFT(K5073,4)="LVAX",LEFT(K5073,6)="MV15AX",LEFT(K5073,4)="CTAX",LEFT(K5073,2)="W|"),2*N5073*O5073,0)</f>
        <v/>
      </c>
      <c r="Z5073" s="12" t="inlineStr">
        <is>
          <t>VD 2.3 %</t>
        </is>
      </c>
      <c r="AA5073" s="12">
        <f>N5073*O5073</f>
        <v/>
      </c>
    </row>
    <row r="5074">
      <c r="A5074" s="12" t="inlineStr">
        <is>
          <t>I-P-0124</t>
        </is>
      </c>
      <c r="B5074" s="12" t="inlineStr">
        <is>
          <t>I</t>
        </is>
      </c>
      <c r="C5074" s="12" t="inlineStr">
        <is>
          <t>Modular / portable power</t>
        </is>
      </c>
      <c r="D5074" s="12" t="inlineStr">
        <is>
          <t>Motor 5 of 6, 22 kW</t>
        </is>
      </c>
      <c r="E5074" s="12" t="inlineStr"/>
      <c r="F5074" s="12" t="inlineStr">
        <is>
          <t>PCM: power control module</t>
        </is>
      </c>
      <c r="G5074" s="12" t="inlineStr">
        <is>
          <t>RICE-4</t>
        </is>
      </c>
      <c r="H5074" s="12" t="inlineStr">
        <is>
          <t>RICE engine-generator 4</t>
        </is>
      </c>
      <c r="I5074" s="12" t="inlineStr">
        <is>
          <t>LV 600 V</t>
        </is>
      </c>
      <c r="J5074" s="12" t="inlineStr">
        <is>
          <t>Type TC-ER 600 V 3/C Cu XHHW-2 + ground, PVC jacket</t>
        </is>
      </c>
      <c r="K5074" s="12" t="inlineStr">
        <is>
          <t>LV|3/C+G|4</t>
        </is>
      </c>
      <c r="L5074" s="12" t="inlineStr">
        <is>
          <t>3/C+G</t>
        </is>
      </c>
      <c r="M5074" s="12" t="inlineStr">
        <is>
          <t>4</t>
        </is>
      </c>
      <c r="N5074" s="12" t="n">
        <v>1</v>
      </c>
      <c r="O5074" s="12" t="n">
        <v>1</v>
      </c>
      <c r="P5074" s="12" t="n">
        <v>480</v>
      </c>
      <c r="Q5074" s="12" t="n">
        <v>22</v>
      </c>
      <c r="R5074" s="12" t="n">
        <v>31.1</v>
      </c>
      <c r="S5074" s="12" t="inlineStr">
        <is>
          <t>Duct bank</t>
        </is>
      </c>
      <c r="T5074" s="17" t="n">
        <v>550</v>
      </c>
      <c r="U5074" s="17" t="n">
        <v>53</v>
      </c>
      <c r="V5074" s="17">
        <f>ROUNDUP((T5074+U5074+2*'Read Me'!$B$13)*(1+'Read Me'!$B$12),-1)</f>
        <v/>
      </c>
      <c r="W5074" s="17">
        <f>V5074*N5074*O5074</f>
        <v/>
      </c>
      <c r="X5074" s="12">
        <f>IF(LEFT(I5074,2)="MV",2*N5074*IF(L5074="1/C",O5074,1),0)</f>
        <v/>
      </c>
      <c r="Y5074" s="12">
        <f>IF(OR(LEFT(K5074,4)="LVAX",LEFT(K5074,6)="MV15AX",LEFT(K5074,4)="CTAX",LEFT(K5074,2)="W|"),2*N5074*O5074,0)</f>
        <v/>
      </c>
      <c r="Z5074" s="12" t="inlineStr">
        <is>
          <t>VD 2.3 %</t>
        </is>
      </c>
      <c r="AA5074" s="12">
        <f>N5074*O5074</f>
        <v/>
      </c>
    </row>
    <row r="5075">
      <c r="A5075" s="12" t="inlineStr">
        <is>
          <t>I-P-0125</t>
        </is>
      </c>
      <c r="B5075" s="12" t="inlineStr">
        <is>
          <t>I</t>
        </is>
      </c>
      <c r="C5075" s="12" t="inlineStr">
        <is>
          <t>Modular / portable power</t>
        </is>
      </c>
      <c r="D5075" s="12" t="inlineStr">
        <is>
          <t>Motor 6 of 6, 22 kW</t>
        </is>
      </c>
      <c r="E5075" s="12" t="inlineStr"/>
      <c r="F5075" s="12" t="inlineStr">
        <is>
          <t>PCM: power control module</t>
        </is>
      </c>
      <c r="G5075" s="12" t="inlineStr">
        <is>
          <t>RICE-4</t>
        </is>
      </c>
      <c r="H5075" s="12" t="inlineStr">
        <is>
          <t>RICE engine-generator 4</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550</v>
      </c>
      <c r="U5075" s="17" t="n">
        <v>53</v>
      </c>
      <c r="V5075" s="17">
        <f>ROUNDUP((T5075+U5075+2*'Read Me'!$B$13)*(1+'Read Me'!$B$12),-1)</f>
        <v/>
      </c>
      <c r="W5075" s="17">
        <f>V5075*N5075*O5075</f>
        <v/>
      </c>
      <c r="X5075" s="12">
        <f>IF(LEFT(I5075,2)="MV",2*N5075*IF(L5075="1/C",O5075,1),0)</f>
        <v/>
      </c>
      <c r="Y5075" s="12">
        <f>IF(OR(LEFT(K5075,4)="LVAX",LEFT(K5075,6)="MV15AX",LEFT(K5075,4)="CTAX",LEFT(K5075,2)="W|"),2*N5075*O5075,0)</f>
        <v/>
      </c>
      <c r="Z5075" s="12" t="inlineStr">
        <is>
          <t>VD 2.3 %</t>
        </is>
      </c>
      <c r="AA5075" s="12">
        <f>N5075*O5075</f>
        <v/>
      </c>
    </row>
    <row r="5076">
      <c r="A5076" s="12" t="inlineStr">
        <is>
          <t>I-P-0126</t>
        </is>
      </c>
      <c r="B5076" s="12" t="inlineStr">
        <is>
          <t>I</t>
        </is>
      </c>
      <c r="C5076" s="12" t="inlineStr">
        <is>
          <t>Modular / portable power</t>
        </is>
      </c>
      <c r="D5076" s="12" t="inlineStr">
        <is>
          <t>480 V welding receptacle 1</t>
        </is>
      </c>
      <c r="E5076" s="12" t="inlineStr"/>
      <c r="F5076" s="12" t="inlineStr">
        <is>
          <t>PCM: power control module</t>
        </is>
      </c>
      <c r="G5076" s="12" t="inlineStr">
        <is>
          <t>RICE-4</t>
        </is>
      </c>
      <c r="H5076" s="12" t="inlineStr">
        <is>
          <t>RICE engine-generator 4</t>
        </is>
      </c>
      <c r="I5076" s="12" t="inlineStr">
        <is>
          <t>LV 600 V</t>
        </is>
      </c>
      <c r="J5076" s="12" t="inlineStr">
        <is>
          <t>Type TC-ER 600 V 3/C Cu XHHW-2 + ground, PVC jacket</t>
        </is>
      </c>
      <c r="K5076" s="12" t="inlineStr">
        <is>
          <t>LV|3/C+G|1</t>
        </is>
      </c>
      <c r="L5076" s="12" t="inlineStr">
        <is>
          <t>3/C+G</t>
        </is>
      </c>
      <c r="M5076" s="12" t="inlineStr">
        <is>
          <t>1</t>
        </is>
      </c>
      <c r="N5076" s="12" t="n">
        <v>1</v>
      </c>
      <c r="O5076" s="12" t="n">
        <v>1</v>
      </c>
      <c r="P5076" s="12" t="n">
        <v>480</v>
      </c>
      <c r="Q5076" s="12" t="n">
        <v>60</v>
      </c>
      <c r="R5076" s="12" t="n">
        <v>76</v>
      </c>
      <c r="S5076" s="12" t="inlineStr">
        <is>
          <t>Duct bank</t>
        </is>
      </c>
      <c r="T5076" s="17" t="n">
        <v>550</v>
      </c>
      <c r="U5076" s="17" t="n">
        <v>53</v>
      </c>
      <c r="V5076" s="17">
        <f>ROUNDUP((T5076+U5076+2*'Read Me'!$B$13)*(1+'Read Me'!$B$12),-1)</f>
        <v/>
      </c>
      <c r="W5076" s="17">
        <f>V5076*N5076*O5076</f>
        <v/>
      </c>
      <c r="X5076" s="12">
        <f>IF(LEFT(I5076,2)="MV",2*N5076*IF(L5076="1/C",O5076,1),0)</f>
        <v/>
      </c>
      <c r="Y5076" s="12">
        <f>IF(OR(LEFT(K5076,4)="LVAX",LEFT(K5076,6)="MV15AX",LEFT(K5076,4)="CTAX",LEFT(K5076,2)="W|"),2*N5076*O5076,0)</f>
        <v/>
      </c>
      <c r="Z5076" s="12" t="inlineStr">
        <is>
          <t>VD 2.8 %</t>
        </is>
      </c>
      <c r="AA5076" s="12">
        <f>N5076*O5076</f>
        <v/>
      </c>
    </row>
    <row r="5077">
      <c r="A5077" s="12" t="inlineStr">
        <is>
          <t>I-P-0127</t>
        </is>
      </c>
      <c r="B5077" s="12" t="inlineStr">
        <is>
          <t>I</t>
        </is>
      </c>
      <c r="C5077" s="12" t="inlineStr">
        <is>
          <t>Modular / portable power</t>
        </is>
      </c>
      <c r="D5077" s="12" t="inlineStr">
        <is>
          <t>480 V welding receptacle 2</t>
        </is>
      </c>
      <c r="E5077" s="12" t="inlineStr"/>
      <c r="F5077" s="12" t="inlineStr">
        <is>
          <t>PCM: power control module</t>
        </is>
      </c>
      <c r="G5077" s="12" t="inlineStr">
        <is>
          <t>RICE-4</t>
        </is>
      </c>
      <c r="H5077" s="12" t="inlineStr">
        <is>
          <t>RICE engine-generator 4</t>
        </is>
      </c>
      <c r="I5077" s="12" t="inlineStr">
        <is>
          <t>LV 600 V</t>
        </is>
      </c>
      <c r="J5077" s="12" t="inlineStr">
        <is>
          <t>Type TC-ER 600 V 3/C Cu XHHW-2 + ground, PVC jacket</t>
        </is>
      </c>
      <c r="K5077" s="12" t="inlineStr">
        <is>
          <t>LV|3/C+G|1</t>
        </is>
      </c>
      <c r="L5077" s="12" t="inlineStr">
        <is>
          <t>3/C+G</t>
        </is>
      </c>
      <c r="M5077" s="12" t="inlineStr">
        <is>
          <t>1</t>
        </is>
      </c>
      <c r="N5077" s="12" t="n">
        <v>1</v>
      </c>
      <c r="O5077" s="12" t="n">
        <v>1</v>
      </c>
      <c r="P5077" s="12" t="n">
        <v>480</v>
      </c>
      <c r="Q5077" s="12" t="n">
        <v>60</v>
      </c>
      <c r="R5077" s="12" t="n">
        <v>76</v>
      </c>
      <c r="S5077" s="12" t="inlineStr">
        <is>
          <t>Duct bank</t>
        </is>
      </c>
      <c r="T5077" s="17" t="n">
        <v>550</v>
      </c>
      <c r="U5077" s="17" t="n">
        <v>53</v>
      </c>
      <c r="V5077" s="17">
        <f>ROUNDUP((T5077+U5077+2*'Read Me'!$B$13)*(1+'Read Me'!$B$12),-1)</f>
        <v/>
      </c>
      <c r="W5077" s="17">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I-P-0128</t>
        </is>
      </c>
      <c r="B5078" s="12" t="inlineStr">
        <is>
          <t>I</t>
        </is>
      </c>
      <c r="C5078" s="12" t="inlineStr">
        <is>
          <t>Modular / portable power</t>
        </is>
      </c>
      <c r="D5078" s="12" t="inlineStr">
        <is>
          <t>480 V welding receptacle 3</t>
        </is>
      </c>
      <c r="E5078" s="12" t="inlineStr"/>
      <c r="F5078" s="12" t="inlineStr">
        <is>
          <t>PCM: power control module</t>
        </is>
      </c>
      <c r="G5078" s="12" t="inlineStr">
        <is>
          <t>RICE-4</t>
        </is>
      </c>
      <c r="H5078" s="12" t="inlineStr">
        <is>
          <t>RICE engine-generator 4</t>
        </is>
      </c>
      <c r="I5078" s="12" t="inlineStr">
        <is>
          <t>LV 600 V</t>
        </is>
      </c>
      <c r="J5078" s="12" t="inlineStr">
        <is>
          <t>Type TC-ER 600 V 3/C Cu XHHW-2 + ground, PVC jacket</t>
        </is>
      </c>
      <c r="K5078" s="12" t="inlineStr">
        <is>
          <t>LV|3/C+G|1</t>
        </is>
      </c>
      <c r="L5078" s="12" t="inlineStr">
        <is>
          <t>3/C+G</t>
        </is>
      </c>
      <c r="M5078" s="12" t="inlineStr">
        <is>
          <t>1</t>
        </is>
      </c>
      <c r="N5078" s="12" t="n">
        <v>1</v>
      </c>
      <c r="O5078" s="12" t="n">
        <v>1</v>
      </c>
      <c r="P5078" s="12" t="n">
        <v>480</v>
      </c>
      <c r="Q5078" s="12" t="n">
        <v>60</v>
      </c>
      <c r="R5078" s="12" t="n">
        <v>76</v>
      </c>
      <c r="S5078" s="12" t="inlineStr">
        <is>
          <t>Duct bank</t>
        </is>
      </c>
      <c r="T5078" s="17" t="n">
        <v>550</v>
      </c>
      <c r="U5078" s="17" t="n">
        <v>53</v>
      </c>
      <c r="V5078" s="17">
        <f>ROUNDUP((T5078+U5078+2*'Read Me'!$B$13)*(1+'Read Me'!$B$12),-1)</f>
        <v/>
      </c>
      <c r="W5078" s="17">
        <f>V5078*N5078*O5078</f>
        <v/>
      </c>
      <c r="X5078" s="12">
        <f>IF(LEFT(I5078,2)="MV",2*N5078*IF(L5078="1/C",O5078,1),0)</f>
        <v/>
      </c>
      <c r="Y5078" s="12">
        <f>IF(OR(LEFT(K5078,4)="LVAX",LEFT(K5078,6)="MV15AX",LEFT(K5078,4)="CTAX",LEFT(K5078,2)="W|"),2*N5078*O5078,0)</f>
        <v/>
      </c>
      <c r="Z5078" s="12" t="inlineStr">
        <is>
          <t>VD 2.8 %</t>
        </is>
      </c>
      <c r="AA5078" s="12">
        <f>N5078*O5078</f>
        <v/>
      </c>
    </row>
    <row r="5079">
      <c r="A5079" s="12" t="inlineStr">
        <is>
          <t>I-P-0129</t>
        </is>
      </c>
      <c r="B5079" s="12" t="inlineStr">
        <is>
          <t>I</t>
        </is>
      </c>
      <c r="C5079" s="12" t="inlineStr">
        <is>
          <t>Modular / portable power</t>
        </is>
      </c>
      <c r="D5079" s="12" t="inlineStr">
        <is>
          <t>480 V welding receptacle 4</t>
        </is>
      </c>
      <c r="E5079" s="12" t="inlineStr"/>
      <c r="F5079" s="12" t="inlineStr">
        <is>
          <t>PCM: power control module</t>
        </is>
      </c>
      <c r="G5079" s="12" t="inlineStr">
        <is>
          <t>RICE-4</t>
        </is>
      </c>
      <c r="H5079" s="12" t="inlineStr">
        <is>
          <t>RICE engine-generator 4</t>
        </is>
      </c>
      <c r="I5079" s="12" t="inlineStr">
        <is>
          <t>LV 600 V</t>
        </is>
      </c>
      <c r="J5079" s="12" t="inlineStr">
        <is>
          <t>Type TC-ER 600 V 3/C Cu XHHW-2 + ground, PVC jacket</t>
        </is>
      </c>
      <c r="K5079" s="12" t="inlineStr">
        <is>
          <t>LV|3/C+G|1</t>
        </is>
      </c>
      <c r="L5079" s="12" t="inlineStr">
        <is>
          <t>3/C+G</t>
        </is>
      </c>
      <c r="M5079" s="12" t="inlineStr">
        <is>
          <t>1</t>
        </is>
      </c>
      <c r="N5079" s="12" t="n">
        <v>1</v>
      </c>
      <c r="O5079" s="12" t="n">
        <v>1</v>
      </c>
      <c r="P5079" s="12" t="n">
        <v>480</v>
      </c>
      <c r="Q5079" s="12" t="n">
        <v>60</v>
      </c>
      <c r="R5079" s="12" t="n">
        <v>76</v>
      </c>
      <c r="S5079" s="12" t="inlineStr">
        <is>
          <t>Duct bank</t>
        </is>
      </c>
      <c r="T5079" s="17" t="n">
        <v>550</v>
      </c>
      <c r="U5079" s="17" t="n">
        <v>53</v>
      </c>
      <c r="V5079" s="17">
        <f>ROUNDUP((T5079+U5079+2*'Read Me'!$B$13)*(1+'Read Me'!$B$12),-1)</f>
        <v/>
      </c>
      <c r="W5079" s="17">
        <f>V5079*N5079*O5079</f>
        <v/>
      </c>
      <c r="X5079" s="12">
        <f>IF(LEFT(I5079,2)="MV",2*N5079*IF(L5079="1/C",O5079,1),0)</f>
        <v/>
      </c>
      <c r="Y5079" s="12">
        <f>IF(OR(LEFT(K5079,4)="LVAX",LEFT(K5079,6)="MV15AX",LEFT(K5079,4)="CTAX",LEFT(K5079,2)="W|"),2*N5079*O5079,0)</f>
        <v/>
      </c>
      <c r="Z5079" s="12" t="inlineStr">
        <is>
          <t>VD 2.8 %</t>
        </is>
      </c>
      <c r="AA5079" s="12">
        <f>N5079*O5079</f>
        <v/>
      </c>
    </row>
    <row r="5080">
      <c r="A5080" s="12" t="inlineStr">
        <is>
          <t>I-P-0130</t>
        </is>
      </c>
      <c r="B5080" s="12" t="inlineStr">
        <is>
          <t>I</t>
        </is>
      </c>
      <c r="C5080" s="12" t="inlineStr">
        <is>
          <t>Modular / portable power</t>
        </is>
      </c>
      <c r="D5080" s="12" t="inlineStr">
        <is>
          <t>Motor 1 of 6, 22 kW</t>
        </is>
      </c>
      <c r="E5080" s="12" t="inlineStr"/>
      <c r="F5080" s="12" t="inlineStr">
        <is>
          <t>PCM: power control module</t>
        </is>
      </c>
      <c r="G5080" s="12" t="inlineStr">
        <is>
          <t>RICE-5</t>
        </is>
      </c>
      <c r="H5080" s="12" t="inlineStr">
        <is>
          <t>RICE engine-generator 5</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208</v>
      </c>
      <c r="V5080" s="17">
        <f>ROUNDUP((T5080+U5080+2*'Read Me'!$B$13)*(1+'Read Me'!$B$12),-1)</f>
        <v/>
      </c>
      <c r="W5080" s="17">
        <f>V5080*N5080*O5080</f>
        <v/>
      </c>
      <c r="X5080" s="12">
        <f>IF(LEFT(I5080,2)="MV",2*N5080*IF(L5080="1/C",O5080,1),0)</f>
        <v/>
      </c>
      <c r="Y5080" s="12">
        <f>IF(OR(LEFT(K5080,4)="LVAX",LEFT(K5080,6)="MV15AX",LEFT(K5080,4)="CTAX",LEFT(K5080,2)="W|"),2*N5080*O5080,0)</f>
        <v/>
      </c>
      <c r="Z5080" s="12" t="inlineStr">
        <is>
          <t>VD 2.2 %</t>
        </is>
      </c>
      <c r="AA5080" s="12">
        <f>N5080*O5080</f>
        <v/>
      </c>
    </row>
    <row r="5081">
      <c r="A5081" s="12" t="inlineStr">
        <is>
          <t>I-P-0131</t>
        </is>
      </c>
      <c r="B5081" s="12" t="inlineStr">
        <is>
          <t>I</t>
        </is>
      </c>
      <c r="C5081" s="12" t="inlineStr">
        <is>
          <t>Modular / portable power</t>
        </is>
      </c>
      <c r="D5081" s="12" t="inlineStr">
        <is>
          <t>Motor 2 of 6, 22 kW</t>
        </is>
      </c>
      <c r="E5081" s="12" t="inlineStr"/>
      <c r="F5081" s="12" t="inlineStr">
        <is>
          <t>PCM: power control module</t>
        </is>
      </c>
      <c r="G5081" s="12" t="inlineStr">
        <is>
          <t>RICE-5</t>
        </is>
      </c>
      <c r="H5081" s="12" t="inlineStr">
        <is>
          <t>RICE engine-generator 5</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367</v>
      </c>
      <c r="U5081" s="17" t="n">
        <v>208</v>
      </c>
      <c r="V5081" s="17">
        <f>ROUNDUP((T5081+U5081+2*'Read Me'!$B$13)*(1+'Read Me'!$B$12),-1)</f>
        <v/>
      </c>
      <c r="W5081" s="17">
        <f>V5081*N5081*O5081</f>
        <v/>
      </c>
      <c r="X5081" s="12">
        <f>IF(LEFT(I5081,2)="MV",2*N5081*IF(L5081="1/C",O5081,1),0)</f>
        <v/>
      </c>
      <c r="Y5081" s="12">
        <f>IF(OR(LEFT(K5081,4)="LVAX",LEFT(K5081,6)="MV15AX",LEFT(K5081,4)="CTAX",LEFT(K5081,2)="W|"),2*N5081*O5081,0)</f>
        <v/>
      </c>
      <c r="Z5081" s="12" t="inlineStr">
        <is>
          <t>VD 2.2 %</t>
        </is>
      </c>
      <c r="AA5081" s="12">
        <f>N5081*O5081</f>
        <v/>
      </c>
    </row>
    <row r="5082">
      <c r="A5082" s="12" t="inlineStr">
        <is>
          <t>I-P-0132</t>
        </is>
      </c>
      <c r="B5082" s="12" t="inlineStr">
        <is>
          <t>I</t>
        </is>
      </c>
      <c r="C5082" s="12" t="inlineStr">
        <is>
          <t>Modular / portable power</t>
        </is>
      </c>
      <c r="D5082" s="12" t="inlineStr">
        <is>
          <t>Motor 3 of 6, 22 kW</t>
        </is>
      </c>
      <c r="E5082" s="12" t="inlineStr"/>
      <c r="F5082" s="12" t="inlineStr">
        <is>
          <t>PCM: power control module</t>
        </is>
      </c>
      <c r="G5082" s="12" t="inlineStr">
        <is>
          <t>RICE-5</t>
        </is>
      </c>
      <c r="H5082" s="12" t="inlineStr">
        <is>
          <t>RICE engine-generator 5</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367</v>
      </c>
      <c r="U5082" s="17" t="n">
        <v>208</v>
      </c>
      <c r="V5082" s="17">
        <f>ROUNDUP((T5082+U5082+2*'Read Me'!$B$13)*(1+'Read Me'!$B$12),-1)</f>
        <v/>
      </c>
      <c r="W5082" s="17">
        <f>V5082*N5082*O5082</f>
        <v/>
      </c>
      <c r="X5082" s="12">
        <f>IF(LEFT(I5082,2)="MV",2*N5082*IF(L5082="1/C",O5082,1),0)</f>
        <v/>
      </c>
      <c r="Y5082" s="12">
        <f>IF(OR(LEFT(K5082,4)="LVAX",LEFT(K5082,6)="MV15AX",LEFT(K5082,4)="CTAX",LEFT(K5082,2)="W|"),2*N5082*O5082,0)</f>
        <v/>
      </c>
      <c r="Z5082" s="12" t="inlineStr">
        <is>
          <t>VD 2.2 %</t>
        </is>
      </c>
      <c r="AA5082" s="12">
        <f>N5082*O5082</f>
        <v/>
      </c>
    </row>
    <row r="5083">
      <c r="A5083" s="12" t="inlineStr">
        <is>
          <t>I-P-0133</t>
        </is>
      </c>
      <c r="B5083" s="12" t="inlineStr">
        <is>
          <t>I</t>
        </is>
      </c>
      <c r="C5083" s="12" t="inlineStr">
        <is>
          <t>Modular / portable power</t>
        </is>
      </c>
      <c r="D5083" s="12" t="inlineStr">
        <is>
          <t>Motor 4 of 6, 22 kW</t>
        </is>
      </c>
      <c r="E5083" s="12" t="inlineStr"/>
      <c r="F5083" s="12" t="inlineStr">
        <is>
          <t>PCM: power control module</t>
        </is>
      </c>
      <c r="G5083" s="12" t="inlineStr">
        <is>
          <t>RICE-5</t>
        </is>
      </c>
      <c r="H5083" s="12" t="inlineStr">
        <is>
          <t>RICE engine-generator 5</t>
        </is>
      </c>
      <c r="I5083" s="12" t="inlineStr">
        <is>
          <t>LV 600 V</t>
        </is>
      </c>
      <c r="J5083" s="12" t="inlineStr">
        <is>
          <t>Type TC-ER 600 V 3/C Cu XHHW-2 + ground, PVC jacket</t>
        </is>
      </c>
      <c r="K5083" s="12" t="inlineStr">
        <is>
          <t>LV|3/C+G|4</t>
        </is>
      </c>
      <c r="L5083" s="12" t="inlineStr">
        <is>
          <t>3/C+G</t>
        </is>
      </c>
      <c r="M5083" s="12" t="inlineStr">
        <is>
          <t>4</t>
        </is>
      </c>
      <c r="N5083" s="12" t="n">
        <v>1</v>
      </c>
      <c r="O5083" s="12" t="n">
        <v>1</v>
      </c>
      <c r="P5083" s="12" t="n">
        <v>480</v>
      </c>
      <c r="Q5083" s="12" t="n">
        <v>22</v>
      </c>
      <c r="R5083" s="12" t="n">
        <v>31.1</v>
      </c>
      <c r="S5083" s="12" t="inlineStr">
        <is>
          <t>Duct bank</t>
        </is>
      </c>
      <c r="T5083" s="17" t="n">
        <v>367</v>
      </c>
      <c r="U5083" s="17" t="n">
        <v>208</v>
      </c>
      <c r="V5083" s="17">
        <f>ROUNDUP((T5083+U5083+2*'Read Me'!$B$13)*(1+'Read Me'!$B$12),-1)</f>
        <v/>
      </c>
      <c r="W5083" s="17">
        <f>V5083*N5083*O5083</f>
        <v/>
      </c>
      <c r="X5083" s="12">
        <f>IF(LEFT(I5083,2)="MV",2*N5083*IF(L5083="1/C",O5083,1),0)</f>
        <v/>
      </c>
      <c r="Y5083" s="12">
        <f>IF(OR(LEFT(K5083,4)="LVAX",LEFT(K5083,6)="MV15AX",LEFT(K5083,4)="CTAX",LEFT(K5083,2)="W|"),2*N5083*O5083,0)</f>
        <v/>
      </c>
      <c r="Z5083" s="12" t="inlineStr">
        <is>
          <t>VD 2.2 %</t>
        </is>
      </c>
      <c r="AA5083" s="12">
        <f>N5083*O5083</f>
        <v/>
      </c>
    </row>
    <row r="5084">
      <c r="A5084" s="12" t="inlineStr">
        <is>
          <t>I-P-0134</t>
        </is>
      </c>
      <c r="B5084" s="12" t="inlineStr">
        <is>
          <t>I</t>
        </is>
      </c>
      <c r="C5084" s="12" t="inlineStr">
        <is>
          <t>Modular / portable power</t>
        </is>
      </c>
      <c r="D5084" s="12" t="inlineStr">
        <is>
          <t>Motor 5 of 6, 22 kW</t>
        </is>
      </c>
      <c r="E5084" s="12" t="inlineStr"/>
      <c r="F5084" s="12" t="inlineStr">
        <is>
          <t>PCM: power control module</t>
        </is>
      </c>
      <c r="G5084" s="12" t="inlineStr">
        <is>
          <t>RICE-5</t>
        </is>
      </c>
      <c r="H5084" s="12" t="inlineStr">
        <is>
          <t>RICE engine-generator 5</t>
        </is>
      </c>
      <c r="I5084" s="12" t="inlineStr">
        <is>
          <t>LV 600 V</t>
        </is>
      </c>
      <c r="J5084" s="12" t="inlineStr">
        <is>
          <t>Type TC-ER 600 V 3/C Cu XHHW-2 + ground, PVC jacket</t>
        </is>
      </c>
      <c r="K5084" s="12" t="inlineStr">
        <is>
          <t>LV|3/C+G|4</t>
        </is>
      </c>
      <c r="L5084" s="12" t="inlineStr">
        <is>
          <t>3/C+G</t>
        </is>
      </c>
      <c r="M5084" s="12" t="inlineStr">
        <is>
          <t>4</t>
        </is>
      </c>
      <c r="N5084" s="12" t="n">
        <v>1</v>
      </c>
      <c r="O5084" s="12" t="n">
        <v>1</v>
      </c>
      <c r="P5084" s="12" t="n">
        <v>480</v>
      </c>
      <c r="Q5084" s="12" t="n">
        <v>22</v>
      </c>
      <c r="R5084" s="12" t="n">
        <v>31.1</v>
      </c>
      <c r="S5084" s="12" t="inlineStr">
        <is>
          <t>Duct bank</t>
        </is>
      </c>
      <c r="T5084" s="17" t="n">
        <v>367</v>
      </c>
      <c r="U5084" s="17" t="n">
        <v>208</v>
      </c>
      <c r="V5084" s="17">
        <f>ROUNDUP((T5084+U5084+2*'Read Me'!$B$13)*(1+'Read Me'!$B$12),-1)</f>
        <v/>
      </c>
      <c r="W5084" s="17">
        <f>V5084*N5084*O5084</f>
        <v/>
      </c>
      <c r="X5084" s="12">
        <f>IF(LEFT(I5084,2)="MV",2*N5084*IF(L5084="1/C",O5084,1),0)</f>
        <v/>
      </c>
      <c r="Y5084" s="12">
        <f>IF(OR(LEFT(K5084,4)="LVAX",LEFT(K5084,6)="MV15AX",LEFT(K5084,4)="CTAX",LEFT(K5084,2)="W|"),2*N5084*O5084,0)</f>
        <v/>
      </c>
      <c r="Z5084" s="12" t="inlineStr">
        <is>
          <t>VD 2.2 %</t>
        </is>
      </c>
      <c r="AA5084" s="12">
        <f>N5084*O5084</f>
        <v/>
      </c>
    </row>
    <row r="5085">
      <c r="A5085" s="12" t="inlineStr">
        <is>
          <t>I-P-0135</t>
        </is>
      </c>
      <c r="B5085" s="12" t="inlineStr">
        <is>
          <t>I</t>
        </is>
      </c>
      <c r="C5085" s="12" t="inlineStr">
        <is>
          <t>Modular / portable power</t>
        </is>
      </c>
      <c r="D5085" s="12" t="inlineStr">
        <is>
          <t>Motor 6 of 6, 22 kW</t>
        </is>
      </c>
      <c r="E5085" s="12" t="inlineStr"/>
      <c r="F5085" s="12" t="inlineStr">
        <is>
          <t>PCM: power control module</t>
        </is>
      </c>
      <c r="G5085" s="12" t="inlineStr">
        <is>
          <t>RICE-5</t>
        </is>
      </c>
      <c r="H5085" s="12" t="inlineStr">
        <is>
          <t>RICE engine-generator 5</t>
        </is>
      </c>
      <c r="I5085" s="12" t="inlineStr">
        <is>
          <t>LV 600 V</t>
        </is>
      </c>
      <c r="J5085" s="12" t="inlineStr">
        <is>
          <t>Type TC-ER 600 V 3/C Cu XHHW-2 + ground, PVC jacket</t>
        </is>
      </c>
      <c r="K5085" s="12" t="inlineStr">
        <is>
          <t>LV|3/C+G|4</t>
        </is>
      </c>
      <c r="L5085" s="12" t="inlineStr">
        <is>
          <t>3/C+G</t>
        </is>
      </c>
      <c r="M5085" s="12" t="inlineStr">
        <is>
          <t>4</t>
        </is>
      </c>
      <c r="N5085" s="12" t="n">
        <v>1</v>
      </c>
      <c r="O5085" s="12" t="n">
        <v>1</v>
      </c>
      <c r="P5085" s="12" t="n">
        <v>480</v>
      </c>
      <c r="Q5085" s="12" t="n">
        <v>22</v>
      </c>
      <c r="R5085" s="12" t="n">
        <v>31.1</v>
      </c>
      <c r="S5085" s="12" t="inlineStr">
        <is>
          <t>Duct bank</t>
        </is>
      </c>
      <c r="T5085" s="17" t="n">
        <v>367</v>
      </c>
      <c r="U5085" s="17" t="n">
        <v>208</v>
      </c>
      <c r="V5085" s="17">
        <f>ROUNDUP((T5085+U5085+2*'Read Me'!$B$13)*(1+'Read Me'!$B$12),-1)</f>
        <v/>
      </c>
      <c r="W5085" s="17">
        <f>V5085*N5085*O5085</f>
        <v/>
      </c>
      <c r="X5085" s="12">
        <f>IF(LEFT(I5085,2)="MV",2*N5085*IF(L5085="1/C",O5085,1),0)</f>
        <v/>
      </c>
      <c r="Y5085" s="12">
        <f>IF(OR(LEFT(K5085,4)="LVAX",LEFT(K5085,6)="MV15AX",LEFT(K5085,4)="CTAX",LEFT(K5085,2)="W|"),2*N5085*O5085,0)</f>
        <v/>
      </c>
      <c r="Z5085" s="12" t="inlineStr">
        <is>
          <t>VD 2.2 %</t>
        </is>
      </c>
      <c r="AA5085" s="12">
        <f>N5085*O5085</f>
        <v/>
      </c>
    </row>
    <row r="5086">
      <c r="A5086" s="12" t="inlineStr">
        <is>
          <t>I-P-0136</t>
        </is>
      </c>
      <c r="B5086" s="12" t="inlineStr">
        <is>
          <t>I</t>
        </is>
      </c>
      <c r="C5086" s="12" t="inlineStr">
        <is>
          <t>Modular / portable power</t>
        </is>
      </c>
      <c r="D5086" s="12" t="inlineStr">
        <is>
          <t>480 V welding receptacle 1</t>
        </is>
      </c>
      <c r="E5086" s="12" t="inlineStr"/>
      <c r="F5086" s="12" t="inlineStr">
        <is>
          <t>PCM: power control module</t>
        </is>
      </c>
      <c r="G5086" s="12" t="inlineStr">
        <is>
          <t>RICE-5</t>
        </is>
      </c>
      <c r="H5086" s="12" t="inlineStr">
        <is>
          <t>RICE engine-generator 5</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367</v>
      </c>
      <c r="U5086" s="17" t="n">
        <v>208</v>
      </c>
      <c r="V5086" s="17">
        <f>ROUNDUP((T5086+U5086+2*'Read Me'!$B$13)*(1+'Read Me'!$B$12),-1)</f>
        <v/>
      </c>
      <c r="W5086" s="17">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I-P-0137</t>
        </is>
      </c>
      <c r="B5087" s="12" t="inlineStr">
        <is>
          <t>I</t>
        </is>
      </c>
      <c r="C5087" s="12" t="inlineStr">
        <is>
          <t>Modular / portable power</t>
        </is>
      </c>
      <c r="D5087" s="12" t="inlineStr">
        <is>
          <t>480 V welding receptacle 2</t>
        </is>
      </c>
      <c r="E5087" s="12" t="inlineStr"/>
      <c r="F5087" s="12" t="inlineStr">
        <is>
          <t>PCM: power control module</t>
        </is>
      </c>
      <c r="G5087" s="12" t="inlineStr">
        <is>
          <t>RICE-5</t>
        </is>
      </c>
      <c r="H5087" s="12" t="inlineStr">
        <is>
          <t>RICE engine-generator 5</t>
        </is>
      </c>
      <c r="I5087" s="12" t="inlineStr">
        <is>
          <t>LV 600 V</t>
        </is>
      </c>
      <c r="J5087" s="12" t="inlineStr">
        <is>
          <t>Type TC-ER 600 V 3/C Cu XHHW-2 + ground, PVC jacket</t>
        </is>
      </c>
      <c r="K5087" s="12" t="inlineStr">
        <is>
          <t>LV|3/C+G|1</t>
        </is>
      </c>
      <c r="L5087" s="12" t="inlineStr">
        <is>
          <t>3/C+G</t>
        </is>
      </c>
      <c r="M5087" s="12" t="inlineStr">
        <is>
          <t>1</t>
        </is>
      </c>
      <c r="N5087" s="12" t="n">
        <v>1</v>
      </c>
      <c r="O5087" s="12" t="n">
        <v>1</v>
      </c>
      <c r="P5087" s="12" t="n">
        <v>480</v>
      </c>
      <c r="Q5087" s="12" t="n">
        <v>60</v>
      </c>
      <c r="R5087" s="12" t="n">
        <v>76</v>
      </c>
      <c r="S5087" s="12" t="inlineStr">
        <is>
          <t>Duct bank</t>
        </is>
      </c>
      <c r="T5087" s="17" t="n">
        <v>367</v>
      </c>
      <c r="U5087" s="17" t="n">
        <v>208</v>
      </c>
      <c r="V5087" s="17">
        <f>ROUNDUP((T5087+U5087+2*'Read Me'!$B$13)*(1+'Read Me'!$B$12),-1)</f>
        <v/>
      </c>
      <c r="W5087" s="17">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I-P-0138</t>
        </is>
      </c>
      <c r="B5088" s="12" t="inlineStr">
        <is>
          <t>I</t>
        </is>
      </c>
      <c r="C5088" s="12" t="inlineStr">
        <is>
          <t>Modular / portable power</t>
        </is>
      </c>
      <c r="D5088" s="12" t="inlineStr">
        <is>
          <t>480 V welding receptacle 3</t>
        </is>
      </c>
      <c r="E5088" s="12" t="inlineStr"/>
      <c r="F5088" s="12" t="inlineStr">
        <is>
          <t>PCM: power control module</t>
        </is>
      </c>
      <c r="G5088" s="12" t="inlineStr">
        <is>
          <t>RICE-5</t>
        </is>
      </c>
      <c r="H5088" s="12" t="inlineStr">
        <is>
          <t>RICE engine-generator 5</t>
        </is>
      </c>
      <c r="I5088" s="12" t="inlineStr">
        <is>
          <t>LV 600 V</t>
        </is>
      </c>
      <c r="J5088" s="12" t="inlineStr">
        <is>
          <t>Type TC-ER 600 V 3/C Cu XHHW-2 + ground, PVC jacket</t>
        </is>
      </c>
      <c r="K5088" s="12" t="inlineStr">
        <is>
          <t>LV|3/C+G|1</t>
        </is>
      </c>
      <c r="L5088" s="12" t="inlineStr">
        <is>
          <t>3/C+G</t>
        </is>
      </c>
      <c r="M5088" s="12" t="inlineStr">
        <is>
          <t>1</t>
        </is>
      </c>
      <c r="N5088" s="12" t="n">
        <v>1</v>
      </c>
      <c r="O5088" s="12" t="n">
        <v>1</v>
      </c>
      <c r="P5088" s="12" t="n">
        <v>480</v>
      </c>
      <c r="Q5088" s="12" t="n">
        <v>60</v>
      </c>
      <c r="R5088" s="12" t="n">
        <v>76</v>
      </c>
      <c r="S5088" s="12" t="inlineStr">
        <is>
          <t>Duct bank</t>
        </is>
      </c>
      <c r="T5088" s="17" t="n">
        <v>367</v>
      </c>
      <c r="U5088" s="17" t="n">
        <v>208</v>
      </c>
      <c r="V5088" s="17">
        <f>ROUNDUP((T5088+U5088+2*'Read Me'!$B$13)*(1+'Read Me'!$B$12),-1)</f>
        <v/>
      </c>
      <c r="W5088" s="17">
        <f>V5088*N5088*O5088</f>
        <v/>
      </c>
      <c r="X5088" s="12">
        <f>IF(LEFT(I5088,2)="MV",2*N5088*IF(L5088="1/C",O5088,1),0)</f>
        <v/>
      </c>
      <c r="Y5088" s="12">
        <f>IF(OR(LEFT(K5088,4)="LVAX",LEFT(K5088,6)="MV15AX",LEFT(K5088,4)="CTAX",LEFT(K5088,2)="W|"),2*N5088*O5088,0)</f>
        <v/>
      </c>
      <c r="Z5088" s="12" t="inlineStr">
        <is>
          <t>VD 2.7 %</t>
        </is>
      </c>
      <c r="AA5088" s="12">
        <f>N5088*O5088</f>
        <v/>
      </c>
    </row>
    <row r="5089">
      <c r="A5089" s="12" t="inlineStr">
        <is>
          <t>I-P-0139</t>
        </is>
      </c>
      <c r="B5089" s="12" t="inlineStr">
        <is>
          <t>I</t>
        </is>
      </c>
      <c r="C5089" s="12" t="inlineStr">
        <is>
          <t>Modular / portable power</t>
        </is>
      </c>
      <c r="D5089" s="12" t="inlineStr">
        <is>
          <t>480 V welding receptacle 4</t>
        </is>
      </c>
      <c r="E5089" s="12" t="inlineStr"/>
      <c r="F5089" s="12" t="inlineStr">
        <is>
          <t>PCM: power control module</t>
        </is>
      </c>
      <c r="G5089" s="12" t="inlineStr">
        <is>
          <t>RICE-5</t>
        </is>
      </c>
      <c r="H5089" s="12" t="inlineStr">
        <is>
          <t>RICE engine-generator 5</t>
        </is>
      </c>
      <c r="I5089" s="12" t="inlineStr">
        <is>
          <t>LV 600 V</t>
        </is>
      </c>
      <c r="J5089" s="12" t="inlineStr">
        <is>
          <t>Type TC-ER 600 V 3/C Cu XHHW-2 + ground, PVC jacket</t>
        </is>
      </c>
      <c r="K5089" s="12" t="inlineStr">
        <is>
          <t>LV|3/C+G|1</t>
        </is>
      </c>
      <c r="L5089" s="12" t="inlineStr">
        <is>
          <t>3/C+G</t>
        </is>
      </c>
      <c r="M5089" s="12" t="inlineStr">
        <is>
          <t>1</t>
        </is>
      </c>
      <c r="N5089" s="12" t="n">
        <v>1</v>
      </c>
      <c r="O5089" s="12" t="n">
        <v>1</v>
      </c>
      <c r="P5089" s="12" t="n">
        <v>480</v>
      </c>
      <c r="Q5089" s="12" t="n">
        <v>60</v>
      </c>
      <c r="R5089" s="12" t="n">
        <v>76</v>
      </c>
      <c r="S5089" s="12" t="inlineStr">
        <is>
          <t>Duct bank</t>
        </is>
      </c>
      <c r="T5089" s="17" t="n">
        <v>367</v>
      </c>
      <c r="U5089" s="17" t="n">
        <v>208</v>
      </c>
      <c r="V5089" s="17">
        <f>ROUNDUP((T5089+U5089+2*'Read Me'!$B$13)*(1+'Read Me'!$B$12),-1)</f>
        <v/>
      </c>
      <c r="W5089" s="17">
        <f>V5089*N5089*O5089</f>
        <v/>
      </c>
      <c r="X5089" s="12">
        <f>IF(LEFT(I5089,2)="MV",2*N5089*IF(L5089="1/C",O5089,1),0)</f>
        <v/>
      </c>
      <c r="Y5089" s="12">
        <f>IF(OR(LEFT(K5089,4)="LVAX",LEFT(K5089,6)="MV15AX",LEFT(K5089,4)="CTAX",LEFT(K5089,2)="W|"),2*N5089*O5089,0)</f>
        <v/>
      </c>
      <c r="Z5089" s="12" t="inlineStr">
        <is>
          <t>VD 2.7 %</t>
        </is>
      </c>
      <c r="AA5089" s="12">
        <f>N5089*O5089</f>
        <v/>
      </c>
    </row>
    <row r="5090">
      <c r="A5090" s="12" t="inlineStr">
        <is>
          <t>I-P-0140</t>
        </is>
      </c>
      <c r="B5090" s="12" t="inlineStr">
        <is>
          <t>I</t>
        </is>
      </c>
      <c r="C5090" s="12" t="inlineStr">
        <is>
          <t>Modular / portable power</t>
        </is>
      </c>
      <c r="D5090" s="12" t="inlineStr">
        <is>
          <t>Motor 1 of 6, 22 kW</t>
        </is>
      </c>
      <c r="E5090" s="12" t="inlineStr"/>
      <c r="F5090" s="12" t="inlineStr">
        <is>
          <t>PCM: power control module</t>
        </is>
      </c>
      <c r="G5090" s="12" t="inlineStr">
        <is>
          <t>RICE-6</t>
        </is>
      </c>
      <c r="H5090" s="12" t="inlineStr">
        <is>
          <t>RICE engine-generator 6</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367</v>
      </c>
      <c r="U5090" s="17" t="n">
        <v>180</v>
      </c>
      <c r="V5090" s="17">
        <f>ROUNDUP((T5090+U5090+2*'Read Me'!$B$13)*(1+'Read Me'!$B$12),-1)</f>
        <v/>
      </c>
      <c r="W5090" s="17">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I-P-0141</t>
        </is>
      </c>
      <c r="B5091" s="12" t="inlineStr">
        <is>
          <t>I</t>
        </is>
      </c>
      <c r="C5091" s="12" t="inlineStr">
        <is>
          <t>Modular / portable power</t>
        </is>
      </c>
      <c r="D5091" s="12" t="inlineStr">
        <is>
          <t>Motor 2 of 6, 22 kW</t>
        </is>
      </c>
      <c r="E5091" s="12" t="inlineStr"/>
      <c r="F5091" s="12" t="inlineStr">
        <is>
          <t>PCM: power control module</t>
        </is>
      </c>
      <c r="G5091" s="12" t="inlineStr">
        <is>
          <t>RICE-6</t>
        </is>
      </c>
      <c r="H5091" s="12" t="inlineStr">
        <is>
          <t>RICE engine-generator 6</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367</v>
      </c>
      <c r="U5091" s="17" t="n">
        <v>180</v>
      </c>
      <c r="V5091" s="17">
        <f>ROUNDUP((T5091+U5091+2*'Read Me'!$B$13)*(1+'Read Me'!$B$12),-1)</f>
        <v/>
      </c>
      <c r="W5091" s="17">
        <f>V5091*N5091*O5091</f>
        <v/>
      </c>
      <c r="X5091" s="12">
        <f>IF(LEFT(I5091,2)="MV",2*N5091*IF(L5091="1/C",O5091,1),0)</f>
        <v/>
      </c>
      <c r="Y5091" s="12">
        <f>IF(OR(LEFT(K5091,4)="LVAX",LEFT(K5091,6)="MV15AX",LEFT(K5091,4)="CTAX",LEFT(K5091,2)="W|"),2*N5091*O5091,0)</f>
        <v/>
      </c>
      <c r="Z5091" s="12" t="inlineStr">
        <is>
          <t>VD 2.1 %</t>
        </is>
      </c>
      <c r="AA5091" s="12">
        <f>N5091*O5091</f>
        <v/>
      </c>
    </row>
    <row r="5092">
      <c r="A5092" s="12" t="inlineStr">
        <is>
          <t>I-P-0142</t>
        </is>
      </c>
      <c r="B5092" s="12" t="inlineStr">
        <is>
          <t>I</t>
        </is>
      </c>
      <c r="C5092" s="12" t="inlineStr">
        <is>
          <t>Modular / portable power</t>
        </is>
      </c>
      <c r="D5092" s="12" t="inlineStr">
        <is>
          <t>Motor 3 of 6, 22 kW</t>
        </is>
      </c>
      <c r="E5092" s="12" t="inlineStr"/>
      <c r="F5092" s="12" t="inlineStr">
        <is>
          <t>PCM: power control module</t>
        </is>
      </c>
      <c r="G5092" s="12" t="inlineStr">
        <is>
          <t>RICE-6</t>
        </is>
      </c>
      <c r="H5092" s="12" t="inlineStr">
        <is>
          <t>RICE engine-generator 6</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367</v>
      </c>
      <c r="U5092" s="17" t="n">
        <v>180</v>
      </c>
      <c r="V5092" s="17">
        <f>ROUNDUP((T5092+U5092+2*'Read Me'!$B$13)*(1+'Read Me'!$B$12),-1)</f>
        <v/>
      </c>
      <c r="W5092" s="17">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I-P-0143</t>
        </is>
      </c>
      <c r="B5093" s="12" t="inlineStr">
        <is>
          <t>I</t>
        </is>
      </c>
      <c r="C5093" s="12" t="inlineStr">
        <is>
          <t>Modular / portable power</t>
        </is>
      </c>
      <c r="D5093" s="12" t="inlineStr">
        <is>
          <t>Motor 4 of 6, 22 kW</t>
        </is>
      </c>
      <c r="E5093" s="12" t="inlineStr"/>
      <c r="F5093" s="12" t="inlineStr">
        <is>
          <t>PCM: power control module</t>
        </is>
      </c>
      <c r="G5093" s="12" t="inlineStr">
        <is>
          <t>RICE-6</t>
        </is>
      </c>
      <c r="H5093" s="12" t="inlineStr">
        <is>
          <t>RICE engine-generator 6</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7" t="n">
        <v>367</v>
      </c>
      <c r="U5093" s="17" t="n">
        <v>180</v>
      </c>
      <c r="V5093" s="17">
        <f>ROUNDUP((T5093+U5093+2*'Read Me'!$B$13)*(1+'Read Me'!$B$12),-1)</f>
        <v/>
      </c>
      <c r="W5093" s="17">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I-P-0144</t>
        </is>
      </c>
      <c r="B5094" s="12" t="inlineStr">
        <is>
          <t>I</t>
        </is>
      </c>
      <c r="C5094" s="12" t="inlineStr">
        <is>
          <t>Modular / portable power</t>
        </is>
      </c>
      <c r="D5094" s="12" t="inlineStr">
        <is>
          <t>Motor 5 of 6, 22 kW</t>
        </is>
      </c>
      <c r="E5094" s="12" t="inlineStr"/>
      <c r="F5094" s="12" t="inlineStr">
        <is>
          <t>PCM: power control module</t>
        </is>
      </c>
      <c r="G5094" s="12" t="inlineStr">
        <is>
          <t>RICE-6</t>
        </is>
      </c>
      <c r="H5094" s="12" t="inlineStr">
        <is>
          <t>RICE engine-generator 6</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7" t="n">
        <v>367</v>
      </c>
      <c r="U5094" s="17" t="n">
        <v>180</v>
      </c>
      <c r="V5094" s="17">
        <f>ROUNDUP((T5094+U5094+2*'Read Me'!$B$13)*(1+'Read Me'!$B$12),-1)</f>
        <v/>
      </c>
      <c r="W5094" s="17">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I-P-0145</t>
        </is>
      </c>
      <c r="B5095" s="12" t="inlineStr">
        <is>
          <t>I</t>
        </is>
      </c>
      <c r="C5095" s="12" t="inlineStr">
        <is>
          <t>Modular / portable power</t>
        </is>
      </c>
      <c r="D5095" s="12" t="inlineStr">
        <is>
          <t>Motor 6 of 6, 22 kW</t>
        </is>
      </c>
      <c r="E5095" s="12" t="inlineStr"/>
      <c r="F5095" s="12" t="inlineStr">
        <is>
          <t>PCM: power control module</t>
        </is>
      </c>
      <c r="G5095" s="12" t="inlineStr">
        <is>
          <t>RICE-6</t>
        </is>
      </c>
      <c r="H5095" s="12" t="inlineStr">
        <is>
          <t>RICE engine-generator 6</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7" t="n">
        <v>367</v>
      </c>
      <c r="U5095" s="17" t="n">
        <v>180</v>
      </c>
      <c r="V5095" s="17">
        <f>ROUNDUP((T5095+U5095+2*'Read Me'!$B$13)*(1+'Read Me'!$B$12),-1)</f>
        <v/>
      </c>
      <c r="W5095" s="17">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I-P-0146</t>
        </is>
      </c>
      <c r="B5096" s="12" t="inlineStr">
        <is>
          <t>I</t>
        </is>
      </c>
      <c r="C5096" s="12" t="inlineStr">
        <is>
          <t>Modular / portable power</t>
        </is>
      </c>
      <c r="D5096" s="12" t="inlineStr">
        <is>
          <t>480 V welding receptacle 1</t>
        </is>
      </c>
      <c r="E5096" s="12" t="inlineStr"/>
      <c r="F5096" s="12" t="inlineStr">
        <is>
          <t>PCM: power control module</t>
        </is>
      </c>
      <c r="G5096" s="12" t="inlineStr">
        <is>
          <t>RICE-6</t>
        </is>
      </c>
      <c r="H5096" s="12" t="inlineStr">
        <is>
          <t>RICE engine-generator 6</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367</v>
      </c>
      <c r="U5096" s="17" t="n">
        <v>180</v>
      </c>
      <c r="V5096" s="17">
        <f>ROUNDUP((T5096+U5096+2*'Read Me'!$B$13)*(1+'Read Me'!$B$12),-1)</f>
        <v/>
      </c>
      <c r="W5096" s="17">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I-P-0147</t>
        </is>
      </c>
      <c r="B5097" s="12" t="inlineStr">
        <is>
          <t>I</t>
        </is>
      </c>
      <c r="C5097" s="12" t="inlineStr">
        <is>
          <t>Modular / portable power</t>
        </is>
      </c>
      <c r="D5097" s="12" t="inlineStr">
        <is>
          <t>480 V welding receptacle 2</t>
        </is>
      </c>
      <c r="E5097" s="12" t="inlineStr"/>
      <c r="F5097" s="12" t="inlineStr">
        <is>
          <t>PCM: power control module</t>
        </is>
      </c>
      <c r="G5097" s="12" t="inlineStr">
        <is>
          <t>RICE-6</t>
        </is>
      </c>
      <c r="H5097" s="12" t="inlineStr">
        <is>
          <t>RICE engine-generator 6</t>
        </is>
      </c>
      <c r="I5097" s="12" t="inlineStr">
        <is>
          <t>LV 600 V</t>
        </is>
      </c>
      <c r="J5097" s="12" t="inlineStr">
        <is>
          <t>Type TC-ER 600 V 3/C Cu XHHW-2 + ground, PVC jacket</t>
        </is>
      </c>
      <c r="K5097" s="12" t="inlineStr">
        <is>
          <t>LV|3/C+G|1</t>
        </is>
      </c>
      <c r="L5097" s="12" t="inlineStr">
        <is>
          <t>3/C+G</t>
        </is>
      </c>
      <c r="M5097" s="12" t="inlineStr">
        <is>
          <t>1</t>
        </is>
      </c>
      <c r="N5097" s="12" t="n">
        <v>1</v>
      </c>
      <c r="O5097" s="12" t="n">
        <v>1</v>
      </c>
      <c r="P5097" s="12" t="n">
        <v>480</v>
      </c>
      <c r="Q5097" s="12" t="n">
        <v>60</v>
      </c>
      <c r="R5097" s="12" t="n">
        <v>76</v>
      </c>
      <c r="S5097" s="12" t="inlineStr">
        <is>
          <t>Duct bank</t>
        </is>
      </c>
      <c r="T5097" s="17" t="n">
        <v>367</v>
      </c>
      <c r="U5097" s="17" t="n">
        <v>180</v>
      </c>
      <c r="V5097" s="17">
        <f>ROUNDUP((T5097+U5097+2*'Read Me'!$B$13)*(1+'Read Me'!$B$12),-1)</f>
        <v/>
      </c>
      <c r="W5097" s="17">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I-P-0148</t>
        </is>
      </c>
      <c r="B5098" s="12" t="inlineStr">
        <is>
          <t>I</t>
        </is>
      </c>
      <c r="C5098" s="12" t="inlineStr">
        <is>
          <t>Modular / portable power</t>
        </is>
      </c>
      <c r="D5098" s="12" t="inlineStr">
        <is>
          <t>480 V welding receptacle 3</t>
        </is>
      </c>
      <c r="E5098" s="12" t="inlineStr"/>
      <c r="F5098" s="12" t="inlineStr">
        <is>
          <t>PCM: power control module</t>
        </is>
      </c>
      <c r="G5098" s="12" t="inlineStr">
        <is>
          <t>RICE-6</t>
        </is>
      </c>
      <c r="H5098" s="12" t="inlineStr">
        <is>
          <t>RICE engine-generator 6</t>
        </is>
      </c>
      <c r="I5098" s="12" t="inlineStr">
        <is>
          <t>LV 600 V</t>
        </is>
      </c>
      <c r="J5098" s="12" t="inlineStr">
        <is>
          <t>Type TC-ER 600 V 3/C Cu XHHW-2 + ground, PVC jacket</t>
        </is>
      </c>
      <c r="K5098" s="12" t="inlineStr">
        <is>
          <t>LV|3/C+G|1</t>
        </is>
      </c>
      <c r="L5098" s="12" t="inlineStr">
        <is>
          <t>3/C+G</t>
        </is>
      </c>
      <c r="M5098" s="12" t="inlineStr">
        <is>
          <t>1</t>
        </is>
      </c>
      <c r="N5098" s="12" t="n">
        <v>1</v>
      </c>
      <c r="O5098" s="12" t="n">
        <v>1</v>
      </c>
      <c r="P5098" s="12" t="n">
        <v>480</v>
      </c>
      <c r="Q5098" s="12" t="n">
        <v>60</v>
      </c>
      <c r="R5098" s="12" t="n">
        <v>76</v>
      </c>
      <c r="S5098" s="12" t="inlineStr">
        <is>
          <t>Duct bank</t>
        </is>
      </c>
      <c r="T5098" s="17" t="n">
        <v>367</v>
      </c>
      <c r="U5098" s="17" t="n">
        <v>180</v>
      </c>
      <c r="V5098" s="17">
        <f>ROUNDUP((T5098+U5098+2*'Read Me'!$B$13)*(1+'Read Me'!$B$12),-1)</f>
        <v/>
      </c>
      <c r="W5098" s="17">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I-P-0149</t>
        </is>
      </c>
      <c r="B5099" s="12" t="inlineStr">
        <is>
          <t>I</t>
        </is>
      </c>
      <c r="C5099" s="12" t="inlineStr">
        <is>
          <t>Modular / portable power</t>
        </is>
      </c>
      <c r="D5099" s="12" t="inlineStr">
        <is>
          <t>480 V welding receptacle 4</t>
        </is>
      </c>
      <c r="E5099" s="12" t="inlineStr"/>
      <c r="F5099" s="12" t="inlineStr">
        <is>
          <t>PCM: power control module</t>
        </is>
      </c>
      <c r="G5099" s="12" t="inlineStr">
        <is>
          <t>RICE-6</t>
        </is>
      </c>
      <c r="H5099" s="12" t="inlineStr">
        <is>
          <t>RICE engine-generator 6</t>
        </is>
      </c>
      <c r="I5099" s="12" t="inlineStr">
        <is>
          <t>LV 600 V</t>
        </is>
      </c>
      <c r="J5099" s="12" t="inlineStr">
        <is>
          <t>Type TC-ER 600 V 3/C Cu XHHW-2 + ground, PVC jacket</t>
        </is>
      </c>
      <c r="K5099" s="12" t="inlineStr">
        <is>
          <t>LV|3/C+G|1</t>
        </is>
      </c>
      <c r="L5099" s="12" t="inlineStr">
        <is>
          <t>3/C+G</t>
        </is>
      </c>
      <c r="M5099" s="12" t="inlineStr">
        <is>
          <t>1</t>
        </is>
      </c>
      <c r="N5099" s="12" t="n">
        <v>1</v>
      </c>
      <c r="O5099" s="12" t="n">
        <v>1</v>
      </c>
      <c r="P5099" s="12" t="n">
        <v>480</v>
      </c>
      <c r="Q5099" s="12" t="n">
        <v>60</v>
      </c>
      <c r="R5099" s="12" t="n">
        <v>76</v>
      </c>
      <c r="S5099" s="12" t="inlineStr">
        <is>
          <t>Duct bank</t>
        </is>
      </c>
      <c r="T5099" s="17" t="n">
        <v>367</v>
      </c>
      <c r="U5099" s="17" t="n">
        <v>180</v>
      </c>
      <c r="V5099" s="17">
        <f>ROUNDUP((T5099+U5099+2*'Read Me'!$B$13)*(1+'Read Me'!$B$12),-1)</f>
        <v/>
      </c>
      <c r="W5099" s="17">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I-P-0150</t>
        </is>
      </c>
      <c r="B5100" s="12" t="inlineStr">
        <is>
          <t>I</t>
        </is>
      </c>
      <c r="C5100" s="12" t="inlineStr">
        <is>
          <t>Modular / portable power</t>
        </is>
      </c>
      <c r="D5100" s="12" t="inlineStr">
        <is>
          <t>Motor 1 of 6, 22 kW</t>
        </is>
      </c>
      <c r="E5100" s="12" t="inlineStr"/>
      <c r="F5100" s="12" t="inlineStr">
        <is>
          <t>PCM: power control module</t>
        </is>
      </c>
      <c r="G5100" s="12" t="inlineStr">
        <is>
          <t>RICE-7</t>
        </is>
      </c>
      <c r="H5100" s="12" t="inlineStr">
        <is>
          <t>RICE engine-generator 7</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189</v>
      </c>
      <c r="V5100" s="17">
        <f>ROUNDUP((T5100+U5100+2*'Read Me'!$B$13)*(1+'Read Me'!$B$12),-1)</f>
        <v/>
      </c>
      <c r="W5100" s="17">
        <f>V5100*N5100*O5100</f>
        <v/>
      </c>
      <c r="X5100" s="12">
        <f>IF(LEFT(I5100,2)="MV",2*N5100*IF(L5100="1/C",O5100,1),0)</f>
        <v/>
      </c>
      <c r="Y5100" s="12">
        <f>IF(OR(LEFT(K5100,4)="LVAX",LEFT(K5100,6)="MV15AX",LEFT(K5100,4)="CTAX",LEFT(K5100,2)="W|"),2*N5100*O5100,0)</f>
        <v/>
      </c>
      <c r="Z5100" s="12" t="inlineStr">
        <is>
          <t>VD 1.8 %</t>
        </is>
      </c>
      <c r="AA5100" s="12">
        <f>N5100*O5100</f>
        <v/>
      </c>
    </row>
    <row r="5101">
      <c r="A5101" s="12" t="inlineStr">
        <is>
          <t>I-P-0151</t>
        </is>
      </c>
      <c r="B5101" s="12" t="inlineStr">
        <is>
          <t>I</t>
        </is>
      </c>
      <c r="C5101" s="12" t="inlineStr">
        <is>
          <t>Modular / portable power</t>
        </is>
      </c>
      <c r="D5101" s="12" t="inlineStr">
        <is>
          <t>Motor 2 of 6, 22 kW</t>
        </is>
      </c>
      <c r="E5101" s="12" t="inlineStr"/>
      <c r="F5101" s="12" t="inlineStr">
        <is>
          <t>PCM: power control module</t>
        </is>
      </c>
      <c r="G5101" s="12" t="inlineStr">
        <is>
          <t>RICE-7</t>
        </is>
      </c>
      <c r="H5101" s="12" t="inlineStr">
        <is>
          <t>RICE engine-generator 7</t>
        </is>
      </c>
      <c r="I5101" s="12" t="inlineStr">
        <is>
          <t>LV 600 V</t>
        </is>
      </c>
      <c r="J5101" s="12" t="inlineStr">
        <is>
          <t>Type TC-ER 600 V 3/C Cu XHHW-2 + ground, PVC jacket</t>
        </is>
      </c>
      <c r="K5101" s="12" t="inlineStr">
        <is>
          <t>LV|3/C+G|8</t>
        </is>
      </c>
      <c r="L5101" s="12" t="inlineStr">
        <is>
          <t>3/C+G</t>
        </is>
      </c>
      <c r="M5101" s="12" t="inlineStr">
        <is>
          <t>8</t>
        </is>
      </c>
      <c r="N5101" s="12" t="n">
        <v>1</v>
      </c>
      <c r="O5101" s="12" t="n">
        <v>1</v>
      </c>
      <c r="P5101" s="12" t="n">
        <v>480</v>
      </c>
      <c r="Q5101" s="12" t="n">
        <v>22</v>
      </c>
      <c r="R5101" s="12" t="n">
        <v>31.1</v>
      </c>
      <c r="S5101" s="12" t="inlineStr">
        <is>
          <t>Tray</t>
        </is>
      </c>
      <c r="T5101" s="17" t="n">
        <v>0</v>
      </c>
      <c r="U5101" s="17" t="n">
        <v>189</v>
      </c>
      <c r="V5101" s="17">
        <f>ROUNDUP((T5101+U5101+2*'Read Me'!$B$13)*(1+'Read Me'!$B$12),-1)</f>
        <v/>
      </c>
      <c r="W5101" s="17">
        <f>V5101*N5101*O5101</f>
        <v/>
      </c>
      <c r="X5101" s="12">
        <f>IF(LEFT(I5101,2)="MV",2*N5101*IF(L5101="1/C",O5101,1),0)</f>
        <v/>
      </c>
      <c r="Y5101" s="12">
        <f>IF(OR(LEFT(K5101,4)="LVAX",LEFT(K5101,6)="MV15AX",LEFT(K5101,4)="CTAX",LEFT(K5101,2)="W|"),2*N5101*O5101,0)</f>
        <v/>
      </c>
      <c r="Z5101" s="12" t="inlineStr">
        <is>
          <t>VD 1.8 %</t>
        </is>
      </c>
      <c r="AA5101" s="12">
        <f>N5101*O5101</f>
        <v/>
      </c>
    </row>
    <row r="5102">
      <c r="A5102" s="12" t="inlineStr">
        <is>
          <t>I-P-0152</t>
        </is>
      </c>
      <c r="B5102" s="12" t="inlineStr">
        <is>
          <t>I</t>
        </is>
      </c>
      <c r="C5102" s="12" t="inlineStr">
        <is>
          <t>Modular / portable power</t>
        </is>
      </c>
      <c r="D5102" s="12" t="inlineStr">
        <is>
          <t>Motor 3 of 6, 22 kW</t>
        </is>
      </c>
      <c r="E5102" s="12" t="inlineStr"/>
      <c r="F5102" s="12" t="inlineStr">
        <is>
          <t>PCM: power control module</t>
        </is>
      </c>
      <c r="G5102" s="12" t="inlineStr">
        <is>
          <t>RICE-7</t>
        </is>
      </c>
      <c r="H5102" s="12" t="inlineStr">
        <is>
          <t>RICE engine-generator 7</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22</v>
      </c>
      <c r="R5102" s="12" t="n">
        <v>31.1</v>
      </c>
      <c r="S5102" s="12" t="inlineStr">
        <is>
          <t>Tray</t>
        </is>
      </c>
      <c r="T5102" s="17" t="n">
        <v>0</v>
      </c>
      <c r="U5102" s="17" t="n">
        <v>189</v>
      </c>
      <c r="V5102" s="17">
        <f>ROUNDUP((T5102+U5102+2*'Read Me'!$B$13)*(1+'Read Me'!$B$12),-1)</f>
        <v/>
      </c>
      <c r="W5102" s="17">
        <f>V5102*N5102*O5102</f>
        <v/>
      </c>
      <c r="X5102" s="12">
        <f>IF(LEFT(I5102,2)="MV",2*N5102*IF(L5102="1/C",O5102,1),0)</f>
        <v/>
      </c>
      <c r="Y5102" s="12">
        <f>IF(OR(LEFT(K5102,4)="LVAX",LEFT(K5102,6)="MV15AX",LEFT(K5102,4)="CTAX",LEFT(K5102,2)="W|"),2*N5102*O5102,0)</f>
        <v/>
      </c>
      <c r="Z5102" s="12" t="inlineStr">
        <is>
          <t>VD 1.8 %</t>
        </is>
      </c>
      <c r="AA5102" s="12">
        <f>N5102*O5102</f>
        <v/>
      </c>
    </row>
    <row r="5103">
      <c r="A5103" s="12" t="inlineStr">
        <is>
          <t>I-P-0153</t>
        </is>
      </c>
      <c r="B5103" s="12" t="inlineStr">
        <is>
          <t>I</t>
        </is>
      </c>
      <c r="C5103" s="12" t="inlineStr">
        <is>
          <t>Modular / portable power</t>
        </is>
      </c>
      <c r="D5103" s="12" t="inlineStr">
        <is>
          <t>Motor 4 of 6, 22 kW</t>
        </is>
      </c>
      <c r="E5103" s="12" t="inlineStr"/>
      <c r="F5103" s="12" t="inlineStr">
        <is>
          <t>PCM: power control module</t>
        </is>
      </c>
      <c r="G5103" s="12" t="inlineStr">
        <is>
          <t>RICE-7</t>
        </is>
      </c>
      <c r="H5103" s="12" t="inlineStr">
        <is>
          <t>RICE engine-generator 7</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22</v>
      </c>
      <c r="R5103" s="12" t="n">
        <v>31.1</v>
      </c>
      <c r="S5103" s="12" t="inlineStr">
        <is>
          <t>Tray</t>
        </is>
      </c>
      <c r="T5103" s="17" t="n">
        <v>0</v>
      </c>
      <c r="U5103" s="17" t="n">
        <v>189</v>
      </c>
      <c r="V5103" s="17">
        <f>ROUNDUP((T5103+U5103+2*'Read Me'!$B$13)*(1+'Read Me'!$B$12),-1)</f>
        <v/>
      </c>
      <c r="W5103" s="17">
        <f>V5103*N5103*O5103</f>
        <v/>
      </c>
      <c r="X5103" s="12">
        <f>IF(LEFT(I5103,2)="MV",2*N5103*IF(L5103="1/C",O5103,1),0)</f>
        <v/>
      </c>
      <c r="Y5103" s="12">
        <f>IF(OR(LEFT(K5103,4)="LVAX",LEFT(K5103,6)="MV15AX",LEFT(K5103,4)="CTAX",LEFT(K5103,2)="W|"),2*N5103*O5103,0)</f>
        <v/>
      </c>
      <c r="Z5103" s="12" t="inlineStr">
        <is>
          <t>VD 1.8 %</t>
        </is>
      </c>
      <c r="AA5103" s="12">
        <f>N5103*O5103</f>
        <v/>
      </c>
    </row>
    <row r="5104">
      <c r="A5104" s="12" t="inlineStr">
        <is>
          <t>I-P-0154</t>
        </is>
      </c>
      <c r="B5104" s="12" t="inlineStr">
        <is>
          <t>I</t>
        </is>
      </c>
      <c r="C5104" s="12" t="inlineStr">
        <is>
          <t>Modular / portable power</t>
        </is>
      </c>
      <c r="D5104" s="12" t="inlineStr">
        <is>
          <t>Motor 5 of 6, 22 kW</t>
        </is>
      </c>
      <c r="E5104" s="12" t="inlineStr"/>
      <c r="F5104" s="12" t="inlineStr">
        <is>
          <t>PCM: power control module</t>
        </is>
      </c>
      <c r="G5104" s="12" t="inlineStr">
        <is>
          <t>RICE-7</t>
        </is>
      </c>
      <c r="H5104" s="12" t="inlineStr">
        <is>
          <t>RICE engine-generator 7</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22</v>
      </c>
      <c r="R5104" s="12" t="n">
        <v>31.1</v>
      </c>
      <c r="S5104" s="12" t="inlineStr">
        <is>
          <t>Tray</t>
        </is>
      </c>
      <c r="T5104" s="17" t="n">
        <v>0</v>
      </c>
      <c r="U5104" s="17" t="n">
        <v>189</v>
      </c>
      <c r="V5104" s="17">
        <f>ROUNDUP((T5104+U5104+2*'Read Me'!$B$13)*(1+'Read Me'!$B$12),-1)</f>
        <v/>
      </c>
      <c r="W5104" s="17">
        <f>V5104*N5104*O5104</f>
        <v/>
      </c>
      <c r="X5104" s="12">
        <f>IF(LEFT(I5104,2)="MV",2*N5104*IF(L5104="1/C",O5104,1),0)</f>
        <v/>
      </c>
      <c r="Y5104" s="12">
        <f>IF(OR(LEFT(K5104,4)="LVAX",LEFT(K5104,6)="MV15AX",LEFT(K5104,4)="CTAX",LEFT(K5104,2)="W|"),2*N5104*O5104,0)</f>
        <v/>
      </c>
      <c r="Z5104" s="12" t="inlineStr">
        <is>
          <t>VD 1.8 %</t>
        </is>
      </c>
      <c r="AA5104" s="12">
        <f>N5104*O5104</f>
        <v/>
      </c>
    </row>
    <row r="5105">
      <c r="A5105" s="12" t="inlineStr">
        <is>
          <t>I-P-0155</t>
        </is>
      </c>
      <c r="B5105" s="12" t="inlineStr">
        <is>
          <t>I</t>
        </is>
      </c>
      <c r="C5105" s="12" t="inlineStr">
        <is>
          <t>Modular / portable power</t>
        </is>
      </c>
      <c r="D5105" s="12" t="inlineStr">
        <is>
          <t>Motor 6 of 6, 22 kW</t>
        </is>
      </c>
      <c r="E5105" s="12" t="inlineStr"/>
      <c r="F5105" s="12" t="inlineStr">
        <is>
          <t>PCM: power control module</t>
        </is>
      </c>
      <c r="G5105" s="12" t="inlineStr">
        <is>
          <t>RICE-7</t>
        </is>
      </c>
      <c r="H5105" s="12" t="inlineStr">
        <is>
          <t>RICE engine-generator 7</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22</v>
      </c>
      <c r="R5105" s="12" t="n">
        <v>31.1</v>
      </c>
      <c r="S5105" s="12" t="inlineStr">
        <is>
          <t>Tray</t>
        </is>
      </c>
      <c r="T5105" s="17" t="n">
        <v>0</v>
      </c>
      <c r="U5105" s="17" t="n">
        <v>189</v>
      </c>
      <c r="V5105" s="17">
        <f>ROUNDUP((T5105+U5105+2*'Read Me'!$B$13)*(1+'Read Me'!$B$12),-1)</f>
        <v/>
      </c>
      <c r="W5105" s="17">
        <f>V5105*N5105*O5105</f>
        <v/>
      </c>
      <c r="X5105" s="12">
        <f>IF(LEFT(I5105,2)="MV",2*N5105*IF(L5105="1/C",O5105,1),0)</f>
        <v/>
      </c>
      <c r="Y5105" s="12">
        <f>IF(OR(LEFT(K5105,4)="LVAX",LEFT(K5105,6)="MV15AX",LEFT(K5105,4)="CTAX",LEFT(K5105,2)="W|"),2*N5105*O5105,0)</f>
        <v/>
      </c>
      <c r="Z5105" s="12" t="inlineStr">
        <is>
          <t>VD 1.8 %</t>
        </is>
      </c>
      <c r="AA5105" s="12">
        <f>N5105*O5105</f>
        <v/>
      </c>
    </row>
    <row r="5106">
      <c r="A5106" s="12" t="inlineStr">
        <is>
          <t>I-P-0156</t>
        </is>
      </c>
      <c r="B5106" s="12" t="inlineStr">
        <is>
          <t>I</t>
        </is>
      </c>
      <c r="C5106" s="12" t="inlineStr">
        <is>
          <t>Modular / portable power</t>
        </is>
      </c>
      <c r="D5106" s="12" t="inlineStr">
        <is>
          <t>480 V welding receptacle 1</t>
        </is>
      </c>
      <c r="E5106" s="12" t="inlineStr"/>
      <c r="F5106" s="12" t="inlineStr">
        <is>
          <t>PCM: power control module</t>
        </is>
      </c>
      <c r="G5106" s="12" t="inlineStr">
        <is>
          <t>RICE-7</t>
        </is>
      </c>
      <c r="H5106" s="12" t="inlineStr">
        <is>
          <t>RICE engine-generator 7</t>
        </is>
      </c>
      <c r="I5106" s="12" t="inlineStr">
        <is>
          <t>LV 600 V</t>
        </is>
      </c>
      <c r="J5106" s="12" t="inlineStr">
        <is>
          <t>Type TC-ER 600 V 3/C Cu XHHW-2 + ground, PVC jacket</t>
        </is>
      </c>
      <c r="K5106" s="12" t="inlineStr">
        <is>
          <t>LV|3/C+G|2</t>
        </is>
      </c>
      <c r="L5106" s="12" t="inlineStr">
        <is>
          <t>3/C+G</t>
        </is>
      </c>
      <c r="M5106" s="12" t="inlineStr">
        <is>
          <t>2</t>
        </is>
      </c>
      <c r="N5106" s="12" t="n">
        <v>1</v>
      </c>
      <c r="O5106" s="12" t="n">
        <v>1</v>
      </c>
      <c r="P5106" s="12" t="n">
        <v>480</v>
      </c>
      <c r="Q5106" s="12" t="n">
        <v>60</v>
      </c>
      <c r="R5106" s="12" t="n">
        <v>76</v>
      </c>
      <c r="S5106" s="12" t="inlineStr">
        <is>
          <t>Tray</t>
        </is>
      </c>
      <c r="T5106" s="17" t="n">
        <v>0</v>
      </c>
      <c r="U5106" s="17" t="n">
        <v>189</v>
      </c>
      <c r="V5106" s="17">
        <f>ROUNDUP((T5106+U5106+2*'Read Me'!$B$13)*(1+'Read Me'!$B$12),-1)</f>
        <v/>
      </c>
      <c r="W5106" s="17">
        <f>V5106*N5106*O5106</f>
        <v/>
      </c>
      <c r="X5106" s="12">
        <f>IF(LEFT(I5106,2)="MV",2*N5106*IF(L5106="1/C",O5106,1),0)</f>
        <v/>
      </c>
      <c r="Y5106" s="12">
        <f>IF(OR(LEFT(K5106,4)="LVAX",LEFT(K5106,6)="MV15AX",LEFT(K5106,4)="CTAX",LEFT(K5106,2)="W|"),2*N5106*O5106,0)</f>
        <v/>
      </c>
      <c r="Z5106" s="12" t="inlineStr">
        <is>
          <t>VD 1.1 %</t>
        </is>
      </c>
      <c r="AA5106" s="12">
        <f>N5106*O5106</f>
        <v/>
      </c>
    </row>
    <row r="5107">
      <c r="A5107" s="12" t="inlineStr">
        <is>
          <t>I-P-0157</t>
        </is>
      </c>
      <c r="B5107" s="12" t="inlineStr">
        <is>
          <t>I</t>
        </is>
      </c>
      <c r="C5107" s="12" t="inlineStr">
        <is>
          <t>Modular / portable power</t>
        </is>
      </c>
      <c r="D5107" s="12" t="inlineStr">
        <is>
          <t>480 V welding receptacle 2</t>
        </is>
      </c>
      <c r="E5107" s="12" t="inlineStr"/>
      <c r="F5107" s="12" t="inlineStr">
        <is>
          <t>PCM: power control module</t>
        </is>
      </c>
      <c r="G5107" s="12" t="inlineStr">
        <is>
          <t>RICE-7</t>
        </is>
      </c>
      <c r="H5107" s="12" t="inlineStr">
        <is>
          <t>RICE engine-generator 7</t>
        </is>
      </c>
      <c r="I5107" s="12" t="inlineStr">
        <is>
          <t>LV 600 V</t>
        </is>
      </c>
      <c r="J5107" s="12" t="inlineStr">
        <is>
          <t>Type TC-ER 600 V 3/C Cu XHHW-2 + ground, PVC jacket</t>
        </is>
      </c>
      <c r="K5107" s="12" t="inlineStr">
        <is>
          <t>LV|3/C+G|2</t>
        </is>
      </c>
      <c r="L5107" s="12" t="inlineStr">
        <is>
          <t>3/C+G</t>
        </is>
      </c>
      <c r="M5107" s="12" t="inlineStr">
        <is>
          <t>2</t>
        </is>
      </c>
      <c r="N5107" s="12" t="n">
        <v>1</v>
      </c>
      <c r="O5107" s="12" t="n">
        <v>1</v>
      </c>
      <c r="P5107" s="12" t="n">
        <v>480</v>
      </c>
      <c r="Q5107" s="12" t="n">
        <v>60</v>
      </c>
      <c r="R5107" s="12" t="n">
        <v>76</v>
      </c>
      <c r="S5107" s="12" t="inlineStr">
        <is>
          <t>Tray</t>
        </is>
      </c>
      <c r="T5107" s="17" t="n">
        <v>0</v>
      </c>
      <c r="U5107" s="17" t="n">
        <v>189</v>
      </c>
      <c r="V5107" s="17">
        <f>ROUNDUP((T5107+U5107+2*'Read Me'!$B$13)*(1+'Read Me'!$B$12),-1)</f>
        <v/>
      </c>
      <c r="W5107" s="17">
        <f>V5107*N5107*O5107</f>
        <v/>
      </c>
      <c r="X5107" s="12">
        <f>IF(LEFT(I5107,2)="MV",2*N5107*IF(L5107="1/C",O5107,1),0)</f>
        <v/>
      </c>
      <c r="Y5107" s="12">
        <f>IF(OR(LEFT(K5107,4)="LVAX",LEFT(K5107,6)="MV15AX",LEFT(K5107,4)="CTAX",LEFT(K5107,2)="W|"),2*N5107*O5107,0)</f>
        <v/>
      </c>
      <c r="Z5107" s="12" t="inlineStr">
        <is>
          <t>VD 1.1 %</t>
        </is>
      </c>
      <c r="AA5107" s="12">
        <f>N5107*O5107</f>
        <v/>
      </c>
    </row>
    <row r="5108">
      <c r="A5108" s="12" t="inlineStr">
        <is>
          <t>I-P-0158</t>
        </is>
      </c>
      <c r="B5108" s="12" t="inlineStr">
        <is>
          <t>I</t>
        </is>
      </c>
      <c r="C5108" s="12" t="inlineStr">
        <is>
          <t>Modular / portable power</t>
        </is>
      </c>
      <c r="D5108" s="12" t="inlineStr">
        <is>
          <t>480 V welding receptacle 3</t>
        </is>
      </c>
      <c r="E5108" s="12" t="inlineStr"/>
      <c r="F5108" s="12" t="inlineStr">
        <is>
          <t>PCM: power control module</t>
        </is>
      </c>
      <c r="G5108" s="12" t="inlineStr">
        <is>
          <t>RICE-7</t>
        </is>
      </c>
      <c r="H5108" s="12" t="inlineStr">
        <is>
          <t>RICE engine-generator 7</t>
        </is>
      </c>
      <c r="I5108" s="12" t="inlineStr">
        <is>
          <t>LV 600 V</t>
        </is>
      </c>
      <c r="J5108" s="12" t="inlineStr">
        <is>
          <t>Type TC-ER 600 V 3/C Cu XHHW-2 + ground, PVC jacket</t>
        </is>
      </c>
      <c r="K5108" s="12" t="inlineStr">
        <is>
          <t>LV|3/C+G|2</t>
        </is>
      </c>
      <c r="L5108" s="12" t="inlineStr">
        <is>
          <t>3/C+G</t>
        </is>
      </c>
      <c r="M5108" s="12" t="inlineStr">
        <is>
          <t>2</t>
        </is>
      </c>
      <c r="N5108" s="12" t="n">
        <v>1</v>
      </c>
      <c r="O5108" s="12" t="n">
        <v>1</v>
      </c>
      <c r="P5108" s="12" t="n">
        <v>480</v>
      </c>
      <c r="Q5108" s="12" t="n">
        <v>60</v>
      </c>
      <c r="R5108" s="12" t="n">
        <v>76</v>
      </c>
      <c r="S5108" s="12" t="inlineStr">
        <is>
          <t>Tray</t>
        </is>
      </c>
      <c r="T5108" s="17" t="n">
        <v>0</v>
      </c>
      <c r="U5108" s="17" t="n">
        <v>189</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I-P-0159</t>
        </is>
      </c>
      <c r="B5109" s="12" t="inlineStr">
        <is>
          <t>I</t>
        </is>
      </c>
      <c r="C5109" s="12" t="inlineStr">
        <is>
          <t>Modular / portable power</t>
        </is>
      </c>
      <c r="D5109" s="12" t="inlineStr">
        <is>
          <t>480 V welding receptacle 4</t>
        </is>
      </c>
      <c r="E5109" s="12" t="inlineStr"/>
      <c r="F5109" s="12" t="inlineStr">
        <is>
          <t>PCM: power control module</t>
        </is>
      </c>
      <c r="G5109" s="12" t="inlineStr">
        <is>
          <t>RICE-7</t>
        </is>
      </c>
      <c r="H5109" s="12" t="inlineStr">
        <is>
          <t>RICE engine-generator 7</t>
        </is>
      </c>
      <c r="I5109" s="12" t="inlineStr">
        <is>
          <t>LV 600 V</t>
        </is>
      </c>
      <c r="J5109" s="12" t="inlineStr">
        <is>
          <t>Type TC-ER 600 V 3/C Cu XHHW-2 + ground, PVC jacket</t>
        </is>
      </c>
      <c r="K5109" s="12" t="inlineStr">
        <is>
          <t>LV|3/C+G|2</t>
        </is>
      </c>
      <c r="L5109" s="12" t="inlineStr">
        <is>
          <t>3/C+G</t>
        </is>
      </c>
      <c r="M5109" s="12" t="inlineStr">
        <is>
          <t>2</t>
        </is>
      </c>
      <c r="N5109" s="12" t="n">
        <v>1</v>
      </c>
      <c r="O5109" s="12" t="n">
        <v>1</v>
      </c>
      <c r="P5109" s="12" t="n">
        <v>480</v>
      </c>
      <c r="Q5109" s="12" t="n">
        <v>60</v>
      </c>
      <c r="R5109" s="12" t="n">
        <v>76</v>
      </c>
      <c r="S5109" s="12" t="inlineStr">
        <is>
          <t>Tray</t>
        </is>
      </c>
      <c r="T5109" s="17" t="n">
        <v>0</v>
      </c>
      <c r="U5109" s="17" t="n">
        <v>189</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I-P-0160</t>
        </is>
      </c>
      <c r="B5110" s="12" t="inlineStr">
        <is>
          <t>I</t>
        </is>
      </c>
      <c r="C5110" s="12" t="inlineStr">
        <is>
          <t>Modular / portable power</t>
        </is>
      </c>
      <c r="D5110" s="12" t="inlineStr">
        <is>
          <t>Motor 1 of 6, 22 kW</t>
        </is>
      </c>
      <c r="E5110" s="12" t="inlineStr"/>
      <c r="F5110" s="12" t="inlineStr">
        <is>
          <t>PCM: power control module</t>
        </is>
      </c>
      <c r="G5110" s="12" t="inlineStr">
        <is>
          <t>RICE-8</t>
        </is>
      </c>
      <c r="H5110" s="12" t="inlineStr">
        <is>
          <t>RICE engine-generator 8</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22</v>
      </c>
      <c r="R5110" s="12" t="n">
        <v>31.1</v>
      </c>
      <c r="S5110" s="12" t="inlineStr">
        <is>
          <t>Tray</t>
        </is>
      </c>
      <c r="T5110" s="17" t="n">
        <v>0</v>
      </c>
      <c r="U5110" s="17" t="n">
        <v>161</v>
      </c>
      <c r="V5110" s="17">
        <f>ROUNDUP((T5110+U5110+2*'Read Me'!$B$13)*(1+'Read Me'!$B$12),-1)</f>
        <v/>
      </c>
      <c r="W5110" s="17">
        <f>V5110*N5110*O5110</f>
        <v/>
      </c>
      <c r="X5110" s="12">
        <f>IF(LEFT(I5110,2)="MV",2*N5110*IF(L5110="1/C",O5110,1),0)</f>
        <v/>
      </c>
      <c r="Y5110" s="12">
        <f>IF(OR(LEFT(K5110,4)="LVAX",LEFT(K5110,6)="MV15AX",LEFT(K5110,4)="CTAX",LEFT(K5110,2)="W|"),2*N5110*O5110,0)</f>
        <v/>
      </c>
      <c r="Z5110" s="12" t="inlineStr">
        <is>
          <t>VD 1.5 %</t>
        </is>
      </c>
      <c r="AA5110" s="12">
        <f>N5110*O5110</f>
        <v/>
      </c>
    </row>
    <row r="5111">
      <c r="A5111" s="12" t="inlineStr">
        <is>
          <t>I-P-0161</t>
        </is>
      </c>
      <c r="B5111" s="12" t="inlineStr">
        <is>
          <t>I</t>
        </is>
      </c>
      <c r="C5111" s="12" t="inlineStr">
        <is>
          <t>Modular / portable power</t>
        </is>
      </c>
      <c r="D5111" s="12" t="inlineStr">
        <is>
          <t>Motor 2 of 6, 22 kW</t>
        </is>
      </c>
      <c r="E5111" s="12" t="inlineStr"/>
      <c r="F5111" s="12" t="inlineStr">
        <is>
          <t>PCM: power control module</t>
        </is>
      </c>
      <c r="G5111" s="12" t="inlineStr">
        <is>
          <t>RICE-8</t>
        </is>
      </c>
      <c r="H5111" s="12" t="inlineStr">
        <is>
          <t>RICE engine-generator 8</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22</v>
      </c>
      <c r="R5111" s="12" t="n">
        <v>31.1</v>
      </c>
      <c r="S5111" s="12" t="inlineStr">
        <is>
          <t>Tray</t>
        </is>
      </c>
      <c r="T5111" s="17" t="n">
        <v>0</v>
      </c>
      <c r="U5111" s="17" t="n">
        <v>161</v>
      </c>
      <c r="V5111" s="17">
        <f>ROUNDUP((T5111+U5111+2*'Read Me'!$B$13)*(1+'Read Me'!$B$12),-1)</f>
        <v/>
      </c>
      <c r="W5111" s="17">
        <f>V5111*N5111*O5111</f>
        <v/>
      </c>
      <c r="X5111" s="12">
        <f>IF(LEFT(I5111,2)="MV",2*N5111*IF(L5111="1/C",O5111,1),0)</f>
        <v/>
      </c>
      <c r="Y5111" s="12">
        <f>IF(OR(LEFT(K5111,4)="LVAX",LEFT(K5111,6)="MV15AX",LEFT(K5111,4)="CTAX",LEFT(K5111,2)="W|"),2*N5111*O5111,0)</f>
        <v/>
      </c>
      <c r="Z5111" s="12" t="inlineStr">
        <is>
          <t>VD 1.5 %</t>
        </is>
      </c>
      <c r="AA5111" s="12">
        <f>N5111*O5111</f>
        <v/>
      </c>
    </row>
    <row r="5112">
      <c r="A5112" s="12" t="inlineStr">
        <is>
          <t>I-P-0162</t>
        </is>
      </c>
      <c r="B5112" s="12" t="inlineStr">
        <is>
          <t>I</t>
        </is>
      </c>
      <c r="C5112" s="12" t="inlineStr">
        <is>
          <t>Modular / portable power</t>
        </is>
      </c>
      <c r="D5112" s="12" t="inlineStr">
        <is>
          <t>Motor 3 of 6, 22 kW</t>
        </is>
      </c>
      <c r="E5112" s="12" t="inlineStr"/>
      <c r="F5112" s="12" t="inlineStr">
        <is>
          <t>PCM: power control module</t>
        </is>
      </c>
      <c r="G5112" s="12" t="inlineStr">
        <is>
          <t>RICE-8</t>
        </is>
      </c>
      <c r="H5112" s="12" t="inlineStr">
        <is>
          <t>RICE engine-generator 8</t>
        </is>
      </c>
      <c r="I5112" s="12" t="inlineStr">
        <is>
          <t>LV 600 V</t>
        </is>
      </c>
      <c r="J5112" s="12" t="inlineStr">
        <is>
          <t>Type TC-ER 600 V 3/C Cu XHHW-2 + ground, PVC jacket</t>
        </is>
      </c>
      <c r="K5112" s="12" t="inlineStr">
        <is>
          <t>LV|3/C+G|8</t>
        </is>
      </c>
      <c r="L5112" s="12" t="inlineStr">
        <is>
          <t>3/C+G</t>
        </is>
      </c>
      <c r="M5112" s="12" t="inlineStr">
        <is>
          <t>8</t>
        </is>
      </c>
      <c r="N5112" s="12" t="n">
        <v>1</v>
      </c>
      <c r="O5112" s="12" t="n">
        <v>1</v>
      </c>
      <c r="P5112" s="12" t="n">
        <v>480</v>
      </c>
      <c r="Q5112" s="12" t="n">
        <v>22</v>
      </c>
      <c r="R5112" s="12" t="n">
        <v>31.1</v>
      </c>
      <c r="S5112" s="12" t="inlineStr">
        <is>
          <t>Tray</t>
        </is>
      </c>
      <c r="T5112" s="17" t="n">
        <v>0</v>
      </c>
      <c r="U5112" s="17" t="n">
        <v>161</v>
      </c>
      <c r="V5112" s="17">
        <f>ROUNDUP((T5112+U5112+2*'Read Me'!$B$13)*(1+'Read Me'!$B$12),-1)</f>
        <v/>
      </c>
      <c r="W5112" s="17">
        <f>V5112*N5112*O5112</f>
        <v/>
      </c>
      <c r="X5112" s="12">
        <f>IF(LEFT(I5112,2)="MV",2*N5112*IF(L5112="1/C",O5112,1),0)</f>
        <v/>
      </c>
      <c r="Y5112" s="12">
        <f>IF(OR(LEFT(K5112,4)="LVAX",LEFT(K5112,6)="MV15AX",LEFT(K5112,4)="CTAX",LEFT(K5112,2)="W|"),2*N5112*O5112,0)</f>
        <v/>
      </c>
      <c r="Z5112" s="12" t="inlineStr">
        <is>
          <t>VD 1.5 %</t>
        </is>
      </c>
      <c r="AA5112" s="12">
        <f>N5112*O5112</f>
        <v/>
      </c>
    </row>
    <row r="5113">
      <c r="A5113" s="12" t="inlineStr">
        <is>
          <t>I-P-0163</t>
        </is>
      </c>
      <c r="B5113" s="12" t="inlineStr">
        <is>
          <t>I</t>
        </is>
      </c>
      <c r="C5113" s="12" t="inlineStr">
        <is>
          <t>Modular / portable power</t>
        </is>
      </c>
      <c r="D5113" s="12" t="inlineStr">
        <is>
          <t>Motor 4 of 6, 22 kW</t>
        </is>
      </c>
      <c r="E5113" s="12" t="inlineStr"/>
      <c r="F5113" s="12" t="inlineStr">
        <is>
          <t>PCM: power control module</t>
        </is>
      </c>
      <c r="G5113" s="12" t="inlineStr">
        <is>
          <t>RICE-8</t>
        </is>
      </c>
      <c r="H5113" s="12" t="inlineStr">
        <is>
          <t>RICE engine-generator 8</t>
        </is>
      </c>
      <c r="I5113" s="12" t="inlineStr">
        <is>
          <t>LV 600 V</t>
        </is>
      </c>
      <c r="J5113" s="12" t="inlineStr">
        <is>
          <t>Type TC-ER 600 V 3/C Cu XHHW-2 + ground, PVC jacket</t>
        </is>
      </c>
      <c r="K5113" s="12" t="inlineStr">
        <is>
          <t>LV|3/C+G|8</t>
        </is>
      </c>
      <c r="L5113" s="12" t="inlineStr">
        <is>
          <t>3/C+G</t>
        </is>
      </c>
      <c r="M5113" s="12" t="inlineStr">
        <is>
          <t>8</t>
        </is>
      </c>
      <c r="N5113" s="12" t="n">
        <v>1</v>
      </c>
      <c r="O5113" s="12" t="n">
        <v>1</v>
      </c>
      <c r="P5113" s="12" t="n">
        <v>480</v>
      </c>
      <c r="Q5113" s="12" t="n">
        <v>22</v>
      </c>
      <c r="R5113" s="12" t="n">
        <v>31.1</v>
      </c>
      <c r="S5113" s="12" t="inlineStr">
        <is>
          <t>Tray</t>
        </is>
      </c>
      <c r="T5113" s="17" t="n">
        <v>0</v>
      </c>
      <c r="U5113" s="17" t="n">
        <v>161</v>
      </c>
      <c r="V5113" s="17">
        <f>ROUNDUP((T5113+U5113+2*'Read Me'!$B$13)*(1+'Read Me'!$B$12),-1)</f>
        <v/>
      </c>
      <c r="W5113" s="17">
        <f>V5113*N5113*O5113</f>
        <v/>
      </c>
      <c r="X5113" s="12">
        <f>IF(LEFT(I5113,2)="MV",2*N5113*IF(L5113="1/C",O5113,1),0)</f>
        <v/>
      </c>
      <c r="Y5113" s="12">
        <f>IF(OR(LEFT(K5113,4)="LVAX",LEFT(K5113,6)="MV15AX",LEFT(K5113,4)="CTAX",LEFT(K5113,2)="W|"),2*N5113*O5113,0)</f>
        <v/>
      </c>
      <c r="Z5113" s="12" t="inlineStr">
        <is>
          <t>VD 1.5 %</t>
        </is>
      </c>
      <c r="AA5113" s="12">
        <f>N5113*O5113</f>
        <v/>
      </c>
    </row>
    <row r="5114">
      <c r="A5114" s="12" t="inlineStr">
        <is>
          <t>I-P-0164</t>
        </is>
      </c>
      <c r="B5114" s="12" t="inlineStr">
        <is>
          <t>I</t>
        </is>
      </c>
      <c r="C5114" s="12" t="inlineStr">
        <is>
          <t>Modular / portable power</t>
        </is>
      </c>
      <c r="D5114" s="12" t="inlineStr">
        <is>
          <t>Motor 5 of 6, 22 kW</t>
        </is>
      </c>
      <c r="E5114" s="12" t="inlineStr"/>
      <c r="F5114" s="12" t="inlineStr">
        <is>
          <t>PCM: power control module</t>
        </is>
      </c>
      <c r="G5114" s="12" t="inlineStr">
        <is>
          <t>RICE-8</t>
        </is>
      </c>
      <c r="H5114" s="12" t="inlineStr">
        <is>
          <t>RICE engine-generator 8</t>
        </is>
      </c>
      <c r="I5114" s="12" t="inlineStr">
        <is>
          <t>LV 600 V</t>
        </is>
      </c>
      <c r="J5114" s="12" t="inlineStr">
        <is>
          <t>Type TC-ER 600 V 3/C Cu XHHW-2 + ground, PVC jacket</t>
        </is>
      </c>
      <c r="K5114" s="12" t="inlineStr">
        <is>
          <t>LV|3/C+G|8</t>
        </is>
      </c>
      <c r="L5114" s="12" t="inlineStr">
        <is>
          <t>3/C+G</t>
        </is>
      </c>
      <c r="M5114" s="12" t="inlineStr">
        <is>
          <t>8</t>
        </is>
      </c>
      <c r="N5114" s="12" t="n">
        <v>1</v>
      </c>
      <c r="O5114" s="12" t="n">
        <v>1</v>
      </c>
      <c r="P5114" s="12" t="n">
        <v>480</v>
      </c>
      <c r="Q5114" s="12" t="n">
        <v>22</v>
      </c>
      <c r="R5114" s="12" t="n">
        <v>31.1</v>
      </c>
      <c r="S5114" s="12" t="inlineStr">
        <is>
          <t>Tray</t>
        </is>
      </c>
      <c r="T5114" s="17" t="n">
        <v>0</v>
      </c>
      <c r="U5114" s="17" t="n">
        <v>161</v>
      </c>
      <c r="V5114" s="17">
        <f>ROUNDUP((T5114+U5114+2*'Read Me'!$B$13)*(1+'Read Me'!$B$12),-1)</f>
        <v/>
      </c>
      <c r="W5114" s="17">
        <f>V5114*N5114*O5114</f>
        <v/>
      </c>
      <c r="X5114" s="12">
        <f>IF(LEFT(I5114,2)="MV",2*N5114*IF(L5114="1/C",O5114,1),0)</f>
        <v/>
      </c>
      <c r="Y5114" s="12">
        <f>IF(OR(LEFT(K5114,4)="LVAX",LEFT(K5114,6)="MV15AX",LEFT(K5114,4)="CTAX",LEFT(K5114,2)="W|"),2*N5114*O5114,0)</f>
        <v/>
      </c>
      <c r="Z5114" s="12" t="inlineStr">
        <is>
          <t>VD 1.5 %</t>
        </is>
      </c>
      <c r="AA5114" s="12">
        <f>N5114*O5114</f>
        <v/>
      </c>
    </row>
    <row r="5115">
      <c r="A5115" s="12" t="inlineStr">
        <is>
          <t>I-P-0165</t>
        </is>
      </c>
      <c r="B5115" s="12" t="inlineStr">
        <is>
          <t>I</t>
        </is>
      </c>
      <c r="C5115" s="12" t="inlineStr">
        <is>
          <t>Modular / portable power</t>
        </is>
      </c>
      <c r="D5115" s="12" t="inlineStr">
        <is>
          <t>Motor 6 of 6, 22 kW</t>
        </is>
      </c>
      <c r="E5115" s="12" t="inlineStr"/>
      <c r="F5115" s="12" t="inlineStr">
        <is>
          <t>PCM: power control module</t>
        </is>
      </c>
      <c r="G5115" s="12" t="inlineStr">
        <is>
          <t>RICE-8</t>
        </is>
      </c>
      <c r="H5115" s="12" t="inlineStr">
        <is>
          <t>RICE engine-generator 8</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22</v>
      </c>
      <c r="R5115" s="12" t="n">
        <v>31.1</v>
      </c>
      <c r="S5115" s="12" t="inlineStr">
        <is>
          <t>Tray</t>
        </is>
      </c>
      <c r="T5115" s="17" t="n">
        <v>0</v>
      </c>
      <c r="U5115" s="17" t="n">
        <v>161</v>
      </c>
      <c r="V5115" s="17">
        <f>ROUNDUP((T5115+U5115+2*'Read Me'!$B$13)*(1+'Read Me'!$B$12),-1)</f>
        <v/>
      </c>
      <c r="W5115" s="17">
        <f>V5115*N5115*O5115</f>
        <v/>
      </c>
      <c r="X5115" s="12">
        <f>IF(LEFT(I5115,2)="MV",2*N5115*IF(L5115="1/C",O5115,1),0)</f>
        <v/>
      </c>
      <c r="Y5115" s="12">
        <f>IF(OR(LEFT(K5115,4)="LVAX",LEFT(K5115,6)="MV15AX",LEFT(K5115,4)="CTAX",LEFT(K5115,2)="W|"),2*N5115*O5115,0)</f>
        <v/>
      </c>
      <c r="Z5115" s="12" t="inlineStr">
        <is>
          <t>VD 1.5 %</t>
        </is>
      </c>
      <c r="AA5115" s="12">
        <f>N5115*O5115</f>
        <v/>
      </c>
    </row>
    <row r="5116">
      <c r="A5116" s="12" t="inlineStr">
        <is>
          <t>I-P-0166</t>
        </is>
      </c>
      <c r="B5116" s="12" t="inlineStr">
        <is>
          <t>I</t>
        </is>
      </c>
      <c r="C5116" s="12" t="inlineStr">
        <is>
          <t>Modular / portable power</t>
        </is>
      </c>
      <c r="D5116" s="12" t="inlineStr">
        <is>
          <t>480 V welding receptacle 1</t>
        </is>
      </c>
      <c r="E5116" s="12" t="inlineStr"/>
      <c r="F5116" s="12" t="inlineStr">
        <is>
          <t>PCM: power control module</t>
        </is>
      </c>
      <c r="G5116" s="12" t="inlineStr">
        <is>
          <t>RICE-8</t>
        </is>
      </c>
      <c r="H5116" s="12" t="inlineStr">
        <is>
          <t>RICE engine-generator 8</t>
        </is>
      </c>
      <c r="I5116" s="12" t="inlineStr">
        <is>
          <t>LV 600 V</t>
        </is>
      </c>
      <c r="J5116" s="12" t="inlineStr">
        <is>
          <t>Type TC-ER 600 V 3/C Cu XHHW-2 + ground, PVC jacket</t>
        </is>
      </c>
      <c r="K5116" s="12" t="inlineStr">
        <is>
          <t>LV|3/C+G|2</t>
        </is>
      </c>
      <c r="L5116" s="12" t="inlineStr">
        <is>
          <t>3/C+G</t>
        </is>
      </c>
      <c r="M5116" s="12" t="inlineStr">
        <is>
          <t>2</t>
        </is>
      </c>
      <c r="N5116" s="12" t="n">
        <v>1</v>
      </c>
      <c r="O5116" s="12" t="n">
        <v>1</v>
      </c>
      <c r="P5116" s="12" t="n">
        <v>480</v>
      </c>
      <c r="Q5116" s="12" t="n">
        <v>60</v>
      </c>
      <c r="R5116" s="12" t="n">
        <v>76</v>
      </c>
      <c r="S5116" s="12" t="inlineStr">
        <is>
          <t>Tray</t>
        </is>
      </c>
      <c r="T5116" s="17" t="n">
        <v>0</v>
      </c>
      <c r="U5116" s="17" t="n">
        <v>161</v>
      </c>
      <c r="V5116" s="17">
        <f>ROUNDUP((T5116+U5116+2*'Read Me'!$B$13)*(1+'Read Me'!$B$12),-1)</f>
        <v/>
      </c>
      <c r="W5116" s="17">
        <f>V5116*N5116*O5116</f>
        <v/>
      </c>
      <c r="X5116" s="12">
        <f>IF(LEFT(I5116,2)="MV",2*N5116*IF(L5116="1/C",O5116,1),0)</f>
        <v/>
      </c>
      <c r="Y5116" s="12">
        <f>IF(OR(LEFT(K5116,4)="LVAX",LEFT(K5116,6)="MV15AX",LEFT(K5116,4)="CTAX",LEFT(K5116,2)="W|"),2*N5116*O5116,0)</f>
        <v/>
      </c>
      <c r="Z5116" s="12" t="inlineStr">
        <is>
          <t>VD 0.9 %</t>
        </is>
      </c>
      <c r="AA5116" s="12">
        <f>N5116*O5116</f>
        <v/>
      </c>
    </row>
    <row r="5117">
      <c r="A5117" s="12" t="inlineStr">
        <is>
          <t>I-P-0167</t>
        </is>
      </c>
      <c r="B5117" s="12" t="inlineStr">
        <is>
          <t>I</t>
        </is>
      </c>
      <c r="C5117" s="12" t="inlineStr">
        <is>
          <t>Modular / portable power</t>
        </is>
      </c>
      <c r="D5117" s="12" t="inlineStr">
        <is>
          <t>480 V welding receptacle 2</t>
        </is>
      </c>
      <c r="E5117" s="12" t="inlineStr"/>
      <c r="F5117" s="12" t="inlineStr">
        <is>
          <t>PCM: power control module</t>
        </is>
      </c>
      <c r="G5117" s="12" t="inlineStr">
        <is>
          <t>RICE-8</t>
        </is>
      </c>
      <c r="H5117" s="12" t="inlineStr">
        <is>
          <t>RICE engine-generator 8</t>
        </is>
      </c>
      <c r="I5117" s="12" t="inlineStr">
        <is>
          <t>LV 600 V</t>
        </is>
      </c>
      <c r="J5117" s="12" t="inlineStr">
        <is>
          <t>Type TC-ER 600 V 3/C Cu XHHW-2 + ground, PVC jacket</t>
        </is>
      </c>
      <c r="K5117" s="12" t="inlineStr">
        <is>
          <t>LV|3/C+G|2</t>
        </is>
      </c>
      <c r="L5117" s="12" t="inlineStr">
        <is>
          <t>3/C+G</t>
        </is>
      </c>
      <c r="M5117" s="12" t="inlineStr">
        <is>
          <t>2</t>
        </is>
      </c>
      <c r="N5117" s="12" t="n">
        <v>1</v>
      </c>
      <c r="O5117" s="12" t="n">
        <v>1</v>
      </c>
      <c r="P5117" s="12" t="n">
        <v>480</v>
      </c>
      <c r="Q5117" s="12" t="n">
        <v>60</v>
      </c>
      <c r="R5117" s="12" t="n">
        <v>76</v>
      </c>
      <c r="S5117" s="12" t="inlineStr">
        <is>
          <t>Tray</t>
        </is>
      </c>
      <c r="T5117" s="17" t="n">
        <v>0</v>
      </c>
      <c r="U5117" s="17" t="n">
        <v>161</v>
      </c>
      <c r="V5117" s="17">
        <f>ROUNDUP((T5117+U5117+2*'Read Me'!$B$13)*(1+'Read Me'!$B$12),-1)</f>
        <v/>
      </c>
      <c r="W5117" s="17">
        <f>V5117*N5117*O5117</f>
        <v/>
      </c>
      <c r="X5117" s="12">
        <f>IF(LEFT(I5117,2)="MV",2*N5117*IF(L5117="1/C",O5117,1),0)</f>
        <v/>
      </c>
      <c r="Y5117" s="12">
        <f>IF(OR(LEFT(K5117,4)="LVAX",LEFT(K5117,6)="MV15AX",LEFT(K5117,4)="CTAX",LEFT(K5117,2)="W|"),2*N5117*O5117,0)</f>
        <v/>
      </c>
      <c r="Z5117" s="12" t="inlineStr">
        <is>
          <t>VD 0.9 %</t>
        </is>
      </c>
      <c r="AA5117" s="12">
        <f>N5117*O5117</f>
        <v/>
      </c>
    </row>
    <row r="5118">
      <c r="A5118" s="12" t="inlineStr">
        <is>
          <t>I-P-0168</t>
        </is>
      </c>
      <c r="B5118" s="12" t="inlineStr">
        <is>
          <t>I</t>
        </is>
      </c>
      <c r="C5118" s="12" t="inlineStr">
        <is>
          <t>Modular / portable power</t>
        </is>
      </c>
      <c r="D5118" s="12" t="inlineStr">
        <is>
          <t>480 V welding receptacle 3</t>
        </is>
      </c>
      <c r="E5118" s="12" t="inlineStr"/>
      <c r="F5118" s="12" t="inlineStr">
        <is>
          <t>PCM: power control module</t>
        </is>
      </c>
      <c r="G5118" s="12" t="inlineStr">
        <is>
          <t>RICE-8</t>
        </is>
      </c>
      <c r="H5118" s="12" t="inlineStr">
        <is>
          <t>RICE engine-generator 8</t>
        </is>
      </c>
      <c r="I5118" s="12" t="inlineStr">
        <is>
          <t>LV 600 V</t>
        </is>
      </c>
      <c r="J5118" s="12" t="inlineStr">
        <is>
          <t>Type TC-ER 600 V 3/C Cu XHHW-2 + ground, PVC jacket</t>
        </is>
      </c>
      <c r="K5118" s="12" t="inlineStr">
        <is>
          <t>LV|3/C+G|2</t>
        </is>
      </c>
      <c r="L5118" s="12" t="inlineStr">
        <is>
          <t>3/C+G</t>
        </is>
      </c>
      <c r="M5118" s="12" t="inlineStr">
        <is>
          <t>2</t>
        </is>
      </c>
      <c r="N5118" s="12" t="n">
        <v>1</v>
      </c>
      <c r="O5118" s="12" t="n">
        <v>1</v>
      </c>
      <c r="P5118" s="12" t="n">
        <v>480</v>
      </c>
      <c r="Q5118" s="12" t="n">
        <v>60</v>
      </c>
      <c r="R5118" s="12" t="n">
        <v>76</v>
      </c>
      <c r="S5118" s="12" t="inlineStr">
        <is>
          <t>Tray</t>
        </is>
      </c>
      <c r="T5118" s="17" t="n">
        <v>0</v>
      </c>
      <c r="U5118" s="17" t="n">
        <v>161</v>
      </c>
      <c r="V5118" s="17">
        <f>ROUNDUP((T5118+U5118+2*'Read Me'!$B$13)*(1+'Read Me'!$B$12),-1)</f>
        <v/>
      </c>
      <c r="W5118" s="17">
        <f>V5118*N5118*O5118</f>
        <v/>
      </c>
      <c r="X5118" s="12">
        <f>IF(LEFT(I5118,2)="MV",2*N5118*IF(L5118="1/C",O5118,1),0)</f>
        <v/>
      </c>
      <c r="Y5118" s="12">
        <f>IF(OR(LEFT(K5118,4)="LVAX",LEFT(K5118,6)="MV15AX",LEFT(K5118,4)="CTAX",LEFT(K5118,2)="W|"),2*N5118*O5118,0)</f>
        <v/>
      </c>
      <c r="Z5118" s="12" t="inlineStr">
        <is>
          <t>VD 0.9 %</t>
        </is>
      </c>
      <c r="AA5118" s="12">
        <f>N5118*O5118</f>
        <v/>
      </c>
    </row>
    <row r="5119">
      <c r="A5119" s="12" t="inlineStr">
        <is>
          <t>I-P-0169</t>
        </is>
      </c>
      <c r="B5119" s="12" t="inlineStr">
        <is>
          <t>I</t>
        </is>
      </c>
      <c r="C5119" s="12" t="inlineStr">
        <is>
          <t>Modular / portable power</t>
        </is>
      </c>
      <c r="D5119" s="12" t="inlineStr">
        <is>
          <t>480 V welding receptacle 4</t>
        </is>
      </c>
      <c r="E5119" s="12" t="inlineStr"/>
      <c r="F5119" s="12" t="inlineStr">
        <is>
          <t>PCM: power control module</t>
        </is>
      </c>
      <c r="G5119" s="12" t="inlineStr">
        <is>
          <t>RICE-8</t>
        </is>
      </c>
      <c r="H5119" s="12" t="inlineStr">
        <is>
          <t>RICE engine-generator 8</t>
        </is>
      </c>
      <c r="I5119" s="12" t="inlineStr">
        <is>
          <t>LV 600 V</t>
        </is>
      </c>
      <c r="J5119" s="12" t="inlineStr">
        <is>
          <t>Type TC-ER 600 V 3/C Cu XHHW-2 + ground, PVC jacket</t>
        </is>
      </c>
      <c r="K5119" s="12" t="inlineStr">
        <is>
          <t>LV|3/C+G|2</t>
        </is>
      </c>
      <c r="L5119" s="12" t="inlineStr">
        <is>
          <t>3/C+G</t>
        </is>
      </c>
      <c r="M5119" s="12" t="inlineStr">
        <is>
          <t>2</t>
        </is>
      </c>
      <c r="N5119" s="12" t="n">
        <v>1</v>
      </c>
      <c r="O5119" s="12" t="n">
        <v>1</v>
      </c>
      <c r="P5119" s="12" t="n">
        <v>480</v>
      </c>
      <c r="Q5119" s="12" t="n">
        <v>60</v>
      </c>
      <c r="R5119" s="12" t="n">
        <v>76</v>
      </c>
      <c r="S5119" s="12" t="inlineStr">
        <is>
          <t>Tray</t>
        </is>
      </c>
      <c r="T5119" s="17" t="n">
        <v>0</v>
      </c>
      <c r="U5119" s="17" t="n">
        <v>161</v>
      </c>
      <c r="V5119" s="17">
        <f>ROUNDUP((T5119+U5119+2*'Read Me'!$B$13)*(1+'Read Me'!$B$12),-1)</f>
        <v/>
      </c>
      <c r="W5119" s="17">
        <f>V5119*N5119*O5119</f>
        <v/>
      </c>
      <c r="X5119" s="12">
        <f>IF(LEFT(I5119,2)="MV",2*N5119*IF(L5119="1/C",O5119,1),0)</f>
        <v/>
      </c>
      <c r="Y5119" s="12">
        <f>IF(OR(LEFT(K5119,4)="LVAX",LEFT(K5119,6)="MV15AX",LEFT(K5119,4)="CTAX",LEFT(K5119,2)="W|"),2*N5119*O5119,0)</f>
        <v/>
      </c>
      <c r="Z5119" s="12" t="inlineStr">
        <is>
          <t>VD 0.9 %</t>
        </is>
      </c>
      <c r="AA5119" s="12">
        <f>N5119*O5119</f>
        <v/>
      </c>
    </row>
    <row r="5120">
      <c r="A5120" s="12" t="inlineStr">
        <is>
          <t>I-P-0170</t>
        </is>
      </c>
      <c r="B5120" s="12" t="inlineStr">
        <is>
          <t>I</t>
        </is>
      </c>
      <c r="C5120" s="12" t="inlineStr">
        <is>
          <t>Modular / portable power</t>
        </is>
      </c>
      <c r="D5120" s="12" t="inlineStr">
        <is>
          <t>LV power feeder</t>
        </is>
      </c>
      <c r="E5120" s="12" t="inlineStr"/>
      <c r="F5120" s="12" t="inlineStr">
        <is>
          <t>PCM: power control module</t>
        </is>
      </c>
      <c r="G5120" s="12" t="inlineStr"/>
      <c r="H5120" s="12" t="inlineStr">
        <is>
          <t>Reagent storage</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15</v>
      </c>
      <c r="R5120" s="12" t="n">
        <v>21.2</v>
      </c>
      <c r="S5120" s="12" t="inlineStr">
        <is>
          <t>Tray</t>
        </is>
      </c>
      <c r="T5120" s="17" t="n">
        <v>40</v>
      </c>
      <c r="U5120" s="17" t="n">
        <v>32</v>
      </c>
      <c r="V5120" s="17">
        <f>ROUNDUP((T5120+U5120+2*'Read Me'!$B$13)*(1+'Read Me'!$B$12),-1)</f>
        <v/>
      </c>
      <c r="W5120" s="17">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I-P-0171</t>
        </is>
      </c>
      <c r="B5121" s="12" t="inlineStr">
        <is>
          <t>I</t>
        </is>
      </c>
      <c r="C5121" s="12" t="inlineStr">
        <is>
          <t>Modular / portable power</t>
        </is>
      </c>
      <c r="D5121" s="12" t="inlineStr">
        <is>
          <t>SC-1 CEMS shelter panel: analysers, heated sample line, lighting</t>
        </is>
      </c>
      <c r="E5121" s="12" t="inlineStr"/>
      <c r="F5121" s="12" t="inlineStr">
        <is>
          <t>SC-1 PCM + 15 kV GCB</t>
        </is>
      </c>
      <c r="G5121" s="12" t="inlineStr"/>
      <c r="H5121" s="12" t="inlineStr">
        <is>
          <t>SC-1 CEMS shelter</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15</v>
      </c>
      <c r="R5121" s="12" t="n">
        <v>19</v>
      </c>
      <c r="S5121" s="12" t="inlineStr">
        <is>
          <t>Tray</t>
        </is>
      </c>
      <c r="T5121" s="17" t="n">
        <v>0</v>
      </c>
      <c r="U5121" s="17" t="n">
        <v>229</v>
      </c>
      <c r="V5121" s="17">
        <f>ROUNDUP((T5121+U5121+2*'Read Me'!$B$13)*(1+'Read Me'!$B$12),-1)</f>
        <v/>
      </c>
      <c r="W5121" s="17">
        <f>V5121*N5121*O5121</f>
        <v/>
      </c>
      <c r="X5121" s="12">
        <f>IF(LEFT(I5121,2)="MV",2*N5121*IF(L5121="1/C",O5121,1),0)</f>
        <v/>
      </c>
      <c r="Y5121" s="12">
        <f>IF(OR(LEFT(K5121,4)="LVAX",LEFT(K5121,6)="MV15AX",LEFT(K5121,4)="CTAX",LEFT(K5121,2)="W|"),2*N5121*O5121,0)</f>
        <v/>
      </c>
      <c r="Z5121" s="12" t="inlineStr">
        <is>
          <t>VD 2.1 %</t>
        </is>
      </c>
      <c r="AA5121" s="12">
        <f>N5121*O5121</f>
        <v/>
      </c>
    </row>
    <row r="5122">
      <c r="A5122" s="12" t="inlineStr">
        <is>
          <t>I-P-0172</t>
        </is>
      </c>
      <c r="B5122" s="12" t="inlineStr">
        <is>
          <t>I</t>
        </is>
      </c>
      <c r="C5122" s="12" t="inlineStr">
        <is>
          <t>Modular / portable power</t>
        </is>
      </c>
      <c r="D5122" s="12" t="inlineStr">
        <is>
          <t>Motor 1 of 2, 5 kW</t>
        </is>
      </c>
      <c r="E5122" s="12" t="inlineStr"/>
      <c r="F5122" s="12" t="inlineStr">
        <is>
          <t>SC-1 PCM + 15 kV GCB</t>
        </is>
      </c>
      <c r="G5122" s="12" t="inlineStr"/>
      <c r="H5122" s="12" t="inlineStr">
        <is>
          <t>SC-1 CEMS shelter</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5</v>
      </c>
      <c r="R5122" s="12" t="n">
        <v>7.1</v>
      </c>
      <c r="S5122" s="12" t="inlineStr">
        <is>
          <t>Tray</t>
        </is>
      </c>
      <c r="T5122" s="17" t="n">
        <v>0</v>
      </c>
      <c r="U5122" s="17" t="n">
        <v>229</v>
      </c>
      <c r="V5122" s="17">
        <f>ROUNDUP((T5122+U5122+2*'Read Me'!$B$13)*(1+'Read Me'!$B$12),-1)</f>
        <v/>
      </c>
      <c r="W5122" s="17">
        <f>V5122*N5122*O5122</f>
        <v/>
      </c>
      <c r="X5122" s="12">
        <f>IF(LEFT(I5122,2)="MV",2*N5122*IF(L5122="1/C",O5122,1),0)</f>
        <v/>
      </c>
      <c r="Y5122" s="12">
        <f>IF(OR(LEFT(K5122,4)="LVAX",LEFT(K5122,6)="MV15AX",LEFT(K5122,4)="CTAX",LEFT(K5122,2)="W|"),2*N5122*O5122,0)</f>
        <v/>
      </c>
      <c r="Z5122" s="12" t="inlineStr">
        <is>
          <t>VD 0.8 %</t>
        </is>
      </c>
      <c r="AA5122" s="12">
        <f>N5122*O5122</f>
        <v/>
      </c>
    </row>
    <row r="5123">
      <c r="A5123" s="12" t="inlineStr">
        <is>
          <t>I-P-0173</t>
        </is>
      </c>
      <c r="B5123" s="12" t="inlineStr">
        <is>
          <t>I</t>
        </is>
      </c>
      <c r="C5123" s="12" t="inlineStr">
        <is>
          <t>Modular / portable power</t>
        </is>
      </c>
      <c r="D5123" s="12" t="inlineStr">
        <is>
          <t>Motor 2 of 2, 5 kW</t>
        </is>
      </c>
      <c r="E5123" s="12" t="inlineStr"/>
      <c r="F5123" s="12" t="inlineStr">
        <is>
          <t>SC-1 PCM + 15 kV GCB</t>
        </is>
      </c>
      <c r="G5123" s="12" t="inlineStr"/>
      <c r="H5123" s="12" t="inlineStr">
        <is>
          <t>SC-1 CEMS shelter</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5</v>
      </c>
      <c r="R5123" s="12" t="n">
        <v>7.1</v>
      </c>
      <c r="S5123" s="12" t="inlineStr">
        <is>
          <t>Tray</t>
        </is>
      </c>
      <c r="T5123" s="17" t="n">
        <v>0</v>
      </c>
      <c r="U5123" s="17" t="n">
        <v>229</v>
      </c>
      <c r="V5123" s="17">
        <f>ROUNDUP((T5123+U5123+2*'Read Me'!$B$13)*(1+'Read Me'!$B$12),-1)</f>
        <v/>
      </c>
      <c r="W5123" s="17">
        <f>V5123*N5123*O5123</f>
        <v/>
      </c>
      <c r="X5123" s="12">
        <f>IF(LEFT(I5123,2)="MV",2*N5123*IF(L5123="1/C",O5123,1),0)</f>
        <v/>
      </c>
      <c r="Y5123" s="12">
        <f>IF(OR(LEFT(K5123,4)="LVAX",LEFT(K5123,6)="MV15AX",LEFT(K5123,4)="CTAX",LEFT(K5123,2)="W|"),2*N5123*O5123,0)</f>
        <v/>
      </c>
      <c r="Z5123" s="12" t="inlineStr">
        <is>
          <t>VD 0.8 %</t>
        </is>
      </c>
      <c r="AA5123" s="12">
        <f>N5123*O5123</f>
        <v/>
      </c>
    </row>
    <row r="5124">
      <c r="A5124" s="12" t="inlineStr">
        <is>
          <t>I-P-0174</t>
        </is>
      </c>
      <c r="B5124" s="12" t="inlineStr">
        <is>
          <t>I</t>
        </is>
      </c>
      <c r="C5124" s="12" t="inlineStr">
        <is>
          <t>Modular / portable power</t>
        </is>
      </c>
      <c r="D5124" s="12" t="inlineStr">
        <is>
          <t>SC-1 125 V DC battery to charger / DC panel</t>
        </is>
      </c>
      <c r="E5124" s="12" t="inlineStr"/>
      <c r="F5124" s="12" t="inlineStr">
        <is>
          <t>SC-1 PCM + 15 kV GCB</t>
        </is>
      </c>
      <c r="G5124" s="12" t="inlineStr"/>
      <c r="H5124" s="12" t="inlineStr">
        <is>
          <t>SC-1 PCM + 15 kV GCB</t>
        </is>
      </c>
      <c r="I5124" s="12" t="inlineStr">
        <is>
          <t>LV 600 V</t>
        </is>
      </c>
      <c r="J5124" s="12" t="inlineStr">
        <is>
          <t>XHHW-2 600 V 1/C Cu (feeder sets in tray / duct)</t>
        </is>
      </c>
      <c r="K5124" s="12" t="inlineStr">
        <is>
          <t>LV1C|1/C|4/0</t>
        </is>
      </c>
      <c r="L5124" s="12" t="inlineStr">
        <is>
          <t>1/C</t>
        </is>
      </c>
      <c r="M5124" s="12" t="inlineStr">
        <is>
          <t>4/0</t>
        </is>
      </c>
      <c r="N5124" s="12" t="n">
        <v>1</v>
      </c>
      <c r="O5124" s="12" t="n">
        <v>2</v>
      </c>
      <c r="P5124" s="12" t="n">
        <v>125</v>
      </c>
      <c r="Q5124" s="12" t="n"/>
      <c r="R5124" s="12" t="n"/>
      <c r="S5124" s="12" t="inlineStr">
        <is>
          <t>Tray</t>
        </is>
      </c>
      <c r="T5124" s="17" t="n">
        <v>15</v>
      </c>
      <c r="U5124" s="17" t="n">
        <v>5</v>
      </c>
      <c r="V5124" s="17">
        <f>ROUNDUP((T5124+U5124+2*'Read Me'!$B$13)*(1+'Read Me'!$B$12),-1)</f>
        <v/>
      </c>
      <c r="W5124" s="17">
        <f>V5124*N5124*O5124</f>
        <v/>
      </c>
      <c r="X5124" s="12">
        <f>IF(LEFT(I5124,2)="MV",2*N5124*IF(L5124="1/C",O5124,1),0)</f>
        <v/>
      </c>
      <c r="Y5124" s="12">
        <f>IF(OR(LEFT(K5124,4)="LVAX",LEFT(K5124,6)="MV15AX",LEFT(K5124,4)="CTAX",LEFT(K5124,2)="W|"),2*N5124*O5124,0)</f>
        <v/>
      </c>
      <c r="Z5124" s="12" t="inlineStr">
        <is>
          <t>battery rack inside the PCM</t>
        </is>
      </c>
      <c r="AA5124" s="12">
        <f>N5124*O5124</f>
        <v/>
      </c>
    </row>
    <row r="5125">
      <c r="A5125" s="12" t="inlineStr">
        <is>
          <t>I-P-0175</t>
        </is>
      </c>
      <c r="B5125" s="12" t="inlineStr">
        <is>
          <t>I</t>
        </is>
      </c>
      <c r="C5125" s="12" t="inlineStr">
        <is>
          <t>Modular / portable power</t>
        </is>
      </c>
      <c r="D5125" s="12" t="inlineStr">
        <is>
          <t>SC-1 PCM lighting, receptacles and HVAC (from its own 480 V board)</t>
        </is>
      </c>
      <c r="E5125" s="12" t="inlineStr"/>
      <c r="F5125" s="12" t="inlineStr">
        <is>
          <t>SC-1 PCM + 15 kV GCB</t>
        </is>
      </c>
      <c r="G5125" s="12" t="inlineStr"/>
      <c r="H5125" s="12" t="inlineStr">
        <is>
          <t>SC-1 PCM + 15 kV GCB</t>
        </is>
      </c>
      <c r="I5125" s="12" t="inlineStr">
        <is>
          <t>LV 600 V</t>
        </is>
      </c>
      <c r="J5125" s="12" t="inlineStr">
        <is>
          <t>Type TC-ER 600 V 3/C Cu XHHW-2 + ground, PVC jacket</t>
        </is>
      </c>
      <c r="K5125" s="12" t="inlineStr">
        <is>
          <t>LV|3/C+G|2</t>
        </is>
      </c>
      <c r="L5125" s="12" t="inlineStr">
        <is>
          <t>3/C+G</t>
        </is>
      </c>
      <c r="M5125" s="12" t="inlineStr">
        <is>
          <t>2</t>
        </is>
      </c>
      <c r="N5125" s="12" t="n">
        <v>1</v>
      </c>
      <c r="O5125" s="12" t="n">
        <v>1</v>
      </c>
      <c r="P5125" s="12" t="n">
        <v>480</v>
      </c>
      <c r="Q5125" s="12" t="n">
        <v>40</v>
      </c>
      <c r="R5125" s="12" t="n"/>
      <c r="S5125" s="12" t="inlineStr">
        <is>
          <t>Tray</t>
        </is>
      </c>
      <c r="T5125" s="17" t="n">
        <v>80</v>
      </c>
      <c r="U5125" s="17" t="n">
        <v>10</v>
      </c>
      <c r="V5125" s="17">
        <f>ROUNDUP((T5125+U5125+2*'Read Me'!$B$13)*(1+'Read Me'!$B$12),-1)</f>
        <v/>
      </c>
      <c r="W5125" s="17">
        <f>V5125*N5125*O5125</f>
        <v/>
      </c>
      <c r="X5125" s="12">
        <f>IF(LEFT(I5125,2)="MV",2*N5125*IF(L5125="1/C",O5125,1),0)</f>
        <v/>
      </c>
      <c r="Y5125" s="12">
        <f>IF(OR(LEFT(K5125,4)="LVAX",LEFT(K5125,6)="MV15AX",LEFT(K5125,4)="CTAX",LEFT(K5125,2)="W|"),2*N5125*O5125,0)</f>
        <v/>
      </c>
      <c r="Z5125" s="12" t="inlineStr">
        <is>
          <t>internal to the PCM; aux transformer 13.8 kV / 480 V inside</t>
        </is>
      </c>
      <c r="AA5125" s="12">
        <f>N5125*O5125</f>
        <v/>
      </c>
    </row>
    <row r="5126">
      <c r="A5126" s="12" t="inlineStr">
        <is>
          <t>I-P-0176</t>
        </is>
      </c>
      <c r="B5126" s="12" t="inlineStr">
        <is>
          <t>I</t>
        </is>
      </c>
      <c r="C5126" s="12" t="inlineStr">
        <is>
          <t>Modular / portable power</t>
        </is>
      </c>
      <c r="D5126" s="12" t="inlineStr">
        <is>
          <t>Area / platform lighting circuit 1 (10 fixtures)</t>
        </is>
      </c>
      <c r="E5126" s="12" t="inlineStr"/>
      <c r="F5126" s="12" t="inlineStr">
        <is>
          <t>SC-1 PCM + 15 kV GCB</t>
        </is>
      </c>
      <c r="G5126" s="12" t="inlineStr"/>
      <c r="H5126" s="12" t="inlineStr">
        <is>
          <t>SC-1 SCR / CO catalyst</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v>
      </c>
      <c r="R5126" s="12" t="n">
        <v>5</v>
      </c>
      <c r="S5126" s="12" t="inlineStr">
        <is>
          <t>Tray</t>
        </is>
      </c>
      <c r="T5126" s="17" t="n">
        <v>300</v>
      </c>
      <c r="U5126" s="17" t="n">
        <v>154</v>
      </c>
      <c r="V5126" s="17">
        <f>ROUNDUP((T5126+U5126+2*'Read Me'!$B$13)*(1+'Read Me'!$B$12),-1)</f>
        <v/>
      </c>
      <c r="W5126" s="17">
        <f>V5126*N5126*O5126</f>
        <v/>
      </c>
      <c r="X5126" s="12">
        <f>IF(LEFT(I5126,2)="MV",2*N5126*IF(L5126="1/C",O5126,1),0)</f>
        <v/>
      </c>
      <c r="Y5126" s="12">
        <f>IF(OR(LEFT(K5126,4)="LVAX",LEFT(K5126,6)="MV15AX",LEFT(K5126,4)="CTAX",LEFT(K5126,2)="W|"),2*N5126*O5126,0)</f>
        <v/>
      </c>
      <c r="Z5126" s="12" t="inlineStr">
        <is>
          <t>fixture-to-fixture run included</t>
        </is>
      </c>
      <c r="AA5126" s="12">
        <f>N5126*O5126</f>
        <v/>
      </c>
    </row>
    <row r="5127">
      <c r="A5127" s="12" t="inlineStr">
        <is>
          <t>I-P-0177</t>
        </is>
      </c>
      <c r="B5127" s="12" t="inlineStr">
        <is>
          <t>I</t>
        </is>
      </c>
      <c r="C5127" s="12" t="inlineStr">
        <is>
          <t>Modular / portable power</t>
        </is>
      </c>
      <c r="D5127" s="12" t="inlineStr">
        <is>
          <t>SC-1 ammonia vaporiser electric heater</t>
        </is>
      </c>
      <c r="E5127" s="12" t="inlineStr"/>
      <c r="F5127" s="12" t="inlineStr">
        <is>
          <t>SC-1 PCM + 15 kV GCB</t>
        </is>
      </c>
      <c r="G5127" s="12" t="inlineStr"/>
      <c r="H5127" s="12" t="inlineStr">
        <is>
          <t>SC-1 ammonia flow-control unit</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45</v>
      </c>
      <c r="R5127" s="12" t="n">
        <v>57</v>
      </c>
      <c r="S5127" s="12" t="inlineStr">
        <is>
          <t>Tray</t>
        </is>
      </c>
      <c r="T5127" s="17" t="n">
        <v>0</v>
      </c>
      <c r="U5127" s="17" t="n">
        <v>152</v>
      </c>
      <c r="V5127" s="17">
        <f>ROUNDUP((T5127+U5127+2*'Read Me'!$B$13)*(1+'Read Me'!$B$12),-1)</f>
        <v/>
      </c>
      <c r="W5127" s="17">
        <f>V5127*N5127*O5127</f>
        <v/>
      </c>
      <c r="X5127" s="12">
        <f>IF(LEFT(I5127,2)="MV",2*N5127*IF(L5127="1/C",O5127,1),0)</f>
        <v/>
      </c>
      <c r="Y5127" s="12">
        <f>IF(OR(LEFT(K5127,4)="LVAX",LEFT(K5127,6)="MV15AX",LEFT(K5127,4)="CTAX",LEFT(K5127,2)="W|"),2*N5127*O5127,0)</f>
        <v/>
      </c>
      <c r="Z5127" s="12" t="inlineStr">
        <is>
          <t>VD 1.1 %</t>
        </is>
      </c>
      <c r="AA5127" s="12">
        <f>N5127*O5127</f>
        <v/>
      </c>
    </row>
    <row r="5128">
      <c r="A5128" s="12" t="inlineStr">
        <is>
          <t>I-P-0178</t>
        </is>
      </c>
      <c r="B5128" s="12" t="inlineStr">
        <is>
          <t>I</t>
        </is>
      </c>
      <c r="C5128" s="12" t="inlineStr">
        <is>
          <t>Modular / portable power</t>
        </is>
      </c>
      <c r="D5128" s="12" t="inlineStr">
        <is>
          <t>Motor 1 of 2, 7.5 kW</t>
        </is>
      </c>
      <c r="E5128" s="12" t="inlineStr"/>
      <c r="F5128" s="12" t="inlineStr">
        <is>
          <t>SC-1 PCM + 15 kV GCB</t>
        </is>
      </c>
      <c r="G5128" s="12" t="inlineStr"/>
      <c r="H5128" s="12" t="inlineStr">
        <is>
          <t>SC-1 ammonia flow-control unit</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7.5</v>
      </c>
      <c r="R5128" s="12" t="n">
        <v>10.6</v>
      </c>
      <c r="S5128" s="12" t="inlineStr">
        <is>
          <t>Tray</t>
        </is>
      </c>
      <c r="T5128" s="17" t="n">
        <v>0</v>
      </c>
      <c r="U5128" s="17" t="n">
        <v>152</v>
      </c>
      <c r="V5128" s="17">
        <f>ROUNDUP((T5128+U5128+2*'Read Me'!$B$13)*(1+'Read Me'!$B$12),-1)</f>
        <v/>
      </c>
      <c r="W5128" s="17">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I-P-0179</t>
        </is>
      </c>
      <c r="B5129" s="12" t="inlineStr">
        <is>
          <t>I</t>
        </is>
      </c>
      <c r="C5129" s="12" t="inlineStr">
        <is>
          <t>Modular / portable power</t>
        </is>
      </c>
      <c r="D5129" s="12" t="inlineStr">
        <is>
          <t>Motor 2 of 2, 7.5 kW</t>
        </is>
      </c>
      <c r="E5129" s="12" t="inlineStr"/>
      <c r="F5129" s="12" t="inlineStr">
        <is>
          <t>SC-1 PCM + 15 kV GCB</t>
        </is>
      </c>
      <c r="G5129" s="12" t="inlineStr"/>
      <c r="H5129" s="12" t="inlineStr">
        <is>
          <t>SC-1 ammonia flow-control unit</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7.5</v>
      </c>
      <c r="R5129" s="12" t="n">
        <v>10.6</v>
      </c>
      <c r="S5129" s="12" t="inlineStr">
        <is>
          <t>Tray</t>
        </is>
      </c>
      <c r="T5129" s="17" t="n">
        <v>0</v>
      </c>
      <c r="U5129" s="17" t="n">
        <v>152</v>
      </c>
      <c r="V5129" s="17">
        <f>ROUNDUP((T5129+U5129+2*'Read Me'!$B$13)*(1+'Read Me'!$B$12),-1)</f>
        <v/>
      </c>
      <c r="W5129" s="17">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I-P-0180</t>
        </is>
      </c>
      <c r="B5130" s="12" t="inlineStr">
        <is>
          <t>I</t>
        </is>
      </c>
      <c r="C5130" s="12" t="inlineStr">
        <is>
          <t>Modular / portable power</t>
        </is>
      </c>
      <c r="D5130" s="12" t="inlineStr">
        <is>
          <t>SC-1 water-wash tank heater</t>
        </is>
      </c>
      <c r="E5130" s="12" t="inlineStr"/>
      <c r="F5130" s="12" t="inlineStr">
        <is>
          <t>SC-1 PCM + 15 kV GCB</t>
        </is>
      </c>
      <c r="G5130" s="12" t="inlineStr"/>
      <c r="H5130" s="12" t="inlineStr">
        <is>
          <t>SC-1 auxiliary skids: fuel-gas module, water-wash skid</t>
        </is>
      </c>
      <c r="I5130" s="12" t="inlineStr">
        <is>
          <t>LV 600 V</t>
        </is>
      </c>
      <c r="J5130" s="12" t="inlineStr">
        <is>
          <t>ARMOR-X MC-HL 600 V 3/C Cu XHHW-2 + ground, CWA, black PVC (Class I Div 2)</t>
        </is>
      </c>
      <c r="K5130" s="12" t="inlineStr">
        <is>
          <t>LVAX|3/C+G|10</t>
        </is>
      </c>
      <c r="L5130" s="12" t="inlineStr">
        <is>
          <t>3/C+G</t>
        </is>
      </c>
      <c r="M5130" s="12" t="inlineStr">
        <is>
          <t>10</t>
        </is>
      </c>
      <c r="N5130" s="12" t="n">
        <v>1</v>
      </c>
      <c r="O5130" s="12" t="n">
        <v>1</v>
      </c>
      <c r="P5130" s="12" t="n">
        <v>480</v>
      </c>
      <c r="Q5130" s="12" t="n">
        <v>6</v>
      </c>
      <c r="R5130" s="12" t="n">
        <v>7.6</v>
      </c>
      <c r="S5130" s="12" t="inlineStr">
        <is>
          <t>Tray</t>
        </is>
      </c>
      <c r="T5130" s="17" t="n">
        <v>0</v>
      </c>
      <c r="U5130" s="17" t="n">
        <v>77</v>
      </c>
      <c r="V5130" s="17">
        <f>ROUNDUP((T5130+U5130+2*'Read Me'!$B$13)*(1+'Read Me'!$B$12),-1)</f>
        <v/>
      </c>
      <c r="W5130" s="17">
        <f>V5130*N5130*O5130</f>
        <v/>
      </c>
      <c r="X5130" s="12">
        <f>IF(LEFT(I5130,2)="MV",2*N5130*IF(L5130="1/C",O5130,1),0)</f>
        <v/>
      </c>
      <c r="Y5130" s="12">
        <f>IF(OR(LEFT(K5130,4)="LVAX",LEFT(K5130,6)="MV15AX",LEFT(K5130,4)="CTAX",LEFT(K5130,2)="W|"),2*N5130*O5130,0)</f>
        <v/>
      </c>
      <c r="Z5130" s="12" t="inlineStr">
        <is>
          <t>VD 0.3 %</t>
        </is>
      </c>
      <c r="AA5130" s="12">
        <f>N5130*O5130</f>
        <v/>
      </c>
    </row>
    <row r="5131">
      <c r="A5131" s="12" t="inlineStr">
        <is>
          <t>I-P-0181</t>
        </is>
      </c>
      <c r="B5131" s="12" t="inlineStr">
        <is>
          <t>I</t>
        </is>
      </c>
      <c r="C5131" s="12" t="inlineStr">
        <is>
          <t>Modular / portable power</t>
        </is>
      </c>
      <c r="D5131" s="12" t="inlineStr">
        <is>
          <t>Motor 1 of 1, 7.5 kW</t>
        </is>
      </c>
      <c r="E5131" s="12" t="inlineStr"/>
      <c r="F5131" s="12" t="inlineStr">
        <is>
          <t>SC-1 PCM + 15 kV GCB</t>
        </is>
      </c>
      <c r="G5131" s="12" t="inlineStr"/>
      <c r="H5131" s="12" t="inlineStr">
        <is>
          <t>SC-1 auxiliary skids: fuel-gas module, water-wash skid</t>
        </is>
      </c>
      <c r="I5131" s="12" t="inlineStr">
        <is>
          <t>LV 600 V</t>
        </is>
      </c>
      <c r="J5131" s="12" t="inlineStr">
        <is>
          <t>ARMOR-X MC-HL 600 V 3/C Cu XHHW-2 + ground, CWA, black PVC (Class I Div 2)</t>
        </is>
      </c>
      <c r="K5131" s="12" t="inlineStr">
        <is>
          <t>LVAX|3/C+G|10</t>
        </is>
      </c>
      <c r="L5131" s="12" t="inlineStr">
        <is>
          <t>3/C+G</t>
        </is>
      </c>
      <c r="M5131" s="12" t="inlineStr">
        <is>
          <t>10</t>
        </is>
      </c>
      <c r="N5131" s="12" t="n">
        <v>1</v>
      </c>
      <c r="O5131" s="12" t="n">
        <v>1</v>
      </c>
      <c r="P5131" s="12" t="n">
        <v>480</v>
      </c>
      <c r="Q5131" s="12" t="n">
        <v>7.5</v>
      </c>
      <c r="R5131" s="12" t="n">
        <v>10.6</v>
      </c>
      <c r="S5131" s="12" t="inlineStr">
        <is>
          <t>Tray</t>
        </is>
      </c>
      <c r="T5131" s="17" t="n">
        <v>0</v>
      </c>
      <c r="U5131" s="17" t="n">
        <v>77</v>
      </c>
      <c r="V5131" s="17">
        <f>ROUNDUP((T5131+U5131+2*'Read Me'!$B$13)*(1+'Read Me'!$B$12),-1)</f>
        <v/>
      </c>
      <c r="W5131" s="17">
        <f>V5131*N5131*O5131</f>
        <v/>
      </c>
      <c r="X5131" s="12">
        <f>IF(LEFT(I5131,2)="MV",2*N5131*IF(L5131="1/C",O5131,1),0)</f>
        <v/>
      </c>
      <c r="Y5131" s="12">
        <f>IF(OR(LEFT(K5131,4)="LVAX",LEFT(K5131,6)="MV15AX",LEFT(K5131,4)="CTAX",LEFT(K5131,2)="W|"),2*N5131*O5131,0)</f>
        <v/>
      </c>
      <c r="Z5131" s="12" t="inlineStr">
        <is>
          <t>VD 0.4 %</t>
        </is>
      </c>
      <c r="AA5131" s="12">
        <f>N5131*O5131</f>
        <v/>
      </c>
    </row>
    <row r="5132">
      <c r="A5132" s="12" t="inlineStr">
        <is>
          <t>I-P-0182</t>
        </is>
      </c>
      <c r="B5132" s="12" t="inlineStr">
        <is>
          <t>I</t>
        </is>
      </c>
      <c r="C5132" s="12" t="inlineStr">
        <is>
          <t>Modular / portable power</t>
        </is>
      </c>
      <c r="D5132" s="12" t="inlineStr">
        <is>
          <t>Motor 1 of 4, 15 kW</t>
        </is>
      </c>
      <c r="E5132" s="12" t="inlineStr"/>
      <c r="F5132" s="12" t="inlineStr">
        <is>
          <t>SC-1 PCM + 15 kV GCB</t>
        </is>
      </c>
      <c r="G5132" s="12" t="inlineStr"/>
      <c r="H5132" s="12" t="inlineStr">
        <is>
          <t>SC-1 lube-oil fin-fan cooler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15</v>
      </c>
      <c r="R5132" s="12" t="n">
        <v>21.2</v>
      </c>
      <c r="S5132" s="12" t="inlineStr">
        <is>
          <t>Tray</t>
        </is>
      </c>
      <c r="T5132" s="17" t="n">
        <v>0</v>
      </c>
      <c r="U5132" s="17" t="n">
        <v>82</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I-P-0183</t>
        </is>
      </c>
      <c r="B5133" s="12" t="inlineStr">
        <is>
          <t>I</t>
        </is>
      </c>
      <c r="C5133" s="12" t="inlineStr">
        <is>
          <t>Modular / portable power</t>
        </is>
      </c>
      <c r="D5133" s="12" t="inlineStr">
        <is>
          <t>Motor 2 of 4, 15 kW</t>
        </is>
      </c>
      <c r="E5133" s="12" t="inlineStr"/>
      <c r="F5133" s="12" t="inlineStr">
        <is>
          <t>SC-1 PCM + 15 kV GCB</t>
        </is>
      </c>
      <c r="G5133" s="12" t="inlineStr"/>
      <c r="H5133" s="12" t="inlineStr">
        <is>
          <t>SC-1 lube-oil fin-fan cooler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15</v>
      </c>
      <c r="R5133" s="12" t="n">
        <v>21.2</v>
      </c>
      <c r="S5133" s="12" t="inlineStr">
        <is>
          <t>Tray</t>
        </is>
      </c>
      <c r="T5133" s="17" t="n">
        <v>0</v>
      </c>
      <c r="U5133" s="17" t="n">
        <v>82</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I-P-0184</t>
        </is>
      </c>
      <c r="B5134" s="12" t="inlineStr">
        <is>
          <t>I</t>
        </is>
      </c>
      <c r="C5134" s="12" t="inlineStr">
        <is>
          <t>Modular / portable power</t>
        </is>
      </c>
      <c r="D5134" s="12" t="inlineStr">
        <is>
          <t>Motor 3 of 4, 15 kW</t>
        </is>
      </c>
      <c r="E5134" s="12" t="inlineStr"/>
      <c r="F5134" s="12" t="inlineStr">
        <is>
          <t>SC-1 PCM + 15 kV GCB</t>
        </is>
      </c>
      <c r="G5134" s="12" t="inlineStr"/>
      <c r="H5134" s="12" t="inlineStr">
        <is>
          <t>SC-1 lube-oil fin-fan cooler</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15</v>
      </c>
      <c r="R5134" s="12" t="n">
        <v>21.2</v>
      </c>
      <c r="S5134" s="12" t="inlineStr">
        <is>
          <t>Tray</t>
        </is>
      </c>
      <c r="T5134" s="17" t="n">
        <v>0</v>
      </c>
      <c r="U5134" s="17" t="n">
        <v>82</v>
      </c>
      <c r="V5134" s="17">
        <f>ROUNDUP((T5134+U5134+2*'Read Me'!$B$13)*(1+'Read Me'!$B$12),-1)</f>
        <v/>
      </c>
      <c r="W5134" s="17">
        <f>V5134*N5134*O5134</f>
        <v/>
      </c>
      <c r="X5134" s="12">
        <f>IF(LEFT(I5134,2)="MV",2*N5134*IF(L5134="1/C",O5134,1),0)</f>
        <v/>
      </c>
      <c r="Y5134" s="12">
        <f>IF(OR(LEFT(K5134,4)="LVAX",LEFT(K5134,6)="MV15AX",LEFT(K5134,4)="CTAX",LEFT(K5134,2)="W|"),2*N5134*O5134,0)</f>
        <v/>
      </c>
      <c r="Z5134" s="12" t="inlineStr">
        <is>
          <t>VD 0.8 %</t>
        </is>
      </c>
      <c r="AA5134" s="12">
        <f>N5134*O5134</f>
        <v/>
      </c>
    </row>
    <row r="5135">
      <c r="A5135" s="12" t="inlineStr">
        <is>
          <t>I-P-0185</t>
        </is>
      </c>
      <c r="B5135" s="12" t="inlineStr">
        <is>
          <t>I</t>
        </is>
      </c>
      <c r="C5135" s="12" t="inlineStr">
        <is>
          <t>Modular / portable power</t>
        </is>
      </c>
      <c r="D5135" s="12" t="inlineStr">
        <is>
          <t>Motor 4 of 4, 15 kW</t>
        </is>
      </c>
      <c r="E5135" s="12" t="inlineStr"/>
      <c r="F5135" s="12" t="inlineStr">
        <is>
          <t>SC-1 PCM + 15 kV GCB</t>
        </is>
      </c>
      <c r="G5135" s="12" t="inlineStr"/>
      <c r="H5135" s="12" t="inlineStr">
        <is>
          <t>SC-1 lube-oil fin-fan cooler</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15</v>
      </c>
      <c r="R5135" s="12" t="n">
        <v>21.2</v>
      </c>
      <c r="S5135" s="12" t="inlineStr">
        <is>
          <t>Tray</t>
        </is>
      </c>
      <c r="T5135" s="17" t="n">
        <v>0</v>
      </c>
      <c r="U5135" s="17" t="n">
        <v>82</v>
      </c>
      <c r="V5135" s="17">
        <f>ROUNDUP((T5135+U5135+2*'Read Me'!$B$13)*(1+'Read Me'!$B$12),-1)</f>
        <v/>
      </c>
      <c r="W5135" s="17">
        <f>V5135*N5135*O5135</f>
        <v/>
      </c>
      <c r="X5135" s="12">
        <f>IF(LEFT(I5135,2)="MV",2*N5135*IF(L5135="1/C",O5135,1),0)</f>
        <v/>
      </c>
      <c r="Y5135" s="12">
        <f>IF(OR(LEFT(K5135,4)="LVAX",LEFT(K5135,6)="MV15AX",LEFT(K5135,4)="CTAX",LEFT(K5135,2)="W|"),2*N5135*O5135,0)</f>
        <v/>
      </c>
      <c r="Z5135" s="12" t="inlineStr">
        <is>
          <t>VD 0.8 %</t>
        </is>
      </c>
      <c r="AA5135" s="12">
        <f>N5135*O5135</f>
        <v/>
      </c>
    </row>
    <row r="5136">
      <c r="A5136" s="12" t="inlineStr">
        <is>
          <t>I-P-0186</t>
        </is>
      </c>
      <c r="B5136" s="12" t="inlineStr">
        <is>
          <t>I</t>
        </is>
      </c>
      <c r="C5136" s="12" t="inlineStr">
        <is>
          <t>Modular / portable power</t>
        </is>
      </c>
      <c r="D5136" s="12" t="inlineStr">
        <is>
          <t>Area / platform lighting circuit 1 (4 fixtures)</t>
        </is>
      </c>
      <c r="E5136" s="12" t="inlineStr"/>
      <c r="F5136" s="12" t="inlineStr">
        <is>
          <t>SC-1 PCM + 15 kV GCB</t>
        </is>
      </c>
      <c r="G5136" s="12" t="inlineStr"/>
      <c r="H5136" s="12" t="inlineStr">
        <is>
          <t>SC-1 stack (80 ft)</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3</v>
      </c>
      <c r="R5136" s="12" t="n">
        <v>5</v>
      </c>
      <c r="S5136" s="12" t="inlineStr">
        <is>
          <t>Tray</t>
        </is>
      </c>
      <c r="T5136" s="17" t="n">
        <v>300</v>
      </c>
      <c r="U5136" s="17" t="n">
        <v>208</v>
      </c>
      <c r="V5136" s="17">
        <f>ROUNDUP((T5136+U5136+2*'Read Me'!$B$13)*(1+'Read Me'!$B$12),-1)</f>
        <v/>
      </c>
      <c r="W5136" s="17">
        <f>V5136*N5136*O5136</f>
        <v/>
      </c>
      <c r="X5136" s="12">
        <f>IF(LEFT(I5136,2)="MV",2*N5136*IF(L5136="1/C",O5136,1),0)</f>
        <v/>
      </c>
      <c r="Y5136" s="12">
        <f>IF(OR(LEFT(K5136,4)="LVAX",LEFT(K5136,6)="MV15AX",LEFT(K5136,4)="CTAX",LEFT(K5136,2)="W|"),2*N5136*O5136,0)</f>
        <v/>
      </c>
      <c r="Z5136" s="12" t="inlineStr">
        <is>
          <t>fixture-to-fixture run included</t>
        </is>
      </c>
      <c r="AA5136" s="12">
        <f>N5136*O5136</f>
        <v/>
      </c>
    </row>
    <row r="5137">
      <c r="A5137" s="12" t="inlineStr">
        <is>
          <t>I-P-0187</t>
        </is>
      </c>
      <c r="B5137" s="12" t="inlineStr">
        <is>
          <t>I</t>
        </is>
      </c>
      <c r="C5137" s="12" t="inlineStr">
        <is>
          <t>Modular / portable power</t>
        </is>
      </c>
      <c r="D5137" s="12" t="inlineStr">
        <is>
          <t>Motor 1 of 2, 185 kW</t>
        </is>
      </c>
      <c r="E5137" s="12" t="inlineStr"/>
      <c r="F5137" s="12" t="inlineStr">
        <is>
          <t>SC-1 PCM + 15 kV GCB</t>
        </is>
      </c>
      <c r="G5137" s="12" t="inlineStr"/>
      <c r="H5137" s="12" t="inlineStr">
        <is>
          <t>SC-1 tempering-air fans (2 x 100 %)</t>
        </is>
      </c>
      <c r="I5137" s="12" t="inlineStr">
        <is>
          <t>LV 600 V</t>
        </is>
      </c>
      <c r="J5137" s="12" t="inlineStr">
        <is>
          <t>Type TC-ER 600 V 3/C Cu XHHW-2 + ground, PVC jacket</t>
        </is>
      </c>
      <c r="K5137" s="12" t="inlineStr">
        <is>
          <t>LV|3/C+G|500</t>
        </is>
      </c>
      <c r="L5137" s="12" t="inlineStr">
        <is>
          <t>3/C+G</t>
        </is>
      </c>
      <c r="M5137" s="12" t="inlineStr">
        <is>
          <t>500 kcmil</t>
        </is>
      </c>
      <c r="N5137" s="12" t="n">
        <v>1</v>
      </c>
      <c r="O5137" s="12" t="n">
        <v>1</v>
      </c>
      <c r="P5137" s="12" t="n">
        <v>480</v>
      </c>
      <c r="Q5137" s="12" t="n">
        <v>185</v>
      </c>
      <c r="R5137" s="12" t="n">
        <v>261.8</v>
      </c>
      <c r="S5137" s="12" t="inlineStr">
        <is>
          <t>Tray</t>
        </is>
      </c>
      <c r="T5137" s="17" t="n">
        <v>0</v>
      </c>
      <c r="U5137" s="17" t="n">
        <v>156</v>
      </c>
      <c r="V5137" s="17">
        <f>ROUNDUP((T5137+U5137+2*'Read Me'!$B$13)*(1+'Read Me'!$B$12),-1)</f>
        <v/>
      </c>
      <c r="W5137" s="17">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I-P-0188</t>
        </is>
      </c>
      <c r="B5138" s="12" t="inlineStr">
        <is>
          <t>I</t>
        </is>
      </c>
      <c r="C5138" s="12" t="inlineStr">
        <is>
          <t>Modular / portable power</t>
        </is>
      </c>
      <c r="D5138" s="12" t="inlineStr">
        <is>
          <t>Motor 2 of 2, 185 kW</t>
        </is>
      </c>
      <c r="E5138" s="12" t="inlineStr"/>
      <c r="F5138" s="12" t="inlineStr">
        <is>
          <t>SC-1 PCM + 15 kV GCB</t>
        </is>
      </c>
      <c r="G5138" s="12" t="inlineStr"/>
      <c r="H5138" s="12" t="inlineStr">
        <is>
          <t>SC-1 tempering-air fans (2 x 100 %)</t>
        </is>
      </c>
      <c r="I5138" s="12" t="inlineStr">
        <is>
          <t>LV 600 V</t>
        </is>
      </c>
      <c r="J5138" s="12" t="inlineStr">
        <is>
          <t>Type TC-ER 600 V 3/C Cu XHHW-2 + ground, PVC jacket</t>
        </is>
      </c>
      <c r="K5138" s="12" t="inlineStr">
        <is>
          <t>LV|3/C+G|500</t>
        </is>
      </c>
      <c r="L5138" s="12" t="inlineStr">
        <is>
          <t>3/C+G</t>
        </is>
      </c>
      <c r="M5138" s="12" t="inlineStr">
        <is>
          <t>500 kcmil</t>
        </is>
      </c>
      <c r="N5138" s="12" t="n">
        <v>1</v>
      </c>
      <c r="O5138" s="12" t="n">
        <v>1</v>
      </c>
      <c r="P5138" s="12" t="n">
        <v>480</v>
      </c>
      <c r="Q5138" s="12" t="n">
        <v>185</v>
      </c>
      <c r="R5138" s="12" t="n">
        <v>261.8</v>
      </c>
      <c r="S5138" s="12" t="inlineStr">
        <is>
          <t>Tray</t>
        </is>
      </c>
      <c r="T5138" s="17" t="n">
        <v>0</v>
      </c>
      <c r="U5138" s="17" t="n">
        <v>156</v>
      </c>
      <c r="V5138" s="17">
        <f>ROUNDUP((T5138+U5138+2*'Read Me'!$B$13)*(1+'Read Me'!$B$12),-1)</f>
        <v/>
      </c>
      <c r="W5138" s="17">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I-P-0189</t>
        </is>
      </c>
      <c r="B5139" s="12" t="inlineStr">
        <is>
          <t>I</t>
        </is>
      </c>
      <c r="C5139" s="12" t="inlineStr">
        <is>
          <t>Modular / portable power</t>
        </is>
      </c>
      <c r="D5139" s="12" t="inlineStr">
        <is>
          <t>Area / platform lighting circuit 1 (4 fixtures)</t>
        </is>
      </c>
      <c r="E5139" s="12" t="inlineStr"/>
      <c r="F5139" s="12" t="inlineStr">
        <is>
          <t>SC-1 PCM + 15 kV GCB</t>
        </is>
      </c>
      <c r="G5139" s="12" t="inlineStr"/>
      <c r="H5139" s="12" t="inlineStr">
        <is>
          <t>SC-1 tempering-air fans (2 x 100 %)</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v>
      </c>
      <c r="R5139" s="12" t="n">
        <v>5</v>
      </c>
      <c r="S5139" s="12" t="inlineStr">
        <is>
          <t>Tray</t>
        </is>
      </c>
      <c r="T5139" s="17" t="n">
        <v>300</v>
      </c>
      <c r="U5139" s="17" t="n">
        <v>156</v>
      </c>
      <c r="V5139" s="17">
        <f>ROUNDUP((T5139+U5139+2*'Read Me'!$B$13)*(1+'Read Me'!$B$12),-1)</f>
        <v/>
      </c>
      <c r="W5139" s="17">
        <f>V5139*N5139*O5139</f>
        <v/>
      </c>
      <c r="X5139" s="12">
        <f>IF(LEFT(I5139,2)="MV",2*N5139*IF(L5139="1/C",O5139,1),0)</f>
        <v/>
      </c>
      <c r="Y5139" s="12">
        <f>IF(OR(LEFT(K5139,4)="LVAX",LEFT(K5139,6)="MV15AX",LEFT(K5139,4)="CTAX",LEFT(K5139,2)="W|"),2*N5139*O5139,0)</f>
        <v/>
      </c>
      <c r="Z5139" s="12" t="inlineStr">
        <is>
          <t>fixture-to-fixture run included</t>
        </is>
      </c>
      <c r="AA5139" s="12">
        <f>N5139*O5139</f>
        <v/>
      </c>
    </row>
    <row r="5140">
      <c r="A5140" s="12" t="inlineStr">
        <is>
          <t>I-P-0190</t>
        </is>
      </c>
      <c r="B5140" s="12" t="inlineStr">
        <is>
          <t>I</t>
        </is>
      </c>
      <c r="C5140" s="12" t="inlineStr">
        <is>
          <t>Modular / portable power</t>
        </is>
      </c>
      <c r="D5140" s="12" t="inlineStr">
        <is>
          <t>SC-1 emergency DC lube-oil pump (125 V DC, coast-down)</t>
        </is>
      </c>
      <c r="E5140" s="12" t="inlineStr"/>
      <c r="F5140" s="12" t="inlineStr">
        <is>
          <t>SC-1 PCM + 15 kV GCB</t>
        </is>
      </c>
      <c r="G5140" s="12" t="inlineStr">
        <is>
          <t>SC-1</t>
        </is>
      </c>
      <c r="H5140" s="12" t="inlineStr">
        <is>
          <t>SC-1: aeroderivative simple-cycle unit (LM6000 class)</t>
        </is>
      </c>
      <c r="I5140" s="12" t="inlineStr">
        <is>
          <t>LV 600 V</t>
        </is>
      </c>
      <c r="J5140" s="12" t="inlineStr">
        <is>
          <t>XHHW-2 600 V 1/C Cu (feeder sets in tray / duct)</t>
        </is>
      </c>
      <c r="K5140" s="12" t="inlineStr">
        <is>
          <t>LV1C|1/C|2</t>
        </is>
      </c>
      <c r="L5140" s="12" t="inlineStr">
        <is>
          <t>1/C</t>
        </is>
      </c>
      <c r="M5140" s="12" t="inlineStr">
        <is>
          <t>2</t>
        </is>
      </c>
      <c r="N5140" s="12" t="n">
        <v>1</v>
      </c>
      <c r="O5140" s="12" t="n">
        <v>2</v>
      </c>
      <c r="P5140" s="12" t="n">
        <v>125</v>
      </c>
      <c r="Q5140" s="12" t="n">
        <v>7.5</v>
      </c>
      <c r="R5140" s="12" t="n">
        <v>65</v>
      </c>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is>
          <t>LM6000 class: DC pump keeps the bearings fed on loss of AC</t>
        </is>
      </c>
      <c r="AA5140" s="12">
        <f>N5140*O5140</f>
        <v/>
      </c>
    </row>
    <row r="5141">
      <c r="A5141" s="12" t="inlineStr">
        <is>
          <t>I-P-0191</t>
        </is>
      </c>
      <c r="B5141" s="12" t="inlineStr">
        <is>
          <t>I</t>
        </is>
      </c>
      <c r="C5141" s="12" t="inlineStr">
        <is>
          <t>Modular / portable power</t>
        </is>
      </c>
      <c r="D5141" s="12" t="inlineStr">
        <is>
          <t>SC-1 120 V AC UPS to the unit control and protection</t>
        </is>
      </c>
      <c r="E5141" s="12" t="inlineStr"/>
      <c r="F5141" s="12" t="inlineStr">
        <is>
          <t>SC-1 PCM + 15 kV GCB</t>
        </is>
      </c>
      <c r="G5141" s="12" t="inlineStr">
        <is>
          <t>SC-1</t>
        </is>
      </c>
      <c r="H5141" s="12" t="inlineStr">
        <is>
          <t>SC-1: aeroderivative simple-cycle unit (LM6000 class)</t>
        </is>
      </c>
      <c r="I5141" s="12" t="inlineStr">
        <is>
          <t>LV 600 V</t>
        </is>
      </c>
      <c r="J5141" s="12" t="inlineStr">
        <is>
          <t>XHHW-2 600 V 1/C Cu (feeder sets in tray / duct)</t>
        </is>
      </c>
      <c r="K5141" s="12" t="inlineStr">
        <is>
          <t>LV1C|1/C|6</t>
        </is>
      </c>
      <c r="L5141" s="12" t="inlineStr">
        <is>
          <t>1/C</t>
        </is>
      </c>
      <c r="M5141" s="12" t="inlineStr">
        <is>
          <t>6</t>
        </is>
      </c>
      <c r="N5141" s="12" t="n">
        <v>1</v>
      </c>
      <c r="O5141" s="12" t="n">
        <v>2</v>
      </c>
      <c r="P5141" s="12" t="n">
        <v>120</v>
      </c>
      <c r="Q5141" s="12" t="n">
        <v>5</v>
      </c>
      <c r="R5141" s="12" t="n"/>
      <c r="S5141" s="12" t="inlineStr">
        <is>
          <t>Tray</t>
        </is>
      </c>
      <c r="T5141" s="17" t="n">
        <v>0</v>
      </c>
      <c r="U5141" s="17" t="n">
        <v>64</v>
      </c>
      <c r="V5141" s="17">
        <f>ROUNDUP((T5141+U5141+2*'Read Me'!$B$13)*(1+'Read Me'!$B$12),-1)</f>
        <v/>
      </c>
      <c r="W5141" s="17">
        <f>V5141*N5141*O5141</f>
        <v/>
      </c>
      <c r="X5141" s="12">
        <f>IF(LEFT(I5141,2)="MV",2*N5141*IF(L5141="1/C",O5141,1),0)</f>
        <v/>
      </c>
      <c r="Y5141" s="12">
        <f>IF(OR(LEFT(K5141,4)="LVAX",LEFT(K5141,6)="MV15AX",LEFT(K5141,4)="CTAX",LEFT(K5141,2)="W|"),2*N5141*O5141,0)</f>
        <v/>
      </c>
      <c r="Z5141" s="12" t="inlineStr"/>
      <c r="AA5141" s="12">
        <f>N5141*O5141</f>
        <v/>
      </c>
    </row>
    <row r="5142">
      <c r="A5142" s="12" t="inlineStr">
        <is>
          <t>I-P-0192</t>
        </is>
      </c>
      <c r="B5142" s="12" t="inlineStr">
        <is>
          <t>I</t>
        </is>
      </c>
      <c r="C5142" s="12" t="inlineStr">
        <is>
          <t>Modular / portable power</t>
        </is>
      </c>
      <c r="D5142" s="12" t="inlineStr">
        <is>
          <t>SC-1 hydraulic starter pump motor (start sequence only)</t>
        </is>
      </c>
      <c r="E5142" s="12" t="inlineStr"/>
      <c r="F5142" s="12" t="inlineStr">
        <is>
          <t>SC-1 PCM + 15 kV GCB</t>
        </is>
      </c>
      <c r="G5142" s="12" t="inlineStr">
        <is>
          <t>SC-1</t>
        </is>
      </c>
      <c r="H5142" s="12" t="inlineStr">
        <is>
          <t>SC-1: aeroderivative simple-cycle unit (LM6000 class)</t>
        </is>
      </c>
      <c r="I5142" s="12" t="inlineStr">
        <is>
          <t>LV 600 V</t>
        </is>
      </c>
      <c r="J5142" s="12" t="inlineStr">
        <is>
          <t>Type TC-ER 600 V 3/C Cu XHHW-2 + ground, PVC jacket</t>
        </is>
      </c>
      <c r="K5142" s="12" t="inlineStr">
        <is>
          <t>LV|3/C+G|3/0</t>
        </is>
      </c>
      <c r="L5142" s="12" t="inlineStr">
        <is>
          <t>3/C+G</t>
        </is>
      </c>
      <c r="M5142" s="12" t="inlineStr">
        <is>
          <t>3/0</t>
        </is>
      </c>
      <c r="N5142" s="12" t="n">
        <v>2</v>
      </c>
      <c r="O5142" s="12" t="n">
        <v>1</v>
      </c>
      <c r="P5142" s="12" t="n">
        <v>480</v>
      </c>
      <c r="Q5142" s="12" t="n">
        <v>225</v>
      </c>
      <c r="R5142" s="12" t="n">
        <v>318.4</v>
      </c>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is>
          <t>typical LM6000 hydraulic start; verify starter type / rating with the OEM</t>
        </is>
      </c>
      <c r="AA5142" s="12">
        <f>N5142*O5142</f>
        <v/>
      </c>
    </row>
    <row r="5143">
      <c r="A5143" s="12" t="inlineStr">
        <is>
          <t>I-P-0193</t>
        </is>
      </c>
      <c r="B5143" s="12" t="inlineStr">
        <is>
          <t>I</t>
        </is>
      </c>
      <c r="C5143" s="12" t="inlineStr">
        <is>
          <t>Modular / portable power</t>
        </is>
      </c>
      <c r="D5143" s="12" t="inlineStr">
        <is>
          <t>SC-1 480 V welding receptacle 1</t>
        </is>
      </c>
      <c r="E5143" s="12" t="inlineStr"/>
      <c r="F5143" s="12" t="inlineStr">
        <is>
          <t>SC-1 PCM + 15 kV GCB</t>
        </is>
      </c>
      <c r="G5143" s="12" t="inlineStr">
        <is>
          <t>SC-1</t>
        </is>
      </c>
      <c r="H5143" s="12" t="inlineStr">
        <is>
          <t>SC-1: aeroderivative simple-cycle unit (LM6000 class)</t>
        </is>
      </c>
      <c r="I5143" s="12" t="inlineStr">
        <is>
          <t>LV 600 V</t>
        </is>
      </c>
      <c r="J5143" s="12" t="inlineStr">
        <is>
          <t>Type TC-ER 600 V 3/C Cu XHHW-2 + ground, PVC jacket</t>
        </is>
      </c>
      <c r="K5143" s="12" t="inlineStr">
        <is>
          <t>LV|3/C+G|2</t>
        </is>
      </c>
      <c r="L5143" s="12" t="inlineStr">
        <is>
          <t>3/C+G</t>
        </is>
      </c>
      <c r="M5143" s="12" t="inlineStr">
        <is>
          <t>2</t>
        </is>
      </c>
      <c r="N5143" s="12" t="n">
        <v>1</v>
      </c>
      <c r="O5143" s="12" t="n">
        <v>1</v>
      </c>
      <c r="P5143" s="12" t="n">
        <v>480</v>
      </c>
      <c r="Q5143" s="12" t="n">
        <v>60</v>
      </c>
      <c r="R5143" s="12" t="n">
        <v>76</v>
      </c>
      <c r="S5143" s="12" t="inlineStr">
        <is>
          <t>Tray</t>
        </is>
      </c>
      <c r="T5143" s="17" t="n">
        <v>0</v>
      </c>
      <c r="U5143" s="17" t="n">
        <v>64</v>
      </c>
      <c r="V5143" s="17">
        <f>ROUNDUP((T5143+U5143+2*'Read Me'!$B$13)*(1+'Read Me'!$B$12),-1)</f>
        <v/>
      </c>
      <c r="W5143" s="17">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I-P-0194</t>
        </is>
      </c>
      <c r="B5144" s="12" t="inlineStr">
        <is>
          <t>I</t>
        </is>
      </c>
      <c r="C5144" s="12" t="inlineStr">
        <is>
          <t>Modular / portable power</t>
        </is>
      </c>
      <c r="D5144" s="12" t="inlineStr">
        <is>
          <t>SC-1 480 V welding receptacle 2</t>
        </is>
      </c>
      <c r="E5144" s="12" t="inlineStr"/>
      <c r="F5144" s="12" t="inlineStr">
        <is>
          <t>SC-1 PCM + 15 kV GCB</t>
        </is>
      </c>
      <c r="G5144" s="12" t="inlineStr">
        <is>
          <t>SC-1</t>
        </is>
      </c>
      <c r="H5144" s="12" t="inlineStr">
        <is>
          <t>SC-1: aeroderivative simple-cycle unit (LM6000 class)</t>
        </is>
      </c>
      <c r="I5144" s="12" t="inlineStr">
        <is>
          <t>LV 600 V</t>
        </is>
      </c>
      <c r="J5144" s="12" t="inlineStr">
        <is>
          <t>Type TC-ER 600 V 3/C Cu XHHW-2 + ground, PVC jacket</t>
        </is>
      </c>
      <c r="K5144" s="12" t="inlineStr">
        <is>
          <t>LV|3/C+G|2</t>
        </is>
      </c>
      <c r="L5144" s="12" t="inlineStr">
        <is>
          <t>3/C+G</t>
        </is>
      </c>
      <c r="M5144" s="12" t="inlineStr">
        <is>
          <t>2</t>
        </is>
      </c>
      <c r="N5144" s="12" t="n">
        <v>1</v>
      </c>
      <c r="O5144" s="12" t="n">
        <v>1</v>
      </c>
      <c r="P5144" s="12" t="n">
        <v>480</v>
      </c>
      <c r="Q5144" s="12" t="n">
        <v>60</v>
      </c>
      <c r="R5144" s="12" t="n">
        <v>76</v>
      </c>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I-P-0195</t>
        </is>
      </c>
      <c r="B5145" s="12" t="inlineStr">
        <is>
          <t>I</t>
        </is>
      </c>
      <c r="C5145" s="12" t="inlineStr">
        <is>
          <t>Modular / portable power</t>
        </is>
      </c>
      <c r="D5145" s="12" t="inlineStr">
        <is>
          <t>Motor 1 of 10, 30 kW</t>
        </is>
      </c>
      <c r="E5145" s="12" t="inlineStr"/>
      <c r="F5145" s="12" t="inlineStr">
        <is>
          <t>SC-1 PCM + 15 kV GCB</t>
        </is>
      </c>
      <c r="G5145" s="12" t="inlineStr">
        <is>
          <t>SC-1</t>
        </is>
      </c>
      <c r="H5145" s="12" t="inlineStr">
        <is>
          <t>SC-1: aeroderivative simple-cycle unit (LM6000 class)</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30</v>
      </c>
      <c r="R5145" s="12" t="n">
        <v>42.5</v>
      </c>
      <c r="S5145" s="12" t="inlineStr">
        <is>
          <t>Tray</t>
        </is>
      </c>
      <c r="T5145" s="17" t="n">
        <v>0</v>
      </c>
      <c r="U5145" s="17" t="n">
        <v>64</v>
      </c>
      <c r="V5145" s="17">
        <f>ROUNDUP((T5145+U5145+2*'Read Me'!$B$13)*(1+'Read Me'!$B$12),-1)</f>
        <v/>
      </c>
      <c r="W5145" s="17">
        <f>V5145*N5145*O5145</f>
        <v/>
      </c>
      <c r="X5145" s="12">
        <f>IF(LEFT(I5145,2)="MV",2*N5145*IF(L5145="1/C",O5145,1),0)</f>
        <v/>
      </c>
      <c r="Y5145" s="12">
        <f>IF(OR(LEFT(K5145,4)="LVAX",LEFT(K5145,6)="MV15AX",LEFT(K5145,4)="CTAX",LEFT(K5145,2)="W|"),2*N5145*O5145,0)</f>
        <v/>
      </c>
      <c r="Z5145" s="12" t="inlineStr">
        <is>
          <t>VD 0.5 %</t>
        </is>
      </c>
      <c r="AA5145" s="12">
        <f>N5145*O5145</f>
        <v/>
      </c>
    </row>
    <row r="5146">
      <c r="A5146" s="12" t="inlineStr">
        <is>
          <t>I-P-0196</t>
        </is>
      </c>
      <c r="B5146" s="12" t="inlineStr">
        <is>
          <t>I</t>
        </is>
      </c>
      <c r="C5146" s="12" t="inlineStr">
        <is>
          <t>Modular / portable power</t>
        </is>
      </c>
      <c r="D5146" s="12" t="inlineStr">
        <is>
          <t>Motor 2 of 10, 30 kW</t>
        </is>
      </c>
      <c r="E5146" s="12" t="inlineStr"/>
      <c r="F5146" s="12" t="inlineStr">
        <is>
          <t>SC-1 PCM + 15 kV GCB</t>
        </is>
      </c>
      <c r="G5146" s="12" t="inlineStr">
        <is>
          <t>SC-1</t>
        </is>
      </c>
      <c r="H5146" s="12" t="inlineStr">
        <is>
          <t>SC-1: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I-P-0197</t>
        </is>
      </c>
      <c r="B5147" s="12" t="inlineStr">
        <is>
          <t>I</t>
        </is>
      </c>
      <c r="C5147" s="12" t="inlineStr">
        <is>
          <t>Modular / portable power</t>
        </is>
      </c>
      <c r="D5147" s="12" t="inlineStr">
        <is>
          <t>Motor 3 of 10, 30 kW</t>
        </is>
      </c>
      <c r="E5147" s="12" t="inlineStr"/>
      <c r="F5147" s="12" t="inlineStr">
        <is>
          <t>SC-1 PCM + 15 kV GCB</t>
        </is>
      </c>
      <c r="G5147" s="12" t="inlineStr">
        <is>
          <t>SC-1</t>
        </is>
      </c>
      <c r="H5147" s="12" t="inlineStr">
        <is>
          <t>SC-1: aeroderivative simple-cycle unit (LM6000 class)</t>
        </is>
      </c>
      <c r="I5147" s="12" t="inlineStr">
        <is>
          <t>LV 600 V</t>
        </is>
      </c>
      <c r="J5147" s="12" t="inlineStr">
        <is>
          <t>Type TC-ER 600 V 3/C Cu XHHW-2 + ground, PVC jacket</t>
        </is>
      </c>
      <c r="K5147" s="12" t="inlineStr">
        <is>
          <t>LV|3/C+G|6</t>
        </is>
      </c>
      <c r="L5147" s="12" t="inlineStr">
        <is>
          <t>3/C+G</t>
        </is>
      </c>
      <c r="M5147" s="12" t="inlineStr">
        <is>
          <t>6</t>
        </is>
      </c>
      <c r="N5147" s="12" t="n">
        <v>1</v>
      </c>
      <c r="O5147" s="12" t="n">
        <v>1</v>
      </c>
      <c r="P5147" s="12" t="n">
        <v>480</v>
      </c>
      <c r="Q5147" s="12" t="n">
        <v>30</v>
      </c>
      <c r="R5147" s="12" t="n">
        <v>42.5</v>
      </c>
      <c r="S5147" s="12" t="inlineStr">
        <is>
          <t>Tray</t>
        </is>
      </c>
      <c r="T5147" s="17" t="n">
        <v>0</v>
      </c>
      <c r="U5147" s="17" t="n">
        <v>64</v>
      </c>
      <c r="V5147" s="17">
        <f>ROUNDUP((T5147+U5147+2*'Read Me'!$B$13)*(1+'Read Me'!$B$12),-1)</f>
        <v/>
      </c>
      <c r="W5147" s="17">
        <f>V5147*N5147*O5147</f>
        <v/>
      </c>
      <c r="X5147" s="12">
        <f>IF(LEFT(I5147,2)="MV",2*N5147*IF(L5147="1/C",O5147,1),0)</f>
        <v/>
      </c>
      <c r="Y5147" s="12">
        <f>IF(OR(LEFT(K5147,4)="LVAX",LEFT(K5147,6)="MV15AX",LEFT(K5147,4)="CTAX",LEFT(K5147,2)="W|"),2*N5147*O5147,0)</f>
        <v/>
      </c>
      <c r="Z5147" s="12" t="inlineStr">
        <is>
          <t>VD 0.5 %</t>
        </is>
      </c>
      <c r="AA5147" s="12">
        <f>N5147*O5147</f>
        <v/>
      </c>
    </row>
    <row r="5148">
      <c r="A5148" s="12" t="inlineStr">
        <is>
          <t>I-P-0198</t>
        </is>
      </c>
      <c r="B5148" s="12" t="inlineStr">
        <is>
          <t>I</t>
        </is>
      </c>
      <c r="C5148" s="12" t="inlineStr">
        <is>
          <t>Modular / portable power</t>
        </is>
      </c>
      <c r="D5148" s="12" t="inlineStr">
        <is>
          <t>Motor 4 of 10, 30 kW</t>
        </is>
      </c>
      <c r="E5148" s="12" t="inlineStr"/>
      <c r="F5148" s="12" t="inlineStr">
        <is>
          <t>SC-1 PCM + 15 kV GCB</t>
        </is>
      </c>
      <c r="G5148" s="12" t="inlineStr">
        <is>
          <t>SC-1</t>
        </is>
      </c>
      <c r="H5148" s="12" t="inlineStr">
        <is>
          <t>SC-1: aeroderivative simple-cycle unit (LM6000 class)</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30</v>
      </c>
      <c r="R5148" s="12" t="n">
        <v>42.5</v>
      </c>
      <c r="S5148" s="12" t="inlineStr">
        <is>
          <t>Tray</t>
        </is>
      </c>
      <c r="T5148" s="17" t="n">
        <v>0</v>
      </c>
      <c r="U5148" s="17" t="n">
        <v>64</v>
      </c>
      <c r="V5148" s="17">
        <f>ROUNDUP((T5148+U5148+2*'Read Me'!$B$13)*(1+'Read Me'!$B$12),-1)</f>
        <v/>
      </c>
      <c r="W5148" s="17">
        <f>V5148*N5148*O5148</f>
        <v/>
      </c>
      <c r="X5148" s="12">
        <f>IF(LEFT(I5148,2)="MV",2*N5148*IF(L5148="1/C",O5148,1),0)</f>
        <v/>
      </c>
      <c r="Y5148" s="12">
        <f>IF(OR(LEFT(K5148,4)="LVAX",LEFT(K5148,6)="MV15AX",LEFT(K5148,4)="CTAX",LEFT(K5148,2)="W|"),2*N5148*O5148,0)</f>
        <v/>
      </c>
      <c r="Z5148" s="12" t="inlineStr">
        <is>
          <t>VD 0.5 %</t>
        </is>
      </c>
      <c r="AA5148" s="12">
        <f>N5148*O5148</f>
        <v/>
      </c>
    </row>
    <row r="5149">
      <c r="A5149" s="12" t="inlineStr">
        <is>
          <t>I-P-0199</t>
        </is>
      </c>
      <c r="B5149" s="12" t="inlineStr">
        <is>
          <t>I</t>
        </is>
      </c>
      <c r="C5149" s="12" t="inlineStr">
        <is>
          <t>Modular / portable power</t>
        </is>
      </c>
      <c r="D5149" s="12" t="inlineStr">
        <is>
          <t>Motor 5 of 10, 30 kW</t>
        </is>
      </c>
      <c r="E5149" s="12" t="inlineStr"/>
      <c r="F5149" s="12" t="inlineStr">
        <is>
          <t>SC-1 PCM + 15 kV GCB</t>
        </is>
      </c>
      <c r="G5149" s="12" t="inlineStr">
        <is>
          <t>SC-1</t>
        </is>
      </c>
      <c r="H5149" s="12" t="inlineStr">
        <is>
          <t>SC-1: aeroderivative simple-cycle unit (LM6000 class)</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30</v>
      </c>
      <c r="R5149" s="12" t="n">
        <v>42.5</v>
      </c>
      <c r="S5149" s="12" t="inlineStr">
        <is>
          <t>Tray</t>
        </is>
      </c>
      <c r="T5149" s="17" t="n">
        <v>0</v>
      </c>
      <c r="U5149" s="17" t="n">
        <v>64</v>
      </c>
      <c r="V5149" s="17">
        <f>ROUNDUP((T5149+U5149+2*'Read Me'!$B$13)*(1+'Read Me'!$B$12),-1)</f>
        <v/>
      </c>
      <c r="W5149" s="17">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I-P-0200</t>
        </is>
      </c>
      <c r="B5150" s="12" t="inlineStr">
        <is>
          <t>I</t>
        </is>
      </c>
      <c r="C5150" s="12" t="inlineStr">
        <is>
          <t>Modular / portable power</t>
        </is>
      </c>
      <c r="D5150" s="12" t="inlineStr">
        <is>
          <t>Motor 6 of 10, 30 kW</t>
        </is>
      </c>
      <c r="E5150" s="12" t="inlineStr"/>
      <c r="F5150" s="12" t="inlineStr">
        <is>
          <t>SC-1 PCM + 15 kV GCB</t>
        </is>
      </c>
      <c r="G5150" s="12" t="inlineStr">
        <is>
          <t>SC-1</t>
        </is>
      </c>
      <c r="H5150" s="12" t="inlineStr">
        <is>
          <t>SC-1: aeroderivative simple-cycle unit (LM6000 class)</t>
        </is>
      </c>
      <c r="I5150" s="12" t="inlineStr">
        <is>
          <t>LV 600 V</t>
        </is>
      </c>
      <c r="J5150" s="12" t="inlineStr">
        <is>
          <t>Type TC-ER 600 V 3/C Cu XHHW-2 + ground, PVC jacket</t>
        </is>
      </c>
      <c r="K5150" s="12" t="inlineStr">
        <is>
          <t>LV|3/C+G|6</t>
        </is>
      </c>
      <c r="L5150" s="12" t="inlineStr">
        <is>
          <t>3/C+G</t>
        </is>
      </c>
      <c r="M5150" s="12" t="inlineStr">
        <is>
          <t>6</t>
        </is>
      </c>
      <c r="N5150" s="12" t="n">
        <v>1</v>
      </c>
      <c r="O5150" s="12" t="n">
        <v>1</v>
      </c>
      <c r="P5150" s="12" t="n">
        <v>480</v>
      </c>
      <c r="Q5150" s="12" t="n">
        <v>30</v>
      </c>
      <c r="R5150" s="12" t="n">
        <v>42.5</v>
      </c>
      <c r="S5150" s="12" t="inlineStr">
        <is>
          <t>Tray</t>
        </is>
      </c>
      <c r="T5150" s="17" t="n">
        <v>0</v>
      </c>
      <c r="U5150" s="17" t="n">
        <v>64</v>
      </c>
      <c r="V5150" s="17">
        <f>ROUNDUP((T5150+U5150+2*'Read Me'!$B$13)*(1+'Read Me'!$B$12),-1)</f>
        <v/>
      </c>
      <c r="W5150" s="17">
        <f>V5150*N5150*O5150</f>
        <v/>
      </c>
      <c r="X5150" s="12">
        <f>IF(LEFT(I5150,2)="MV",2*N5150*IF(L5150="1/C",O5150,1),0)</f>
        <v/>
      </c>
      <c r="Y5150" s="12">
        <f>IF(OR(LEFT(K5150,4)="LVAX",LEFT(K5150,6)="MV15AX",LEFT(K5150,4)="CTAX",LEFT(K5150,2)="W|"),2*N5150*O5150,0)</f>
        <v/>
      </c>
      <c r="Z5150" s="12" t="inlineStr">
        <is>
          <t>VD 0.5 %</t>
        </is>
      </c>
      <c r="AA5150" s="12">
        <f>N5150*O5150</f>
        <v/>
      </c>
    </row>
    <row r="5151">
      <c r="A5151" s="12" t="inlineStr">
        <is>
          <t>I-P-0201</t>
        </is>
      </c>
      <c r="B5151" s="12" t="inlineStr">
        <is>
          <t>I</t>
        </is>
      </c>
      <c r="C5151" s="12" t="inlineStr">
        <is>
          <t>Modular / portable power</t>
        </is>
      </c>
      <c r="D5151" s="12" t="inlineStr">
        <is>
          <t>Motor 7 of 10, 30 kW</t>
        </is>
      </c>
      <c r="E5151" s="12" t="inlineStr"/>
      <c r="F5151" s="12" t="inlineStr">
        <is>
          <t>SC-1 PCM + 15 kV GCB</t>
        </is>
      </c>
      <c r="G5151" s="12" t="inlineStr">
        <is>
          <t>SC-1</t>
        </is>
      </c>
      <c r="H5151" s="12" t="inlineStr">
        <is>
          <t>SC-1: aeroderivative simple-cycle unit (LM6000 class)</t>
        </is>
      </c>
      <c r="I5151" s="12" t="inlineStr">
        <is>
          <t>LV 600 V</t>
        </is>
      </c>
      <c r="J5151" s="12" t="inlineStr">
        <is>
          <t>Type TC-ER 600 V 3/C Cu XHHW-2 + ground, PVC jacket</t>
        </is>
      </c>
      <c r="K5151" s="12" t="inlineStr">
        <is>
          <t>LV|3/C+G|6</t>
        </is>
      </c>
      <c r="L5151" s="12" t="inlineStr">
        <is>
          <t>3/C+G</t>
        </is>
      </c>
      <c r="M5151" s="12" t="inlineStr">
        <is>
          <t>6</t>
        </is>
      </c>
      <c r="N5151" s="12" t="n">
        <v>1</v>
      </c>
      <c r="O5151" s="12" t="n">
        <v>1</v>
      </c>
      <c r="P5151" s="12" t="n">
        <v>480</v>
      </c>
      <c r="Q5151" s="12" t="n">
        <v>30</v>
      </c>
      <c r="R5151" s="12" t="n">
        <v>42.5</v>
      </c>
      <c r="S5151" s="12" t="inlineStr">
        <is>
          <t>Tray</t>
        </is>
      </c>
      <c r="T5151" s="17" t="n">
        <v>0</v>
      </c>
      <c r="U5151" s="17" t="n">
        <v>64</v>
      </c>
      <c r="V5151" s="17">
        <f>ROUNDUP((T5151+U5151+2*'Read Me'!$B$13)*(1+'Read Me'!$B$12),-1)</f>
        <v/>
      </c>
      <c r="W5151" s="17">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I-P-0202</t>
        </is>
      </c>
      <c r="B5152" s="12" t="inlineStr">
        <is>
          <t>I</t>
        </is>
      </c>
      <c r="C5152" s="12" t="inlineStr">
        <is>
          <t>Modular / portable power</t>
        </is>
      </c>
      <c r="D5152" s="12" t="inlineStr">
        <is>
          <t>Motor 8 of 10, 30 kW</t>
        </is>
      </c>
      <c r="E5152" s="12" t="inlineStr"/>
      <c r="F5152" s="12" t="inlineStr">
        <is>
          <t>SC-1 PCM + 15 kV GCB</t>
        </is>
      </c>
      <c r="G5152" s="12" t="inlineStr">
        <is>
          <t>SC-1</t>
        </is>
      </c>
      <c r="H5152" s="12" t="inlineStr">
        <is>
          <t>SC-1: aeroderivative simple-cycle unit (LM6000 class)</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30</v>
      </c>
      <c r="R5152" s="12" t="n">
        <v>42.5</v>
      </c>
      <c r="S5152" s="12" t="inlineStr">
        <is>
          <t>Tray</t>
        </is>
      </c>
      <c r="T5152" s="17" t="n">
        <v>0</v>
      </c>
      <c r="U5152" s="17" t="n">
        <v>64</v>
      </c>
      <c r="V5152" s="17">
        <f>ROUNDUP((T5152+U5152+2*'Read Me'!$B$13)*(1+'Read Me'!$B$12),-1)</f>
        <v/>
      </c>
      <c r="W5152" s="17">
        <f>V5152*N5152*O5152</f>
        <v/>
      </c>
      <c r="X5152" s="12">
        <f>IF(LEFT(I5152,2)="MV",2*N5152*IF(L5152="1/C",O5152,1),0)</f>
        <v/>
      </c>
      <c r="Y5152" s="12">
        <f>IF(OR(LEFT(K5152,4)="LVAX",LEFT(K5152,6)="MV15AX",LEFT(K5152,4)="CTAX",LEFT(K5152,2)="W|"),2*N5152*O5152,0)</f>
        <v/>
      </c>
      <c r="Z5152" s="12" t="inlineStr">
        <is>
          <t>VD 0.5 %</t>
        </is>
      </c>
      <c r="AA5152" s="12">
        <f>N5152*O5152</f>
        <v/>
      </c>
    </row>
    <row r="5153">
      <c r="A5153" s="12" t="inlineStr">
        <is>
          <t>I-P-0203</t>
        </is>
      </c>
      <c r="B5153" s="12" t="inlineStr">
        <is>
          <t>I</t>
        </is>
      </c>
      <c r="C5153" s="12" t="inlineStr">
        <is>
          <t>Modular / portable power</t>
        </is>
      </c>
      <c r="D5153" s="12" t="inlineStr">
        <is>
          <t>Motor 9 of 10, 30 kW</t>
        </is>
      </c>
      <c r="E5153" s="12" t="inlineStr"/>
      <c r="F5153" s="12" t="inlineStr">
        <is>
          <t>SC-1 PCM + 15 kV GCB</t>
        </is>
      </c>
      <c r="G5153" s="12" t="inlineStr">
        <is>
          <t>SC-1</t>
        </is>
      </c>
      <c r="H5153" s="12" t="inlineStr">
        <is>
          <t>SC-1: aeroderivative simple-cycle unit (LM6000 class)</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30</v>
      </c>
      <c r="R5153" s="12" t="n">
        <v>42.5</v>
      </c>
      <c r="S5153" s="12" t="inlineStr">
        <is>
          <t>Tray</t>
        </is>
      </c>
      <c r="T5153" s="17" t="n">
        <v>0</v>
      </c>
      <c r="U5153" s="17" t="n">
        <v>64</v>
      </c>
      <c r="V5153" s="17">
        <f>ROUNDUP((T5153+U5153+2*'Read Me'!$B$13)*(1+'Read Me'!$B$12),-1)</f>
        <v/>
      </c>
      <c r="W5153" s="17">
        <f>V5153*N5153*O5153</f>
        <v/>
      </c>
      <c r="X5153" s="12">
        <f>IF(LEFT(I5153,2)="MV",2*N5153*IF(L5153="1/C",O5153,1),0)</f>
        <v/>
      </c>
      <c r="Y5153" s="12">
        <f>IF(OR(LEFT(K5153,4)="LVAX",LEFT(K5153,6)="MV15AX",LEFT(K5153,4)="CTAX",LEFT(K5153,2)="W|"),2*N5153*O5153,0)</f>
        <v/>
      </c>
      <c r="Z5153" s="12" t="inlineStr">
        <is>
          <t>VD 0.5 %</t>
        </is>
      </c>
      <c r="AA5153" s="12">
        <f>N5153*O5153</f>
        <v/>
      </c>
    </row>
    <row r="5154">
      <c r="A5154" s="12" t="inlineStr">
        <is>
          <t>I-P-0204</t>
        </is>
      </c>
      <c r="B5154" s="12" t="inlineStr">
        <is>
          <t>I</t>
        </is>
      </c>
      <c r="C5154" s="12" t="inlineStr">
        <is>
          <t>Modular / portable power</t>
        </is>
      </c>
      <c r="D5154" s="12" t="inlineStr">
        <is>
          <t>Motor 10 of 10, 30 kW</t>
        </is>
      </c>
      <c r="E5154" s="12" t="inlineStr"/>
      <c r="F5154" s="12" t="inlineStr">
        <is>
          <t>SC-1 PCM + 15 kV GCB</t>
        </is>
      </c>
      <c r="G5154" s="12" t="inlineStr">
        <is>
          <t>SC-1</t>
        </is>
      </c>
      <c r="H5154" s="12" t="inlineStr">
        <is>
          <t>SC-1: aeroderivative simple-cycle unit (LM6000 class)</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30</v>
      </c>
      <c r="R5154" s="12" t="n">
        <v>42.5</v>
      </c>
      <c r="S5154" s="12" t="inlineStr">
        <is>
          <t>Tray</t>
        </is>
      </c>
      <c r="T5154" s="17" t="n">
        <v>0</v>
      </c>
      <c r="U5154" s="17" t="n">
        <v>64</v>
      </c>
      <c r="V5154" s="17">
        <f>ROUNDUP((T5154+U5154+2*'Read Me'!$B$13)*(1+'Read Me'!$B$12),-1)</f>
        <v/>
      </c>
      <c r="W5154" s="17">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I-P-0205</t>
        </is>
      </c>
      <c r="B5155" s="12" t="inlineStr">
        <is>
          <t>I</t>
        </is>
      </c>
      <c r="C5155" s="12" t="inlineStr">
        <is>
          <t>Modular / portable power</t>
        </is>
      </c>
      <c r="D5155" s="12" t="inlineStr">
        <is>
          <t>Area / platform lighting circuit 1 (8 fixtures)</t>
        </is>
      </c>
      <c r="E5155" s="12" t="inlineStr"/>
      <c r="F5155" s="12" t="inlineStr">
        <is>
          <t>SC-1 PCM + 15 kV GCB</t>
        </is>
      </c>
      <c r="G5155" s="12" t="inlineStr">
        <is>
          <t>SC-1</t>
        </is>
      </c>
      <c r="H5155" s="12" t="inlineStr">
        <is>
          <t>SC-1: aeroderivative simple-cycle unit (LM6000 class)</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3</v>
      </c>
      <c r="R5155" s="12" t="n">
        <v>5</v>
      </c>
      <c r="S5155" s="12" t="inlineStr">
        <is>
          <t>Tray</t>
        </is>
      </c>
      <c r="T5155" s="17" t="n">
        <v>300</v>
      </c>
      <c r="U5155" s="17" t="n">
        <v>64</v>
      </c>
      <c r="V5155" s="17">
        <f>ROUNDUP((T5155+U5155+2*'Read Me'!$B$13)*(1+'Read Me'!$B$12),-1)</f>
        <v/>
      </c>
      <c r="W5155" s="17">
        <f>V5155*N5155*O5155</f>
        <v/>
      </c>
      <c r="X5155" s="12">
        <f>IF(LEFT(I5155,2)="MV",2*N5155*IF(L5155="1/C",O5155,1),0)</f>
        <v/>
      </c>
      <c r="Y5155" s="12">
        <f>IF(OR(LEFT(K5155,4)="LVAX",LEFT(K5155,6)="MV15AX",LEFT(K5155,4)="CTAX",LEFT(K5155,2)="W|"),2*N5155*O5155,0)</f>
        <v/>
      </c>
      <c r="Z5155" s="12" t="inlineStr">
        <is>
          <t>fixture-to-fixture run included</t>
        </is>
      </c>
      <c r="AA5155" s="12">
        <f>N5155*O5155</f>
        <v/>
      </c>
    </row>
    <row r="5156">
      <c r="A5156" s="12" t="inlineStr">
        <is>
          <t>I-P-0206</t>
        </is>
      </c>
      <c r="B5156" s="12" t="inlineStr">
        <is>
          <t>I</t>
        </is>
      </c>
      <c r="C5156" s="12" t="inlineStr">
        <is>
          <t>Modular / portable power</t>
        </is>
      </c>
      <c r="D5156" s="12" t="inlineStr">
        <is>
          <t>SC-2 CEMS shelter panel: analysers, heated sample line, lighting</t>
        </is>
      </c>
      <c r="E5156" s="12" t="inlineStr"/>
      <c r="F5156" s="12" t="inlineStr">
        <is>
          <t>SC-2 PCM + 15 kV GCB</t>
        </is>
      </c>
      <c r="G5156" s="12" t="inlineStr"/>
      <c r="H5156" s="12" t="inlineStr">
        <is>
          <t>SC-2 CEMS shelter</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Duct bank</t>
        </is>
      </c>
      <c r="T5156" s="17" t="n">
        <v>25</v>
      </c>
      <c r="U5156" s="17" t="n">
        <v>197</v>
      </c>
      <c r="V5156" s="17">
        <f>ROUNDUP((T5156+U5156+2*'Read Me'!$B$13)*(1+'Read Me'!$B$12),-1)</f>
        <v/>
      </c>
      <c r="W5156" s="17">
        <f>V5156*N5156*O5156</f>
        <v/>
      </c>
      <c r="X5156" s="12">
        <f>IF(LEFT(I5156,2)="MV",2*N5156*IF(L5156="1/C",O5156,1),0)</f>
        <v/>
      </c>
      <c r="Y5156" s="12">
        <f>IF(OR(LEFT(K5156,4)="LVAX",LEFT(K5156,6)="MV15AX",LEFT(K5156,4)="CTAX",LEFT(K5156,2)="W|"),2*N5156*O5156,0)</f>
        <v/>
      </c>
      <c r="Z5156" s="12" t="inlineStr">
        <is>
          <t>VD 2.0 %</t>
        </is>
      </c>
      <c r="AA5156" s="12">
        <f>N5156*O5156</f>
        <v/>
      </c>
    </row>
    <row r="5157">
      <c r="A5157" s="12" t="inlineStr">
        <is>
          <t>I-P-0207</t>
        </is>
      </c>
      <c r="B5157" s="12" t="inlineStr">
        <is>
          <t>I</t>
        </is>
      </c>
      <c r="C5157" s="12" t="inlineStr">
        <is>
          <t>Modular / portable power</t>
        </is>
      </c>
      <c r="D5157" s="12" t="inlineStr">
        <is>
          <t>Motor 1 of 2, 5 kW</t>
        </is>
      </c>
      <c r="E5157" s="12" t="inlineStr"/>
      <c r="F5157" s="12" t="inlineStr">
        <is>
          <t>SC-2 PCM + 15 kV GCB</t>
        </is>
      </c>
      <c r="G5157" s="12" t="inlineStr"/>
      <c r="H5157" s="12" t="inlineStr">
        <is>
          <t>SC-2 CEMS shelter</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5</v>
      </c>
      <c r="R5157" s="12" t="n">
        <v>7.1</v>
      </c>
      <c r="S5157" s="12" t="inlineStr">
        <is>
          <t>Duct bank</t>
        </is>
      </c>
      <c r="T5157" s="17" t="n">
        <v>25</v>
      </c>
      <c r="U5157" s="17" t="n">
        <v>197</v>
      </c>
      <c r="V5157" s="17">
        <f>ROUNDUP((T5157+U5157+2*'Read Me'!$B$13)*(1+'Read Me'!$B$12),-1)</f>
        <v/>
      </c>
      <c r="W5157" s="17">
        <f>V5157*N5157*O5157</f>
        <v/>
      </c>
      <c r="X5157" s="12">
        <f>IF(LEFT(I5157,2)="MV",2*N5157*IF(L5157="1/C",O5157,1),0)</f>
        <v/>
      </c>
      <c r="Y5157" s="12">
        <f>IF(OR(LEFT(K5157,4)="LVAX",LEFT(K5157,6)="MV15AX",LEFT(K5157,4)="CTAX",LEFT(K5157,2)="W|"),2*N5157*O5157,0)</f>
        <v/>
      </c>
      <c r="Z5157" s="12" t="inlineStr">
        <is>
          <t>VD 0.8 %</t>
        </is>
      </c>
      <c r="AA5157" s="12">
        <f>N5157*O5157</f>
        <v/>
      </c>
    </row>
    <row r="5158">
      <c r="A5158" s="12" t="inlineStr">
        <is>
          <t>I-P-0208</t>
        </is>
      </c>
      <c r="B5158" s="12" t="inlineStr">
        <is>
          <t>I</t>
        </is>
      </c>
      <c r="C5158" s="12" t="inlineStr">
        <is>
          <t>Modular / portable power</t>
        </is>
      </c>
      <c r="D5158" s="12" t="inlineStr">
        <is>
          <t>Motor 2 of 2, 5 kW</t>
        </is>
      </c>
      <c r="E5158" s="12" t="inlineStr"/>
      <c r="F5158" s="12" t="inlineStr">
        <is>
          <t>SC-2 PCM + 15 kV GCB</t>
        </is>
      </c>
      <c r="G5158" s="12" t="inlineStr"/>
      <c r="H5158" s="12" t="inlineStr">
        <is>
          <t>SC-2 CEMS shelter</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5</v>
      </c>
      <c r="R5158" s="12" t="n">
        <v>7.1</v>
      </c>
      <c r="S5158" s="12" t="inlineStr">
        <is>
          <t>Duct bank</t>
        </is>
      </c>
      <c r="T5158" s="17" t="n">
        <v>25</v>
      </c>
      <c r="U5158" s="17" t="n">
        <v>197</v>
      </c>
      <c r="V5158" s="17">
        <f>ROUNDUP((T5158+U5158+2*'Read Me'!$B$13)*(1+'Read Me'!$B$12),-1)</f>
        <v/>
      </c>
      <c r="W5158" s="17">
        <f>V5158*N5158*O5158</f>
        <v/>
      </c>
      <c r="X5158" s="12">
        <f>IF(LEFT(I5158,2)="MV",2*N5158*IF(L5158="1/C",O5158,1),0)</f>
        <v/>
      </c>
      <c r="Y5158" s="12">
        <f>IF(OR(LEFT(K5158,4)="LVAX",LEFT(K5158,6)="MV15AX",LEFT(K5158,4)="CTAX",LEFT(K5158,2)="W|"),2*N5158*O5158,0)</f>
        <v/>
      </c>
      <c r="Z5158" s="12" t="inlineStr">
        <is>
          <t>VD 0.8 %</t>
        </is>
      </c>
      <c r="AA5158" s="12">
        <f>N5158*O5158</f>
        <v/>
      </c>
    </row>
    <row r="5159">
      <c r="A5159" s="12" t="inlineStr">
        <is>
          <t>I-P-0209</t>
        </is>
      </c>
      <c r="B5159" s="12" t="inlineStr">
        <is>
          <t>I</t>
        </is>
      </c>
      <c r="C5159" s="12" t="inlineStr">
        <is>
          <t>Modular / portable power</t>
        </is>
      </c>
      <c r="D5159" s="12" t="inlineStr">
        <is>
          <t>SC-2 125 V DC battery to charger / DC panel</t>
        </is>
      </c>
      <c r="E5159" s="12" t="inlineStr"/>
      <c r="F5159" s="12" t="inlineStr">
        <is>
          <t>SC-2 PCM + 15 kV GCB</t>
        </is>
      </c>
      <c r="G5159" s="12" t="inlineStr"/>
      <c r="H5159" s="12" t="inlineStr">
        <is>
          <t>SC-2 PCM + 15 kV GCB</t>
        </is>
      </c>
      <c r="I5159" s="12" t="inlineStr">
        <is>
          <t>LV 600 V</t>
        </is>
      </c>
      <c r="J5159" s="12" t="inlineStr">
        <is>
          <t>XHHW-2 600 V 1/C Cu (feeder sets in tray / duct)</t>
        </is>
      </c>
      <c r="K5159" s="12" t="inlineStr">
        <is>
          <t>LV1C|1/C|4/0</t>
        </is>
      </c>
      <c r="L5159" s="12" t="inlineStr">
        <is>
          <t>1/C</t>
        </is>
      </c>
      <c r="M5159" s="12" t="inlineStr">
        <is>
          <t>4/0</t>
        </is>
      </c>
      <c r="N5159" s="12" t="n">
        <v>1</v>
      </c>
      <c r="O5159" s="12" t="n">
        <v>2</v>
      </c>
      <c r="P5159" s="12" t="n">
        <v>125</v>
      </c>
      <c r="Q5159" s="12" t="n"/>
      <c r="R5159" s="12" t="n"/>
      <c r="S5159" s="12" t="inlineStr">
        <is>
          <t>Tray</t>
        </is>
      </c>
      <c r="T5159" s="17" t="n">
        <v>15</v>
      </c>
      <c r="U5159" s="17" t="n">
        <v>5</v>
      </c>
      <c r="V5159" s="17">
        <f>ROUNDUP((T5159+U5159+2*'Read Me'!$B$13)*(1+'Read Me'!$B$12),-1)</f>
        <v/>
      </c>
      <c r="W5159" s="17">
        <f>V5159*N5159*O5159</f>
        <v/>
      </c>
      <c r="X5159" s="12">
        <f>IF(LEFT(I5159,2)="MV",2*N5159*IF(L5159="1/C",O5159,1),0)</f>
        <v/>
      </c>
      <c r="Y5159" s="12">
        <f>IF(OR(LEFT(K5159,4)="LVAX",LEFT(K5159,6)="MV15AX",LEFT(K5159,4)="CTAX",LEFT(K5159,2)="W|"),2*N5159*O5159,0)</f>
        <v/>
      </c>
      <c r="Z5159" s="12" t="inlineStr">
        <is>
          <t>battery rack inside the PCM</t>
        </is>
      </c>
      <c r="AA5159" s="12">
        <f>N5159*O5159</f>
        <v/>
      </c>
    </row>
    <row r="5160">
      <c r="A5160" s="12" t="inlineStr">
        <is>
          <t>I-P-0210</t>
        </is>
      </c>
      <c r="B5160" s="12" t="inlineStr">
        <is>
          <t>I</t>
        </is>
      </c>
      <c r="C5160" s="12" t="inlineStr">
        <is>
          <t>Modular / portable power</t>
        </is>
      </c>
      <c r="D5160" s="12" t="inlineStr">
        <is>
          <t>SC-2 PCM lighting, receptacles and HVAC (from its own 480 V board)</t>
        </is>
      </c>
      <c r="E5160" s="12" t="inlineStr"/>
      <c r="F5160" s="12" t="inlineStr">
        <is>
          <t>SC-2 PCM + 15 kV GCB</t>
        </is>
      </c>
      <c r="G5160" s="12" t="inlineStr"/>
      <c r="H5160" s="12" t="inlineStr">
        <is>
          <t>SC-2 PCM + 15 kV GCB</t>
        </is>
      </c>
      <c r="I5160" s="12" t="inlineStr">
        <is>
          <t>LV 600 V</t>
        </is>
      </c>
      <c r="J5160" s="12" t="inlineStr">
        <is>
          <t>Type TC-ER 600 V 3/C Cu XHHW-2 + ground, PVC jacket</t>
        </is>
      </c>
      <c r="K5160" s="12" t="inlineStr">
        <is>
          <t>LV|3/C+G|2</t>
        </is>
      </c>
      <c r="L5160" s="12" t="inlineStr">
        <is>
          <t>3/C+G</t>
        </is>
      </c>
      <c r="M5160" s="12" t="inlineStr">
        <is>
          <t>2</t>
        </is>
      </c>
      <c r="N5160" s="12" t="n">
        <v>1</v>
      </c>
      <c r="O5160" s="12" t="n">
        <v>1</v>
      </c>
      <c r="P5160" s="12" t="n">
        <v>480</v>
      </c>
      <c r="Q5160" s="12" t="n">
        <v>40</v>
      </c>
      <c r="R5160" s="12" t="n"/>
      <c r="S5160" s="12" t="inlineStr">
        <is>
          <t>Tray</t>
        </is>
      </c>
      <c r="T5160" s="17" t="n">
        <v>80</v>
      </c>
      <c r="U5160" s="17" t="n">
        <v>10</v>
      </c>
      <c r="V5160" s="17">
        <f>ROUNDUP((T5160+U5160+2*'Read Me'!$B$13)*(1+'Read Me'!$B$12),-1)</f>
        <v/>
      </c>
      <c r="W5160" s="17">
        <f>V5160*N5160*O5160</f>
        <v/>
      </c>
      <c r="X5160" s="12">
        <f>IF(LEFT(I5160,2)="MV",2*N5160*IF(L5160="1/C",O5160,1),0)</f>
        <v/>
      </c>
      <c r="Y5160" s="12">
        <f>IF(OR(LEFT(K5160,4)="LVAX",LEFT(K5160,6)="MV15AX",LEFT(K5160,4)="CTAX",LEFT(K5160,2)="W|"),2*N5160*O5160,0)</f>
        <v/>
      </c>
      <c r="Z5160" s="12" t="inlineStr">
        <is>
          <t>internal to the PCM; aux transformer 13.8 kV / 480 V inside</t>
        </is>
      </c>
      <c r="AA5160" s="12">
        <f>N5160*O5160</f>
        <v/>
      </c>
    </row>
    <row r="5161">
      <c r="A5161" s="12" t="inlineStr">
        <is>
          <t>I-P-0211</t>
        </is>
      </c>
      <c r="B5161" s="12" t="inlineStr">
        <is>
          <t>I</t>
        </is>
      </c>
      <c r="C5161" s="12" t="inlineStr">
        <is>
          <t>Modular / portable power</t>
        </is>
      </c>
      <c r="D5161" s="12" t="inlineStr">
        <is>
          <t>Area / platform lighting circuit 1 (10 fixtures)</t>
        </is>
      </c>
      <c r="E5161" s="12" t="inlineStr"/>
      <c r="F5161" s="12" t="inlineStr">
        <is>
          <t>SC-2 PCM + 15 kV GCB</t>
        </is>
      </c>
      <c r="G5161" s="12" t="inlineStr"/>
      <c r="H5161" s="12" t="inlineStr">
        <is>
          <t>SC-2 SCR / CO catalyst</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v>
      </c>
      <c r="R5161" s="12" t="n">
        <v>5</v>
      </c>
      <c r="S5161" s="12" t="inlineStr">
        <is>
          <t>Duct bank</t>
        </is>
      </c>
      <c r="T5161" s="17" t="n">
        <v>325</v>
      </c>
      <c r="U5161" s="17" t="n">
        <v>122</v>
      </c>
      <c r="V5161" s="17">
        <f>ROUNDUP((T5161+U5161+2*'Read Me'!$B$13)*(1+'Read Me'!$B$12),-1)</f>
        <v/>
      </c>
      <c r="W5161" s="17">
        <f>V5161*N5161*O5161</f>
        <v/>
      </c>
      <c r="X5161" s="12">
        <f>IF(LEFT(I5161,2)="MV",2*N5161*IF(L5161="1/C",O5161,1),0)</f>
        <v/>
      </c>
      <c r="Y5161" s="12">
        <f>IF(OR(LEFT(K5161,4)="LVAX",LEFT(K5161,6)="MV15AX",LEFT(K5161,4)="CTAX",LEFT(K5161,2)="W|"),2*N5161*O5161,0)</f>
        <v/>
      </c>
      <c r="Z5161" s="12" t="inlineStr">
        <is>
          <t>fixture-to-fixture run included</t>
        </is>
      </c>
      <c r="AA5161" s="12">
        <f>N5161*O5161</f>
        <v/>
      </c>
    </row>
    <row r="5162">
      <c r="A5162" s="12" t="inlineStr">
        <is>
          <t>I-P-0212</t>
        </is>
      </c>
      <c r="B5162" s="12" t="inlineStr">
        <is>
          <t>I</t>
        </is>
      </c>
      <c r="C5162" s="12" t="inlineStr">
        <is>
          <t>Modular / portable power</t>
        </is>
      </c>
      <c r="D5162" s="12" t="inlineStr">
        <is>
          <t>SC-2 ammonia vaporiser electric heater</t>
        </is>
      </c>
      <c r="E5162" s="12" t="inlineStr"/>
      <c r="F5162" s="12" t="inlineStr">
        <is>
          <t>SC-2 PCM + 15 kV GCB</t>
        </is>
      </c>
      <c r="G5162" s="12" t="inlineStr"/>
      <c r="H5162" s="12" t="inlineStr">
        <is>
          <t>SC-2 ammonia flow-control unit</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45</v>
      </c>
      <c r="R5162" s="12" t="n">
        <v>57</v>
      </c>
      <c r="S5162" s="12" t="inlineStr">
        <is>
          <t>Tray</t>
        </is>
      </c>
      <c r="T5162" s="17" t="n">
        <v>0</v>
      </c>
      <c r="U5162" s="17" t="n">
        <v>152</v>
      </c>
      <c r="V5162" s="17">
        <f>ROUNDUP((T5162+U5162+2*'Read Me'!$B$13)*(1+'Read Me'!$B$12),-1)</f>
        <v/>
      </c>
      <c r="W5162" s="17">
        <f>V5162*N5162*O5162</f>
        <v/>
      </c>
      <c r="X5162" s="12">
        <f>IF(LEFT(I5162,2)="MV",2*N5162*IF(L5162="1/C",O5162,1),0)</f>
        <v/>
      </c>
      <c r="Y5162" s="12">
        <f>IF(OR(LEFT(K5162,4)="LVAX",LEFT(K5162,6)="MV15AX",LEFT(K5162,4)="CTAX",LEFT(K5162,2)="W|"),2*N5162*O5162,0)</f>
        <v/>
      </c>
      <c r="Z5162" s="12" t="inlineStr">
        <is>
          <t>VD 1.1 %</t>
        </is>
      </c>
      <c r="AA5162" s="12">
        <f>N5162*O5162</f>
        <v/>
      </c>
    </row>
    <row r="5163">
      <c r="A5163" s="12" t="inlineStr">
        <is>
          <t>I-P-0213</t>
        </is>
      </c>
      <c r="B5163" s="12" t="inlineStr">
        <is>
          <t>I</t>
        </is>
      </c>
      <c r="C5163" s="12" t="inlineStr">
        <is>
          <t>Modular / portable power</t>
        </is>
      </c>
      <c r="D5163" s="12" t="inlineStr">
        <is>
          <t>Motor 1 of 2, 7.5 kW</t>
        </is>
      </c>
      <c r="E5163" s="12" t="inlineStr"/>
      <c r="F5163" s="12" t="inlineStr">
        <is>
          <t>SC-2 PCM + 15 kV GCB</t>
        </is>
      </c>
      <c r="G5163" s="12" t="inlineStr"/>
      <c r="H5163" s="12" t="inlineStr">
        <is>
          <t>SC-2 ammonia flow-control unit</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7.5</v>
      </c>
      <c r="R5163" s="12" t="n">
        <v>10.6</v>
      </c>
      <c r="S5163" s="12" t="inlineStr">
        <is>
          <t>Tray</t>
        </is>
      </c>
      <c r="T5163" s="17" t="n">
        <v>0</v>
      </c>
      <c r="U5163" s="17" t="n">
        <v>152</v>
      </c>
      <c r="V5163" s="17">
        <f>ROUNDUP((T5163+U5163+2*'Read Me'!$B$13)*(1+'Read Me'!$B$12),-1)</f>
        <v/>
      </c>
      <c r="W5163" s="17">
        <f>V5163*N5163*O5163</f>
        <v/>
      </c>
      <c r="X5163" s="12">
        <f>IF(LEFT(I5163,2)="MV",2*N5163*IF(L5163="1/C",O5163,1),0)</f>
        <v/>
      </c>
      <c r="Y5163" s="12">
        <f>IF(OR(LEFT(K5163,4)="LVAX",LEFT(K5163,6)="MV15AX",LEFT(K5163,4)="CTAX",LEFT(K5163,2)="W|"),2*N5163*O5163,0)</f>
        <v/>
      </c>
      <c r="Z5163" s="12" t="inlineStr">
        <is>
          <t>VD 0.8 %</t>
        </is>
      </c>
      <c r="AA5163" s="12">
        <f>N5163*O5163</f>
        <v/>
      </c>
    </row>
    <row r="5164">
      <c r="A5164" s="12" t="inlineStr">
        <is>
          <t>I-P-0214</t>
        </is>
      </c>
      <c r="B5164" s="12" t="inlineStr">
        <is>
          <t>I</t>
        </is>
      </c>
      <c r="C5164" s="12" t="inlineStr">
        <is>
          <t>Modular / portable power</t>
        </is>
      </c>
      <c r="D5164" s="12" t="inlineStr">
        <is>
          <t>Motor 2 of 2, 7.5 kW</t>
        </is>
      </c>
      <c r="E5164" s="12" t="inlineStr"/>
      <c r="F5164" s="12" t="inlineStr">
        <is>
          <t>SC-2 PCM + 15 kV GCB</t>
        </is>
      </c>
      <c r="G5164" s="12" t="inlineStr"/>
      <c r="H5164" s="12" t="inlineStr">
        <is>
          <t>SC-2 ammonia flow-control unit</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7.5</v>
      </c>
      <c r="R5164" s="12" t="n">
        <v>10.6</v>
      </c>
      <c r="S5164" s="12" t="inlineStr">
        <is>
          <t>Tray</t>
        </is>
      </c>
      <c r="T5164" s="17" t="n">
        <v>0</v>
      </c>
      <c r="U5164" s="17" t="n">
        <v>152</v>
      </c>
      <c r="V5164" s="17">
        <f>ROUNDUP((T5164+U5164+2*'Read Me'!$B$13)*(1+'Read Me'!$B$12),-1)</f>
        <v/>
      </c>
      <c r="W5164" s="17">
        <f>V5164*N5164*O5164</f>
        <v/>
      </c>
      <c r="X5164" s="12">
        <f>IF(LEFT(I5164,2)="MV",2*N5164*IF(L5164="1/C",O5164,1),0)</f>
        <v/>
      </c>
      <c r="Y5164" s="12">
        <f>IF(OR(LEFT(K5164,4)="LVAX",LEFT(K5164,6)="MV15AX",LEFT(K5164,4)="CTAX",LEFT(K5164,2)="W|"),2*N5164*O5164,0)</f>
        <v/>
      </c>
      <c r="Z5164" s="12" t="inlineStr">
        <is>
          <t>VD 0.8 %</t>
        </is>
      </c>
      <c r="AA5164" s="12">
        <f>N5164*O5164</f>
        <v/>
      </c>
    </row>
    <row r="5165">
      <c r="A5165" s="12" t="inlineStr">
        <is>
          <t>I-P-0215</t>
        </is>
      </c>
      <c r="B5165" s="12" t="inlineStr">
        <is>
          <t>I</t>
        </is>
      </c>
      <c r="C5165" s="12" t="inlineStr">
        <is>
          <t>Modular / portable power</t>
        </is>
      </c>
      <c r="D5165" s="12" t="inlineStr">
        <is>
          <t>SC-2 water-wash tank heater</t>
        </is>
      </c>
      <c r="E5165" s="12" t="inlineStr"/>
      <c r="F5165" s="12" t="inlineStr">
        <is>
          <t>SC-2 PCM + 15 kV GCB</t>
        </is>
      </c>
      <c r="G5165" s="12" t="inlineStr"/>
      <c r="H5165" s="12" t="inlineStr">
        <is>
          <t>SC-2 auxiliary skids: fuel-gas module, water-wash skid</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6</v>
      </c>
      <c r="R5165" s="12" t="n">
        <v>7.6</v>
      </c>
      <c r="S5165" s="12" t="inlineStr">
        <is>
          <t>Tray</t>
        </is>
      </c>
      <c r="T5165" s="17" t="n">
        <v>0</v>
      </c>
      <c r="U5165" s="17" t="n">
        <v>77</v>
      </c>
      <c r="V5165" s="17">
        <f>ROUNDUP((T5165+U5165+2*'Read Me'!$B$13)*(1+'Read Me'!$B$12),-1)</f>
        <v/>
      </c>
      <c r="W5165" s="17">
        <f>V5165*N5165*O5165</f>
        <v/>
      </c>
      <c r="X5165" s="12">
        <f>IF(LEFT(I5165,2)="MV",2*N5165*IF(L5165="1/C",O5165,1),0)</f>
        <v/>
      </c>
      <c r="Y5165" s="12">
        <f>IF(OR(LEFT(K5165,4)="LVAX",LEFT(K5165,6)="MV15AX",LEFT(K5165,4)="CTAX",LEFT(K5165,2)="W|"),2*N5165*O5165,0)</f>
        <v/>
      </c>
      <c r="Z5165" s="12" t="inlineStr">
        <is>
          <t>VD 0.3 %</t>
        </is>
      </c>
      <c r="AA5165" s="12">
        <f>N5165*O5165</f>
        <v/>
      </c>
    </row>
    <row r="5166">
      <c r="A5166" s="12" t="inlineStr">
        <is>
          <t>I-P-0216</t>
        </is>
      </c>
      <c r="B5166" s="12" t="inlineStr">
        <is>
          <t>I</t>
        </is>
      </c>
      <c r="C5166" s="12" t="inlineStr">
        <is>
          <t>Modular / portable power</t>
        </is>
      </c>
      <c r="D5166" s="12" t="inlineStr">
        <is>
          <t>Motor 1 of 1, 7.5 kW</t>
        </is>
      </c>
      <c r="E5166" s="12" t="inlineStr"/>
      <c r="F5166" s="12" t="inlineStr">
        <is>
          <t>SC-2 PCM + 15 kV GCB</t>
        </is>
      </c>
      <c r="G5166" s="12" t="inlineStr"/>
      <c r="H5166" s="12" t="inlineStr">
        <is>
          <t>SC-2 auxiliary skids: fuel-gas module, water-wash skid</t>
        </is>
      </c>
      <c r="I5166" s="12" t="inlineStr">
        <is>
          <t>LV 600 V</t>
        </is>
      </c>
      <c r="J5166" s="12" t="inlineStr">
        <is>
          <t>ARMOR-X MC-HL 600 V 3/C Cu XHHW-2 + ground, CWA, black PVC (Class I Div 2)</t>
        </is>
      </c>
      <c r="K5166" s="12" t="inlineStr">
        <is>
          <t>LVAX|3/C+G|10</t>
        </is>
      </c>
      <c r="L5166" s="12" t="inlineStr">
        <is>
          <t>3/C+G</t>
        </is>
      </c>
      <c r="M5166" s="12" t="inlineStr">
        <is>
          <t>10</t>
        </is>
      </c>
      <c r="N5166" s="12" t="n">
        <v>1</v>
      </c>
      <c r="O5166" s="12" t="n">
        <v>1</v>
      </c>
      <c r="P5166" s="12" t="n">
        <v>480</v>
      </c>
      <c r="Q5166" s="12" t="n">
        <v>7.5</v>
      </c>
      <c r="R5166" s="12" t="n">
        <v>10.6</v>
      </c>
      <c r="S5166" s="12" t="inlineStr">
        <is>
          <t>Tray</t>
        </is>
      </c>
      <c r="T5166" s="17" t="n">
        <v>0</v>
      </c>
      <c r="U5166" s="17" t="n">
        <v>77</v>
      </c>
      <c r="V5166" s="17">
        <f>ROUNDUP((T5166+U5166+2*'Read Me'!$B$13)*(1+'Read Me'!$B$12),-1)</f>
        <v/>
      </c>
      <c r="W5166" s="17">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I-P-0217</t>
        </is>
      </c>
      <c r="B5167" s="12" t="inlineStr">
        <is>
          <t>I</t>
        </is>
      </c>
      <c r="C5167" s="12" t="inlineStr">
        <is>
          <t>Modular / portable power</t>
        </is>
      </c>
      <c r="D5167" s="12" t="inlineStr">
        <is>
          <t>Motor 1 of 4, 15 kW</t>
        </is>
      </c>
      <c r="E5167" s="12" t="inlineStr"/>
      <c r="F5167" s="12" t="inlineStr">
        <is>
          <t>SC-2 PCM + 15 kV GCB</t>
        </is>
      </c>
      <c r="G5167" s="12" t="inlineStr"/>
      <c r="H5167" s="12" t="inlineStr">
        <is>
          <t>SC-2 lube-oil fin-fan cooler</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21.2</v>
      </c>
      <c r="S5167" s="12" t="inlineStr">
        <is>
          <t>Tray</t>
        </is>
      </c>
      <c r="T5167" s="17" t="n">
        <v>0</v>
      </c>
      <c r="U5167" s="17" t="n">
        <v>82</v>
      </c>
      <c r="V5167" s="17">
        <f>ROUNDUP((T5167+U5167+2*'Read Me'!$B$13)*(1+'Read Me'!$B$12),-1)</f>
        <v/>
      </c>
      <c r="W5167" s="17">
        <f>V5167*N5167*O5167</f>
        <v/>
      </c>
      <c r="X5167" s="12">
        <f>IF(LEFT(I5167,2)="MV",2*N5167*IF(L5167="1/C",O5167,1),0)</f>
        <v/>
      </c>
      <c r="Y5167" s="12">
        <f>IF(OR(LEFT(K5167,4)="LVAX",LEFT(K5167,6)="MV15AX",LEFT(K5167,4)="CTAX",LEFT(K5167,2)="W|"),2*N5167*O5167,0)</f>
        <v/>
      </c>
      <c r="Z5167" s="12" t="inlineStr">
        <is>
          <t>VD 0.8 %</t>
        </is>
      </c>
      <c r="AA5167" s="12">
        <f>N5167*O5167</f>
        <v/>
      </c>
    </row>
    <row r="5168">
      <c r="A5168" s="12" t="inlineStr">
        <is>
          <t>I-P-0218</t>
        </is>
      </c>
      <c r="B5168" s="12" t="inlineStr">
        <is>
          <t>I</t>
        </is>
      </c>
      <c r="C5168" s="12" t="inlineStr">
        <is>
          <t>Modular / portable power</t>
        </is>
      </c>
      <c r="D5168" s="12" t="inlineStr">
        <is>
          <t>Motor 2 of 4, 15 kW</t>
        </is>
      </c>
      <c r="E5168" s="12" t="inlineStr"/>
      <c r="F5168" s="12" t="inlineStr">
        <is>
          <t>SC-2 PCM + 15 kV GCB</t>
        </is>
      </c>
      <c r="G5168" s="12" t="inlineStr"/>
      <c r="H5168" s="12" t="inlineStr">
        <is>
          <t>SC-2 lube-oil fin-fan cooler</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21.2</v>
      </c>
      <c r="S5168" s="12" t="inlineStr">
        <is>
          <t>Tray</t>
        </is>
      </c>
      <c r="T5168" s="17" t="n">
        <v>0</v>
      </c>
      <c r="U5168" s="17" t="n">
        <v>82</v>
      </c>
      <c r="V5168" s="17">
        <f>ROUNDUP((T5168+U5168+2*'Read Me'!$B$13)*(1+'Read Me'!$B$12),-1)</f>
        <v/>
      </c>
      <c r="W5168" s="17">
        <f>V5168*N5168*O5168</f>
        <v/>
      </c>
      <c r="X5168" s="12">
        <f>IF(LEFT(I5168,2)="MV",2*N5168*IF(L5168="1/C",O5168,1),0)</f>
        <v/>
      </c>
      <c r="Y5168" s="12">
        <f>IF(OR(LEFT(K5168,4)="LVAX",LEFT(K5168,6)="MV15AX",LEFT(K5168,4)="CTAX",LEFT(K5168,2)="W|"),2*N5168*O5168,0)</f>
        <v/>
      </c>
      <c r="Z5168" s="12" t="inlineStr">
        <is>
          <t>VD 0.8 %</t>
        </is>
      </c>
      <c r="AA5168" s="12">
        <f>N5168*O5168</f>
        <v/>
      </c>
    </row>
    <row r="5169">
      <c r="A5169" s="12" t="inlineStr">
        <is>
          <t>I-P-0219</t>
        </is>
      </c>
      <c r="B5169" s="12" t="inlineStr">
        <is>
          <t>I</t>
        </is>
      </c>
      <c r="C5169" s="12" t="inlineStr">
        <is>
          <t>Modular / portable power</t>
        </is>
      </c>
      <c r="D5169" s="12" t="inlineStr">
        <is>
          <t>Motor 3 of 4, 15 kW</t>
        </is>
      </c>
      <c r="E5169" s="12" t="inlineStr"/>
      <c r="F5169" s="12" t="inlineStr">
        <is>
          <t>SC-2 PCM + 15 kV GCB</t>
        </is>
      </c>
      <c r="G5169" s="12" t="inlineStr"/>
      <c r="H5169" s="12" t="inlineStr">
        <is>
          <t>SC-2 lube-oil fin-fan cooler</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21.2</v>
      </c>
      <c r="S5169" s="12" t="inlineStr">
        <is>
          <t>Tray</t>
        </is>
      </c>
      <c r="T5169" s="17" t="n">
        <v>0</v>
      </c>
      <c r="U5169" s="17" t="n">
        <v>82</v>
      </c>
      <c r="V5169" s="17">
        <f>ROUNDUP((T5169+U5169+2*'Read Me'!$B$13)*(1+'Read Me'!$B$12),-1)</f>
        <v/>
      </c>
      <c r="W5169" s="17">
        <f>V5169*N5169*O5169</f>
        <v/>
      </c>
      <c r="X5169" s="12">
        <f>IF(LEFT(I5169,2)="MV",2*N5169*IF(L5169="1/C",O5169,1),0)</f>
        <v/>
      </c>
      <c r="Y5169" s="12">
        <f>IF(OR(LEFT(K5169,4)="LVAX",LEFT(K5169,6)="MV15AX",LEFT(K5169,4)="CTAX",LEFT(K5169,2)="W|"),2*N5169*O5169,0)</f>
        <v/>
      </c>
      <c r="Z5169" s="12" t="inlineStr">
        <is>
          <t>VD 0.8 %</t>
        </is>
      </c>
      <c r="AA5169" s="12">
        <f>N5169*O5169</f>
        <v/>
      </c>
    </row>
    <row r="5170">
      <c r="A5170" s="12" t="inlineStr">
        <is>
          <t>I-P-0220</t>
        </is>
      </c>
      <c r="B5170" s="12" t="inlineStr">
        <is>
          <t>I</t>
        </is>
      </c>
      <c r="C5170" s="12" t="inlineStr">
        <is>
          <t>Modular / portable power</t>
        </is>
      </c>
      <c r="D5170" s="12" t="inlineStr">
        <is>
          <t>Motor 4 of 4, 15 kW</t>
        </is>
      </c>
      <c r="E5170" s="12" t="inlineStr"/>
      <c r="F5170" s="12" t="inlineStr">
        <is>
          <t>SC-2 PCM + 15 kV GCB</t>
        </is>
      </c>
      <c r="G5170" s="12" t="inlineStr"/>
      <c r="H5170" s="12" t="inlineStr">
        <is>
          <t>SC-2 lube-oil fin-fan cooler</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7" t="n">
        <v>0</v>
      </c>
      <c r="U5170" s="17" t="n">
        <v>82</v>
      </c>
      <c r="V5170" s="17">
        <f>ROUNDUP((T5170+U5170+2*'Read Me'!$B$13)*(1+'Read Me'!$B$12),-1)</f>
        <v/>
      </c>
      <c r="W5170" s="17">
        <f>V5170*N5170*O5170</f>
        <v/>
      </c>
      <c r="X5170" s="12">
        <f>IF(LEFT(I5170,2)="MV",2*N5170*IF(L5170="1/C",O5170,1),0)</f>
        <v/>
      </c>
      <c r="Y5170" s="12">
        <f>IF(OR(LEFT(K5170,4)="LVAX",LEFT(K5170,6)="MV15AX",LEFT(K5170,4)="CTAX",LEFT(K5170,2)="W|"),2*N5170*O5170,0)</f>
        <v/>
      </c>
      <c r="Z5170" s="12" t="inlineStr">
        <is>
          <t>VD 0.8 %</t>
        </is>
      </c>
      <c r="AA5170" s="12">
        <f>N5170*O5170</f>
        <v/>
      </c>
    </row>
    <row r="5171">
      <c r="A5171" s="12" t="inlineStr">
        <is>
          <t>I-P-0221</t>
        </is>
      </c>
      <c r="B5171" s="12" t="inlineStr">
        <is>
          <t>I</t>
        </is>
      </c>
      <c r="C5171" s="12" t="inlineStr">
        <is>
          <t>Modular / portable power</t>
        </is>
      </c>
      <c r="D5171" s="12" t="inlineStr">
        <is>
          <t>Area / platform lighting circuit 1 (4 fixtures)</t>
        </is>
      </c>
      <c r="E5171" s="12" t="inlineStr"/>
      <c r="F5171" s="12" t="inlineStr">
        <is>
          <t>SC-2 PCM + 15 kV GCB</t>
        </is>
      </c>
      <c r="G5171" s="12" t="inlineStr"/>
      <c r="H5171" s="12" t="inlineStr">
        <is>
          <t>SC-2 stack (80 ft)</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v>
      </c>
      <c r="R5171" s="12" t="n">
        <v>5</v>
      </c>
      <c r="S5171" s="12" t="inlineStr">
        <is>
          <t>Duct bank</t>
        </is>
      </c>
      <c r="T5171" s="17" t="n">
        <v>325</v>
      </c>
      <c r="U5171" s="17" t="n">
        <v>176</v>
      </c>
      <c r="V5171" s="17">
        <f>ROUNDUP((T5171+U5171+2*'Read Me'!$B$13)*(1+'Read Me'!$B$12),-1)</f>
        <v/>
      </c>
      <c r="W5171" s="17">
        <f>V5171*N5171*O5171</f>
        <v/>
      </c>
      <c r="X5171" s="12">
        <f>IF(LEFT(I5171,2)="MV",2*N5171*IF(L5171="1/C",O5171,1),0)</f>
        <v/>
      </c>
      <c r="Y5171" s="12">
        <f>IF(OR(LEFT(K5171,4)="LVAX",LEFT(K5171,6)="MV15AX",LEFT(K5171,4)="CTAX",LEFT(K5171,2)="W|"),2*N5171*O5171,0)</f>
        <v/>
      </c>
      <c r="Z5171" s="12" t="inlineStr">
        <is>
          <t>fixture-to-fixture run included</t>
        </is>
      </c>
      <c r="AA5171" s="12">
        <f>N5171*O5171</f>
        <v/>
      </c>
    </row>
    <row r="5172">
      <c r="A5172" s="12" t="inlineStr">
        <is>
          <t>I-P-0222</t>
        </is>
      </c>
      <c r="B5172" s="12" t="inlineStr">
        <is>
          <t>I</t>
        </is>
      </c>
      <c r="C5172" s="12" t="inlineStr">
        <is>
          <t>Modular / portable power</t>
        </is>
      </c>
      <c r="D5172" s="12" t="inlineStr">
        <is>
          <t>Motor 1 of 2, 185 kW</t>
        </is>
      </c>
      <c r="E5172" s="12" t="inlineStr"/>
      <c r="F5172" s="12" t="inlineStr">
        <is>
          <t>SC-2 PCM + 15 kV GCB</t>
        </is>
      </c>
      <c r="G5172" s="12" t="inlineStr"/>
      <c r="H5172" s="12" t="inlineStr">
        <is>
          <t>SC-2 tempering-air fans (2 x 100 %)</t>
        </is>
      </c>
      <c r="I5172" s="12" t="inlineStr">
        <is>
          <t>LV 600 V</t>
        </is>
      </c>
      <c r="J5172" s="12" t="inlineStr">
        <is>
          <t>Type TC-ER 600 V 3/C Cu XHHW-2 + ground, PVC jacket</t>
        </is>
      </c>
      <c r="K5172" s="12" t="inlineStr">
        <is>
          <t>LV|3/C+G|500</t>
        </is>
      </c>
      <c r="L5172" s="12" t="inlineStr">
        <is>
          <t>3/C+G</t>
        </is>
      </c>
      <c r="M5172" s="12" t="inlineStr">
        <is>
          <t>500 kcmil</t>
        </is>
      </c>
      <c r="N5172" s="12" t="n">
        <v>1</v>
      </c>
      <c r="O5172" s="12" t="n">
        <v>1</v>
      </c>
      <c r="P5172" s="12" t="n">
        <v>480</v>
      </c>
      <c r="Q5172" s="12" t="n">
        <v>185</v>
      </c>
      <c r="R5172" s="12" t="n">
        <v>261.8</v>
      </c>
      <c r="S5172" s="12" t="inlineStr">
        <is>
          <t>Duct bank</t>
        </is>
      </c>
      <c r="T5172" s="17" t="n">
        <v>25</v>
      </c>
      <c r="U5172" s="17" t="n">
        <v>124</v>
      </c>
      <c r="V5172" s="17">
        <f>ROUNDUP((T5172+U5172+2*'Read Me'!$B$13)*(1+'Read Me'!$B$12),-1)</f>
        <v/>
      </c>
      <c r="W5172" s="17">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I-P-0223</t>
        </is>
      </c>
      <c r="B5173" s="12" t="inlineStr">
        <is>
          <t>I</t>
        </is>
      </c>
      <c r="C5173" s="12" t="inlineStr">
        <is>
          <t>Modular / portable power</t>
        </is>
      </c>
      <c r="D5173" s="12" t="inlineStr">
        <is>
          <t>Motor 2 of 2, 185 kW</t>
        </is>
      </c>
      <c r="E5173" s="12" t="inlineStr"/>
      <c r="F5173" s="12" t="inlineStr">
        <is>
          <t>SC-2 PCM + 15 kV GCB</t>
        </is>
      </c>
      <c r="G5173" s="12" t="inlineStr"/>
      <c r="H5173" s="12" t="inlineStr">
        <is>
          <t>SC-2 tempering-air fans (2 x 100 %)</t>
        </is>
      </c>
      <c r="I5173" s="12" t="inlineStr">
        <is>
          <t>LV 600 V</t>
        </is>
      </c>
      <c r="J5173" s="12" t="inlineStr">
        <is>
          <t>Type TC-ER 600 V 3/C Cu XHHW-2 + ground, PVC jacket</t>
        </is>
      </c>
      <c r="K5173" s="12" t="inlineStr">
        <is>
          <t>LV|3/C+G|500</t>
        </is>
      </c>
      <c r="L5173" s="12" t="inlineStr">
        <is>
          <t>3/C+G</t>
        </is>
      </c>
      <c r="M5173" s="12" t="inlineStr">
        <is>
          <t>500 kcmil</t>
        </is>
      </c>
      <c r="N5173" s="12" t="n">
        <v>1</v>
      </c>
      <c r="O5173" s="12" t="n">
        <v>1</v>
      </c>
      <c r="P5173" s="12" t="n">
        <v>480</v>
      </c>
      <c r="Q5173" s="12" t="n">
        <v>185</v>
      </c>
      <c r="R5173" s="12" t="n">
        <v>261.8</v>
      </c>
      <c r="S5173" s="12" t="inlineStr">
        <is>
          <t>Duct bank</t>
        </is>
      </c>
      <c r="T5173" s="17" t="n">
        <v>25</v>
      </c>
      <c r="U5173" s="17" t="n">
        <v>124</v>
      </c>
      <c r="V5173" s="17">
        <f>ROUNDUP((T5173+U5173+2*'Read Me'!$B$13)*(1+'Read Me'!$B$12),-1)</f>
        <v/>
      </c>
      <c r="W5173" s="17">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I-P-0224</t>
        </is>
      </c>
      <c r="B5174" s="12" t="inlineStr">
        <is>
          <t>I</t>
        </is>
      </c>
      <c r="C5174" s="12" t="inlineStr">
        <is>
          <t>Modular / portable power</t>
        </is>
      </c>
      <c r="D5174" s="12" t="inlineStr">
        <is>
          <t>Area / platform lighting circuit 1 (4 fixtures)</t>
        </is>
      </c>
      <c r="E5174" s="12" t="inlineStr"/>
      <c r="F5174" s="12" t="inlineStr">
        <is>
          <t>SC-2 PCM + 15 kV GCB</t>
        </is>
      </c>
      <c r="G5174" s="12" t="inlineStr"/>
      <c r="H5174" s="12" t="inlineStr">
        <is>
          <t>SC-2 tempering-air fans (2 x 100 %)</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3</v>
      </c>
      <c r="R5174" s="12" t="n">
        <v>5</v>
      </c>
      <c r="S5174" s="12" t="inlineStr">
        <is>
          <t>Duct bank</t>
        </is>
      </c>
      <c r="T5174" s="17" t="n">
        <v>325</v>
      </c>
      <c r="U5174" s="17" t="n">
        <v>124</v>
      </c>
      <c r="V5174" s="17">
        <f>ROUNDUP((T5174+U5174+2*'Read Me'!$B$13)*(1+'Read Me'!$B$12),-1)</f>
        <v/>
      </c>
      <c r="W5174" s="17">
        <f>V5174*N5174*O5174</f>
        <v/>
      </c>
      <c r="X5174" s="12">
        <f>IF(LEFT(I5174,2)="MV",2*N5174*IF(L5174="1/C",O5174,1),0)</f>
        <v/>
      </c>
      <c r="Y5174" s="12">
        <f>IF(OR(LEFT(K5174,4)="LVAX",LEFT(K5174,6)="MV15AX",LEFT(K5174,4)="CTAX",LEFT(K5174,2)="W|"),2*N5174*O5174,0)</f>
        <v/>
      </c>
      <c r="Z5174" s="12" t="inlineStr">
        <is>
          <t>fixture-to-fixture run included</t>
        </is>
      </c>
      <c r="AA5174" s="12">
        <f>N5174*O5174</f>
        <v/>
      </c>
    </row>
    <row r="5175">
      <c r="A5175" s="12" t="inlineStr">
        <is>
          <t>I-P-0225</t>
        </is>
      </c>
      <c r="B5175" s="12" t="inlineStr">
        <is>
          <t>I</t>
        </is>
      </c>
      <c r="C5175" s="12" t="inlineStr">
        <is>
          <t>Modular / portable power</t>
        </is>
      </c>
      <c r="D5175" s="12" t="inlineStr">
        <is>
          <t>SC-2 emergency DC lube-oil pump (125 V DC, coast-down)</t>
        </is>
      </c>
      <c r="E5175" s="12" t="inlineStr"/>
      <c r="F5175" s="12" t="inlineStr">
        <is>
          <t>SC-2 PCM + 15 kV GCB</t>
        </is>
      </c>
      <c r="G5175" s="12" t="inlineStr">
        <is>
          <t>SC-2</t>
        </is>
      </c>
      <c r="H5175" s="12" t="inlineStr">
        <is>
          <t>SC-2: aeroderivative simple-cycle unit (LM6000 class)</t>
        </is>
      </c>
      <c r="I5175" s="12" t="inlineStr">
        <is>
          <t>LV 600 V</t>
        </is>
      </c>
      <c r="J5175" s="12" t="inlineStr">
        <is>
          <t>XHHW-2 600 V 1/C Cu (feeder sets in tray / duct)</t>
        </is>
      </c>
      <c r="K5175" s="12" t="inlineStr">
        <is>
          <t>LV1C|1/C|2</t>
        </is>
      </c>
      <c r="L5175" s="12" t="inlineStr">
        <is>
          <t>1/C</t>
        </is>
      </c>
      <c r="M5175" s="12" t="inlineStr">
        <is>
          <t>2</t>
        </is>
      </c>
      <c r="N5175" s="12" t="n">
        <v>1</v>
      </c>
      <c r="O5175" s="12" t="n">
        <v>2</v>
      </c>
      <c r="P5175" s="12" t="n">
        <v>125</v>
      </c>
      <c r="Q5175" s="12" t="n">
        <v>7.5</v>
      </c>
      <c r="R5175" s="12" t="n">
        <v>65</v>
      </c>
      <c r="S5175" s="12" t="inlineStr">
        <is>
          <t>Duct bank</t>
        </is>
      </c>
      <c r="T5175" s="17" t="n">
        <v>25</v>
      </c>
      <c r="U5175" s="17" t="n">
        <v>32</v>
      </c>
      <c r="V5175" s="17">
        <f>ROUNDUP((T5175+U5175+2*'Read Me'!$B$13)*(1+'Read Me'!$B$12),-1)</f>
        <v/>
      </c>
      <c r="W5175" s="17">
        <f>V5175*N5175*O5175</f>
        <v/>
      </c>
      <c r="X5175" s="12">
        <f>IF(LEFT(I5175,2)="MV",2*N5175*IF(L5175="1/C",O5175,1),0)</f>
        <v/>
      </c>
      <c r="Y5175" s="12">
        <f>IF(OR(LEFT(K5175,4)="LVAX",LEFT(K5175,6)="MV15AX",LEFT(K5175,4)="CTAX",LEFT(K5175,2)="W|"),2*N5175*O5175,0)</f>
        <v/>
      </c>
      <c r="Z5175" s="12" t="inlineStr">
        <is>
          <t>LM6000 class: DC pump keeps the bearings fed on loss of AC</t>
        </is>
      </c>
      <c r="AA5175" s="12">
        <f>N5175*O5175</f>
        <v/>
      </c>
    </row>
    <row r="5176">
      <c r="A5176" s="12" t="inlineStr">
        <is>
          <t>I-P-0226</t>
        </is>
      </c>
      <c r="B5176" s="12" t="inlineStr">
        <is>
          <t>I</t>
        </is>
      </c>
      <c r="C5176" s="12" t="inlineStr">
        <is>
          <t>Modular / portable power</t>
        </is>
      </c>
      <c r="D5176" s="12" t="inlineStr">
        <is>
          <t>SC-2 120 V AC UPS to the unit control and protection</t>
        </is>
      </c>
      <c r="E5176" s="12" t="inlineStr"/>
      <c r="F5176" s="12" t="inlineStr">
        <is>
          <t>SC-2 PCM + 15 kV GCB</t>
        </is>
      </c>
      <c r="G5176" s="12" t="inlineStr">
        <is>
          <t>SC-2</t>
        </is>
      </c>
      <c r="H5176" s="12" t="inlineStr">
        <is>
          <t>SC-2: aeroderivative simple-cycle unit (LM6000 class)</t>
        </is>
      </c>
      <c r="I5176" s="12" t="inlineStr">
        <is>
          <t>LV 600 V</t>
        </is>
      </c>
      <c r="J5176" s="12" t="inlineStr">
        <is>
          <t>XHHW-2 600 V 1/C Cu (feeder sets in tray / duct)</t>
        </is>
      </c>
      <c r="K5176" s="12" t="inlineStr">
        <is>
          <t>LV1C|1/C|6</t>
        </is>
      </c>
      <c r="L5176" s="12" t="inlineStr">
        <is>
          <t>1/C</t>
        </is>
      </c>
      <c r="M5176" s="12" t="inlineStr">
        <is>
          <t>6</t>
        </is>
      </c>
      <c r="N5176" s="12" t="n">
        <v>1</v>
      </c>
      <c r="O5176" s="12" t="n">
        <v>2</v>
      </c>
      <c r="P5176" s="12" t="n">
        <v>120</v>
      </c>
      <c r="Q5176" s="12" t="n">
        <v>5</v>
      </c>
      <c r="R5176" s="12" t="n"/>
      <c r="S5176" s="12" t="inlineStr">
        <is>
          <t>Duct bank</t>
        </is>
      </c>
      <c r="T5176" s="17" t="n">
        <v>25</v>
      </c>
      <c r="U5176" s="17" t="n">
        <v>32</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I-P-0227</t>
        </is>
      </c>
      <c r="B5177" s="12" t="inlineStr">
        <is>
          <t>I</t>
        </is>
      </c>
      <c r="C5177" s="12" t="inlineStr">
        <is>
          <t>Modular / portable power</t>
        </is>
      </c>
      <c r="D5177" s="12" t="inlineStr">
        <is>
          <t>SC-2 hydraulic starter pump motor (start sequence only)</t>
        </is>
      </c>
      <c r="E5177" s="12" t="inlineStr"/>
      <c r="F5177" s="12" t="inlineStr">
        <is>
          <t>SC-2 PCM + 15 kV GCB</t>
        </is>
      </c>
      <c r="G5177" s="12" t="inlineStr">
        <is>
          <t>SC-2</t>
        </is>
      </c>
      <c r="H5177" s="12" t="inlineStr">
        <is>
          <t>SC-2: aeroderivative simple-cycle unit (LM6000 class)</t>
        </is>
      </c>
      <c r="I5177" s="12" t="inlineStr">
        <is>
          <t>LV 600 V</t>
        </is>
      </c>
      <c r="J5177" s="12" t="inlineStr">
        <is>
          <t>Type TC-ER 600 V 3/C Cu XHHW-2 + ground, PVC jacket</t>
        </is>
      </c>
      <c r="K5177" s="12" t="inlineStr">
        <is>
          <t>LV|3/C+G|3/0</t>
        </is>
      </c>
      <c r="L5177" s="12" t="inlineStr">
        <is>
          <t>3/C+G</t>
        </is>
      </c>
      <c r="M5177" s="12" t="inlineStr">
        <is>
          <t>3/0</t>
        </is>
      </c>
      <c r="N5177" s="12" t="n">
        <v>2</v>
      </c>
      <c r="O5177" s="12" t="n">
        <v>1</v>
      </c>
      <c r="P5177" s="12" t="n">
        <v>480</v>
      </c>
      <c r="Q5177" s="12" t="n">
        <v>225</v>
      </c>
      <c r="R5177" s="12" t="n">
        <v>318.4</v>
      </c>
      <c r="S5177" s="12" t="inlineStr">
        <is>
          <t>Duct bank</t>
        </is>
      </c>
      <c r="T5177" s="17" t="n">
        <v>25</v>
      </c>
      <c r="U5177" s="17" t="n">
        <v>32</v>
      </c>
      <c r="V5177" s="17">
        <f>ROUNDUP((T5177+U5177+2*'Read Me'!$B$13)*(1+'Read Me'!$B$12),-1)</f>
        <v/>
      </c>
      <c r="W5177" s="17">
        <f>V5177*N5177*O5177</f>
        <v/>
      </c>
      <c r="X5177" s="12">
        <f>IF(LEFT(I5177,2)="MV",2*N5177*IF(L5177="1/C",O5177,1),0)</f>
        <v/>
      </c>
      <c r="Y5177" s="12">
        <f>IF(OR(LEFT(K5177,4)="LVAX",LEFT(K5177,6)="MV15AX",LEFT(K5177,4)="CTAX",LEFT(K5177,2)="W|"),2*N5177*O5177,0)</f>
        <v/>
      </c>
      <c r="Z5177" s="12" t="inlineStr">
        <is>
          <t>typical LM6000 hydraulic start; verify starter type / rating with the OEM</t>
        </is>
      </c>
      <c r="AA5177" s="12">
        <f>N5177*O5177</f>
        <v/>
      </c>
    </row>
    <row r="5178">
      <c r="A5178" s="12" t="inlineStr">
        <is>
          <t>I-P-0228</t>
        </is>
      </c>
      <c r="B5178" s="12" t="inlineStr">
        <is>
          <t>I</t>
        </is>
      </c>
      <c r="C5178" s="12" t="inlineStr">
        <is>
          <t>Modular / portable power</t>
        </is>
      </c>
      <c r="D5178" s="12" t="inlineStr">
        <is>
          <t>SC-2 480 V welding receptacle 1</t>
        </is>
      </c>
      <c r="E5178" s="12" t="inlineStr"/>
      <c r="F5178" s="12" t="inlineStr">
        <is>
          <t>SC-2 PCM + 15 kV GCB</t>
        </is>
      </c>
      <c r="G5178" s="12" t="inlineStr">
        <is>
          <t>SC-2</t>
        </is>
      </c>
      <c r="H5178" s="12" t="inlineStr">
        <is>
          <t>SC-2: aeroderivative simple-cycle unit (LM6000 class)</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76</v>
      </c>
      <c r="S5178" s="12" t="inlineStr">
        <is>
          <t>Duct bank</t>
        </is>
      </c>
      <c r="T5178" s="17" t="n">
        <v>25</v>
      </c>
      <c r="U5178" s="17" t="n">
        <v>32</v>
      </c>
      <c r="V5178" s="17">
        <f>ROUNDUP((T5178+U5178+2*'Read Me'!$B$13)*(1+'Read Me'!$B$12),-1)</f>
        <v/>
      </c>
      <c r="W5178" s="17">
        <f>V5178*N5178*O5178</f>
        <v/>
      </c>
      <c r="X5178" s="12">
        <f>IF(LEFT(I5178,2)="MV",2*N5178*IF(L5178="1/C",O5178,1),0)</f>
        <v/>
      </c>
      <c r="Y5178" s="12">
        <f>IF(OR(LEFT(K5178,4)="LVAX",LEFT(K5178,6)="MV15AX",LEFT(K5178,4)="CTAX",LEFT(K5178,2)="W|"),2*N5178*O5178,0)</f>
        <v/>
      </c>
      <c r="Z5178" s="12" t="inlineStr">
        <is>
          <t>VD 0.3 %</t>
        </is>
      </c>
      <c r="AA5178" s="12">
        <f>N5178*O5178</f>
        <v/>
      </c>
    </row>
    <row r="5179">
      <c r="A5179" s="12" t="inlineStr">
        <is>
          <t>I-P-0229</t>
        </is>
      </c>
      <c r="B5179" s="12" t="inlineStr">
        <is>
          <t>I</t>
        </is>
      </c>
      <c r="C5179" s="12" t="inlineStr">
        <is>
          <t>Modular / portable power</t>
        </is>
      </c>
      <c r="D5179" s="12" t="inlineStr">
        <is>
          <t>SC-2 480 V welding receptacle 2</t>
        </is>
      </c>
      <c r="E5179" s="12" t="inlineStr"/>
      <c r="F5179" s="12" t="inlineStr">
        <is>
          <t>SC-2 PCM + 15 kV GCB</t>
        </is>
      </c>
      <c r="G5179" s="12" t="inlineStr">
        <is>
          <t>SC-2</t>
        </is>
      </c>
      <c r="H5179" s="12" t="inlineStr">
        <is>
          <t>SC-2: aeroderivative simple-cycle unit (LM6000 class)</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76</v>
      </c>
      <c r="S5179" s="12" t="inlineStr">
        <is>
          <t>Duct bank</t>
        </is>
      </c>
      <c r="T5179" s="17" t="n">
        <v>25</v>
      </c>
      <c r="U5179" s="17" t="n">
        <v>32</v>
      </c>
      <c r="V5179" s="17">
        <f>ROUNDUP((T5179+U5179+2*'Read Me'!$B$13)*(1+'Read Me'!$B$12),-1)</f>
        <v/>
      </c>
      <c r="W5179" s="17">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I-P-0230</t>
        </is>
      </c>
      <c r="B5180" s="12" t="inlineStr">
        <is>
          <t>I</t>
        </is>
      </c>
      <c r="C5180" s="12" t="inlineStr">
        <is>
          <t>Modular / portable power</t>
        </is>
      </c>
      <c r="D5180" s="12" t="inlineStr">
        <is>
          <t>Motor 1 of 10, 30 kW</t>
        </is>
      </c>
      <c r="E5180" s="12" t="inlineStr"/>
      <c r="F5180" s="12" t="inlineStr">
        <is>
          <t>SC-2 PCM + 15 kV GCB</t>
        </is>
      </c>
      <c r="G5180" s="12" t="inlineStr">
        <is>
          <t>SC-2</t>
        </is>
      </c>
      <c r="H5180" s="12" t="inlineStr">
        <is>
          <t>SC-2: aeroderivative simple-cycle unit (LM6000 class)</t>
        </is>
      </c>
      <c r="I5180" s="12" t="inlineStr">
        <is>
          <t>LV 600 V</t>
        </is>
      </c>
      <c r="J5180" s="12" t="inlineStr">
        <is>
          <t>Type TC-ER 600 V 3/C Cu XHHW-2 + ground, PVC jacket</t>
        </is>
      </c>
      <c r="K5180" s="12" t="inlineStr">
        <is>
          <t>LV|3/C+G|6</t>
        </is>
      </c>
      <c r="L5180" s="12" t="inlineStr">
        <is>
          <t>3/C+G</t>
        </is>
      </c>
      <c r="M5180" s="12" t="inlineStr">
        <is>
          <t>6</t>
        </is>
      </c>
      <c r="N5180" s="12" t="n">
        <v>1</v>
      </c>
      <c r="O5180" s="12" t="n">
        <v>1</v>
      </c>
      <c r="P5180" s="12" t="n">
        <v>480</v>
      </c>
      <c r="Q5180" s="12" t="n">
        <v>30</v>
      </c>
      <c r="R5180" s="12" t="n">
        <v>42.5</v>
      </c>
      <c r="S5180" s="12" t="inlineStr">
        <is>
          <t>Duct bank</t>
        </is>
      </c>
      <c r="T5180" s="17" t="n">
        <v>25</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is>
          <t>VD 0.5 %</t>
        </is>
      </c>
      <c r="AA5180" s="12">
        <f>N5180*O5180</f>
        <v/>
      </c>
    </row>
    <row r="5181">
      <c r="A5181" s="12" t="inlineStr">
        <is>
          <t>I-P-0231</t>
        </is>
      </c>
      <c r="B5181" s="12" t="inlineStr">
        <is>
          <t>I</t>
        </is>
      </c>
      <c r="C5181" s="12" t="inlineStr">
        <is>
          <t>Modular / portable power</t>
        </is>
      </c>
      <c r="D5181" s="12" t="inlineStr">
        <is>
          <t>Motor 2 of 10, 30 kW</t>
        </is>
      </c>
      <c r="E5181" s="12" t="inlineStr"/>
      <c r="F5181" s="12" t="inlineStr">
        <is>
          <t>SC-2 PCM + 15 kV GCB</t>
        </is>
      </c>
      <c r="G5181" s="12" t="inlineStr">
        <is>
          <t>SC-2</t>
        </is>
      </c>
      <c r="H5181" s="12" t="inlineStr">
        <is>
          <t>SC-2: aeroderivative simple-cycle unit (LM6000 class)</t>
        </is>
      </c>
      <c r="I5181" s="12" t="inlineStr">
        <is>
          <t>LV 600 V</t>
        </is>
      </c>
      <c r="J5181" s="12" t="inlineStr">
        <is>
          <t>Type TC-ER 600 V 3/C Cu XHHW-2 + ground, PVC jacket</t>
        </is>
      </c>
      <c r="K5181" s="12" t="inlineStr">
        <is>
          <t>LV|3/C+G|6</t>
        </is>
      </c>
      <c r="L5181" s="12" t="inlineStr">
        <is>
          <t>3/C+G</t>
        </is>
      </c>
      <c r="M5181" s="12" t="inlineStr">
        <is>
          <t>6</t>
        </is>
      </c>
      <c r="N5181" s="12" t="n">
        <v>1</v>
      </c>
      <c r="O5181" s="12" t="n">
        <v>1</v>
      </c>
      <c r="P5181" s="12" t="n">
        <v>480</v>
      </c>
      <c r="Q5181" s="12" t="n">
        <v>30</v>
      </c>
      <c r="R5181" s="12" t="n">
        <v>42.5</v>
      </c>
      <c r="S5181" s="12" t="inlineStr">
        <is>
          <t>Duct bank</t>
        </is>
      </c>
      <c r="T5181" s="17" t="n">
        <v>25</v>
      </c>
      <c r="U5181" s="17" t="n">
        <v>32</v>
      </c>
      <c r="V5181" s="17">
        <f>ROUNDUP((T5181+U5181+2*'Read Me'!$B$13)*(1+'Read Me'!$B$12),-1)</f>
        <v/>
      </c>
      <c r="W5181" s="17">
        <f>V5181*N5181*O5181</f>
        <v/>
      </c>
      <c r="X5181" s="12">
        <f>IF(LEFT(I5181,2)="MV",2*N5181*IF(L5181="1/C",O5181,1),0)</f>
        <v/>
      </c>
      <c r="Y5181" s="12">
        <f>IF(OR(LEFT(K5181,4)="LVAX",LEFT(K5181,6)="MV15AX",LEFT(K5181,4)="CTAX",LEFT(K5181,2)="W|"),2*N5181*O5181,0)</f>
        <v/>
      </c>
      <c r="Z5181" s="12" t="inlineStr">
        <is>
          <t>VD 0.5 %</t>
        </is>
      </c>
      <c r="AA5181" s="12">
        <f>N5181*O5181</f>
        <v/>
      </c>
    </row>
    <row r="5182">
      <c r="A5182" s="12" t="inlineStr">
        <is>
          <t>I-P-0232</t>
        </is>
      </c>
      <c r="B5182" s="12" t="inlineStr">
        <is>
          <t>I</t>
        </is>
      </c>
      <c r="C5182" s="12" t="inlineStr">
        <is>
          <t>Modular / portable power</t>
        </is>
      </c>
      <c r="D5182" s="12" t="inlineStr">
        <is>
          <t>Motor 3 of 10, 30 kW</t>
        </is>
      </c>
      <c r="E5182" s="12" t="inlineStr"/>
      <c r="F5182" s="12" t="inlineStr">
        <is>
          <t>SC-2 PCM + 15 kV GCB</t>
        </is>
      </c>
      <c r="G5182" s="12" t="inlineStr">
        <is>
          <t>SC-2</t>
        </is>
      </c>
      <c r="H5182" s="12" t="inlineStr">
        <is>
          <t>SC-2: aeroderivative simple-cycle unit (LM6000 class)</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30</v>
      </c>
      <c r="R5182" s="12" t="n">
        <v>42.5</v>
      </c>
      <c r="S5182" s="12" t="inlineStr">
        <is>
          <t>Duct bank</t>
        </is>
      </c>
      <c r="T5182" s="17" t="n">
        <v>25</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is>
          <t>VD 0.5 %</t>
        </is>
      </c>
      <c r="AA5182" s="12">
        <f>N5182*O5182</f>
        <v/>
      </c>
    </row>
    <row r="5183">
      <c r="A5183" s="12" t="inlineStr">
        <is>
          <t>I-P-0233</t>
        </is>
      </c>
      <c r="B5183" s="12" t="inlineStr">
        <is>
          <t>I</t>
        </is>
      </c>
      <c r="C5183" s="12" t="inlineStr">
        <is>
          <t>Modular / portable power</t>
        </is>
      </c>
      <c r="D5183" s="12" t="inlineStr">
        <is>
          <t>Motor 4 of 10, 30 kW</t>
        </is>
      </c>
      <c r="E5183" s="12" t="inlineStr"/>
      <c r="F5183" s="12" t="inlineStr">
        <is>
          <t>SC-2 PCM + 15 kV GCB</t>
        </is>
      </c>
      <c r="G5183" s="12" t="inlineStr">
        <is>
          <t>SC-2</t>
        </is>
      </c>
      <c r="H5183" s="12" t="inlineStr">
        <is>
          <t>SC-2: aeroderivative simple-cycle unit (LM6000 class)</t>
        </is>
      </c>
      <c r="I5183" s="12" t="inlineStr">
        <is>
          <t>LV 600 V</t>
        </is>
      </c>
      <c r="J5183" s="12" t="inlineStr">
        <is>
          <t>Type TC-ER 600 V 3/C Cu XHHW-2 + ground, PVC jacket</t>
        </is>
      </c>
      <c r="K5183" s="12" t="inlineStr">
        <is>
          <t>LV|3/C+G|6</t>
        </is>
      </c>
      <c r="L5183" s="12" t="inlineStr">
        <is>
          <t>3/C+G</t>
        </is>
      </c>
      <c r="M5183" s="12" t="inlineStr">
        <is>
          <t>6</t>
        </is>
      </c>
      <c r="N5183" s="12" t="n">
        <v>1</v>
      </c>
      <c r="O5183" s="12" t="n">
        <v>1</v>
      </c>
      <c r="P5183" s="12" t="n">
        <v>480</v>
      </c>
      <c r="Q5183" s="12" t="n">
        <v>30</v>
      </c>
      <c r="R5183" s="12" t="n">
        <v>42.5</v>
      </c>
      <c r="S5183" s="12" t="inlineStr">
        <is>
          <t>Duct bank</t>
        </is>
      </c>
      <c r="T5183" s="17" t="n">
        <v>25</v>
      </c>
      <c r="U5183" s="17" t="n">
        <v>32</v>
      </c>
      <c r="V5183" s="17">
        <f>ROUNDUP((T5183+U5183+2*'Read Me'!$B$13)*(1+'Read Me'!$B$12),-1)</f>
        <v/>
      </c>
      <c r="W5183" s="17">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I-P-0234</t>
        </is>
      </c>
      <c r="B5184" s="12" t="inlineStr">
        <is>
          <t>I</t>
        </is>
      </c>
      <c r="C5184" s="12" t="inlineStr">
        <is>
          <t>Modular / portable power</t>
        </is>
      </c>
      <c r="D5184" s="12" t="inlineStr">
        <is>
          <t>Motor 5 of 10, 30 kW</t>
        </is>
      </c>
      <c r="E5184" s="12" t="inlineStr"/>
      <c r="F5184" s="12" t="inlineStr">
        <is>
          <t>SC-2 PCM + 15 kV GCB</t>
        </is>
      </c>
      <c r="G5184" s="12" t="inlineStr">
        <is>
          <t>SC-2</t>
        </is>
      </c>
      <c r="H5184" s="12" t="inlineStr">
        <is>
          <t>SC-2: aeroderivative simple-cycle unit (LM6000 class)</t>
        </is>
      </c>
      <c r="I5184" s="12" t="inlineStr">
        <is>
          <t>LV 600 V</t>
        </is>
      </c>
      <c r="J5184" s="12" t="inlineStr">
        <is>
          <t>Type TC-ER 600 V 3/C Cu XHHW-2 + ground, PVC jacket</t>
        </is>
      </c>
      <c r="K5184" s="12" t="inlineStr">
        <is>
          <t>LV|3/C+G|6</t>
        </is>
      </c>
      <c r="L5184" s="12" t="inlineStr">
        <is>
          <t>3/C+G</t>
        </is>
      </c>
      <c r="M5184" s="12" t="inlineStr">
        <is>
          <t>6</t>
        </is>
      </c>
      <c r="N5184" s="12" t="n">
        <v>1</v>
      </c>
      <c r="O5184" s="12" t="n">
        <v>1</v>
      </c>
      <c r="P5184" s="12" t="n">
        <v>480</v>
      </c>
      <c r="Q5184" s="12" t="n">
        <v>30</v>
      </c>
      <c r="R5184" s="12" t="n">
        <v>42.5</v>
      </c>
      <c r="S5184" s="12" t="inlineStr">
        <is>
          <t>Duct bank</t>
        </is>
      </c>
      <c r="T5184" s="17" t="n">
        <v>25</v>
      </c>
      <c r="U5184" s="17" t="n">
        <v>32</v>
      </c>
      <c r="V5184" s="17">
        <f>ROUNDUP((T5184+U5184+2*'Read Me'!$B$13)*(1+'Read Me'!$B$12),-1)</f>
        <v/>
      </c>
      <c r="W5184" s="17">
        <f>V5184*N5184*O5184</f>
        <v/>
      </c>
      <c r="X5184" s="12">
        <f>IF(LEFT(I5184,2)="MV",2*N5184*IF(L5184="1/C",O5184,1),0)</f>
        <v/>
      </c>
      <c r="Y5184" s="12">
        <f>IF(OR(LEFT(K5184,4)="LVAX",LEFT(K5184,6)="MV15AX",LEFT(K5184,4)="CTAX",LEFT(K5184,2)="W|"),2*N5184*O5184,0)</f>
        <v/>
      </c>
      <c r="Z5184" s="12" t="inlineStr">
        <is>
          <t>VD 0.5 %</t>
        </is>
      </c>
      <c r="AA5184" s="12">
        <f>N5184*O5184</f>
        <v/>
      </c>
    </row>
    <row r="5185">
      <c r="A5185" s="12" t="inlineStr">
        <is>
          <t>I-P-0235</t>
        </is>
      </c>
      <c r="B5185" s="12" t="inlineStr">
        <is>
          <t>I</t>
        </is>
      </c>
      <c r="C5185" s="12" t="inlineStr">
        <is>
          <t>Modular / portable power</t>
        </is>
      </c>
      <c r="D5185" s="12" t="inlineStr">
        <is>
          <t>Motor 6 of 10, 30 kW</t>
        </is>
      </c>
      <c r="E5185" s="12" t="inlineStr"/>
      <c r="F5185" s="12" t="inlineStr">
        <is>
          <t>SC-2 PCM + 15 kV GCB</t>
        </is>
      </c>
      <c r="G5185" s="12" t="inlineStr">
        <is>
          <t>SC-2</t>
        </is>
      </c>
      <c r="H5185" s="12" t="inlineStr">
        <is>
          <t>SC-2: aeroderivative simple-cycle unit (LM6000 class)</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30</v>
      </c>
      <c r="R5185" s="12" t="n">
        <v>42.5</v>
      </c>
      <c r="S5185" s="12" t="inlineStr">
        <is>
          <t>Duct bank</t>
        </is>
      </c>
      <c r="T5185" s="17" t="n">
        <v>25</v>
      </c>
      <c r="U5185" s="17" t="n">
        <v>32</v>
      </c>
      <c r="V5185" s="17">
        <f>ROUNDUP((T5185+U5185+2*'Read Me'!$B$13)*(1+'Read Me'!$B$12),-1)</f>
        <v/>
      </c>
      <c r="W5185" s="17">
        <f>V5185*N5185*O5185</f>
        <v/>
      </c>
      <c r="X5185" s="12">
        <f>IF(LEFT(I5185,2)="MV",2*N5185*IF(L5185="1/C",O5185,1),0)</f>
        <v/>
      </c>
      <c r="Y5185" s="12">
        <f>IF(OR(LEFT(K5185,4)="LVAX",LEFT(K5185,6)="MV15AX",LEFT(K5185,4)="CTAX",LEFT(K5185,2)="W|"),2*N5185*O5185,0)</f>
        <v/>
      </c>
      <c r="Z5185" s="12" t="inlineStr">
        <is>
          <t>VD 0.5 %</t>
        </is>
      </c>
      <c r="AA5185" s="12">
        <f>N5185*O5185</f>
        <v/>
      </c>
    </row>
    <row r="5186">
      <c r="A5186" s="12" t="inlineStr">
        <is>
          <t>I-P-0236</t>
        </is>
      </c>
      <c r="B5186" s="12" t="inlineStr">
        <is>
          <t>I</t>
        </is>
      </c>
      <c r="C5186" s="12" t="inlineStr">
        <is>
          <t>Modular / portable power</t>
        </is>
      </c>
      <c r="D5186" s="12" t="inlineStr">
        <is>
          <t>Motor 7 of 10, 30 kW</t>
        </is>
      </c>
      <c r="E5186" s="12" t="inlineStr"/>
      <c r="F5186" s="12" t="inlineStr">
        <is>
          <t>SC-2 PCM + 15 kV GCB</t>
        </is>
      </c>
      <c r="G5186" s="12" t="inlineStr">
        <is>
          <t>SC-2</t>
        </is>
      </c>
      <c r="H5186" s="12" t="inlineStr">
        <is>
          <t>SC-2: aeroderivative simple-cycle unit (LM6000 class)</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30</v>
      </c>
      <c r="R5186" s="12" t="n">
        <v>42.5</v>
      </c>
      <c r="S5186" s="12" t="inlineStr">
        <is>
          <t>Duct bank</t>
        </is>
      </c>
      <c r="T5186" s="17" t="n">
        <v>25</v>
      </c>
      <c r="U5186" s="17" t="n">
        <v>32</v>
      </c>
      <c r="V5186" s="17">
        <f>ROUNDUP((T5186+U5186+2*'Read Me'!$B$13)*(1+'Read Me'!$B$12),-1)</f>
        <v/>
      </c>
      <c r="W5186" s="17">
        <f>V5186*N5186*O5186</f>
        <v/>
      </c>
      <c r="X5186" s="12">
        <f>IF(LEFT(I5186,2)="MV",2*N5186*IF(L5186="1/C",O5186,1),0)</f>
        <v/>
      </c>
      <c r="Y5186" s="12">
        <f>IF(OR(LEFT(K5186,4)="LVAX",LEFT(K5186,6)="MV15AX",LEFT(K5186,4)="CTAX",LEFT(K5186,2)="W|"),2*N5186*O5186,0)</f>
        <v/>
      </c>
      <c r="Z5186" s="12" t="inlineStr">
        <is>
          <t>VD 0.5 %</t>
        </is>
      </c>
      <c r="AA5186" s="12">
        <f>N5186*O5186</f>
        <v/>
      </c>
    </row>
    <row r="5187">
      <c r="A5187" s="12" t="inlineStr">
        <is>
          <t>I-P-0237</t>
        </is>
      </c>
      <c r="B5187" s="12" t="inlineStr">
        <is>
          <t>I</t>
        </is>
      </c>
      <c r="C5187" s="12" t="inlineStr">
        <is>
          <t>Modular / portable power</t>
        </is>
      </c>
      <c r="D5187" s="12" t="inlineStr">
        <is>
          <t>Motor 8 of 10, 30 kW</t>
        </is>
      </c>
      <c r="E5187" s="12" t="inlineStr"/>
      <c r="F5187" s="12" t="inlineStr">
        <is>
          <t>SC-2 PCM + 15 kV GCB</t>
        </is>
      </c>
      <c r="G5187" s="12" t="inlineStr">
        <is>
          <t>SC-2</t>
        </is>
      </c>
      <c r="H5187" s="12" t="inlineStr">
        <is>
          <t>SC-2: aeroderivative simple-cycle unit (LM6000 class)</t>
        </is>
      </c>
      <c r="I5187" s="12" t="inlineStr">
        <is>
          <t>LV 600 V</t>
        </is>
      </c>
      <c r="J5187" s="12" t="inlineStr">
        <is>
          <t>Type TC-ER 600 V 3/C Cu XHHW-2 + ground, PVC jacket</t>
        </is>
      </c>
      <c r="K5187" s="12" t="inlineStr">
        <is>
          <t>LV|3/C+G|6</t>
        </is>
      </c>
      <c r="L5187" s="12" t="inlineStr">
        <is>
          <t>3/C+G</t>
        </is>
      </c>
      <c r="M5187" s="12" t="inlineStr">
        <is>
          <t>6</t>
        </is>
      </c>
      <c r="N5187" s="12" t="n">
        <v>1</v>
      </c>
      <c r="O5187" s="12" t="n">
        <v>1</v>
      </c>
      <c r="P5187" s="12" t="n">
        <v>480</v>
      </c>
      <c r="Q5187" s="12" t="n">
        <v>30</v>
      </c>
      <c r="R5187" s="12" t="n">
        <v>42.5</v>
      </c>
      <c r="S5187" s="12" t="inlineStr">
        <is>
          <t>Duct bank</t>
        </is>
      </c>
      <c r="T5187" s="17" t="n">
        <v>25</v>
      </c>
      <c r="U5187" s="17" t="n">
        <v>32</v>
      </c>
      <c r="V5187" s="17">
        <f>ROUNDUP((T5187+U5187+2*'Read Me'!$B$13)*(1+'Read Me'!$B$12),-1)</f>
        <v/>
      </c>
      <c r="W5187" s="17">
        <f>V5187*N5187*O5187</f>
        <v/>
      </c>
      <c r="X5187" s="12">
        <f>IF(LEFT(I5187,2)="MV",2*N5187*IF(L5187="1/C",O5187,1),0)</f>
        <v/>
      </c>
      <c r="Y5187" s="12">
        <f>IF(OR(LEFT(K5187,4)="LVAX",LEFT(K5187,6)="MV15AX",LEFT(K5187,4)="CTAX",LEFT(K5187,2)="W|"),2*N5187*O5187,0)</f>
        <v/>
      </c>
      <c r="Z5187" s="12" t="inlineStr">
        <is>
          <t>VD 0.5 %</t>
        </is>
      </c>
      <c r="AA5187" s="12">
        <f>N5187*O5187</f>
        <v/>
      </c>
    </row>
    <row r="5188">
      <c r="A5188" s="12" t="inlineStr">
        <is>
          <t>I-P-0238</t>
        </is>
      </c>
      <c r="B5188" s="12" t="inlineStr">
        <is>
          <t>I</t>
        </is>
      </c>
      <c r="C5188" s="12" t="inlineStr">
        <is>
          <t>Modular / portable power</t>
        </is>
      </c>
      <c r="D5188" s="12" t="inlineStr">
        <is>
          <t>Motor 9 of 10, 30 kW</t>
        </is>
      </c>
      <c r="E5188" s="12" t="inlineStr"/>
      <c r="F5188" s="12" t="inlineStr">
        <is>
          <t>SC-2 PCM + 15 kV GCB</t>
        </is>
      </c>
      <c r="G5188" s="12" t="inlineStr">
        <is>
          <t>SC-2</t>
        </is>
      </c>
      <c r="H5188" s="12" t="inlineStr">
        <is>
          <t>SC-2: aeroderivative simple-cycle unit (LM6000 class)</t>
        </is>
      </c>
      <c r="I5188" s="12" t="inlineStr">
        <is>
          <t>LV 600 V</t>
        </is>
      </c>
      <c r="J5188" s="12" t="inlineStr">
        <is>
          <t>Type TC-ER 600 V 3/C Cu XHHW-2 + ground, PVC jacket</t>
        </is>
      </c>
      <c r="K5188" s="12" t="inlineStr">
        <is>
          <t>LV|3/C+G|6</t>
        </is>
      </c>
      <c r="L5188" s="12" t="inlineStr">
        <is>
          <t>3/C+G</t>
        </is>
      </c>
      <c r="M5188" s="12" t="inlineStr">
        <is>
          <t>6</t>
        </is>
      </c>
      <c r="N5188" s="12" t="n">
        <v>1</v>
      </c>
      <c r="O5188" s="12" t="n">
        <v>1</v>
      </c>
      <c r="P5188" s="12" t="n">
        <v>480</v>
      </c>
      <c r="Q5188" s="12" t="n">
        <v>30</v>
      </c>
      <c r="R5188" s="12" t="n">
        <v>42.5</v>
      </c>
      <c r="S5188" s="12" t="inlineStr">
        <is>
          <t>Duct bank</t>
        </is>
      </c>
      <c r="T5188" s="17" t="n">
        <v>25</v>
      </c>
      <c r="U5188" s="17" t="n">
        <v>32</v>
      </c>
      <c r="V5188" s="17">
        <f>ROUNDUP((T5188+U5188+2*'Read Me'!$B$13)*(1+'Read Me'!$B$12),-1)</f>
        <v/>
      </c>
      <c r="W5188" s="17">
        <f>V5188*N5188*O5188</f>
        <v/>
      </c>
      <c r="X5188" s="12">
        <f>IF(LEFT(I5188,2)="MV",2*N5188*IF(L5188="1/C",O5188,1),0)</f>
        <v/>
      </c>
      <c r="Y5188" s="12">
        <f>IF(OR(LEFT(K5188,4)="LVAX",LEFT(K5188,6)="MV15AX",LEFT(K5188,4)="CTAX",LEFT(K5188,2)="W|"),2*N5188*O5188,0)</f>
        <v/>
      </c>
      <c r="Z5188" s="12" t="inlineStr">
        <is>
          <t>VD 0.5 %</t>
        </is>
      </c>
      <c r="AA5188" s="12">
        <f>N5188*O5188</f>
        <v/>
      </c>
    </row>
    <row r="5189">
      <c r="A5189" s="12" t="inlineStr">
        <is>
          <t>I-P-0239</t>
        </is>
      </c>
      <c r="B5189" s="12" t="inlineStr">
        <is>
          <t>I</t>
        </is>
      </c>
      <c r="C5189" s="12" t="inlineStr">
        <is>
          <t>Modular / portable power</t>
        </is>
      </c>
      <c r="D5189" s="12" t="inlineStr">
        <is>
          <t>Motor 10 of 10, 30 kW</t>
        </is>
      </c>
      <c r="E5189" s="12" t="inlineStr"/>
      <c r="F5189" s="12" t="inlineStr">
        <is>
          <t>SC-2 PCM + 15 kV GCB</t>
        </is>
      </c>
      <c r="G5189" s="12" t="inlineStr">
        <is>
          <t>SC-2</t>
        </is>
      </c>
      <c r="H5189" s="12" t="inlineStr">
        <is>
          <t>SC-2: aeroderivative simple-cycle unit (LM6000 class)</t>
        </is>
      </c>
      <c r="I5189" s="12" t="inlineStr">
        <is>
          <t>LV 600 V</t>
        </is>
      </c>
      <c r="J5189" s="12" t="inlineStr">
        <is>
          <t>Type TC-ER 600 V 3/C Cu XHHW-2 + ground, PVC jacket</t>
        </is>
      </c>
      <c r="K5189" s="12" t="inlineStr">
        <is>
          <t>LV|3/C+G|6</t>
        </is>
      </c>
      <c r="L5189" s="12" t="inlineStr">
        <is>
          <t>3/C+G</t>
        </is>
      </c>
      <c r="M5189" s="12" t="inlineStr">
        <is>
          <t>6</t>
        </is>
      </c>
      <c r="N5189" s="12" t="n">
        <v>1</v>
      </c>
      <c r="O5189" s="12" t="n">
        <v>1</v>
      </c>
      <c r="P5189" s="12" t="n">
        <v>480</v>
      </c>
      <c r="Q5189" s="12" t="n">
        <v>30</v>
      </c>
      <c r="R5189" s="12" t="n">
        <v>42.5</v>
      </c>
      <c r="S5189" s="12" t="inlineStr">
        <is>
          <t>Duct bank</t>
        </is>
      </c>
      <c r="T5189" s="17" t="n">
        <v>25</v>
      </c>
      <c r="U5189" s="17" t="n">
        <v>32</v>
      </c>
      <c r="V5189" s="17">
        <f>ROUNDUP((T5189+U5189+2*'Read Me'!$B$13)*(1+'Read Me'!$B$12),-1)</f>
        <v/>
      </c>
      <c r="W5189" s="17">
        <f>V5189*N5189*O5189</f>
        <v/>
      </c>
      <c r="X5189" s="12">
        <f>IF(LEFT(I5189,2)="MV",2*N5189*IF(L5189="1/C",O5189,1),0)</f>
        <v/>
      </c>
      <c r="Y5189" s="12">
        <f>IF(OR(LEFT(K5189,4)="LVAX",LEFT(K5189,6)="MV15AX",LEFT(K5189,4)="CTAX",LEFT(K5189,2)="W|"),2*N5189*O5189,0)</f>
        <v/>
      </c>
      <c r="Z5189" s="12" t="inlineStr">
        <is>
          <t>VD 0.5 %</t>
        </is>
      </c>
      <c r="AA5189" s="12">
        <f>N5189*O5189</f>
        <v/>
      </c>
    </row>
    <row r="5190">
      <c r="A5190" s="12" t="inlineStr">
        <is>
          <t>I-P-0240</t>
        </is>
      </c>
      <c r="B5190" s="12" t="inlineStr">
        <is>
          <t>I</t>
        </is>
      </c>
      <c r="C5190" s="12" t="inlineStr">
        <is>
          <t>Modular / portable power</t>
        </is>
      </c>
      <c r="D5190" s="12" t="inlineStr">
        <is>
          <t>Area / platform lighting circuit 1 (8 fixtures)</t>
        </is>
      </c>
      <c r="E5190" s="12" t="inlineStr"/>
      <c r="F5190" s="12" t="inlineStr">
        <is>
          <t>SC-2 PCM + 15 kV GCB</t>
        </is>
      </c>
      <c r="G5190" s="12" t="inlineStr">
        <is>
          <t>SC-2</t>
        </is>
      </c>
      <c r="H5190" s="12" t="inlineStr">
        <is>
          <t>SC-2: aeroderivative simple-cycle unit (LM6000 class)</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3</v>
      </c>
      <c r="R5190" s="12" t="n">
        <v>5</v>
      </c>
      <c r="S5190" s="12" t="inlineStr">
        <is>
          <t>Duct bank</t>
        </is>
      </c>
      <c r="T5190" s="17" t="n">
        <v>325</v>
      </c>
      <c r="U5190" s="17" t="n">
        <v>32</v>
      </c>
      <c r="V5190" s="17">
        <f>ROUNDUP((T5190+U5190+2*'Read Me'!$B$13)*(1+'Read Me'!$B$12),-1)</f>
        <v/>
      </c>
      <c r="W5190" s="17">
        <f>V5190*N5190*O5190</f>
        <v/>
      </c>
      <c r="X5190" s="12">
        <f>IF(LEFT(I5190,2)="MV",2*N5190*IF(L5190="1/C",O5190,1),0)</f>
        <v/>
      </c>
      <c r="Y5190" s="12">
        <f>IF(OR(LEFT(K5190,4)="LVAX",LEFT(K5190,6)="MV15AX",LEFT(K5190,4)="CTAX",LEFT(K5190,2)="W|"),2*N5190*O5190,0)</f>
        <v/>
      </c>
      <c r="Z5190" s="12" t="inlineStr">
        <is>
          <t>fixture-to-fixture run included</t>
        </is>
      </c>
      <c r="AA5190" s="12">
        <f>N5190*O5190</f>
        <v/>
      </c>
    </row>
    <row r="5191">
      <c r="A5191" s="12" t="inlineStr">
        <is>
          <t>I-P-0241</t>
        </is>
      </c>
      <c r="B5191" s="12" t="inlineStr">
        <is>
          <t>I</t>
        </is>
      </c>
      <c r="C5191" s="12" t="inlineStr">
        <is>
          <t>Modular / portable power</t>
        </is>
      </c>
      <c r="D5191" s="12" t="inlineStr">
        <is>
          <t>Motor 1 of 6, 2 kW</t>
        </is>
      </c>
      <c r="E5191" s="12" t="inlineStr"/>
      <c r="F5191" s="12" t="inlineStr">
        <is>
          <t>MOD-LV 480 V board + 480 V : 13.8 kV step-up</t>
        </is>
      </c>
      <c r="G5191" s="12" t="inlineStr"/>
      <c r="H5191" s="12" t="inlineStr">
        <is>
          <t>T-MOD 230 kV take-off gantry with arresters</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2</v>
      </c>
      <c r="R5191" s="12" t="n">
        <v>2.8</v>
      </c>
      <c r="S5191" s="12" t="inlineStr">
        <is>
          <t>Duct bank</t>
        </is>
      </c>
      <c r="T5191" s="17" t="n">
        <v>370</v>
      </c>
      <c r="U5191" s="17" t="n">
        <v>128</v>
      </c>
      <c r="V5191" s="17">
        <f>ROUNDUP((T5191+U5191+2*'Read Me'!$B$13)*(1+'Read Me'!$B$12),-1)</f>
        <v/>
      </c>
      <c r="W5191" s="17">
        <f>V5191*N5191*O5191</f>
        <v/>
      </c>
      <c r="X5191" s="12">
        <f>IF(LEFT(I5191,2)="MV",2*N5191*IF(L5191="1/C",O5191,1),0)</f>
        <v/>
      </c>
      <c r="Y5191" s="12">
        <f>IF(OR(LEFT(K5191,4)="LVAX",LEFT(K5191,6)="MV15AX",LEFT(K5191,4)="CTAX",LEFT(K5191,2)="W|"),2*N5191*O5191,0)</f>
        <v/>
      </c>
      <c r="Z5191" s="12" t="inlineStr">
        <is>
          <t>VD 0.7 %</t>
        </is>
      </c>
      <c r="AA5191" s="12">
        <f>N5191*O5191</f>
        <v/>
      </c>
    </row>
    <row r="5192">
      <c r="A5192" s="12" t="inlineStr">
        <is>
          <t>I-P-0242</t>
        </is>
      </c>
      <c r="B5192" s="12" t="inlineStr">
        <is>
          <t>I</t>
        </is>
      </c>
      <c r="C5192" s="12" t="inlineStr">
        <is>
          <t>Modular / portable power</t>
        </is>
      </c>
      <c r="D5192" s="12" t="inlineStr">
        <is>
          <t>Motor 2 of 6, 2 kW</t>
        </is>
      </c>
      <c r="E5192" s="12" t="inlineStr"/>
      <c r="F5192" s="12" t="inlineStr">
        <is>
          <t>MOD-LV 480 V board + 480 V : 13.8 kV step-up</t>
        </is>
      </c>
      <c r="G5192" s="12" t="inlineStr"/>
      <c r="H5192" s="12" t="inlineStr">
        <is>
          <t>T-MOD 230 kV take-off gantry with arresters</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2</v>
      </c>
      <c r="R5192" s="12" t="n">
        <v>2.8</v>
      </c>
      <c r="S5192" s="12" t="inlineStr">
        <is>
          <t>Duct bank</t>
        </is>
      </c>
      <c r="T5192" s="17" t="n">
        <v>370</v>
      </c>
      <c r="U5192" s="17" t="n">
        <v>128</v>
      </c>
      <c r="V5192" s="17">
        <f>ROUNDUP((T5192+U5192+2*'Read Me'!$B$13)*(1+'Read Me'!$B$12),-1)</f>
        <v/>
      </c>
      <c r="W5192" s="17">
        <f>V5192*N5192*O5192</f>
        <v/>
      </c>
      <c r="X5192" s="12">
        <f>IF(LEFT(I5192,2)="MV",2*N5192*IF(L5192="1/C",O5192,1),0)</f>
        <v/>
      </c>
      <c r="Y5192" s="12">
        <f>IF(OR(LEFT(K5192,4)="LVAX",LEFT(K5192,6)="MV15AX",LEFT(K5192,4)="CTAX",LEFT(K5192,2)="W|"),2*N5192*O5192,0)</f>
        <v/>
      </c>
      <c r="Z5192" s="12" t="inlineStr">
        <is>
          <t>VD 0.7 %</t>
        </is>
      </c>
      <c r="AA5192" s="12">
        <f>N5192*O5192</f>
        <v/>
      </c>
    </row>
    <row r="5193">
      <c r="A5193" s="12" t="inlineStr">
        <is>
          <t>I-P-0243</t>
        </is>
      </c>
      <c r="B5193" s="12" t="inlineStr">
        <is>
          <t>I</t>
        </is>
      </c>
      <c r="C5193" s="12" t="inlineStr">
        <is>
          <t>Modular / portable power</t>
        </is>
      </c>
      <c r="D5193" s="12" t="inlineStr">
        <is>
          <t>Motor 3 of 6, 2 kW</t>
        </is>
      </c>
      <c r="E5193" s="12" t="inlineStr"/>
      <c r="F5193" s="12" t="inlineStr">
        <is>
          <t>MOD-LV 480 V board + 480 V : 13.8 kV step-up</t>
        </is>
      </c>
      <c r="G5193" s="12" t="inlineStr"/>
      <c r="H5193" s="12" t="inlineStr">
        <is>
          <t>T-MOD 230 kV take-off gantry with arresters</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2</v>
      </c>
      <c r="R5193" s="12" t="n">
        <v>2.8</v>
      </c>
      <c r="S5193" s="12" t="inlineStr">
        <is>
          <t>Duct bank</t>
        </is>
      </c>
      <c r="T5193" s="17" t="n">
        <v>370</v>
      </c>
      <c r="U5193" s="17" t="n">
        <v>128</v>
      </c>
      <c r="V5193" s="17">
        <f>ROUNDUP((T5193+U5193+2*'Read Me'!$B$13)*(1+'Read Me'!$B$12),-1)</f>
        <v/>
      </c>
      <c r="W5193" s="17">
        <f>V5193*N5193*O5193</f>
        <v/>
      </c>
      <c r="X5193" s="12">
        <f>IF(LEFT(I5193,2)="MV",2*N5193*IF(L5193="1/C",O5193,1),0)</f>
        <v/>
      </c>
      <c r="Y5193" s="12">
        <f>IF(OR(LEFT(K5193,4)="LVAX",LEFT(K5193,6)="MV15AX",LEFT(K5193,4)="CTAX",LEFT(K5193,2)="W|"),2*N5193*O5193,0)</f>
        <v/>
      </c>
      <c r="Z5193" s="12" t="inlineStr">
        <is>
          <t>VD 0.7 %</t>
        </is>
      </c>
      <c r="AA5193" s="12">
        <f>N5193*O5193</f>
        <v/>
      </c>
    </row>
    <row r="5194">
      <c r="A5194" s="12" t="inlineStr">
        <is>
          <t>I-P-0244</t>
        </is>
      </c>
      <c r="B5194" s="12" t="inlineStr">
        <is>
          <t>I</t>
        </is>
      </c>
      <c r="C5194" s="12" t="inlineStr">
        <is>
          <t>Modular / portable power</t>
        </is>
      </c>
      <c r="D5194" s="12" t="inlineStr">
        <is>
          <t>Motor 4 of 6, 2 kW</t>
        </is>
      </c>
      <c r="E5194" s="12" t="inlineStr"/>
      <c r="F5194" s="12" t="inlineStr">
        <is>
          <t>MOD-LV 480 V board + 480 V : 13.8 kV step-up</t>
        </is>
      </c>
      <c r="G5194" s="12" t="inlineStr"/>
      <c r="H5194" s="12" t="inlineStr">
        <is>
          <t>T-MOD 230 kV take-off gantry with arresters</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2</v>
      </c>
      <c r="R5194" s="12" t="n">
        <v>2.8</v>
      </c>
      <c r="S5194" s="12" t="inlineStr">
        <is>
          <t>Duct bank</t>
        </is>
      </c>
      <c r="T5194" s="17" t="n">
        <v>370</v>
      </c>
      <c r="U5194" s="17" t="n">
        <v>128</v>
      </c>
      <c r="V5194" s="17">
        <f>ROUNDUP((T5194+U5194+2*'Read Me'!$B$13)*(1+'Read Me'!$B$12),-1)</f>
        <v/>
      </c>
      <c r="W5194" s="17">
        <f>V5194*N5194*O5194</f>
        <v/>
      </c>
      <c r="X5194" s="12">
        <f>IF(LEFT(I5194,2)="MV",2*N5194*IF(L5194="1/C",O5194,1),0)</f>
        <v/>
      </c>
      <c r="Y5194" s="12">
        <f>IF(OR(LEFT(K5194,4)="LVAX",LEFT(K5194,6)="MV15AX",LEFT(K5194,4)="CTAX",LEFT(K5194,2)="W|"),2*N5194*O5194,0)</f>
        <v/>
      </c>
      <c r="Z5194" s="12" t="inlineStr">
        <is>
          <t>VD 0.7 %</t>
        </is>
      </c>
      <c r="AA5194" s="12">
        <f>N5194*O5194</f>
        <v/>
      </c>
    </row>
    <row r="5195">
      <c r="A5195" s="12" t="inlineStr">
        <is>
          <t>I-P-0245</t>
        </is>
      </c>
      <c r="B5195" s="12" t="inlineStr">
        <is>
          <t>I</t>
        </is>
      </c>
      <c r="C5195" s="12" t="inlineStr">
        <is>
          <t>Modular / portable power</t>
        </is>
      </c>
      <c r="D5195" s="12" t="inlineStr">
        <is>
          <t>Motor 5 of 6, 2 kW</t>
        </is>
      </c>
      <c r="E5195" s="12" t="inlineStr"/>
      <c r="F5195" s="12" t="inlineStr">
        <is>
          <t>MOD-LV 480 V board + 480 V : 13.8 kV step-up</t>
        </is>
      </c>
      <c r="G5195" s="12" t="inlineStr"/>
      <c r="H5195" s="12" t="inlineStr">
        <is>
          <t>T-MOD 230 kV take-off gantry with arresters</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2</v>
      </c>
      <c r="R5195" s="12" t="n">
        <v>2.8</v>
      </c>
      <c r="S5195" s="12" t="inlineStr">
        <is>
          <t>Duct bank</t>
        </is>
      </c>
      <c r="T5195" s="17" t="n">
        <v>370</v>
      </c>
      <c r="U5195" s="17" t="n">
        <v>128</v>
      </c>
      <c r="V5195" s="17">
        <f>ROUNDUP((T5195+U5195+2*'Read Me'!$B$13)*(1+'Read Me'!$B$12),-1)</f>
        <v/>
      </c>
      <c r="W5195" s="17">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I-P-0246</t>
        </is>
      </c>
      <c r="B5196" s="12" t="inlineStr">
        <is>
          <t>I</t>
        </is>
      </c>
      <c r="C5196" s="12" t="inlineStr">
        <is>
          <t>Modular / portable power</t>
        </is>
      </c>
      <c r="D5196" s="12" t="inlineStr">
        <is>
          <t>Motor 6 of 6, 2 kW</t>
        </is>
      </c>
      <c r="E5196" s="12" t="inlineStr"/>
      <c r="F5196" s="12" t="inlineStr">
        <is>
          <t>MOD-LV 480 V board + 480 V : 13.8 kV step-up</t>
        </is>
      </c>
      <c r="G5196" s="12" t="inlineStr"/>
      <c r="H5196" s="12" t="inlineStr">
        <is>
          <t>T-MOD 230 kV take-off gantry with arresters</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2</v>
      </c>
      <c r="R5196" s="12" t="n">
        <v>2.8</v>
      </c>
      <c r="S5196" s="12" t="inlineStr">
        <is>
          <t>Duct bank</t>
        </is>
      </c>
      <c r="T5196" s="17" t="n">
        <v>370</v>
      </c>
      <c r="U5196" s="17" t="n">
        <v>128</v>
      </c>
      <c r="V5196" s="17">
        <f>ROUNDUP((T5196+U5196+2*'Read Me'!$B$13)*(1+'Read Me'!$B$12),-1)</f>
        <v/>
      </c>
      <c r="W5196" s="17">
        <f>V5196*N5196*O5196</f>
        <v/>
      </c>
      <c r="X5196" s="12">
        <f>IF(LEFT(I5196,2)="MV",2*N5196*IF(L5196="1/C",O5196,1),0)</f>
        <v/>
      </c>
      <c r="Y5196" s="12">
        <f>IF(OR(LEFT(K5196,4)="LVAX",LEFT(K5196,6)="MV15AX",LEFT(K5196,4)="CTAX",LEFT(K5196,2)="W|"),2*N5196*O5196,0)</f>
        <v/>
      </c>
      <c r="Z5196" s="12" t="inlineStr">
        <is>
          <t>VD 0.7 %</t>
        </is>
      </c>
      <c r="AA5196" s="12">
        <f>N5196*O5196</f>
        <v/>
      </c>
    </row>
    <row r="5197">
      <c r="A5197" s="12" t="inlineStr">
        <is>
          <t>I-P-0247</t>
        </is>
      </c>
      <c r="B5197" s="12" t="inlineStr">
        <is>
          <t>I</t>
        </is>
      </c>
      <c r="C5197" s="12" t="inlineStr">
        <is>
          <t>Modular / portable power</t>
        </is>
      </c>
      <c r="D5197" s="12" t="inlineStr">
        <is>
          <t>Motor 1 of 6, 2 kW</t>
        </is>
      </c>
      <c r="E5197" s="12" t="inlineStr"/>
      <c r="F5197" s="12" t="inlineStr">
        <is>
          <t>MOD-LV 480 V board + 480 V : 13.8 kV step-up</t>
        </is>
      </c>
      <c r="G5197" s="12" t="inlineStr"/>
      <c r="H5197" s="12" t="inlineStr">
        <is>
          <t>T-MOD-1 / T-MOD-2 firewall</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2</v>
      </c>
      <c r="R5197" s="12" t="n">
        <v>2.8</v>
      </c>
      <c r="S5197" s="12" t="inlineStr">
        <is>
          <t>Duct bank</t>
        </is>
      </c>
      <c r="T5197" s="17" t="n">
        <v>362</v>
      </c>
      <c r="U5197" s="17" t="n">
        <v>130</v>
      </c>
      <c r="V5197" s="17">
        <f>ROUNDUP((T5197+U5197+2*'Read Me'!$B$13)*(1+'Read Me'!$B$12),-1)</f>
        <v/>
      </c>
      <c r="W5197" s="17">
        <f>V5197*N5197*O5197</f>
        <v/>
      </c>
      <c r="X5197" s="12">
        <f>IF(LEFT(I5197,2)="MV",2*N5197*IF(L5197="1/C",O5197,1),0)</f>
        <v/>
      </c>
      <c r="Y5197" s="12">
        <f>IF(OR(LEFT(K5197,4)="LVAX",LEFT(K5197,6)="MV15AX",LEFT(K5197,4)="CTAX",LEFT(K5197,2)="W|"),2*N5197*O5197,0)</f>
        <v/>
      </c>
      <c r="Z5197" s="12" t="inlineStr">
        <is>
          <t>VD 0.7 %</t>
        </is>
      </c>
      <c r="AA5197" s="12">
        <f>N5197*O5197</f>
        <v/>
      </c>
    </row>
    <row r="5198">
      <c r="A5198" s="12" t="inlineStr">
        <is>
          <t>I-P-0248</t>
        </is>
      </c>
      <c r="B5198" s="12" t="inlineStr">
        <is>
          <t>I</t>
        </is>
      </c>
      <c r="C5198" s="12" t="inlineStr">
        <is>
          <t>Modular / portable power</t>
        </is>
      </c>
      <c r="D5198" s="12" t="inlineStr">
        <is>
          <t>Motor 2 of 6, 2 kW</t>
        </is>
      </c>
      <c r="E5198" s="12" t="inlineStr"/>
      <c r="F5198" s="12" t="inlineStr">
        <is>
          <t>MOD-LV 480 V board + 480 V : 13.8 kV step-up</t>
        </is>
      </c>
      <c r="G5198" s="12" t="inlineStr"/>
      <c r="H5198" s="12" t="inlineStr">
        <is>
          <t>T-MOD-1 / T-MOD-2 firewall</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2</v>
      </c>
      <c r="R5198" s="12" t="n">
        <v>2.8</v>
      </c>
      <c r="S5198" s="12" t="inlineStr">
        <is>
          <t>Duct bank</t>
        </is>
      </c>
      <c r="T5198" s="17" t="n">
        <v>362</v>
      </c>
      <c r="U5198" s="17" t="n">
        <v>130</v>
      </c>
      <c r="V5198" s="17">
        <f>ROUNDUP((T5198+U5198+2*'Read Me'!$B$13)*(1+'Read Me'!$B$12),-1)</f>
        <v/>
      </c>
      <c r="W5198" s="17">
        <f>V5198*N5198*O5198</f>
        <v/>
      </c>
      <c r="X5198" s="12">
        <f>IF(LEFT(I5198,2)="MV",2*N5198*IF(L5198="1/C",O5198,1),0)</f>
        <v/>
      </c>
      <c r="Y5198" s="12">
        <f>IF(OR(LEFT(K5198,4)="LVAX",LEFT(K5198,6)="MV15AX",LEFT(K5198,4)="CTAX",LEFT(K5198,2)="W|"),2*N5198*O5198,0)</f>
        <v/>
      </c>
      <c r="Z5198" s="12" t="inlineStr">
        <is>
          <t>VD 0.7 %</t>
        </is>
      </c>
      <c r="AA5198" s="12">
        <f>N5198*O5198</f>
        <v/>
      </c>
    </row>
    <row r="5199">
      <c r="A5199" s="12" t="inlineStr">
        <is>
          <t>I-P-0249</t>
        </is>
      </c>
      <c r="B5199" s="12" t="inlineStr">
        <is>
          <t>I</t>
        </is>
      </c>
      <c r="C5199" s="12" t="inlineStr">
        <is>
          <t>Modular / portable power</t>
        </is>
      </c>
      <c r="D5199" s="12" t="inlineStr">
        <is>
          <t>Motor 3 of 6, 2 kW</t>
        </is>
      </c>
      <c r="E5199" s="12" t="inlineStr"/>
      <c r="F5199" s="12" t="inlineStr">
        <is>
          <t>MOD-LV 480 V board + 480 V : 13.8 kV step-up</t>
        </is>
      </c>
      <c r="G5199" s="12" t="inlineStr"/>
      <c r="H5199" s="12" t="inlineStr">
        <is>
          <t>T-MOD-1 / T-MOD-2 firewall</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2</v>
      </c>
      <c r="R5199" s="12" t="n">
        <v>2.8</v>
      </c>
      <c r="S5199" s="12" t="inlineStr">
        <is>
          <t>Duct bank</t>
        </is>
      </c>
      <c r="T5199" s="17" t="n">
        <v>362</v>
      </c>
      <c r="U5199" s="17" t="n">
        <v>130</v>
      </c>
      <c r="V5199" s="17">
        <f>ROUNDUP((T5199+U5199+2*'Read Me'!$B$13)*(1+'Read Me'!$B$12),-1)</f>
        <v/>
      </c>
      <c r="W5199" s="17">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I-P-0250</t>
        </is>
      </c>
      <c r="B5200" s="12" t="inlineStr">
        <is>
          <t>I</t>
        </is>
      </c>
      <c r="C5200" s="12" t="inlineStr">
        <is>
          <t>Modular / portable power</t>
        </is>
      </c>
      <c r="D5200" s="12" t="inlineStr">
        <is>
          <t>Motor 4 of 6, 2 kW</t>
        </is>
      </c>
      <c r="E5200" s="12" t="inlineStr"/>
      <c r="F5200" s="12" t="inlineStr">
        <is>
          <t>MOD-LV 480 V board + 480 V : 13.8 kV step-up</t>
        </is>
      </c>
      <c r="G5200" s="12" t="inlineStr"/>
      <c r="H5200" s="12" t="inlineStr">
        <is>
          <t>T-MOD-1 / T-MOD-2 firewall</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2</v>
      </c>
      <c r="R5200" s="12" t="n">
        <v>2.8</v>
      </c>
      <c r="S5200" s="12" t="inlineStr">
        <is>
          <t>Duct bank</t>
        </is>
      </c>
      <c r="T5200" s="17" t="n">
        <v>362</v>
      </c>
      <c r="U5200" s="17" t="n">
        <v>130</v>
      </c>
      <c r="V5200" s="17">
        <f>ROUNDUP((T5200+U5200+2*'Read Me'!$B$13)*(1+'Read Me'!$B$12),-1)</f>
        <v/>
      </c>
      <c r="W5200" s="17">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I-P-0251</t>
        </is>
      </c>
      <c r="B5201" s="12" t="inlineStr">
        <is>
          <t>I</t>
        </is>
      </c>
      <c r="C5201" s="12" t="inlineStr">
        <is>
          <t>Modular / portable power</t>
        </is>
      </c>
      <c r="D5201" s="12" t="inlineStr">
        <is>
          <t>Motor 5 of 6, 2 kW</t>
        </is>
      </c>
      <c r="E5201" s="12" t="inlineStr"/>
      <c r="F5201" s="12" t="inlineStr">
        <is>
          <t>MOD-LV 480 V board + 480 V : 13.8 kV step-up</t>
        </is>
      </c>
      <c r="G5201" s="12" t="inlineStr"/>
      <c r="H5201" s="12" t="inlineStr">
        <is>
          <t>T-MOD-1 / T-MOD-2 firewall</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2</v>
      </c>
      <c r="R5201" s="12" t="n">
        <v>2.8</v>
      </c>
      <c r="S5201" s="12" t="inlineStr">
        <is>
          <t>Duct bank</t>
        </is>
      </c>
      <c r="T5201" s="17" t="n">
        <v>362</v>
      </c>
      <c r="U5201" s="17" t="n">
        <v>130</v>
      </c>
      <c r="V5201" s="17">
        <f>ROUNDUP((T5201+U5201+2*'Read Me'!$B$13)*(1+'Read Me'!$B$12),-1)</f>
        <v/>
      </c>
      <c r="W5201" s="17">
        <f>V5201*N5201*O5201</f>
        <v/>
      </c>
      <c r="X5201" s="12">
        <f>IF(LEFT(I5201,2)="MV",2*N5201*IF(L5201="1/C",O5201,1),0)</f>
        <v/>
      </c>
      <c r="Y5201" s="12">
        <f>IF(OR(LEFT(K5201,4)="LVAX",LEFT(K5201,6)="MV15AX",LEFT(K5201,4)="CTAX",LEFT(K5201,2)="W|"),2*N5201*O5201,0)</f>
        <v/>
      </c>
      <c r="Z5201" s="12" t="inlineStr">
        <is>
          <t>VD 0.7 %</t>
        </is>
      </c>
      <c r="AA5201" s="12">
        <f>N5201*O5201</f>
        <v/>
      </c>
    </row>
    <row r="5202">
      <c r="A5202" s="12" t="inlineStr">
        <is>
          <t>I-P-0252</t>
        </is>
      </c>
      <c r="B5202" s="12" t="inlineStr">
        <is>
          <t>I</t>
        </is>
      </c>
      <c r="C5202" s="12" t="inlineStr">
        <is>
          <t>Modular / portable power</t>
        </is>
      </c>
      <c r="D5202" s="12" t="inlineStr">
        <is>
          <t>Motor 6 of 6, 2 kW</t>
        </is>
      </c>
      <c r="E5202" s="12" t="inlineStr"/>
      <c r="F5202" s="12" t="inlineStr">
        <is>
          <t>MOD-LV 480 V board + 480 V : 13.8 kV step-up</t>
        </is>
      </c>
      <c r="G5202" s="12" t="inlineStr"/>
      <c r="H5202" s="12" t="inlineStr">
        <is>
          <t>T-MOD-1 / T-MOD-2 firewall</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2</v>
      </c>
      <c r="R5202" s="12" t="n">
        <v>2.8</v>
      </c>
      <c r="S5202" s="12" t="inlineStr">
        <is>
          <t>Duct bank</t>
        </is>
      </c>
      <c r="T5202" s="17" t="n">
        <v>362</v>
      </c>
      <c r="U5202" s="17" t="n">
        <v>130</v>
      </c>
      <c r="V5202" s="17">
        <f>ROUNDUP((T5202+U5202+2*'Read Me'!$B$13)*(1+'Read Me'!$B$12),-1)</f>
        <v/>
      </c>
      <c r="W5202" s="17">
        <f>V5202*N5202*O5202</f>
        <v/>
      </c>
      <c r="X5202" s="12">
        <f>IF(LEFT(I5202,2)="MV",2*N5202*IF(L5202="1/C",O5202,1),0)</f>
        <v/>
      </c>
      <c r="Y5202" s="12">
        <f>IF(OR(LEFT(K5202,4)="LVAX",LEFT(K5202,6)="MV15AX",LEFT(K5202,4)="CTAX",LEFT(K5202,2)="W|"),2*N5202*O5202,0)</f>
        <v/>
      </c>
      <c r="Z5202" s="12" t="inlineStr">
        <is>
          <t>VD 0.7 %</t>
        </is>
      </c>
      <c r="AA5202" s="12">
        <f>N5202*O5202</f>
        <v/>
      </c>
    </row>
    <row r="5203">
      <c r="A5203" s="12" t="inlineStr">
        <is>
          <t>I-P-0253</t>
        </is>
      </c>
      <c r="B5203" s="12" t="inlineStr">
        <is>
          <t>I</t>
        </is>
      </c>
      <c r="C5203" s="12" t="inlineStr">
        <is>
          <t>Modular / portable power</t>
        </is>
      </c>
      <c r="D5203" s="12" t="inlineStr">
        <is>
          <t>Motor 1 of 6, 2 kW</t>
        </is>
      </c>
      <c r="E5203" s="12" t="inlineStr"/>
      <c r="F5203" s="12" t="inlineStr">
        <is>
          <t>MOD-LV 480 V board + 480 V : 13.8 kV step-up</t>
        </is>
      </c>
      <c r="G5203" s="12" t="inlineStr">
        <is>
          <t>T-MOD-1</t>
        </is>
      </c>
      <c r="H5203" s="12" t="inlineStr">
        <is>
          <t>T-MOD-1: 13.8/230 kV</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2</v>
      </c>
      <c r="R5203" s="12" t="n">
        <v>2.8</v>
      </c>
      <c r="S5203" s="12" t="inlineStr">
        <is>
          <t>Duct bank</t>
        </is>
      </c>
      <c r="T5203" s="17" t="n">
        <v>362</v>
      </c>
      <c r="U5203" s="17" t="n">
        <v>82</v>
      </c>
      <c r="V5203" s="17">
        <f>ROUNDUP((T5203+U5203+2*'Read Me'!$B$13)*(1+'Read Me'!$B$12),-1)</f>
        <v/>
      </c>
      <c r="W5203" s="17">
        <f>V5203*N5203*O5203</f>
        <v/>
      </c>
      <c r="X5203" s="12">
        <f>IF(LEFT(I5203,2)="MV",2*N5203*IF(L5203="1/C",O5203,1),0)</f>
        <v/>
      </c>
      <c r="Y5203" s="12">
        <f>IF(OR(LEFT(K5203,4)="LVAX",LEFT(K5203,6)="MV15AX",LEFT(K5203,4)="CTAX",LEFT(K5203,2)="W|"),2*N5203*O5203,0)</f>
        <v/>
      </c>
      <c r="Z5203" s="12" t="inlineStr">
        <is>
          <t>VD 0.6 %</t>
        </is>
      </c>
      <c r="AA5203" s="12">
        <f>N5203*O5203</f>
        <v/>
      </c>
    </row>
    <row r="5204">
      <c r="A5204" s="12" t="inlineStr">
        <is>
          <t>I-P-0254</t>
        </is>
      </c>
      <c r="B5204" s="12" t="inlineStr">
        <is>
          <t>I</t>
        </is>
      </c>
      <c r="C5204" s="12" t="inlineStr">
        <is>
          <t>Modular / portable power</t>
        </is>
      </c>
      <c r="D5204" s="12" t="inlineStr">
        <is>
          <t>Motor 2 of 6, 2 kW</t>
        </is>
      </c>
      <c r="E5204" s="12" t="inlineStr"/>
      <c r="F5204" s="12" t="inlineStr">
        <is>
          <t>MOD-LV 480 V board + 480 V : 13.8 kV step-up</t>
        </is>
      </c>
      <c r="G5204" s="12" t="inlineStr">
        <is>
          <t>T-MOD-1</t>
        </is>
      </c>
      <c r="H5204" s="12" t="inlineStr">
        <is>
          <t>T-MOD-1: 13.8/230 kV</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2</v>
      </c>
      <c r="R5204" s="12" t="n">
        <v>2.8</v>
      </c>
      <c r="S5204" s="12" t="inlineStr">
        <is>
          <t>Duct bank</t>
        </is>
      </c>
      <c r="T5204" s="17" t="n">
        <v>362</v>
      </c>
      <c r="U5204" s="17" t="n">
        <v>82</v>
      </c>
      <c r="V5204" s="17">
        <f>ROUNDUP((T5204+U5204+2*'Read Me'!$B$13)*(1+'Read Me'!$B$12),-1)</f>
        <v/>
      </c>
      <c r="W5204" s="17">
        <f>V5204*N5204*O5204</f>
        <v/>
      </c>
      <c r="X5204" s="12">
        <f>IF(LEFT(I5204,2)="MV",2*N5204*IF(L5204="1/C",O5204,1),0)</f>
        <v/>
      </c>
      <c r="Y5204" s="12">
        <f>IF(OR(LEFT(K5204,4)="LVAX",LEFT(K5204,6)="MV15AX",LEFT(K5204,4)="CTAX",LEFT(K5204,2)="W|"),2*N5204*O5204,0)</f>
        <v/>
      </c>
      <c r="Z5204" s="12" t="inlineStr">
        <is>
          <t>VD 0.6 %</t>
        </is>
      </c>
      <c r="AA5204" s="12">
        <f>N5204*O5204</f>
        <v/>
      </c>
    </row>
    <row r="5205">
      <c r="A5205" s="12" t="inlineStr">
        <is>
          <t>I-P-0255</t>
        </is>
      </c>
      <c r="B5205" s="12" t="inlineStr">
        <is>
          <t>I</t>
        </is>
      </c>
      <c r="C5205" s="12" t="inlineStr">
        <is>
          <t>Modular / portable power</t>
        </is>
      </c>
      <c r="D5205" s="12" t="inlineStr">
        <is>
          <t>Motor 3 of 6, 2 kW</t>
        </is>
      </c>
      <c r="E5205" s="12" t="inlineStr"/>
      <c r="F5205" s="12" t="inlineStr">
        <is>
          <t>MOD-LV 480 V board + 480 V : 13.8 kV step-up</t>
        </is>
      </c>
      <c r="G5205" s="12" t="inlineStr">
        <is>
          <t>T-MOD-1</t>
        </is>
      </c>
      <c r="H5205" s="12" t="inlineStr">
        <is>
          <t>T-MOD-1: 13.8/230 kV</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2</v>
      </c>
      <c r="R5205" s="12" t="n">
        <v>2.8</v>
      </c>
      <c r="S5205" s="12" t="inlineStr">
        <is>
          <t>Duct bank</t>
        </is>
      </c>
      <c r="T5205" s="17" t="n">
        <v>362</v>
      </c>
      <c r="U5205" s="17" t="n">
        <v>82</v>
      </c>
      <c r="V5205" s="17">
        <f>ROUNDUP((T5205+U5205+2*'Read Me'!$B$13)*(1+'Read Me'!$B$12),-1)</f>
        <v/>
      </c>
      <c r="W5205" s="17">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I-P-0256</t>
        </is>
      </c>
      <c r="B5206" s="12" t="inlineStr">
        <is>
          <t>I</t>
        </is>
      </c>
      <c r="C5206" s="12" t="inlineStr">
        <is>
          <t>Modular / portable power</t>
        </is>
      </c>
      <c r="D5206" s="12" t="inlineStr">
        <is>
          <t>Motor 4 of 6, 2 kW</t>
        </is>
      </c>
      <c r="E5206" s="12" t="inlineStr"/>
      <c r="F5206" s="12" t="inlineStr">
        <is>
          <t>MOD-LV 480 V board + 480 V : 13.8 kV step-up</t>
        </is>
      </c>
      <c r="G5206" s="12" t="inlineStr">
        <is>
          <t>T-MOD-1</t>
        </is>
      </c>
      <c r="H5206" s="12" t="inlineStr">
        <is>
          <t>T-MOD-1: 13.8/230 kV</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2</v>
      </c>
      <c r="R5206" s="12" t="n">
        <v>2.8</v>
      </c>
      <c r="S5206" s="12" t="inlineStr">
        <is>
          <t>Duct bank</t>
        </is>
      </c>
      <c r="T5206" s="17" t="n">
        <v>362</v>
      </c>
      <c r="U5206" s="17" t="n">
        <v>82</v>
      </c>
      <c r="V5206" s="17">
        <f>ROUNDUP((T5206+U5206+2*'Read Me'!$B$13)*(1+'Read Me'!$B$12),-1)</f>
        <v/>
      </c>
      <c r="W5206" s="17">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I-P-0257</t>
        </is>
      </c>
      <c r="B5207" s="12" t="inlineStr">
        <is>
          <t>I</t>
        </is>
      </c>
      <c r="C5207" s="12" t="inlineStr">
        <is>
          <t>Modular / portable power</t>
        </is>
      </c>
      <c r="D5207" s="12" t="inlineStr">
        <is>
          <t>Motor 5 of 6, 2 kW</t>
        </is>
      </c>
      <c r="E5207" s="12" t="inlineStr"/>
      <c r="F5207" s="12" t="inlineStr">
        <is>
          <t>MOD-LV 480 V board + 480 V : 13.8 kV step-up</t>
        </is>
      </c>
      <c r="G5207" s="12" t="inlineStr">
        <is>
          <t>T-MOD-1</t>
        </is>
      </c>
      <c r="H5207" s="12" t="inlineStr">
        <is>
          <t>T-MOD-1: 13.8/230 kV</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2</v>
      </c>
      <c r="R5207" s="12" t="n">
        <v>2.8</v>
      </c>
      <c r="S5207" s="12" t="inlineStr">
        <is>
          <t>Duct bank</t>
        </is>
      </c>
      <c r="T5207" s="17" t="n">
        <v>362</v>
      </c>
      <c r="U5207" s="17" t="n">
        <v>82</v>
      </c>
      <c r="V5207" s="17">
        <f>ROUNDUP((T5207+U5207+2*'Read Me'!$B$13)*(1+'Read Me'!$B$12),-1)</f>
        <v/>
      </c>
      <c r="W5207" s="17">
        <f>V5207*N5207*O5207</f>
        <v/>
      </c>
      <c r="X5207" s="12">
        <f>IF(LEFT(I5207,2)="MV",2*N5207*IF(L5207="1/C",O5207,1),0)</f>
        <v/>
      </c>
      <c r="Y5207" s="12">
        <f>IF(OR(LEFT(K5207,4)="LVAX",LEFT(K5207,6)="MV15AX",LEFT(K5207,4)="CTAX",LEFT(K5207,2)="W|"),2*N5207*O5207,0)</f>
        <v/>
      </c>
      <c r="Z5207" s="12" t="inlineStr">
        <is>
          <t>VD 0.6 %</t>
        </is>
      </c>
      <c r="AA5207" s="12">
        <f>N5207*O5207</f>
        <v/>
      </c>
    </row>
    <row r="5208">
      <c r="A5208" s="12" t="inlineStr">
        <is>
          <t>I-P-0258</t>
        </is>
      </c>
      <c r="B5208" s="12" t="inlineStr">
        <is>
          <t>I</t>
        </is>
      </c>
      <c r="C5208" s="12" t="inlineStr">
        <is>
          <t>Modular / portable power</t>
        </is>
      </c>
      <c r="D5208" s="12" t="inlineStr">
        <is>
          <t>Motor 6 of 6, 2 kW</t>
        </is>
      </c>
      <c r="E5208" s="12" t="inlineStr"/>
      <c r="F5208" s="12" t="inlineStr">
        <is>
          <t>MOD-LV 480 V board + 480 V : 13.8 kV step-up</t>
        </is>
      </c>
      <c r="G5208" s="12" t="inlineStr">
        <is>
          <t>T-MOD-1</t>
        </is>
      </c>
      <c r="H5208" s="12" t="inlineStr">
        <is>
          <t>T-MOD-1: 13.8/230 kV</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2</v>
      </c>
      <c r="R5208" s="12" t="n">
        <v>2.8</v>
      </c>
      <c r="S5208" s="12" t="inlineStr">
        <is>
          <t>Duct bank</t>
        </is>
      </c>
      <c r="T5208" s="17" t="n">
        <v>362</v>
      </c>
      <c r="U5208" s="17" t="n">
        <v>82</v>
      </c>
      <c r="V5208" s="17">
        <f>ROUNDUP((T5208+U5208+2*'Read Me'!$B$13)*(1+'Read Me'!$B$12),-1)</f>
        <v/>
      </c>
      <c r="W5208" s="17">
        <f>V5208*N5208*O5208</f>
        <v/>
      </c>
      <c r="X5208" s="12">
        <f>IF(LEFT(I5208,2)="MV",2*N5208*IF(L5208="1/C",O5208,1),0)</f>
        <v/>
      </c>
      <c r="Y5208" s="12">
        <f>IF(OR(LEFT(K5208,4)="LVAX",LEFT(K5208,6)="MV15AX",LEFT(K5208,4)="CTAX",LEFT(K5208,2)="W|"),2*N5208*O5208,0)</f>
        <v/>
      </c>
      <c r="Z5208" s="12" t="inlineStr">
        <is>
          <t>VD 0.6 %</t>
        </is>
      </c>
      <c r="AA5208" s="12">
        <f>N5208*O5208</f>
        <v/>
      </c>
    </row>
    <row r="5209">
      <c r="A5209" s="12" t="inlineStr">
        <is>
          <t>I-P-0259</t>
        </is>
      </c>
      <c r="B5209" s="12" t="inlineStr">
        <is>
          <t>I</t>
        </is>
      </c>
      <c r="C5209" s="12" t="inlineStr">
        <is>
          <t>Modular / portable power</t>
        </is>
      </c>
      <c r="D5209" s="12" t="inlineStr">
        <is>
          <t>Motor 1 of 6, 2 kW</t>
        </is>
      </c>
      <c r="E5209" s="12" t="inlineStr"/>
      <c r="F5209" s="12" t="inlineStr">
        <is>
          <t>MOD-LV 480 V board + 480 V : 13.8 kV step-up</t>
        </is>
      </c>
      <c r="G5209" s="12" t="inlineStr">
        <is>
          <t>T-MOD-2</t>
        </is>
      </c>
      <c r="H5209" s="12" t="inlineStr">
        <is>
          <t>T-MOD-2: 13.8/230 kV</t>
        </is>
      </c>
      <c r="I5209" s="12" t="inlineStr">
        <is>
          <t>LV 600 V</t>
        </is>
      </c>
      <c r="J5209" s="12" t="inlineStr">
        <is>
          <t>Type TC-ER 600 V 3/C Cu XHHW-2 + ground, PVC jacket</t>
        </is>
      </c>
      <c r="K5209" s="12" t="inlineStr">
        <is>
          <t>LV|3/C+G|8</t>
        </is>
      </c>
      <c r="L5209" s="12" t="inlineStr">
        <is>
          <t>3/C+G</t>
        </is>
      </c>
      <c r="M5209" s="12" t="inlineStr">
        <is>
          <t>8</t>
        </is>
      </c>
      <c r="N5209" s="12" t="n">
        <v>1</v>
      </c>
      <c r="O5209" s="12" t="n">
        <v>1</v>
      </c>
      <c r="P5209" s="12" t="n">
        <v>480</v>
      </c>
      <c r="Q5209" s="12" t="n">
        <v>2</v>
      </c>
      <c r="R5209" s="12" t="n">
        <v>2.8</v>
      </c>
      <c r="S5209" s="12" t="inlineStr">
        <is>
          <t>Duct bank</t>
        </is>
      </c>
      <c r="T5209" s="17" t="n">
        <v>3219</v>
      </c>
      <c r="U5209" s="17" t="n">
        <v>165</v>
      </c>
      <c r="V5209" s="17">
        <f>ROUNDUP((T5209+U5209+2*'Read Me'!$B$13)*(1+'Read Me'!$B$12),-1)</f>
        <v/>
      </c>
      <c r="W5209" s="17">
        <f>V5209*N5209*O5209</f>
        <v/>
      </c>
      <c r="X5209" s="12">
        <f>IF(LEFT(I5209,2)="MV",2*N5209*IF(L5209="1/C",O5209,1),0)</f>
        <v/>
      </c>
      <c r="Y5209" s="12">
        <f>IF(OR(LEFT(K5209,4)="LVAX",LEFT(K5209,6)="MV15AX",LEFT(K5209,4)="CTAX",LEFT(K5209,2)="W|"),2*N5209*O5209,0)</f>
        <v/>
      </c>
      <c r="Z5209" s="12" t="inlineStr">
        <is>
          <t>VD 2.9 %</t>
        </is>
      </c>
      <c r="AA5209" s="12">
        <f>N5209*O5209</f>
        <v/>
      </c>
    </row>
    <row r="5210">
      <c r="A5210" s="12" t="inlineStr">
        <is>
          <t>I-P-0260</t>
        </is>
      </c>
      <c r="B5210" s="12" t="inlineStr">
        <is>
          <t>I</t>
        </is>
      </c>
      <c r="C5210" s="12" t="inlineStr">
        <is>
          <t>Modular / portable power</t>
        </is>
      </c>
      <c r="D5210" s="12" t="inlineStr">
        <is>
          <t>Motor 2 of 6, 2 kW</t>
        </is>
      </c>
      <c r="E5210" s="12" t="inlineStr"/>
      <c r="F5210" s="12" t="inlineStr">
        <is>
          <t>MOD-LV 480 V board + 480 V : 13.8 kV step-up</t>
        </is>
      </c>
      <c r="G5210" s="12" t="inlineStr">
        <is>
          <t>T-MOD-2</t>
        </is>
      </c>
      <c r="H5210" s="12" t="inlineStr">
        <is>
          <t>T-MOD-2: 13.8/230 kV</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v>
      </c>
      <c r="R5210" s="12" t="n">
        <v>2.8</v>
      </c>
      <c r="S5210" s="12" t="inlineStr">
        <is>
          <t>Duct bank</t>
        </is>
      </c>
      <c r="T5210" s="17" t="n">
        <v>3219</v>
      </c>
      <c r="U5210" s="17" t="n">
        <v>165</v>
      </c>
      <c r="V5210" s="17">
        <f>ROUNDUP((T5210+U5210+2*'Read Me'!$B$13)*(1+'Read Me'!$B$12),-1)</f>
        <v/>
      </c>
      <c r="W5210" s="17">
        <f>V5210*N5210*O5210</f>
        <v/>
      </c>
      <c r="X5210" s="12">
        <f>IF(LEFT(I5210,2)="MV",2*N5210*IF(L5210="1/C",O5210,1),0)</f>
        <v/>
      </c>
      <c r="Y5210" s="12">
        <f>IF(OR(LEFT(K5210,4)="LVAX",LEFT(K5210,6)="MV15AX",LEFT(K5210,4)="CTAX",LEFT(K5210,2)="W|"),2*N5210*O5210,0)</f>
        <v/>
      </c>
      <c r="Z5210" s="12" t="inlineStr">
        <is>
          <t>VD 2.9 %</t>
        </is>
      </c>
      <c r="AA5210" s="12">
        <f>N5210*O5210</f>
        <v/>
      </c>
    </row>
    <row r="5211">
      <c r="A5211" s="12" t="inlineStr">
        <is>
          <t>I-P-0261</t>
        </is>
      </c>
      <c r="B5211" s="12" t="inlineStr">
        <is>
          <t>I</t>
        </is>
      </c>
      <c r="C5211" s="12" t="inlineStr">
        <is>
          <t>Modular / portable power</t>
        </is>
      </c>
      <c r="D5211" s="12" t="inlineStr">
        <is>
          <t>Motor 3 of 6, 2 kW</t>
        </is>
      </c>
      <c r="E5211" s="12" t="inlineStr"/>
      <c r="F5211" s="12" t="inlineStr">
        <is>
          <t>MOD-LV 480 V board + 480 V : 13.8 kV step-up</t>
        </is>
      </c>
      <c r="G5211" s="12" t="inlineStr">
        <is>
          <t>T-MOD-2</t>
        </is>
      </c>
      <c r="H5211" s="12" t="inlineStr">
        <is>
          <t>T-MOD-2: 13.8/230 kV</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v>
      </c>
      <c r="R5211" s="12" t="n">
        <v>2.8</v>
      </c>
      <c r="S5211" s="12" t="inlineStr">
        <is>
          <t>Duct bank</t>
        </is>
      </c>
      <c r="T5211" s="17" t="n">
        <v>3219</v>
      </c>
      <c r="U5211" s="17" t="n">
        <v>165</v>
      </c>
      <c r="V5211" s="17">
        <f>ROUNDUP((T5211+U5211+2*'Read Me'!$B$13)*(1+'Read Me'!$B$12),-1)</f>
        <v/>
      </c>
      <c r="W5211" s="17">
        <f>V5211*N5211*O5211</f>
        <v/>
      </c>
      <c r="X5211" s="12">
        <f>IF(LEFT(I5211,2)="MV",2*N5211*IF(L5211="1/C",O5211,1),0)</f>
        <v/>
      </c>
      <c r="Y5211" s="12">
        <f>IF(OR(LEFT(K5211,4)="LVAX",LEFT(K5211,6)="MV15AX",LEFT(K5211,4)="CTAX",LEFT(K5211,2)="W|"),2*N5211*O5211,0)</f>
        <v/>
      </c>
      <c r="Z5211" s="12" t="inlineStr">
        <is>
          <t>VD 2.9 %</t>
        </is>
      </c>
      <c r="AA5211" s="12">
        <f>N5211*O5211</f>
        <v/>
      </c>
    </row>
    <row r="5212">
      <c r="A5212" s="12" t="inlineStr">
        <is>
          <t>I-P-0262</t>
        </is>
      </c>
      <c r="B5212" s="12" t="inlineStr">
        <is>
          <t>I</t>
        </is>
      </c>
      <c r="C5212" s="12" t="inlineStr">
        <is>
          <t>Modular / portable power</t>
        </is>
      </c>
      <c r="D5212" s="12" t="inlineStr">
        <is>
          <t>Motor 4 of 6, 2 kW</t>
        </is>
      </c>
      <c r="E5212" s="12" t="inlineStr"/>
      <c r="F5212" s="12" t="inlineStr">
        <is>
          <t>MOD-LV 480 V board + 480 V : 13.8 kV step-up</t>
        </is>
      </c>
      <c r="G5212" s="12" t="inlineStr">
        <is>
          <t>T-MOD-2</t>
        </is>
      </c>
      <c r="H5212" s="12" t="inlineStr">
        <is>
          <t>T-MOD-2: 13.8/230 kV</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v>
      </c>
      <c r="R5212" s="12" t="n">
        <v>2.8</v>
      </c>
      <c r="S5212" s="12" t="inlineStr">
        <is>
          <t>Duct bank</t>
        </is>
      </c>
      <c r="T5212" s="17" t="n">
        <v>3219</v>
      </c>
      <c r="U5212" s="17" t="n">
        <v>165</v>
      </c>
      <c r="V5212" s="17">
        <f>ROUNDUP((T5212+U5212+2*'Read Me'!$B$13)*(1+'Read Me'!$B$12),-1)</f>
        <v/>
      </c>
      <c r="W5212" s="17">
        <f>V5212*N5212*O5212</f>
        <v/>
      </c>
      <c r="X5212" s="12">
        <f>IF(LEFT(I5212,2)="MV",2*N5212*IF(L5212="1/C",O5212,1),0)</f>
        <v/>
      </c>
      <c r="Y5212" s="12">
        <f>IF(OR(LEFT(K5212,4)="LVAX",LEFT(K5212,6)="MV15AX",LEFT(K5212,4)="CTAX",LEFT(K5212,2)="W|"),2*N5212*O5212,0)</f>
        <v/>
      </c>
      <c r="Z5212" s="12" t="inlineStr">
        <is>
          <t>VD 2.9 %</t>
        </is>
      </c>
      <c r="AA5212" s="12">
        <f>N5212*O5212</f>
        <v/>
      </c>
    </row>
    <row r="5213">
      <c r="A5213" s="12" t="inlineStr">
        <is>
          <t>I-P-0263</t>
        </is>
      </c>
      <c r="B5213" s="12" t="inlineStr">
        <is>
          <t>I</t>
        </is>
      </c>
      <c r="C5213" s="12" t="inlineStr">
        <is>
          <t>Modular / portable power</t>
        </is>
      </c>
      <c r="D5213" s="12" t="inlineStr">
        <is>
          <t>Motor 5 of 6, 2 kW</t>
        </is>
      </c>
      <c r="E5213" s="12" t="inlineStr"/>
      <c r="F5213" s="12" t="inlineStr">
        <is>
          <t>MOD-LV 480 V board + 480 V : 13.8 kV step-up</t>
        </is>
      </c>
      <c r="G5213" s="12" t="inlineStr">
        <is>
          <t>T-MOD-2</t>
        </is>
      </c>
      <c r="H5213" s="12" t="inlineStr">
        <is>
          <t>T-MOD-2: 13.8/230 kV</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v>
      </c>
      <c r="R5213" s="12" t="n">
        <v>2.8</v>
      </c>
      <c r="S5213" s="12" t="inlineStr">
        <is>
          <t>Duct bank</t>
        </is>
      </c>
      <c r="T5213" s="17" t="n">
        <v>3219</v>
      </c>
      <c r="U5213" s="17" t="n">
        <v>165</v>
      </c>
      <c r="V5213" s="17">
        <f>ROUNDUP((T5213+U5213+2*'Read Me'!$B$13)*(1+'Read Me'!$B$12),-1)</f>
        <v/>
      </c>
      <c r="W5213" s="17">
        <f>V5213*N5213*O5213</f>
        <v/>
      </c>
      <c r="X5213" s="12">
        <f>IF(LEFT(I5213,2)="MV",2*N5213*IF(L5213="1/C",O5213,1),0)</f>
        <v/>
      </c>
      <c r="Y5213" s="12">
        <f>IF(OR(LEFT(K5213,4)="LVAX",LEFT(K5213,6)="MV15AX",LEFT(K5213,4)="CTAX",LEFT(K5213,2)="W|"),2*N5213*O5213,0)</f>
        <v/>
      </c>
      <c r="Z5213" s="12" t="inlineStr">
        <is>
          <t>VD 2.9 %</t>
        </is>
      </c>
      <c r="AA5213" s="12">
        <f>N5213*O5213</f>
        <v/>
      </c>
    </row>
    <row r="5214">
      <c r="A5214" s="12" t="inlineStr">
        <is>
          <t>I-P-0264</t>
        </is>
      </c>
      <c r="B5214" s="12" t="inlineStr">
        <is>
          <t>I</t>
        </is>
      </c>
      <c r="C5214" s="12" t="inlineStr">
        <is>
          <t>Modular / portable power</t>
        </is>
      </c>
      <c r="D5214" s="12" t="inlineStr">
        <is>
          <t>Motor 6 of 6, 2 kW</t>
        </is>
      </c>
      <c r="E5214" s="12" t="inlineStr"/>
      <c r="F5214" s="12" t="inlineStr">
        <is>
          <t>MOD-LV 480 V board + 480 V : 13.8 kV step-up</t>
        </is>
      </c>
      <c r="G5214" s="12" t="inlineStr">
        <is>
          <t>T-MOD-2</t>
        </is>
      </c>
      <c r="H5214" s="12" t="inlineStr">
        <is>
          <t>T-MOD-2: 13.8/230 kV</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v>
      </c>
      <c r="R5214" s="12" t="n">
        <v>2.8</v>
      </c>
      <c r="S5214" s="12" t="inlineStr">
        <is>
          <t>Duct bank</t>
        </is>
      </c>
      <c r="T5214" s="17" t="n">
        <v>3219</v>
      </c>
      <c r="U5214" s="17" t="n">
        <v>165</v>
      </c>
      <c r="V5214" s="17">
        <f>ROUNDUP((T5214+U5214+2*'Read Me'!$B$13)*(1+'Read Me'!$B$12),-1)</f>
        <v/>
      </c>
      <c r="W5214" s="17">
        <f>V5214*N5214*O5214</f>
        <v/>
      </c>
      <c r="X5214" s="12">
        <f>IF(LEFT(I5214,2)="MV",2*N5214*IF(L5214="1/C",O5214,1),0)</f>
        <v/>
      </c>
      <c r="Y5214" s="12">
        <f>IF(OR(LEFT(K5214,4)="LVAX",LEFT(K5214,6)="MV15AX",LEFT(K5214,4)="CTAX",LEFT(K5214,2)="W|"),2*N5214*O5214,0)</f>
        <v/>
      </c>
      <c r="Z5214" s="12" t="inlineStr">
        <is>
          <t>VD 2.9 %</t>
        </is>
      </c>
      <c r="AA5214" s="12">
        <f>N5214*O5214</f>
        <v/>
      </c>
    </row>
    <row r="5215">
      <c r="A5215" s="12" t="inlineStr">
        <is>
          <t>I-P-0265</t>
        </is>
      </c>
      <c r="B5215" s="12" t="inlineStr">
        <is>
          <t>I</t>
        </is>
      </c>
      <c r="C5215" s="12" t="inlineStr">
        <is>
          <t>Modular / portable power</t>
        </is>
      </c>
      <c r="D5215" s="12" t="inlineStr">
        <is>
          <t>Motor 1 of 6, 22 kW</t>
        </is>
      </c>
      <c r="E5215" s="12" t="inlineStr"/>
      <c r="F5215" s="12" t="inlineStr">
        <is>
          <t>MOD-LV 480 V board + 480 V : 13.8 kV step-up</t>
        </is>
      </c>
      <c r="G5215" s="12" t="inlineStr">
        <is>
          <t>TM-1</t>
        </is>
      </c>
      <c r="H5215" s="12" t="inlineStr">
        <is>
          <t>TM-1: trailer-mounted aeroderivative GT (TM2500 class, ~35 MW)</t>
        </is>
      </c>
      <c r="I5215" s="12" t="inlineStr">
        <is>
          <t>LV 600 V</t>
        </is>
      </c>
      <c r="J5215" s="12" t="inlineStr">
        <is>
          <t>Type TC-ER 600 V 3/C Cu XHHW-2 + ground, PVC jacket</t>
        </is>
      </c>
      <c r="K5215" s="12" t="inlineStr">
        <is>
          <t>LV|3/C+G|4/0</t>
        </is>
      </c>
      <c r="L5215" s="12" t="inlineStr">
        <is>
          <t>3/C+G</t>
        </is>
      </c>
      <c r="M5215" s="12" t="inlineStr">
        <is>
          <t>4/0</t>
        </is>
      </c>
      <c r="N5215" s="12" t="n">
        <v>1</v>
      </c>
      <c r="O5215" s="12" t="n">
        <v>1</v>
      </c>
      <c r="P5215" s="12" t="n">
        <v>480</v>
      </c>
      <c r="Q5215" s="12" t="n">
        <v>22</v>
      </c>
      <c r="R5215" s="12" t="n">
        <v>31.1</v>
      </c>
      <c r="S5215" s="12" t="inlineStr">
        <is>
          <t>Duct bank</t>
        </is>
      </c>
      <c r="T5215" s="17" t="n">
        <v>3178</v>
      </c>
      <c r="U5215" s="17" t="n">
        <v>68</v>
      </c>
      <c r="V5215" s="17">
        <f>ROUNDUP((T5215+U5215+2*'Read Me'!$B$13)*(1+'Read Me'!$B$12),-1)</f>
        <v/>
      </c>
      <c r="W5215" s="17">
        <f>V5215*N5215*O5215</f>
        <v/>
      </c>
      <c r="X5215" s="12">
        <f>IF(LEFT(I5215,2)="MV",2*N5215*IF(L5215="1/C",O5215,1),0)</f>
        <v/>
      </c>
      <c r="Y5215" s="12">
        <f>IF(OR(LEFT(K5215,4)="LVAX",LEFT(K5215,6)="MV15AX",LEFT(K5215,4)="CTAX",LEFT(K5215,2)="W|"),2*N5215*O5215,0)</f>
        <v/>
      </c>
      <c r="Z5215" s="12" t="inlineStr">
        <is>
          <t>VD 2.4 %</t>
        </is>
      </c>
      <c r="AA5215" s="12">
        <f>N5215*O5215</f>
        <v/>
      </c>
    </row>
    <row r="5216">
      <c r="A5216" s="12" t="inlineStr">
        <is>
          <t>I-P-0266</t>
        </is>
      </c>
      <c r="B5216" s="12" t="inlineStr">
        <is>
          <t>I</t>
        </is>
      </c>
      <c r="C5216" s="12" t="inlineStr">
        <is>
          <t>Modular / portable power</t>
        </is>
      </c>
      <c r="D5216" s="12" t="inlineStr">
        <is>
          <t>Motor 2 of 6, 22 kW</t>
        </is>
      </c>
      <c r="E5216" s="12" t="inlineStr"/>
      <c r="F5216" s="12" t="inlineStr">
        <is>
          <t>MOD-LV 480 V board + 480 V : 13.8 kV step-up</t>
        </is>
      </c>
      <c r="G5216" s="12" t="inlineStr">
        <is>
          <t>TM-1</t>
        </is>
      </c>
      <c r="H5216" s="12" t="inlineStr">
        <is>
          <t>TM-1: trailer-mounted aeroderivative GT (TM2500 class, ~35 MW)</t>
        </is>
      </c>
      <c r="I5216" s="12" t="inlineStr">
        <is>
          <t>LV 600 V</t>
        </is>
      </c>
      <c r="J5216" s="12" t="inlineStr">
        <is>
          <t>Type TC-ER 600 V 3/C Cu XHHW-2 + ground, PVC jacket</t>
        </is>
      </c>
      <c r="K5216" s="12" t="inlineStr">
        <is>
          <t>LV|3/C+G|4/0</t>
        </is>
      </c>
      <c r="L5216" s="12" t="inlineStr">
        <is>
          <t>3/C+G</t>
        </is>
      </c>
      <c r="M5216" s="12" t="inlineStr">
        <is>
          <t>4/0</t>
        </is>
      </c>
      <c r="N5216" s="12" t="n">
        <v>1</v>
      </c>
      <c r="O5216" s="12" t="n">
        <v>1</v>
      </c>
      <c r="P5216" s="12" t="n">
        <v>480</v>
      </c>
      <c r="Q5216" s="12" t="n">
        <v>22</v>
      </c>
      <c r="R5216" s="12" t="n">
        <v>31.1</v>
      </c>
      <c r="S5216" s="12" t="inlineStr">
        <is>
          <t>Duct bank</t>
        </is>
      </c>
      <c r="T5216" s="17" t="n">
        <v>3178</v>
      </c>
      <c r="U5216" s="17" t="n">
        <v>68</v>
      </c>
      <c r="V5216" s="17">
        <f>ROUNDUP((T5216+U5216+2*'Read Me'!$B$13)*(1+'Read Me'!$B$12),-1)</f>
        <v/>
      </c>
      <c r="W5216" s="17">
        <f>V5216*N5216*O5216</f>
        <v/>
      </c>
      <c r="X5216" s="12">
        <f>IF(LEFT(I5216,2)="MV",2*N5216*IF(L5216="1/C",O5216,1),0)</f>
        <v/>
      </c>
      <c r="Y5216" s="12">
        <f>IF(OR(LEFT(K5216,4)="LVAX",LEFT(K5216,6)="MV15AX",LEFT(K5216,4)="CTAX",LEFT(K5216,2)="W|"),2*N5216*O5216,0)</f>
        <v/>
      </c>
      <c r="Z5216" s="12" t="inlineStr">
        <is>
          <t>VD 2.4 %</t>
        </is>
      </c>
      <c r="AA5216" s="12">
        <f>N5216*O5216</f>
        <v/>
      </c>
    </row>
    <row r="5217">
      <c r="A5217" s="12" t="inlineStr">
        <is>
          <t>I-P-0267</t>
        </is>
      </c>
      <c r="B5217" s="12" t="inlineStr">
        <is>
          <t>I</t>
        </is>
      </c>
      <c r="C5217" s="12" t="inlineStr">
        <is>
          <t>Modular / portable power</t>
        </is>
      </c>
      <c r="D5217" s="12" t="inlineStr">
        <is>
          <t>Motor 3 of 6, 22 kW</t>
        </is>
      </c>
      <c r="E5217" s="12" t="inlineStr"/>
      <c r="F5217" s="12" t="inlineStr">
        <is>
          <t>MOD-LV 480 V board + 480 V : 13.8 kV step-up</t>
        </is>
      </c>
      <c r="G5217" s="12" t="inlineStr">
        <is>
          <t>TM-1</t>
        </is>
      </c>
      <c r="H5217" s="12" t="inlineStr">
        <is>
          <t>TM-1: trailer-mounted aeroderivative GT (TM2500 class, ~35 MW)</t>
        </is>
      </c>
      <c r="I5217" s="12" t="inlineStr">
        <is>
          <t>LV 600 V</t>
        </is>
      </c>
      <c r="J5217" s="12" t="inlineStr">
        <is>
          <t>Type TC-ER 600 V 3/C Cu XHHW-2 + ground, PVC jacket</t>
        </is>
      </c>
      <c r="K5217" s="12" t="inlineStr">
        <is>
          <t>LV|3/C+G|4/0</t>
        </is>
      </c>
      <c r="L5217" s="12" t="inlineStr">
        <is>
          <t>3/C+G</t>
        </is>
      </c>
      <c r="M5217" s="12" t="inlineStr">
        <is>
          <t>4/0</t>
        </is>
      </c>
      <c r="N5217" s="12" t="n">
        <v>1</v>
      </c>
      <c r="O5217" s="12" t="n">
        <v>1</v>
      </c>
      <c r="P5217" s="12" t="n">
        <v>480</v>
      </c>
      <c r="Q5217" s="12" t="n">
        <v>22</v>
      </c>
      <c r="R5217" s="12" t="n">
        <v>31.1</v>
      </c>
      <c r="S5217" s="12" t="inlineStr">
        <is>
          <t>Duct bank</t>
        </is>
      </c>
      <c r="T5217" s="17" t="n">
        <v>3178</v>
      </c>
      <c r="U5217" s="17" t="n">
        <v>68</v>
      </c>
      <c r="V5217" s="17">
        <f>ROUNDUP((T5217+U5217+2*'Read Me'!$B$13)*(1+'Read Me'!$B$12),-1)</f>
        <v/>
      </c>
      <c r="W5217" s="17">
        <f>V5217*N5217*O5217</f>
        <v/>
      </c>
      <c r="X5217" s="12">
        <f>IF(LEFT(I5217,2)="MV",2*N5217*IF(L5217="1/C",O5217,1),0)</f>
        <v/>
      </c>
      <c r="Y5217" s="12">
        <f>IF(OR(LEFT(K5217,4)="LVAX",LEFT(K5217,6)="MV15AX",LEFT(K5217,4)="CTAX",LEFT(K5217,2)="W|"),2*N5217*O5217,0)</f>
        <v/>
      </c>
      <c r="Z5217" s="12" t="inlineStr">
        <is>
          <t>VD 2.4 %</t>
        </is>
      </c>
      <c r="AA5217" s="12">
        <f>N5217*O5217</f>
        <v/>
      </c>
    </row>
    <row r="5218">
      <c r="A5218" s="12" t="inlineStr">
        <is>
          <t>I-P-0268</t>
        </is>
      </c>
      <c r="B5218" s="12" t="inlineStr">
        <is>
          <t>I</t>
        </is>
      </c>
      <c r="C5218" s="12" t="inlineStr">
        <is>
          <t>Modular / portable power</t>
        </is>
      </c>
      <c r="D5218" s="12" t="inlineStr">
        <is>
          <t>Motor 4 of 6, 22 kW</t>
        </is>
      </c>
      <c r="E5218" s="12" t="inlineStr"/>
      <c r="F5218" s="12" t="inlineStr">
        <is>
          <t>MOD-LV 480 V board + 480 V : 13.8 kV step-up</t>
        </is>
      </c>
      <c r="G5218" s="12" t="inlineStr">
        <is>
          <t>TM-1</t>
        </is>
      </c>
      <c r="H5218" s="12" t="inlineStr">
        <is>
          <t>TM-1: trailer-mounted aeroderivative GT (TM2500 class, ~35 MW)</t>
        </is>
      </c>
      <c r="I5218" s="12" t="inlineStr">
        <is>
          <t>LV 600 V</t>
        </is>
      </c>
      <c r="J5218" s="12" t="inlineStr">
        <is>
          <t>Type TC-ER 600 V 3/C Cu XHHW-2 + ground, PVC jacket</t>
        </is>
      </c>
      <c r="K5218" s="12" t="inlineStr">
        <is>
          <t>LV|3/C+G|4/0</t>
        </is>
      </c>
      <c r="L5218" s="12" t="inlineStr">
        <is>
          <t>3/C+G</t>
        </is>
      </c>
      <c r="M5218" s="12" t="inlineStr">
        <is>
          <t>4/0</t>
        </is>
      </c>
      <c r="N5218" s="12" t="n">
        <v>1</v>
      </c>
      <c r="O5218" s="12" t="n">
        <v>1</v>
      </c>
      <c r="P5218" s="12" t="n">
        <v>480</v>
      </c>
      <c r="Q5218" s="12" t="n">
        <v>22</v>
      </c>
      <c r="R5218" s="12" t="n">
        <v>31.1</v>
      </c>
      <c r="S5218" s="12" t="inlineStr">
        <is>
          <t>Duct bank</t>
        </is>
      </c>
      <c r="T5218" s="17" t="n">
        <v>3178</v>
      </c>
      <c r="U5218" s="17" t="n">
        <v>68</v>
      </c>
      <c r="V5218" s="17">
        <f>ROUNDUP((T5218+U5218+2*'Read Me'!$B$13)*(1+'Read Me'!$B$12),-1)</f>
        <v/>
      </c>
      <c r="W5218" s="17">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I-P-0269</t>
        </is>
      </c>
      <c r="B5219" s="12" t="inlineStr">
        <is>
          <t>I</t>
        </is>
      </c>
      <c r="C5219" s="12" t="inlineStr">
        <is>
          <t>Modular / portable power</t>
        </is>
      </c>
      <c r="D5219" s="12" t="inlineStr">
        <is>
          <t>Motor 5 of 6, 22 kW</t>
        </is>
      </c>
      <c r="E5219" s="12" t="inlineStr"/>
      <c r="F5219" s="12" t="inlineStr">
        <is>
          <t>MOD-LV 480 V board + 480 V : 13.8 kV step-up</t>
        </is>
      </c>
      <c r="G5219" s="12" t="inlineStr">
        <is>
          <t>TM-1</t>
        </is>
      </c>
      <c r="H5219" s="12" t="inlineStr">
        <is>
          <t>TM-1: trailer-mounted aeroderivative GT (TM2500 class, ~35 MW)</t>
        </is>
      </c>
      <c r="I5219" s="12" t="inlineStr">
        <is>
          <t>LV 600 V</t>
        </is>
      </c>
      <c r="J5219" s="12" t="inlineStr">
        <is>
          <t>Type TC-ER 600 V 3/C Cu XHHW-2 + ground, PVC jacket</t>
        </is>
      </c>
      <c r="K5219" s="12" t="inlineStr">
        <is>
          <t>LV|3/C+G|4/0</t>
        </is>
      </c>
      <c r="L5219" s="12" t="inlineStr">
        <is>
          <t>3/C+G</t>
        </is>
      </c>
      <c r="M5219" s="12" t="inlineStr">
        <is>
          <t>4/0</t>
        </is>
      </c>
      <c r="N5219" s="12" t="n">
        <v>1</v>
      </c>
      <c r="O5219" s="12" t="n">
        <v>1</v>
      </c>
      <c r="P5219" s="12" t="n">
        <v>480</v>
      </c>
      <c r="Q5219" s="12" t="n">
        <v>22</v>
      </c>
      <c r="R5219" s="12" t="n">
        <v>31.1</v>
      </c>
      <c r="S5219" s="12" t="inlineStr">
        <is>
          <t>Duct bank</t>
        </is>
      </c>
      <c r="T5219" s="17" t="n">
        <v>3178</v>
      </c>
      <c r="U5219" s="17" t="n">
        <v>68</v>
      </c>
      <c r="V5219" s="17">
        <f>ROUNDUP((T5219+U5219+2*'Read Me'!$B$13)*(1+'Read Me'!$B$12),-1)</f>
        <v/>
      </c>
      <c r="W5219" s="17">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I-P-0270</t>
        </is>
      </c>
      <c r="B5220" s="12" t="inlineStr">
        <is>
          <t>I</t>
        </is>
      </c>
      <c r="C5220" s="12" t="inlineStr">
        <is>
          <t>Modular / portable power</t>
        </is>
      </c>
      <c r="D5220" s="12" t="inlineStr">
        <is>
          <t>Motor 6 of 6, 22 kW</t>
        </is>
      </c>
      <c r="E5220" s="12" t="inlineStr"/>
      <c r="F5220" s="12" t="inlineStr">
        <is>
          <t>MOD-LV 480 V board + 480 V : 13.8 kV step-up</t>
        </is>
      </c>
      <c r="G5220" s="12" t="inlineStr">
        <is>
          <t>TM-1</t>
        </is>
      </c>
      <c r="H5220" s="12" t="inlineStr">
        <is>
          <t>TM-1: trailer-mounted aeroderivative GT (TM2500 class, ~35 MW)</t>
        </is>
      </c>
      <c r="I5220" s="12" t="inlineStr">
        <is>
          <t>LV 600 V</t>
        </is>
      </c>
      <c r="J5220" s="12" t="inlineStr">
        <is>
          <t>Type TC-ER 600 V 3/C Cu XHHW-2 + ground, PVC jacket</t>
        </is>
      </c>
      <c r="K5220" s="12" t="inlineStr">
        <is>
          <t>LV|3/C+G|4/0</t>
        </is>
      </c>
      <c r="L5220" s="12" t="inlineStr">
        <is>
          <t>3/C+G</t>
        </is>
      </c>
      <c r="M5220" s="12" t="inlineStr">
        <is>
          <t>4/0</t>
        </is>
      </c>
      <c r="N5220" s="12" t="n">
        <v>1</v>
      </c>
      <c r="O5220" s="12" t="n">
        <v>1</v>
      </c>
      <c r="P5220" s="12" t="n">
        <v>480</v>
      </c>
      <c r="Q5220" s="12" t="n">
        <v>22</v>
      </c>
      <c r="R5220" s="12" t="n">
        <v>31.1</v>
      </c>
      <c r="S5220" s="12" t="inlineStr">
        <is>
          <t>Duct bank</t>
        </is>
      </c>
      <c r="T5220" s="17" t="n">
        <v>3178</v>
      </c>
      <c r="U5220" s="17" t="n">
        <v>68</v>
      </c>
      <c r="V5220" s="17">
        <f>ROUNDUP((T5220+U5220+2*'Read Me'!$B$13)*(1+'Read Me'!$B$12),-1)</f>
        <v/>
      </c>
      <c r="W5220" s="17">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I-P-0271</t>
        </is>
      </c>
      <c r="B5221" s="12" t="inlineStr">
        <is>
          <t>I</t>
        </is>
      </c>
      <c r="C5221" s="12" t="inlineStr">
        <is>
          <t>Modular / portable power</t>
        </is>
      </c>
      <c r="D5221" s="12" t="inlineStr">
        <is>
          <t>Motor 1 of 6, 22 kW</t>
        </is>
      </c>
      <c r="E5221" s="12" t="inlineStr"/>
      <c r="F5221" s="12" t="inlineStr">
        <is>
          <t>MOD-LV 480 V board + 480 V : 13.8 kV step-up</t>
        </is>
      </c>
      <c r="G5221" s="12" t="inlineStr">
        <is>
          <t>TM-2</t>
        </is>
      </c>
      <c r="H5221" s="12" t="inlineStr">
        <is>
          <t>TM-2: trailer-mounted aeroderivative GT (TM2500 class, ~35 MW)</t>
        </is>
      </c>
      <c r="I5221" s="12" t="inlineStr">
        <is>
          <t>LV 600 V</t>
        </is>
      </c>
      <c r="J5221" s="12" t="inlineStr">
        <is>
          <t>Type TC-ER 600 V 3/C Cu XHHW-2 + ground, PVC jacket</t>
        </is>
      </c>
      <c r="K5221" s="12" t="inlineStr">
        <is>
          <t>LV|3/C+G|4/0</t>
        </is>
      </c>
      <c r="L5221" s="12" t="inlineStr">
        <is>
          <t>3/C+G</t>
        </is>
      </c>
      <c r="M5221" s="12" t="inlineStr">
        <is>
          <t>4/0</t>
        </is>
      </c>
      <c r="N5221" s="12" t="n">
        <v>1</v>
      </c>
      <c r="O5221" s="12" t="n">
        <v>1</v>
      </c>
      <c r="P5221" s="12" t="n">
        <v>480</v>
      </c>
      <c r="Q5221" s="12" t="n">
        <v>22</v>
      </c>
      <c r="R5221" s="12" t="n">
        <v>31.1</v>
      </c>
      <c r="S5221" s="12" t="inlineStr">
        <is>
          <t>Duct bank</t>
        </is>
      </c>
      <c r="T5221" s="17" t="n">
        <v>3178</v>
      </c>
      <c r="U5221" s="17" t="n">
        <v>74</v>
      </c>
      <c r="V5221" s="17">
        <f>ROUNDUP((T5221+U5221+2*'Read Me'!$B$13)*(1+'Read Me'!$B$12),-1)</f>
        <v/>
      </c>
      <c r="W5221" s="17">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I-P-0272</t>
        </is>
      </c>
      <c r="B5222" s="12" t="inlineStr">
        <is>
          <t>I</t>
        </is>
      </c>
      <c r="C5222" s="12" t="inlineStr">
        <is>
          <t>Modular / portable power</t>
        </is>
      </c>
      <c r="D5222" s="12" t="inlineStr">
        <is>
          <t>Motor 2 of 6, 22 kW</t>
        </is>
      </c>
      <c r="E5222" s="12" t="inlineStr"/>
      <c r="F5222" s="12" t="inlineStr">
        <is>
          <t>MOD-LV 480 V board + 480 V : 13.8 kV step-up</t>
        </is>
      </c>
      <c r="G5222" s="12" t="inlineStr">
        <is>
          <t>TM-2</t>
        </is>
      </c>
      <c r="H5222" s="12" t="inlineStr">
        <is>
          <t>TM-2: trailer-mounted aeroderivative GT (TM2500 class, ~35 MW)</t>
        </is>
      </c>
      <c r="I5222" s="12" t="inlineStr">
        <is>
          <t>LV 600 V</t>
        </is>
      </c>
      <c r="J5222" s="12" t="inlineStr">
        <is>
          <t>Type TC-ER 600 V 3/C Cu XHHW-2 + ground, PVC jacket</t>
        </is>
      </c>
      <c r="K5222" s="12" t="inlineStr">
        <is>
          <t>LV|3/C+G|4/0</t>
        </is>
      </c>
      <c r="L5222" s="12" t="inlineStr">
        <is>
          <t>3/C+G</t>
        </is>
      </c>
      <c r="M5222" s="12" t="inlineStr">
        <is>
          <t>4/0</t>
        </is>
      </c>
      <c r="N5222" s="12" t="n">
        <v>1</v>
      </c>
      <c r="O5222" s="12" t="n">
        <v>1</v>
      </c>
      <c r="P5222" s="12" t="n">
        <v>480</v>
      </c>
      <c r="Q5222" s="12" t="n">
        <v>22</v>
      </c>
      <c r="R5222" s="12" t="n">
        <v>31.1</v>
      </c>
      <c r="S5222" s="12" t="inlineStr">
        <is>
          <t>Duct bank</t>
        </is>
      </c>
      <c r="T5222" s="17" t="n">
        <v>3178</v>
      </c>
      <c r="U5222" s="17" t="n">
        <v>74</v>
      </c>
      <c r="V5222" s="17">
        <f>ROUNDUP((T5222+U5222+2*'Read Me'!$B$13)*(1+'Read Me'!$B$12),-1)</f>
        <v/>
      </c>
      <c r="W5222" s="17">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I-P-0273</t>
        </is>
      </c>
      <c r="B5223" s="12" t="inlineStr">
        <is>
          <t>I</t>
        </is>
      </c>
      <c r="C5223" s="12" t="inlineStr">
        <is>
          <t>Modular / portable power</t>
        </is>
      </c>
      <c r="D5223" s="12" t="inlineStr">
        <is>
          <t>Motor 3 of 6, 22 kW</t>
        </is>
      </c>
      <c r="E5223" s="12" t="inlineStr"/>
      <c r="F5223" s="12" t="inlineStr">
        <is>
          <t>MOD-LV 480 V board + 480 V : 13.8 kV step-up</t>
        </is>
      </c>
      <c r="G5223" s="12" t="inlineStr">
        <is>
          <t>TM-2</t>
        </is>
      </c>
      <c r="H5223" s="12" t="inlineStr">
        <is>
          <t>TM-2: trailer-mounted aeroderivative GT (TM2500 class, ~35 MW)</t>
        </is>
      </c>
      <c r="I5223" s="12" t="inlineStr">
        <is>
          <t>LV 600 V</t>
        </is>
      </c>
      <c r="J5223" s="12" t="inlineStr">
        <is>
          <t>Type TC-ER 600 V 3/C Cu XHHW-2 + ground, PVC jacket</t>
        </is>
      </c>
      <c r="K5223" s="12" t="inlineStr">
        <is>
          <t>LV|3/C+G|4/0</t>
        </is>
      </c>
      <c r="L5223" s="12" t="inlineStr">
        <is>
          <t>3/C+G</t>
        </is>
      </c>
      <c r="M5223" s="12" t="inlineStr">
        <is>
          <t>4/0</t>
        </is>
      </c>
      <c r="N5223" s="12" t="n">
        <v>1</v>
      </c>
      <c r="O5223" s="12" t="n">
        <v>1</v>
      </c>
      <c r="P5223" s="12" t="n">
        <v>480</v>
      </c>
      <c r="Q5223" s="12" t="n">
        <v>22</v>
      </c>
      <c r="R5223" s="12" t="n">
        <v>31.1</v>
      </c>
      <c r="S5223" s="12" t="inlineStr">
        <is>
          <t>Duct bank</t>
        </is>
      </c>
      <c r="T5223" s="17" t="n">
        <v>3178</v>
      </c>
      <c r="U5223" s="17" t="n">
        <v>74</v>
      </c>
      <c r="V5223" s="17">
        <f>ROUNDUP((T5223+U5223+2*'Read Me'!$B$13)*(1+'Read Me'!$B$12),-1)</f>
        <v/>
      </c>
      <c r="W5223" s="17">
        <f>V5223*N5223*O5223</f>
        <v/>
      </c>
      <c r="X5223" s="12">
        <f>IF(LEFT(I5223,2)="MV",2*N5223*IF(L5223="1/C",O5223,1),0)</f>
        <v/>
      </c>
      <c r="Y5223" s="12">
        <f>IF(OR(LEFT(K5223,4)="LVAX",LEFT(K5223,6)="MV15AX",LEFT(K5223,4)="CTAX",LEFT(K5223,2)="W|"),2*N5223*O5223,0)</f>
        <v/>
      </c>
      <c r="Z5223" s="12" t="inlineStr">
        <is>
          <t>VD 2.4 %</t>
        </is>
      </c>
      <c r="AA5223" s="12">
        <f>N5223*O5223</f>
        <v/>
      </c>
    </row>
    <row r="5224">
      <c r="A5224" s="12" t="inlineStr">
        <is>
          <t>I-P-0274</t>
        </is>
      </c>
      <c r="B5224" s="12" t="inlineStr">
        <is>
          <t>I</t>
        </is>
      </c>
      <c r="C5224" s="12" t="inlineStr">
        <is>
          <t>Modular / portable power</t>
        </is>
      </c>
      <c r="D5224" s="12" t="inlineStr">
        <is>
          <t>Motor 4 of 6, 22 kW</t>
        </is>
      </c>
      <c r="E5224" s="12" t="inlineStr"/>
      <c r="F5224" s="12" t="inlineStr">
        <is>
          <t>MOD-LV 480 V board + 480 V : 13.8 kV step-up</t>
        </is>
      </c>
      <c r="G5224" s="12" t="inlineStr">
        <is>
          <t>TM-2</t>
        </is>
      </c>
      <c r="H5224" s="12" t="inlineStr">
        <is>
          <t>TM-2: trailer-mounted aeroderivative GT (TM2500 class, ~35 MW)</t>
        </is>
      </c>
      <c r="I5224" s="12" t="inlineStr">
        <is>
          <t>LV 600 V</t>
        </is>
      </c>
      <c r="J5224" s="12" t="inlineStr">
        <is>
          <t>Type TC-ER 600 V 3/C Cu XHHW-2 + ground, PVC jacket</t>
        </is>
      </c>
      <c r="K5224" s="12" t="inlineStr">
        <is>
          <t>LV|3/C+G|4/0</t>
        </is>
      </c>
      <c r="L5224" s="12" t="inlineStr">
        <is>
          <t>3/C+G</t>
        </is>
      </c>
      <c r="M5224" s="12" t="inlineStr">
        <is>
          <t>4/0</t>
        </is>
      </c>
      <c r="N5224" s="12" t="n">
        <v>1</v>
      </c>
      <c r="O5224" s="12" t="n">
        <v>1</v>
      </c>
      <c r="P5224" s="12" t="n">
        <v>480</v>
      </c>
      <c r="Q5224" s="12" t="n">
        <v>22</v>
      </c>
      <c r="R5224" s="12" t="n">
        <v>31.1</v>
      </c>
      <c r="S5224" s="12" t="inlineStr">
        <is>
          <t>Duct bank</t>
        </is>
      </c>
      <c r="T5224" s="17" t="n">
        <v>3178</v>
      </c>
      <c r="U5224" s="17" t="n">
        <v>74</v>
      </c>
      <c r="V5224" s="17">
        <f>ROUNDUP((T5224+U5224+2*'Read Me'!$B$13)*(1+'Read Me'!$B$12),-1)</f>
        <v/>
      </c>
      <c r="W5224" s="17">
        <f>V5224*N5224*O5224</f>
        <v/>
      </c>
      <c r="X5224" s="12">
        <f>IF(LEFT(I5224,2)="MV",2*N5224*IF(L5224="1/C",O5224,1),0)</f>
        <v/>
      </c>
      <c r="Y5224" s="12">
        <f>IF(OR(LEFT(K5224,4)="LVAX",LEFT(K5224,6)="MV15AX",LEFT(K5224,4)="CTAX",LEFT(K5224,2)="W|"),2*N5224*O5224,0)</f>
        <v/>
      </c>
      <c r="Z5224" s="12" t="inlineStr">
        <is>
          <t>VD 2.4 %</t>
        </is>
      </c>
      <c r="AA5224" s="12">
        <f>N5224*O5224</f>
        <v/>
      </c>
    </row>
    <row r="5225">
      <c r="A5225" s="12" t="inlineStr">
        <is>
          <t>I-P-0275</t>
        </is>
      </c>
      <c r="B5225" s="12" t="inlineStr">
        <is>
          <t>I</t>
        </is>
      </c>
      <c r="C5225" s="12" t="inlineStr">
        <is>
          <t>Modular / portable power</t>
        </is>
      </c>
      <c r="D5225" s="12" t="inlineStr">
        <is>
          <t>Motor 5 of 6, 22 kW</t>
        </is>
      </c>
      <c r="E5225" s="12" t="inlineStr"/>
      <c r="F5225" s="12" t="inlineStr">
        <is>
          <t>MOD-LV 480 V board + 480 V : 13.8 kV step-up</t>
        </is>
      </c>
      <c r="G5225" s="12" t="inlineStr">
        <is>
          <t>TM-2</t>
        </is>
      </c>
      <c r="H5225" s="12" t="inlineStr">
        <is>
          <t>TM-2: trailer-mounted aeroderivative GT (TM2500 class, ~35 MW)</t>
        </is>
      </c>
      <c r="I5225" s="12" t="inlineStr">
        <is>
          <t>LV 600 V</t>
        </is>
      </c>
      <c r="J5225" s="12" t="inlineStr">
        <is>
          <t>Type TC-ER 600 V 3/C Cu XHHW-2 + ground, PVC jacket</t>
        </is>
      </c>
      <c r="K5225" s="12" t="inlineStr">
        <is>
          <t>LV|3/C+G|4/0</t>
        </is>
      </c>
      <c r="L5225" s="12" t="inlineStr">
        <is>
          <t>3/C+G</t>
        </is>
      </c>
      <c r="M5225" s="12" t="inlineStr">
        <is>
          <t>4/0</t>
        </is>
      </c>
      <c r="N5225" s="12" t="n">
        <v>1</v>
      </c>
      <c r="O5225" s="12" t="n">
        <v>1</v>
      </c>
      <c r="P5225" s="12" t="n">
        <v>480</v>
      </c>
      <c r="Q5225" s="12" t="n">
        <v>22</v>
      </c>
      <c r="R5225" s="12" t="n">
        <v>31.1</v>
      </c>
      <c r="S5225" s="12" t="inlineStr">
        <is>
          <t>Duct bank</t>
        </is>
      </c>
      <c r="T5225" s="17" t="n">
        <v>3178</v>
      </c>
      <c r="U5225" s="17" t="n">
        <v>74</v>
      </c>
      <c r="V5225" s="17">
        <f>ROUNDUP((T5225+U5225+2*'Read Me'!$B$13)*(1+'Read Me'!$B$12),-1)</f>
        <v/>
      </c>
      <c r="W5225" s="17">
        <f>V5225*N5225*O5225</f>
        <v/>
      </c>
      <c r="X5225" s="12">
        <f>IF(LEFT(I5225,2)="MV",2*N5225*IF(L5225="1/C",O5225,1),0)</f>
        <v/>
      </c>
      <c r="Y5225" s="12">
        <f>IF(OR(LEFT(K5225,4)="LVAX",LEFT(K5225,6)="MV15AX",LEFT(K5225,4)="CTAX",LEFT(K5225,2)="W|"),2*N5225*O5225,0)</f>
        <v/>
      </c>
      <c r="Z5225" s="12" t="inlineStr">
        <is>
          <t>VD 2.4 %</t>
        </is>
      </c>
      <c r="AA5225" s="12">
        <f>N5225*O5225</f>
        <v/>
      </c>
    </row>
    <row r="5226">
      <c r="A5226" s="12" t="inlineStr">
        <is>
          <t>I-P-0276</t>
        </is>
      </c>
      <c r="B5226" s="12" t="inlineStr">
        <is>
          <t>I</t>
        </is>
      </c>
      <c r="C5226" s="12" t="inlineStr">
        <is>
          <t>Modular / portable power</t>
        </is>
      </c>
      <c r="D5226" s="12" t="inlineStr">
        <is>
          <t>Motor 6 of 6, 22 kW</t>
        </is>
      </c>
      <c r="E5226" s="12" t="inlineStr"/>
      <c r="F5226" s="12" t="inlineStr">
        <is>
          <t>MOD-LV 480 V board + 480 V : 13.8 kV step-up</t>
        </is>
      </c>
      <c r="G5226" s="12" t="inlineStr">
        <is>
          <t>TM-2</t>
        </is>
      </c>
      <c r="H5226" s="12" t="inlineStr">
        <is>
          <t>TM-2: trailer-mounted aeroderivative GT (TM2500 class, ~35 MW)</t>
        </is>
      </c>
      <c r="I5226" s="12" t="inlineStr">
        <is>
          <t>LV 600 V</t>
        </is>
      </c>
      <c r="J5226" s="12" t="inlineStr">
        <is>
          <t>Type TC-ER 600 V 3/C Cu XHHW-2 + ground, PVC jacket</t>
        </is>
      </c>
      <c r="K5226" s="12" t="inlineStr">
        <is>
          <t>LV|3/C+G|4/0</t>
        </is>
      </c>
      <c r="L5226" s="12" t="inlineStr">
        <is>
          <t>3/C+G</t>
        </is>
      </c>
      <c r="M5226" s="12" t="inlineStr">
        <is>
          <t>4/0</t>
        </is>
      </c>
      <c r="N5226" s="12" t="n">
        <v>1</v>
      </c>
      <c r="O5226" s="12" t="n">
        <v>1</v>
      </c>
      <c r="P5226" s="12" t="n">
        <v>480</v>
      </c>
      <c r="Q5226" s="12" t="n">
        <v>22</v>
      </c>
      <c r="R5226" s="12" t="n">
        <v>31.1</v>
      </c>
      <c r="S5226" s="12" t="inlineStr">
        <is>
          <t>Duct bank</t>
        </is>
      </c>
      <c r="T5226" s="17" t="n">
        <v>3178</v>
      </c>
      <c r="U5226" s="17" t="n">
        <v>74</v>
      </c>
      <c r="V5226" s="17">
        <f>ROUNDUP((T5226+U5226+2*'Read Me'!$B$13)*(1+'Read Me'!$B$12),-1)</f>
        <v/>
      </c>
      <c r="W5226" s="17">
        <f>V5226*N5226*O5226</f>
        <v/>
      </c>
      <c r="X5226" s="12">
        <f>IF(LEFT(I5226,2)="MV",2*N5226*IF(L5226="1/C",O5226,1),0)</f>
        <v/>
      </c>
      <c r="Y5226" s="12">
        <f>IF(OR(LEFT(K5226,4)="LVAX",LEFT(K5226,6)="MV15AX",LEFT(K5226,4)="CTAX",LEFT(K5226,2)="W|"),2*N5226*O5226,0)</f>
        <v/>
      </c>
      <c r="Z5226" s="12" t="inlineStr">
        <is>
          <t>VD 2.4 %</t>
        </is>
      </c>
      <c r="AA5226" s="12">
        <f>N5226*O5226</f>
        <v/>
      </c>
    </row>
    <row r="5227">
      <c r="A5227" s="12" t="inlineStr">
        <is>
          <t>I-P-0277</t>
        </is>
      </c>
      <c r="B5227" s="12" t="inlineStr">
        <is>
          <t>I</t>
        </is>
      </c>
      <c r="C5227" s="12" t="inlineStr">
        <is>
          <t>Modular / portable power</t>
        </is>
      </c>
      <c r="D5227" s="12" t="inlineStr">
        <is>
          <t>Motor 1 of 2, 75 kW</t>
        </is>
      </c>
      <c r="E5227" s="12" t="inlineStr"/>
      <c r="F5227" s="12" t="inlineStr">
        <is>
          <t>SC-2 PCM + 15 kV GCB</t>
        </is>
      </c>
      <c r="G5227" s="12" t="inlineStr"/>
      <c r="H5227" s="12" t="inlineStr">
        <is>
          <t>Water-injection skid</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75</v>
      </c>
      <c r="R5227" s="12" t="n">
        <v>106.1</v>
      </c>
      <c r="S5227" s="12" t="inlineStr">
        <is>
          <t>Tray</t>
        </is>
      </c>
      <c r="T5227" s="17" t="n">
        <v>0</v>
      </c>
      <c r="U5227" s="17" t="n">
        <v>60</v>
      </c>
      <c r="V5227" s="17">
        <f>ROUNDUP((T5227+U5227+2*'Read Me'!$B$13)*(1+'Read Me'!$B$12),-1)</f>
        <v/>
      </c>
      <c r="W5227" s="17">
        <f>V5227*N5227*O5227</f>
        <v/>
      </c>
      <c r="X5227" s="12">
        <f>IF(LEFT(I5227,2)="MV",2*N5227*IF(L5227="1/C",O5227,1),0)</f>
        <v/>
      </c>
      <c r="Y5227" s="12">
        <f>IF(OR(LEFT(K5227,4)="LVAX",LEFT(K5227,6)="MV15AX",LEFT(K5227,4)="CTAX",LEFT(K5227,2)="W|"),2*N5227*O5227,0)</f>
        <v/>
      </c>
      <c r="Z5227" s="12" t="inlineStr">
        <is>
          <t>VD 0.3 %</t>
        </is>
      </c>
      <c r="AA5227" s="12">
        <f>N5227*O5227</f>
        <v/>
      </c>
    </row>
    <row r="5228">
      <c r="A5228" s="12" t="inlineStr">
        <is>
          <t>I-P-0278</t>
        </is>
      </c>
      <c r="B5228" s="12" t="inlineStr">
        <is>
          <t>I</t>
        </is>
      </c>
      <c r="C5228" s="12" t="inlineStr">
        <is>
          <t>Modular / portable power</t>
        </is>
      </c>
      <c r="D5228" s="12" t="inlineStr">
        <is>
          <t>Motor 2 of 2, 75 kW</t>
        </is>
      </c>
      <c r="E5228" s="12" t="inlineStr"/>
      <c r="F5228" s="12" t="inlineStr">
        <is>
          <t>SC-2 PCM + 15 kV GCB</t>
        </is>
      </c>
      <c r="G5228" s="12" t="inlineStr"/>
      <c r="H5228" s="12" t="inlineStr">
        <is>
          <t>Water-injection skid</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106.1</v>
      </c>
      <c r="S5228" s="12" t="inlineStr">
        <is>
          <t>Tray</t>
        </is>
      </c>
      <c r="T5228" s="17" t="n">
        <v>0</v>
      </c>
      <c r="U5228" s="17" t="n">
        <v>60</v>
      </c>
      <c r="V5228" s="17">
        <f>ROUNDUP((T5228+U5228+2*'Read Me'!$B$13)*(1+'Read Me'!$B$12),-1)</f>
        <v/>
      </c>
      <c r="W5228" s="17">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I-MV-0001</t>
        </is>
      </c>
      <c r="B5229" s="12" t="inlineStr">
        <is>
          <t>I</t>
        </is>
      </c>
      <c r="C5229" s="12" t="inlineStr">
        <is>
          <t>Modular / portable power</t>
        </is>
      </c>
      <c r="D5229" s="12" t="inlineStr">
        <is>
          <t>Modular-yard fuel-gas compressor</t>
        </is>
      </c>
      <c r="E5229" s="12" t="inlineStr">
        <is>
          <t>MOD-EH</t>
        </is>
      </c>
      <c r="F5229" s="12" t="inlineStr">
        <is>
          <t>MOD-EH: 13.8 kV modular collector e-house</t>
        </is>
      </c>
      <c r="G5229" s="12" t="inlineStr"/>
      <c r="H5229" s="12" t="inlineStr">
        <is>
          <t>Fuel-gas compressors 3 x 100% electric</t>
        </is>
      </c>
      <c r="I5229" s="12" t="inlineStr">
        <is>
          <t>MV 15 kV</t>
        </is>
      </c>
      <c r="J5229" s="12" t="inlineStr">
        <is>
          <t>ARMOR-X MC-HL / MV-105 15 kV 3/C Cu, EPR 133%, tape shield, gnd, CWA, red PVC</t>
        </is>
      </c>
      <c r="K5229" s="12" t="inlineStr">
        <is>
          <t>MV15AX|3/C|2</t>
        </is>
      </c>
      <c r="L5229" s="12" t="inlineStr">
        <is>
          <t>3/C</t>
        </is>
      </c>
      <c r="M5229" s="12" t="inlineStr">
        <is>
          <t>2</t>
        </is>
      </c>
      <c r="N5229" s="12" t="n">
        <v>1</v>
      </c>
      <c r="O5229" s="12" t="n">
        <v>1</v>
      </c>
      <c r="P5229" s="12" t="n">
        <v>13800</v>
      </c>
      <c r="Q5229" s="12" t="n">
        <v>1500</v>
      </c>
      <c r="R5229" s="12" t="n">
        <v>70</v>
      </c>
      <c r="S5229" s="12" t="inlineStr">
        <is>
          <t>HV duct bank</t>
        </is>
      </c>
      <c r="T5229" s="17" t="n">
        <v>3974</v>
      </c>
      <c r="U5229" s="17" t="n">
        <v>114</v>
      </c>
      <c r="V5229" s="17">
        <f>ROUNDUP((T5229+U5229+2*'Read Me'!$B$13)*(1+'Read Me'!$B$12),-1)</f>
        <v/>
      </c>
      <c r="W5229" s="17">
        <f>V5229*N5229*O5229</f>
        <v/>
      </c>
      <c r="X5229" s="12">
        <f>IF(LEFT(I5229,2)="MV",2*N5229*IF(L5229="1/C",O5229,1),0)</f>
        <v/>
      </c>
      <c r="Y5229" s="12">
        <f>IF(OR(LEFT(K5229,4)="LVAX",LEFT(K5229,6)="MV15AX",LEFT(K5229,4)="CTAX",LEFT(K5229,2)="W|"),2*N5229*O5229,0)</f>
        <v/>
      </c>
      <c r="Z5229" s="12" t="inlineStr"/>
      <c r="AA5229" s="12">
        <f>N5229*O5229</f>
        <v/>
      </c>
    </row>
    <row r="5230">
      <c r="A5230" s="12" t="inlineStr">
        <is>
          <t>I-MV-0002</t>
        </is>
      </c>
      <c r="B5230" s="12" t="inlineStr">
        <is>
          <t>I</t>
        </is>
      </c>
      <c r="C5230" s="12" t="inlineStr">
        <is>
          <t>Modular / portable power</t>
        </is>
      </c>
      <c r="D5230" s="12" t="inlineStr">
        <is>
          <t>Modular-yard fuel-gas compressor</t>
        </is>
      </c>
      <c r="E5230" s="12" t="inlineStr">
        <is>
          <t>MOD-EH</t>
        </is>
      </c>
      <c r="F5230" s="12" t="inlineStr">
        <is>
          <t>MOD-EH: 13.8 kV modular collector e-house</t>
        </is>
      </c>
      <c r="G5230" s="12" t="inlineStr"/>
      <c r="H5230" s="12" t="inlineStr">
        <is>
          <t>Fuel-gas compressors 3 x 100% electric</t>
        </is>
      </c>
      <c r="I5230" s="12" t="inlineStr">
        <is>
          <t>MV 15 kV</t>
        </is>
      </c>
      <c r="J5230" s="12" t="inlineStr">
        <is>
          <t>ARMOR-X MC-HL / MV-105 15 kV 3/C Cu, EPR 133%, tape shield, gnd, CWA, red PVC</t>
        </is>
      </c>
      <c r="K5230" s="12" t="inlineStr">
        <is>
          <t>MV15AX|3/C|2</t>
        </is>
      </c>
      <c r="L5230" s="12" t="inlineStr">
        <is>
          <t>3/C</t>
        </is>
      </c>
      <c r="M5230" s="12" t="inlineStr">
        <is>
          <t>2</t>
        </is>
      </c>
      <c r="N5230" s="12" t="n">
        <v>1</v>
      </c>
      <c r="O5230" s="12" t="n">
        <v>1</v>
      </c>
      <c r="P5230" s="12" t="n">
        <v>13800</v>
      </c>
      <c r="Q5230" s="12" t="n">
        <v>1500</v>
      </c>
      <c r="R5230" s="12" t="n">
        <v>70</v>
      </c>
      <c r="S5230" s="12" t="inlineStr">
        <is>
          <t>HV duct bank</t>
        </is>
      </c>
      <c r="T5230" s="17" t="n">
        <v>3974</v>
      </c>
      <c r="U5230" s="17" t="n">
        <v>114</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I-MV-0003</t>
        </is>
      </c>
      <c r="B5231" s="12" t="inlineStr">
        <is>
          <t>I</t>
        </is>
      </c>
      <c r="C5231" s="12" t="inlineStr">
        <is>
          <t>Modular / portable power</t>
        </is>
      </c>
      <c r="D5231" s="12" t="inlineStr">
        <is>
          <t>Modular-yard fuel-gas compressor</t>
        </is>
      </c>
      <c r="E5231" s="12" t="inlineStr">
        <is>
          <t>MOD-EH</t>
        </is>
      </c>
      <c r="F5231" s="12" t="inlineStr">
        <is>
          <t>MOD-EH: 13.8 kV modular collector e-house</t>
        </is>
      </c>
      <c r="G5231" s="12" t="inlineStr"/>
      <c r="H5231" s="12" t="inlineStr">
        <is>
          <t>Fuel-gas compressors 3 x 100% electric</t>
        </is>
      </c>
      <c r="I5231" s="12" t="inlineStr">
        <is>
          <t>MV 15 kV</t>
        </is>
      </c>
      <c r="J5231" s="12" t="inlineStr">
        <is>
          <t>ARMOR-X MC-HL / MV-105 15 kV 3/C Cu, EPR 133%, tape shield, gnd, CWA, red PVC</t>
        </is>
      </c>
      <c r="K5231" s="12" t="inlineStr">
        <is>
          <t>MV15AX|3/C|2</t>
        </is>
      </c>
      <c r="L5231" s="12" t="inlineStr">
        <is>
          <t>3/C</t>
        </is>
      </c>
      <c r="M5231" s="12" t="inlineStr">
        <is>
          <t>2</t>
        </is>
      </c>
      <c r="N5231" s="12" t="n">
        <v>1</v>
      </c>
      <c r="O5231" s="12" t="n">
        <v>1</v>
      </c>
      <c r="P5231" s="12" t="n">
        <v>13800</v>
      </c>
      <c r="Q5231" s="12" t="n">
        <v>1500</v>
      </c>
      <c r="R5231" s="12" t="n">
        <v>70</v>
      </c>
      <c r="S5231" s="12" t="inlineStr">
        <is>
          <t>HV duct bank</t>
        </is>
      </c>
      <c r="T5231" s="17" t="n">
        <v>3974</v>
      </c>
      <c r="U5231" s="17" t="n">
        <v>114</v>
      </c>
      <c r="V5231" s="17">
        <f>ROUNDUP((T5231+U5231+2*'Read Me'!$B$13)*(1+'Read Me'!$B$12),-1)</f>
        <v/>
      </c>
      <c r="W5231" s="17">
        <f>V5231*N5231*O5231</f>
        <v/>
      </c>
      <c r="X5231" s="12">
        <f>IF(LEFT(I5231,2)="MV",2*N5231*IF(L5231="1/C",O5231,1),0)</f>
        <v/>
      </c>
      <c r="Y5231" s="12">
        <f>IF(OR(LEFT(K5231,4)="LVAX",LEFT(K5231,6)="MV15AX",LEFT(K5231,4)="CTAX",LEFT(K5231,2)="W|"),2*N5231*O5231,0)</f>
        <v/>
      </c>
      <c r="Z5231" s="12" t="inlineStr"/>
      <c r="AA5231" s="12">
        <f>N5231*O5231</f>
        <v/>
      </c>
    </row>
    <row r="5232">
      <c r="A5232" s="12" t="inlineStr">
        <is>
          <t>I-MV-0004</t>
        </is>
      </c>
      <c r="B5232" s="12" t="inlineStr">
        <is>
          <t>I</t>
        </is>
      </c>
      <c r="C5232" s="12" t="inlineStr">
        <is>
          <t>Modular / portable power</t>
        </is>
      </c>
      <c r="D5232" s="12" t="inlineStr">
        <is>
          <t>SC-1 PCM to MOD-EH</t>
        </is>
      </c>
      <c r="E5232" s="12" t="inlineStr"/>
      <c r="F5232" s="12" t="inlineStr">
        <is>
          <t>SC-1 PCM + 15 kV GCB</t>
        </is>
      </c>
      <c r="G5232" s="12" t="inlineStr">
        <is>
          <t>MOD-EH</t>
        </is>
      </c>
      <c r="H5232" s="12" t="inlineStr">
        <is>
          <t>MOD-EH: 13.8 kV modular collector e-house</t>
        </is>
      </c>
      <c r="I5232" s="12" t="inlineStr">
        <is>
          <t>MV 15 kV</t>
        </is>
      </c>
      <c r="J5232" s="12" t="inlineStr">
        <is>
          <t>MV-105 15 kV 1/C Cu, EPR 133%, Cu tape shield, PVC jacket (triplexed)</t>
        </is>
      </c>
      <c r="K5232" s="12" t="inlineStr">
        <is>
          <t>MV15|1/C|750</t>
        </is>
      </c>
      <c r="L5232" s="12" t="inlineStr">
        <is>
          <t>1/C</t>
        </is>
      </c>
      <c r="M5232" s="12" t="inlineStr">
        <is>
          <t>750 kcmil</t>
        </is>
      </c>
      <c r="N5232" s="12" t="n">
        <v>5</v>
      </c>
      <c r="O5232" s="12" t="n">
        <v>3</v>
      </c>
      <c r="P5232" s="12" t="n">
        <v>13800</v>
      </c>
      <c r="Q5232" s="12" t="n">
        <v>50000</v>
      </c>
      <c r="R5232" s="12" t="n">
        <v>2092</v>
      </c>
      <c r="S5232" s="12" t="inlineStr">
        <is>
          <t>Duct bank</t>
        </is>
      </c>
      <c r="T5232" s="17" t="n">
        <v>397</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I-MV-0005</t>
        </is>
      </c>
      <c r="B5233" s="12" t="inlineStr">
        <is>
          <t>I</t>
        </is>
      </c>
      <c r="C5233" s="12" t="inlineStr">
        <is>
          <t>Modular / portable power</t>
        </is>
      </c>
      <c r="D5233" s="12" t="inlineStr">
        <is>
          <t>SC-2 PCM to MOD-EH</t>
        </is>
      </c>
      <c r="E5233" s="12" t="inlineStr"/>
      <c r="F5233" s="12" t="inlineStr">
        <is>
          <t>SC-2 PCM + 15 kV GCB</t>
        </is>
      </c>
      <c r="G5233" s="12" t="inlineStr">
        <is>
          <t>MOD-EH</t>
        </is>
      </c>
      <c r="H5233" s="12" t="inlineStr">
        <is>
          <t>MOD-EH: 13.8 kV modular collector e-house</t>
        </is>
      </c>
      <c r="I5233" s="12" t="inlineStr">
        <is>
          <t>MV 15 kV</t>
        </is>
      </c>
      <c r="J5233" s="12" t="inlineStr">
        <is>
          <t>MV-105 15 kV 1/C Cu, EPR 133%, Cu tape shield, PVC jacket (triplexed)</t>
        </is>
      </c>
      <c r="K5233" s="12" t="inlineStr">
        <is>
          <t>MV15|1/C|750</t>
        </is>
      </c>
      <c r="L5233" s="12" t="inlineStr">
        <is>
          <t>1/C</t>
        </is>
      </c>
      <c r="M5233" s="12" t="inlineStr">
        <is>
          <t>750 kcmil</t>
        </is>
      </c>
      <c r="N5233" s="12" t="n">
        <v>5</v>
      </c>
      <c r="O5233" s="12" t="n">
        <v>3</v>
      </c>
      <c r="P5233" s="12" t="n">
        <v>13800</v>
      </c>
      <c r="Q5233" s="12" t="n">
        <v>50000</v>
      </c>
      <c r="R5233" s="12" t="n">
        <v>2092</v>
      </c>
      <c r="S5233" s="12" t="inlineStr">
        <is>
          <t>HV duct bank</t>
        </is>
      </c>
      <c r="T5233" s="17" t="n">
        <v>3974</v>
      </c>
      <c r="U5233" s="17" t="n">
        <v>38</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I-MV-0006</t>
        </is>
      </c>
      <c r="B5234" s="12" t="inlineStr">
        <is>
          <t>I</t>
        </is>
      </c>
      <c r="C5234" s="12" t="inlineStr">
        <is>
          <t>Modular / portable power</t>
        </is>
      </c>
      <c r="D5234" s="12" t="inlineStr">
        <is>
          <t>MOD-LV step-up to MOD-EH</t>
        </is>
      </c>
      <c r="E5234" s="12" t="inlineStr"/>
      <c r="F5234" s="12" t="inlineStr">
        <is>
          <t>MOD-LV 480 V board + 480 V : 13.8 kV step-up</t>
        </is>
      </c>
      <c r="G5234" s="12" t="inlineStr">
        <is>
          <t>MOD-EH</t>
        </is>
      </c>
      <c r="H5234" s="12" t="inlineStr">
        <is>
          <t>MOD-EH: 13.8 kV modular collector e-house</t>
        </is>
      </c>
      <c r="I5234" s="12" t="inlineStr">
        <is>
          <t>MV 15 kV</t>
        </is>
      </c>
      <c r="J5234" s="12" t="inlineStr">
        <is>
          <t>MV-105 15 kV 1/C Cu, EPR 133%, Cu tape shield, PVC jacket (triplexed)</t>
        </is>
      </c>
      <c r="K5234" s="12" t="inlineStr">
        <is>
          <t>MV15|1/C|500</t>
        </is>
      </c>
      <c r="L5234" s="12" t="inlineStr">
        <is>
          <t>1/C</t>
        </is>
      </c>
      <c r="M5234" s="12" t="inlineStr">
        <is>
          <t>500 kcmil</t>
        </is>
      </c>
      <c r="N5234" s="12" t="n">
        <v>1</v>
      </c>
      <c r="O5234" s="12" t="n">
        <v>3</v>
      </c>
      <c r="P5234" s="12" t="n">
        <v>13800</v>
      </c>
      <c r="Q5234" s="12" t="n">
        <v>7500</v>
      </c>
      <c r="R5234" s="12" t="n">
        <v>314</v>
      </c>
      <c r="S5234" s="12" t="inlineStr">
        <is>
          <t>Duct bank</t>
        </is>
      </c>
      <c r="T5234" s="17" t="n">
        <v>352</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I-MV-0007</t>
        </is>
      </c>
      <c r="B5235" s="12" t="inlineStr">
        <is>
          <t>I</t>
        </is>
      </c>
      <c r="C5235" s="12" t="inlineStr">
        <is>
          <t>Modular / portable power</t>
        </is>
      </c>
      <c r="D5235" s="12" t="inlineStr">
        <is>
          <t>CONT-3 13.8 kV to PAD-EH (extension section, ground tray)</t>
        </is>
      </c>
      <c r="E5235" s="12" t="inlineStr">
        <is>
          <t>CONT-3</t>
        </is>
      </c>
      <c r="F5235" s="12" t="inlineStr">
        <is>
          <t>CONT-3: containerized gas genset 13.8 kV (40 ft)</t>
        </is>
      </c>
      <c r="G5235" s="12" t="inlineStr">
        <is>
          <t>PAD-EH</t>
        </is>
      </c>
      <c r="H5235" s="12" t="inlineStr">
        <is>
          <t>PAD-EH 13.8 kV switchgear e-house</t>
        </is>
      </c>
      <c r="I5235" s="12" t="inlineStr">
        <is>
          <t>MV 15 kV</t>
        </is>
      </c>
      <c r="J5235" s="12" t="inlineStr">
        <is>
          <t>MV-105 15 kV 1/C Cu, EPR 133%, Cu tape shield, PVC jacket (triplexed)</t>
        </is>
      </c>
      <c r="K5235" s="12" t="inlineStr">
        <is>
          <t>MV15|1/C|2</t>
        </is>
      </c>
      <c r="L5235" s="12" t="inlineStr">
        <is>
          <t>1/C</t>
        </is>
      </c>
      <c r="M5235" s="12" t="inlineStr">
        <is>
          <t>2</t>
        </is>
      </c>
      <c r="N5235" s="12" t="n">
        <v>1</v>
      </c>
      <c r="O5235" s="12" t="n">
        <v>3</v>
      </c>
      <c r="P5235" s="12" t="n">
        <v>13800</v>
      </c>
      <c r="Q5235" s="12" t="n">
        <v>2000</v>
      </c>
      <c r="R5235" s="12" t="n">
        <v>93</v>
      </c>
      <c r="S5235" s="12" t="inlineStr">
        <is>
          <t>Surface</t>
        </is>
      </c>
      <c r="T5235" s="17" t="n">
        <v>191</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I-MV-0008</t>
        </is>
      </c>
      <c r="B5236" s="12" t="inlineStr">
        <is>
          <t>I</t>
        </is>
      </c>
      <c r="C5236" s="12" t="inlineStr">
        <is>
          <t>Modular / portable power</t>
        </is>
      </c>
      <c r="D5236" s="12" t="inlineStr">
        <is>
          <t>CONT-4 13.8 kV to PAD-EH (extension section, ground tray)</t>
        </is>
      </c>
      <c r="E5236" s="12" t="inlineStr">
        <is>
          <t>CONT-4</t>
        </is>
      </c>
      <c r="F5236" s="12" t="inlineStr">
        <is>
          <t>CONT-4: containerized gas genset 13.8 kV (40 ft)</t>
        </is>
      </c>
      <c r="G5236" s="12" t="inlineStr">
        <is>
          <t>PAD-EH</t>
        </is>
      </c>
      <c r="H5236" s="12" t="inlineStr">
        <is>
          <t>PAD-EH 13.8 kV switchgear e-house</t>
        </is>
      </c>
      <c r="I5236" s="12" t="inlineStr">
        <is>
          <t>MV 15 kV</t>
        </is>
      </c>
      <c r="J5236" s="12" t="inlineStr">
        <is>
          <t>MV-105 15 kV 1/C Cu, EPR 133%, Cu tape shield, PVC jacket (triplexed)</t>
        </is>
      </c>
      <c r="K5236" s="12" t="inlineStr">
        <is>
          <t>MV15|1/C|2</t>
        </is>
      </c>
      <c r="L5236" s="12" t="inlineStr">
        <is>
          <t>1/C</t>
        </is>
      </c>
      <c r="M5236" s="12" t="inlineStr">
        <is>
          <t>2</t>
        </is>
      </c>
      <c r="N5236" s="12" t="n">
        <v>1</v>
      </c>
      <c r="O5236" s="12" t="n">
        <v>3</v>
      </c>
      <c r="P5236" s="12" t="n">
        <v>13800</v>
      </c>
      <c r="Q5236" s="12" t="n">
        <v>2000</v>
      </c>
      <c r="R5236" s="12" t="n">
        <v>93</v>
      </c>
      <c r="S5236" s="12" t="inlineStr">
        <is>
          <t>Surface</t>
        </is>
      </c>
      <c r="T5236" s="17" t="n">
        <v>71</v>
      </c>
      <c r="U5236" s="17" t="n">
        <v>72</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I-MV-0009</t>
        </is>
      </c>
      <c r="B5237" s="12" t="inlineStr">
        <is>
          <t>I</t>
        </is>
      </c>
      <c r="C5237" s="12" t="inlineStr">
        <is>
          <t>Modular / portable power</t>
        </is>
      </c>
      <c r="D5237" s="12" t="inlineStr">
        <is>
          <t>CONT-5 13.8 kV to PAD-EH (extension section, ground tray)</t>
        </is>
      </c>
      <c r="E5237" s="12" t="inlineStr">
        <is>
          <t>CONT-5</t>
        </is>
      </c>
      <c r="F5237" s="12" t="inlineStr">
        <is>
          <t>CONT-5: containerized gas genset 13.8 kV (40 ft)</t>
        </is>
      </c>
      <c r="G5237" s="12" t="inlineStr">
        <is>
          <t>PAD-EH</t>
        </is>
      </c>
      <c r="H5237" s="12" t="inlineStr">
        <is>
          <t>PAD-EH 13.8 kV switchgear e-house</t>
        </is>
      </c>
      <c r="I5237" s="12" t="inlineStr">
        <is>
          <t>MV 15 kV</t>
        </is>
      </c>
      <c r="J5237" s="12" t="inlineStr">
        <is>
          <t>MV-105 15 kV 1/C Cu, EPR 133%, Cu tape shield, PVC jacket (triplexed)</t>
        </is>
      </c>
      <c r="K5237" s="12" t="inlineStr">
        <is>
          <t>MV15|1/C|2</t>
        </is>
      </c>
      <c r="L5237" s="12" t="inlineStr">
        <is>
          <t>1/C</t>
        </is>
      </c>
      <c r="M5237" s="12" t="inlineStr">
        <is>
          <t>2</t>
        </is>
      </c>
      <c r="N5237" s="12" t="n">
        <v>1</v>
      </c>
      <c r="O5237" s="12" t="n">
        <v>3</v>
      </c>
      <c r="P5237" s="12" t="n">
        <v>13800</v>
      </c>
      <c r="Q5237" s="12" t="n">
        <v>2000</v>
      </c>
      <c r="R5237" s="12" t="n">
        <v>93</v>
      </c>
      <c r="S5237" s="12" t="inlineStr">
        <is>
          <t>Duct bank</t>
        </is>
      </c>
      <c r="T5237" s="17" t="n">
        <v>47</v>
      </c>
      <c r="U5237" s="17" t="n">
        <v>36</v>
      </c>
      <c r="V5237" s="17">
        <f>ROUNDUP((T5237+U5237+2*'Read Me'!$B$13)*(1+'Read Me'!$B$12),-1)</f>
        <v/>
      </c>
      <c r="W5237" s="17">
        <f>V5237*N5237*O5237</f>
        <v/>
      </c>
      <c r="X5237" s="12">
        <f>IF(LEFT(I5237,2)="MV",2*N5237*IF(L5237="1/C",O5237,1),0)</f>
        <v/>
      </c>
      <c r="Y5237" s="12">
        <f>IF(OR(LEFT(K5237,4)="LVAX",LEFT(K5237,6)="MV15AX",LEFT(K5237,4)="CTAX",LEFT(K5237,2)="W|"),2*N5237*O5237,0)</f>
        <v/>
      </c>
      <c r="Z5237" s="12" t="inlineStr"/>
      <c r="AA5237" s="12">
        <f>N5237*O5237</f>
        <v/>
      </c>
    </row>
    <row r="5238">
      <c r="A5238" s="12" t="inlineStr">
        <is>
          <t>I-MV-0010</t>
        </is>
      </c>
      <c r="B5238" s="12" t="inlineStr">
        <is>
          <t>I</t>
        </is>
      </c>
      <c r="C5238" s="12" t="inlineStr">
        <is>
          <t>Modular / portable power</t>
        </is>
      </c>
      <c r="D5238" s="12" t="inlineStr">
        <is>
          <t>CONT-6 13.8 kV to PAD-EH (extension section, ground tray)</t>
        </is>
      </c>
      <c r="E5238" s="12" t="inlineStr">
        <is>
          <t>CONT-6</t>
        </is>
      </c>
      <c r="F5238" s="12" t="inlineStr">
        <is>
          <t>CONT-6: containerized gas genset 13.8 kV (40 ft)</t>
        </is>
      </c>
      <c r="G5238" s="12" t="inlineStr">
        <is>
          <t>PAD-EH</t>
        </is>
      </c>
      <c r="H5238" s="12" t="inlineStr">
        <is>
          <t>PAD-EH 13.8 kV switchgear e-house</t>
        </is>
      </c>
      <c r="I5238" s="12" t="inlineStr">
        <is>
          <t>MV 15 kV</t>
        </is>
      </c>
      <c r="J5238" s="12" t="inlineStr">
        <is>
          <t>MV-105 15 kV 1/C Cu, EPR 133%, Cu tape shield, PVC jacket (triplexed)</t>
        </is>
      </c>
      <c r="K5238" s="12" t="inlineStr">
        <is>
          <t>MV15|1/C|2</t>
        </is>
      </c>
      <c r="L5238" s="12" t="inlineStr">
        <is>
          <t>1/C</t>
        </is>
      </c>
      <c r="M5238" s="12" t="inlineStr">
        <is>
          <t>2</t>
        </is>
      </c>
      <c r="N5238" s="12" t="n">
        <v>1</v>
      </c>
      <c r="O5238" s="12" t="n">
        <v>3</v>
      </c>
      <c r="P5238" s="12" t="n">
        <v>13800</v>
      </c>
      <c r="Q5238" s="12" t="n">
        <v>2000</v>
      </c>
      <c r="R5238" s="12" t="n">
        <v>93</v>
      </c>
      <c r="S5238" s="12" t="inlineStr">
        <is>
          <t>Surface</t>
        </is>
      </c>
      <c r="T5238" s="17" t="n">
        <v>242</v>
      </c>
      <c r="U5238" s="17" t="n">
        <v>32</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I-MV-0011</t>
        </is>
      </c>
      <c r="B5239" s="12" t="inlineStr">
        <is>
          <t>I</t>
        </is>
      </c>
      <c r="C5239" s="12" t="inlineStr">
        <is>
          <t>Modular / portable power</t>
        </is>
      </c>
      <c r="D5239" s="12" t="inlineStr">
        <is>
          <t>CONT-7 13.8 kV to PAD-EH (extension section, ground tray)</t>
        </is>
      </c>
      <c r="E5239" s="12" t="inlineStr">
        <is>
          <t>CONT-7</t>
        </is>
      </c>
      <c r="F5239" s="12" t="inlineStr">
        <is>
          <t>CONT-7: containerized gas genset 13.8 kV (40 ft)</t>
        </is>
      </c>
      <c r="G5239" s="12" t="inlineStr">
        <is>
          <t>PAD-EH</t>
        </is>
      </c>
      <c r="H5239" s="12" t="inlineStr">
        <is>
          <t>PAD-EH 13.8 kV switchgear e-house</t>
        </is>
      </c>
      <c r="I5239" s="12" t="inlineStr">
        <is>
          <t>MV 15 kV</t>
        </is>
      </c>
      <c r="J5239" s="12" t="inlineStr">
        <is>
          <t>MV-105 15 kV 1/C Cu, EPR 133%, Cu tape shield, PVC jacket (triplexed)</t>
        </is>
      </c>
      <c r="K5239" s="12" t="inlineStr">
        <is>
          <t>MV15|1/C|2</t>
        </is>
      </c>
      <c r="L5239" s="12" t="inlineStr">
        <is>
          <t>1/C</t>
        </is>
      </c>
      <c r="M5239" s="12" t="inlineStr">
        <is>
          <t>2</t>
        </is>
      </c>
      <c r="N5239" s="12" t="n">
        <v>1</v>
      </c>
      <c r="O5239" s="12" t="n">
        <v>3</v>
      </c>
      <c r="P5239" s="12" t="n">
        <v>13800</v>
      </c>
      <c r="Q5239" s="12" t="n">
        <v>2000</v>
      </c>
      <c r="R5239" s="12" t="n">
        <v>93</v>
      </c>
      <c r="S5239" s="12" t="inlineStr">
        <is>
          <t>Surface</t>
        </is>
      </c>
      <c r="T5239" s="17" t="n">
        <v>228</v>
      </c>
      <c r="U5239" s="17" t="n">
        <v>46</v>
      </c>
      <c r="V5239" s="17">
        <f>ROUNDUP((T5239+U5239+2*'Read Me'!$B$13)*(1+'Read Me'!$B$12),-1)</f>
        <v/>
      </c>
      <c r="W5239" s="17">
        <f>V5239*N5239*O5239</f>
        <v/>
      </c>
      <c r="X5239" s="12">
        <f>IF(LEFT(I5239,2)="MV",2*N5239*IF(L5239="1/C",O5239,1),0)</f>
        <v/>
      </c>
      <c r="Y5239" s="12">
        <f>IF(OR(LEFT(K5239,4)="LVAX",LEFT(K5239,6)="MV15AX",LEFT(K5239,4)="CTAX",LEFT(K5239,2)="W|"),2*N5239*O5239,0)</f>
        <v/>
      </c>
      <c r="Z5239" s="12" t="inlineStr"/>
      <c r="AA5239" s="12">
        <f>N5239*O5239</f>
        <v/>
      </c>
    </row>
    <row r="5240">
      <c r="A5240" s="12" t="inlineStr">
        <is>
          <t>I-MV-0012</t>
        </is>
      </c>
      <c r="B5240" s="12" t="inlineStr">
        <is>
          <t>I</t>
        </is>
      </c>
      <c r="C5240" s="12" t="inlineStr">
        <is>
          <t>Modular / portable power</t>
        </is>
      </c>
      <c r="D5240" s="12" t="inlineStr">
        <is>
          <t>CONT-8 13.8 kV to PAD-EH (extension section, ground tray)</t>
        </is>
      </c>
      <c r="E5240" s="12" t="inlineStr">
        <is>
          <t>CONT-8</t>
        </is>
      </c>
      <c r="F5240" s="12" t="inlineStr">
        <is>
          <t>CONT-8: containerized gas genset 13.8 kV (40 ft)</t>
        </is>
      </c>
      <c r="G5240" s="12" t="inlineStr">
        <is>
          <t>PAD-EH</t>
        </is>
      </c>
      <c r="H5240" s="12" t="inlineStr">
        <is>
          <t>PAD-EH 13.8 kV switchgear e-house</t>
        </is>
      </c>
      <c r="I5240" s="12" t="inlineStr">
        <is>
          <t>MV 15 kV</t>
        </is>
      </c>
      <c r="J5240" s="12" t="inlineStr">
        <is>
          <t>MV-105 15 kV 1/C Cu, EPR 133%, Cu tape shield, PVC jacket (triplexed)</t>
        </is>
      </c>
      <c r="K5240" s="12" t="inlineStr">
        <is>
          <t>MV15|1/C|2</t>
        </is>
      </c>
      <c r="L5240" s="12" t="inlineStr">
        <is>
          <t>1/C</t>
        </is>
      </c>
      <c r="M5240" s="12" t="inlineStr">
        <is>
          <t>2</t>
        </is>
      </c>
      <c r="N5240" s="12" t="n">
        <v>1</v>
      </c>
      <c r="O5240" s="12" t="n">
        <v>3</v>
      </c>
      <c r="P5240" s="12" t="n">
        <v>13800</v>
      </c>
      <c r="Q5240" s="12" t="n">
        <v>2000</v>
      </c>
      <c r="R5240" s="12" t="n">
        <v>93</v>
      </c>
      <c r="S5240" s="12" t="inlineStr">
        <is>
          <t>Surface</t>
        </is>
      </c>
      <c r="T5240" s="17" t="n">
        <v>97</v>
      </c>
      <c r="U5240" s="17" t="n">
        <v>36</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I-MV-0013</t>
        </is>
      </c>
      <c r="B5241" s="12" t="inlineStr">
        <is>
          <t>I</t>
        </is>
      </c>
      <c r="C5241" s="12" t="inlineStr">
        <is>
          <t>Modular / portable power</t>
        </is>
      </c>
      <c r="D5241" s="12" t="inlineStr">
        <is>
          <t>TM-1 (TM2500) generator leads to PAD-EH</t>
        </is>
      </c>
      <c r="E5241" s="12" t="inlineStr">
        <is>
          <t>TM-1</t>
        </is>
      </c>
      <c r="F5241" s="12" t="inlineStr">
        <is>
          <t>TM-1: trailer-mounted aeroderivative GT (TM2500 class, ~35 MW)</t>
        </is>
      </c>
      <c r="G5241" s="12" t="inlineStr">
        <is>
          <t>PAD-EH</t>
        </is>
      </c>
      <c r="H5241" s="12" t="inlineStr">
        <is>
          <t>PAD-EH 13.8 kV switchgear e-house</t>
        </is>
      </c>
      <c r="I5241" s="12" t="inlineStr">
        <is>
          <t>MV 15 kV</t>
        </is>
      </c>
      <c r="J5241" s="12" t="inlineStr">
        <is>
          <t>MV-105 15 kV 1/C Cu, EPR 133%, Cu tape shield, PVC jacket (triplexed)</t>
        </is>
      </c>
      <c r="K5241" s="12" t="inlineStr">
        <is>
          <t>MV15|1/C|1000</t>
        </is>
      </c>
      <c r="L5241" s="12" t="inlineStr">
        <is>
          <t>1/C</t>
        </is>
      </c>
      <c r="M5241" s="12" t="inlineStr">
        <is>
          <t>1000 kcmil</t>
        </is>
      </c>
      <c r="N5241" s="12" t="n">
        <v>3</v>
      </c>
      <c r="O5241" s="12" t="n">
        <v>3</v>
      </c>
      <c r="P5241" s="12" t="n">
        <v>13800</v>
      </c>
      <c r="Q5241" s="12" t="n">
        <v>35000</v>
      </c>
      <c r="R5241" s="12" t="n">
        <v>1464</v>
      </c>
      <c r="S5241" s="12" t="inlineStr">
        <is>
          <t>Surface</t>
        </is>
      </c>
      <c r="T5241" s="17" t="n">
        <v>405</v>
      </c>
      <c r="U5241" s="17" t="n">
        <v>27</v>
      </c>
      <c r="V5241" s="17">
        <f>ROUNDUP((T5241+U5241+2*'Read Me'!$B$13)*(1+'Read Me'!$B$12),-1)</f>
        <v/>
      </c>
      <c r="W5241" s="17">
        <f>V5241*N5241*O5241</f>
        <v/>
      </c>
      <c r="X5241" s="12">
        <f>IF(LEFT(I5241,2)="MV",2*N5241*IF(L5241="1/C",O5241,1),0)</f>
        <v/>
      </c>
      <c r="Y5241" s="12">
        <f>IF(OR(LEFT(K5241,4)="LVAX",LEFT(K5241,6)="MV15AX",LEFT(K5241,4)="CTAX",LEFT(K5241,2)="W|"),2*N5241*O5241,0)</f>
        <v/>
      </c>
      <c r="Z5241" s="12" t="inlineStr">
        <is>
          <t>3 per phase for 125 % (the model shows 2 per phase: update the model)</t>
        </is>
      </c>
      <c r="AA5241" s="12">
        <f>N5241*O5241</f>
        <v/>
      </c>
    </row>
    <row r="5242">
      <c r="A5242" s="12" t="inlineStr">
        <is>
          <t>I-MV-0014</t>
        </is>
      </c>
      <c r="B5242" s="12" t="inlineStr">
        <is>
          <t>I</t>
        </is>
      </c>
      <c r="C5242" s="12" t="inlineStr">
        <is>
          <t>Modular / portable power</t>
        </is>
      </c>
      <c r="D5242" s="12" t="inlineStr">
        <is>
          <t>TM-2 (TM2500) generator leads to PAD-EH</t>
        </is>
      </c>
      <c r="E5242" s="12" t="inlineStr">
        <is>
          <t>TM-2</t>
        </is>
      </c>
      <c r="F5242" s="12" t="inlineStr">
        <is>
          <t>TM-2: trailer-mounted aeroderivative GT (TM2500 class, ~35 MW)</t>
        </is>
      </c>
      <c r="G5242" s="12" t="inlineStr">
        <is>
          <t>PAD-EH</t>
        </is>
      </c>
      <c r="H5242" s="12" t="inlineStr">
        <is>
          <t>PAD-EH 13.8 kV switchgear e-house</t>
        </is>
      </c>
      <c r="I5242" s="12" t="inlineStr">
        <is>
          <t>MV 15 kV</t>
        </is>
      </c>
      <c r="J5242" s="12" t="inlineStr">
        <is>
          <t>MV-105 15 kV 1/C Cu, EPR 133%, Cu tape shield, PVC jacket (triplexed)</t>
        </is>
      </c>
      <c r="K5242" s="12" t="inlineStr">
        <is>
          <t>MV15|1/C|1000</t>
        </is>
      </c>
      <c r="L5242" s="12" t="inlineStr">
        <is>
          <t>1/C</t>
        </is>
      </c>
      <c r="M5242" s="12" t="inlineStr">
        <is>
          <t>1000 kcmil</t>
        </is>
      </c>
      <c r="N5242" s="12" t="n">
        <v>3</v>
      </c>
      <c r="O5242" s="12" t="n">
        <v>3</v>
      </c>
      <c r="P5242" s="12" t="n">
        <v>13800</v>
      </c>
      <c r="Q5242" s="12" t="n">
        <v>35000</v>
      </c>
      <c r="R5242" s="12" t="n">
        <v>1464</v>
      </c>
      <c r="S5242" s="12" t="inlineStr">
        <is>
          <t>Surface</t>
        </is>
      </c>
      <c r="T5242" s="17" t="n">
        <v>411</v>
      </c>
      <c r="U5242" s="17" t="n">
        <v>27</v>
      </c>
      <c r="V5242" s="17">
        <f>ROUNDUP((T5242+U5242+2*'Read Me'!$B$13)*(1+'Read Me'!$B$12),-1)</f>
        <v/>
      </c>
      <c r="W5242" s="17">
        <f>V5242*N5242*O5242</f>
        <v/>
      </c>
      <c r="X5242" s="12">
        <f>IF(LEFT(I5242,2)="MV",2*N5242*IF(L5242="1/C",O5242,1),0)</f>
        <v/>
      </c>
      <c r="Y5242" s="12">
        <f>IF(OR(LEFT(K5242,4)="LVAX",LEFT(K5242,6)="MV15AX",LEFT(K5242,4)="CTAX",LEFT(K5242,2)="W|"),2*N5242*O5242,0)</f>
        <v/>
      </c>
      <c r="Z5242" s="12" t="inlineStr">
        <is>
          <t>3 per phase for 125 % (the model shows 2 per phase: update the model)</t>
        </is>
      </c>
      <c r="AA5242" s="12">
        <f>N5242*O5242</f>
        <v/>
      </c>
    </row>
    <row r="5243">
      <c r="A5243" s="12" t="inlineStr">
        <is>
          <t>I-MV-0015</t>
        </is>
      </c>
      <c r="B5243" s="12" t="inlineStr">
        <is>
          <t>I</t>
        </is>
      </c>
      <c r="C5243" s="12" t="inlineStr">
        <is>
          <t>Modular / portable power</t>
        </is>
      </c>
      <c r="D5243" s="12" t="inlineStr">
        <is>
          <t>RICE-1 generator leads to the PCM</t>
        </is>
      </c>
      <c r="E5243" s="12" t="inlineStr">
        <is>
          <t>RICE-1</t>
        </is>
      </c>
      <c r="F5243" s="12" t="inlineStr">
        <is>
          <t>RICE engine-generator 1</t>
        </is>
      </c>
      <c r="G5243" s="12" t="inlineStr"/>
      <c r="H5243" s="12" t="inlineStr">
        <is>
          <t>PCM: power control module</t>
        </is>
      </c>
      <c r="I5243" s="12" t="inlineStr">
        <is>
          <t>MV 15 kV</t>
        </is>
      </c>
      <c r="J5243" s="12" t="inlineStr">
        <is>
          <t>MV-105 15 kV 1/C Cu, EPR 133%, Cu tape shield, PVC jacket (triplexed)</t>
        </is>
      </c>
      <c r="K5243" s="12" t="inlineStr">
        <is>
          <t>MV15|1/C|750</t>
        </is>
      </c>
      <c r="L5243" s="12" t="inlineStr">
        <is>
          <t>1/C</t>
        </is>
      </c>
      <c r="M5243" s="12" t="inlineStr">
        <is>
          <t>750 kcmil</t>
        </is>
      </c>
      <c r="N5243" s="12" t="n">
        <v>2</v>
      </c>
      <c r="O5243" s="12" t="n">
        <v>3</v>
      </c>
      <c r="P5243" s="12" t="n">
        <v>13800</v>
      </c>
      <c r="Q5243" s="12" t="n">
        <v>18400</v>
      </c>
      <c r="R5243" s="12" t="n">
        <v>770</v>
      </c>
      <c r="S5243" s="12" t="inlineStr">
        <is>
          <t>Duct bank</t>
        </is>
      </c>
      <c r="T5243" s="17" t="n">
        <v>576</v>
      </c>
      <c r="U5243" s="17" t="n">
        <v>111</v>
      </c>
      <c r="V5243" s="17">
        <f>ROUNDUP((T5243+U5243+2*'Read Me'!$B$13)*(1+'Read Me'!$B$12),-1)</f>
        <v/>
      </c>
      <c r="W5243" s="17">
        <f>V5243*N5243*O5243</f>
        <v/>
      </c>
      <c r="X5243" s="12">
        <f>IF(LEFT(I5243,2)="MV",2*N5243*IF(L5243="1/C",O5243,1),0)</f>
        <v/>
      </c>
      <c r="Y5243" s="12">
        <f>IF(OR(LEFT(K5243,4)="LVAX",LEFT(K5243,6)="MV15AX",LEFT(K5243,4)="CTAX",LEFT(K5243,2)="W|"),2*N5243*O5243,0)</f>
        <v/>
      </c>
      <c r="Z5243" s="12" t="inlineStr">
        <is>
          <t>18V50 class ~18 MW (typ.)</t>
        </is>
      </c>
      <c r="AA5243" s="12">
        <f>N5243*O5243</f>
        <v/>
      </c>
    </row>
    <row r="5244">
      <c r="A5244" s="12" t="inlineStr">
        <is>
          <t>I-MV-0016</t>
        </is>
      </c>
      <c r="B5244" s="12" t="inlineStr">
        <is>
          <t>I</t>
        </is>
      </c>
      <c r="C5244" s="12" t="inlineStr">
        <is>
          <t>Modular / portable power</t>
        </is>
      </c>
      <c r="D5244" s="12" t="inlineStr">
        <is>
          <t>RICE-2 generator leads to the PCM</t>
        </is>
      </c>
      <c r="E5244" s="12" t="inlineStr">
        <is>
          <t>RICE-2</t>
        </is>
      </c>
      <c r="F5244" s="12" t="inlineStr">
        <is>
          <t>RICE engine-generator 2</t>
        </is>
      </c>
      <c r="G5244" s="12" t="inlineStr"/>
      <c r="H5244" s="12" t="inlineStr">
        <is>
          <t>PCM: power control module</t>
        </is>
      </c>
      <c r="I5244" s="12" t="inlineStr">
        <is>
          <t>MV 15 kV</t>
        </is>
      </c>
      <c r="J5244" s="12" t="inlineStr">
        <is>
          <t>MV-105 15 kV 1/C Cu, EPR 133%, Cu tape shield, PVC jacket (triplexed)</t>
        </is>
      </c>
      <c r="K5244" s="12" t="inlineStr">
        <is>
          <t>MV15|1/C|750</t>
        </is>
      </c>
      <c r="L5244" s="12" t="inlineStr">
        <is>
          <t>1/C</t>
        </is>
      </c>
      <c r="M5244" s="12" t="inlineStr">
        <is>
          <t>750 kcmil</t>
        </is>
      </c>
      <c r="N5244" s="12" t="n">
        <v>2</v>
      </c>
      <c r="O5244" s="12" t="n">
        <v>3</v>
      </c>
      <c r="P5244" s="12" t="n">
        <v>13800</v>
      </c>
      <c r="Q5244" s="12" t="n">
        <v>18400</v>
      </c>
      <c r="R5244" s="12" t="n">
        <v>770</v>
      </c>
      <c r="S5244" s="12" t="inlineStr">
        <is>
          <t>Duct bank</t>
        </is>
      </c>
      <c r="T5244" s="17" t="n">
        <v>550</v>
      </c>
      <c r="U5244" s="17" t="n">
        <v>109</v>
      </c>
      <c r="V5244" s="17">
        <f>ROUNDUP((T5244+U5244+2*'Read Me'!$B$13)*(1+'Read Me'!$B$12),-1)</f>
        <v/>
      </c>
      <c r="W5244" s="17">
        <f>V5244*N5244*O5244</f>
        <v/>
      </c>
      <c r="X5244" s="12">
        <f>IF(LEFT(I5244,2)="MV",2*N5244*IF(L5244="1/C",O5244,1),0)</f>
        <v/>
      </c>
      <c r="Y5244" s="12">
        <f>IF(OR(LEFT(K5244,4)="LVAX",LEFT(K5244,6)="MV15AX",LEFT(K5244,4)="CTAX",LEFT(K5244,2)="W|"),2*N5244*O5244,0)</f>
        <v/>
      </c>
      <c r="Z5244" s="12" t="inlineStr">
        <is>
          <t>18V50 class ~18 MW (typ.)</t>
        </is>
      </c>
      <c r="AA5244" s="12">
        <f>N5244*O5244</f>
        <v/>
      </c>
    </row>
    <row r="5245">
      <c r="A5245" s="12" t="inlineStr">
        <is>
          <t>I-MV-0017</t>
        </is>
      </c>
      <c r="B5245" s="12" t="inlineStr">
        <is>
          <t>I</t>
        </is>
      </c>
      <c r="C5245" s="12" t="inlineStr">
        <is>
          <t>Modular / portable power</t>
        </is>
      </c>
      <c r="D5245" s="12" t="inlineStr">
        <is>
          <t>RICE-3 generator leads to the PCM</t>
        </is>
      </c>
      <c r="E5245" s="12" t="inlineStr">
        <is>
          <t>RICE-3</t>
        </is>
      </c>
      <c r="F5245" s="12" t="inlineStr">
        <is>
          <t>RICE engine-generator 3</t>
        </is>
      </c>
      <c r="G5245" s="12" t="inlineStr"/>
      <c r="H5245" s="12" t="inlineStr">
        <is>
          <t>PCM: power control module</t>
        </is>
      </c>
      <c r="I5245" s="12" t="inlineStr">
        <is>
          <t>MV 15 kV</t>
        </is>
      </c>
      <c r="J5245" s="12" t="inlineStr">
        <is>
          <t>MV-105 15 kV 1/C Cu, EPR 133%, Cu tape shield, PVC jacket (triplexed)</t>
        </is>
      </c>
      <c r="K5245" s="12" t="inlineStr">
        <is>
          <t>MV15|1/C|750</t>
        </is>
      </c>
      <c r="L5245" s="12" t="inlineStr">
        <is>
          <t>1/C</t>
        </is>
      </c>
      <c r="M5245" s="12" t="inlineStr">
        <is>
          <t>750 kcmil</t>
        </is>
      </c>
      <c r="N5245" s="12" t="n">
        <v>2</v>
      </c>
      <c r="O5245" s="12" t="n">
        <v>3</v>
      </c>
      <c r="P5245" s="12" t="n">
        <v>13800</v>
      </c>
      <c r="Q5245" s="12" t="n">
        <v>18400</v>
      </c>
      <c r="R5245" s="12" t="n">
        <v>770</v>
      </c>
      <c r="S5245" s="12" t="inlineStr">
        <is>
          <t>Duct bank</t>
        </is>
      </c>
      <c r="T5245" s="17" t="n">
        <v>550</v>
      </c>
      <c r="U5245" s="17" t="n">
        <v>81</v>
      </c>
      <c r="V5245" s="17">
        <f>ROUNDUP((T5245+U5245+2*'Read Me'!$B$13)*(1+'Read Me'!$B$12),-1)</f>
        <v/>
      </c>
      <c r="W5245" s="17">
        <f>V5245*N5245*O5245</f>
        <v/>
      </c>
      <c r="X5245" s="12">
        <f>IF(LEFT(I5245,2)="MV",2*N5245*IF(L5245="1/C",O5245,1),0)</f>
        <v/>
      </c>
      <c r="Y5245" s="12">
        <f>IF(OR(LEFT(K5245,4)="LVAX",LEFT(K5245,6)="MV15AX",LEFT(K5245,4)="CTAX",LEFT(K5245,2)="W|"),2*N5245*O5245,0)</f>
        <v/>
      </c>
      <c r="Z5245" s="12" t="inlineStr">
        <is>
          <t>18V50 class ~18 MW (typ.)</t>
        </is>
      </c>
      <c r="AA5245" s="12">
        <f>N5245*O5245</f>
        <v/>
      </c>
    </row>
    <row r="5246">
      <c r="A5246" s="12" t="inlineStr">
        <is>
          <t>I-MV-0018</t>
        </is>
      </c>
      <c r="B5246" s="12" t="inlineStr">
        <is>
          <t>I</t>
        </is>
      </c>
      <c r="C5246" s="12" t="inlineStr">
        <is>
          <t>Modular / portable power</t>
        </is>
      </c>
      <c r="D5246" s="12" t="inlineStr">
        <is>
          <t>RICE-4 generator leads to the PCM</t>
        </is>
      </c>
      <c r="E5246" s="12" t="inlineStr">
        <is>
          <t>RICE-4</t>
        </is>
      </c>
      <c r="F5246" s="12" t="inlineStr">
        <is>
          <t>RICE engine-generator 4</t>
        </is>
      </c>
      <c r="G5246" s="12" t="inlineStr"/>
      <c r="H5246" s="12" t="inlineStr">
        <is>
          <t>PCM: power control module</t>
        </is>
      </c>
      <c r="I5246" s="12" t="inlineStr">
        <is>
          <t>MV 15 kV</t>
        </is>
      </c>
      <c r="J5246" s="12" t="inlineStr">
        <is>
          <t>MV-105 15 kV 1/C Cu, EPR 133%, Cu tape shield, PVC jacket (triplexed)</t>
        </is>
      </c>
      <c r="K5246" s="12" t="inlineStr">
        <is>
          <t>MV15|1/C|750</t>
        </is>
      </c>
      <c r="L5246" s="12" t="inlineStr">
        <is>
          <t>1/C</t>
        </is>
      </c>
      <c r="M5246" s="12" t="inlineStr">
        <is>
          <t>750 kcmil</t>
        </is>
      </c>
      <c r="N5246" s="12" t="n">
        <v>2</v>
      </c>
      <c r="O5246" s="12" t="n">
        <v>3</v>
      </c>
      <c r="P5246" s="12" t="n">
        <v>13800</v>
      </c>
      <c r="Q5246" s="12" t="n">
        <v>18400</v>
      </c>
      <c r="R5246" s="12" t="n">
        <v>770</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18V50 class ~18 MW (typ.)</t>
        </is>
      </c>
      <c r="AA5246" s="12">
        <f>N5246*O5246</f>
        <v/>
      </c>
    </row>
    <row r="5247">
      <c r="A5247" s="12" t="inlineStr">
        <is>
          <t>I-MV-0019</t>
        </is>
      </c>
      <c r="B5247" s="12" t="inlineStr">
        <is>
          <t>I</t>
        </is>
      </c>
      <c r="C5247" s="12" t="inlineStr">
        <is>
          <t>Modular / portable power</t>
        </is>
      </c>
      <c r="D5247" s="12" t="inlineStr">
        <is>
          <t>RICE-5 generator leads to the PCM</t>
        </is>
      </c>
      <c r="E5247" s="12" t="inlineStr">
        <is>
          <t>RICE-5</t>
        </is>
      </c>
      <c r="F5247" s="12" t="inlineStr">
        <is>
          <t>RICE engine-generator 5</t>
        </is>
      </c>
      <c r="G5247" s="12" t="inlineStr"/>
      <c r="H5247" s="12" t="inlineStr">
        <is>
          <t>PCM: power control module</t>
        </is>
      </c>
      <c r="I5247" s="12" t="inlineStr">
        <is>
          <t>MV 15 kV</t>
        </is>
      </c>
      <c r="J5247" s="12" t="inlineStr">
        <is>
          <t>MV-105 15 kV 1/C Cu, EPR 133%, Cu tape shield, PVC jacket (triplexed)</t>
        </is>
      </c>
      <c r="K5247" s="12" t="inlineStr">
        <is>
          <t>MV15|1/C|750</t>
        </is>
      </c>
      <c r="L5247" s="12" t="inlineStr">
        <is>
          <t>1/C</t>
        </is>
      </c>
      <c r="M5247" s="12" t="inlineStr">
        <is>
          <t>750 kcmil</t>
        </is>
      </c>
      <c r="N5247" s="12" t="n">
        <v>2</v>
      </c>
      <c r="O5247" s="12" t="n">
        <v>3</v>
      </c>
      <c r="P5247" s="12" t="n">
        <v>13800</v>
      </c>
      <c r="Q5247" s="12" t="n">
        <v>18400</v>
      </c>
      <c r="R5247" s="12" t="n">
        <v>770</v>
      </c>
      <c r="S5247" s="12" t="inlineStr">
        <is>
          <t>Duct bank</t>
        </is>
      </c>
      <c r="T5247" s="17" t="n">
        <v>525</v>
      </c>
      <c r="U5247" s="17" t="n">
        <v>50</v>
      </c>
      <c r="V5247" s="17">
        <f>ROUNDUP((T5247+U5247+2*'Read Me'!$B$13)*(1+'Read Me'!$B$12),-1)</f>
        <v/>
      </c>
      <c r="W5247" s="17">
        <f>V5247*N5247*O5247</f>
        <v/>
      </c>
      <c r="X5247" s="12">
        <f>IF(LEFT(I5247,2)="MV",2*N5247*IF(L5247="1/C",O5247,1),0)</f>
        <v/>
      </c>
      <c r="Y5247" s="12">
        <f>IF(OR(LEFT(K5247,4)="LVAX",LEFT(K5247,6)="MV15AX",LEFT(K5247,4)="CTAX",LEFT(K5247,2)="W|"),2*N5247*O5247,0)</f>
        <v/>
      </c>
      <c r="Z5247" s="12" t="inlineStr">
        <is>
          <t>18V50 class ~18 MW (typ.)</t>
        </is>
      </c>
      <c r="AA5247" s="12">
        <f>N5247*O5247</f>
        <v/>
      </c>
    </row>
    <row r="5248">
      <c r="A5248" s="12" t="inlineStr">
        <is>
          <t>I-MV-0020</t>
        </is>
      </c>
      <c r="B5248" s="12" t="inlineStr">
        <is>
          <t>I</t>
        </is>
      </c>
      <c r="C5248" s="12" t="inlineStr">
        <is>
          <t>Modular / portable power</t>
        </is>
      </c>
      <c r="D5248" s="12" t="inlineStr">
        <is>
          <t>RICE-6 generator leads to the PCM</t>
        </is>
      </c>
      <c r="E5248" s="12" t="inlineStr">
        <is>
          <t>RICE-6</t>
        </is>
      </c>
      <c r="F5248" s="12" t="inlineStr">
        <is>
          <t>RICE engine-generator 6</t>
        </is>
      </c>
      <c r="G5248" s="12" t="inlineStr"/>
      <c r="H5248" s="12" t="inlineStr">
        <is>
          <t>PCM: power control module</t>
        </is>
      </c>
      <c r="I5248" s="12" t="inlineStr">
        <is>
          <t>MV 15 kV</t>
        </is>
      </c>
      <c r="J5248" s="12" t="inlineStr">
        <is>
          <t>MV-105 15 kV 1/C Cu, EPR 133%, Cu tape shield, PVC jacket (triplexed)</t>
        </is>
      </c>
      <c r="K5248" s="12" t="inlineStr">
        <is>
          <t>MV15|1/C|750</t>
        </is>
      </c>
      <c r="L5248" s="12" t="inlineStr">
        <is>
          <t>1/C</t>
        </is>
      </c>
      <c r="M5248" s="12" t="inlineStr">
        <is>
          <t>750 kcmil</t>
        </is>
      </c>
      <c r="N5248" s="12" t="n">
        <v>2</v>
      </c>
      <c r="O5248" s="12" t="n">
        <v>3</v>
      </c>
      <c r="P5248" s="12" t="n">
        <v>13800</v>
      </c>
      <c r="Q5248" s="12" t="n">
        <v>18400</v>
      </c>
      <c r="R5248" s="12" t="n">
        <v>770</v>
      </c>
      <c r="S5248" s="12" t="inlineStr">
        <is>
          <t>Duct bank</t>
        </is>
      </c>
      <c r="T5248" s="17" t="n">
        <v>469</v>
      </c>
      <c r="U5248" s="17" t="n">
        <v>78</v>
      </c>
      <c r="V5248" s="17">
        <f>ROUNDUP((T5248+U5248+2*'Read Me'!$B$13)*(1+'Read Me'!$B$12),-1)</f>
        <v/>
      </c>
      <c r="W5248" s="17">
        <f>V5248*N5248*O5248</f>
        <v/>
      </c>
      <c r="X5248" s="12">
        <f>IF(LEFT(I5248,2)="MV",2*N5248*IF(L5248="1/C",O5248,1),0)</f>
        <v/>
      </c>
      <c r="Y5248" s="12">
        <f>IF(OR(LEFT(K5248,4)="LVAX",LEFT(K5248,6)="MV15AX",LEFT(K5248,4)="CTAX",LEFT(K5248,2)="W|"),2*N5248*O5248,0)</f>
        <v/>
      </c>
      <c r="Z5248" s="12" t="inlineStr">
        <is>
          <t>18V50 class ~18 MW (typ.)</t>
        </is>
      </c>
      <c r="AA5248" s="12">
        <f>N5248*O5248</f>
        <v/>
      </c>
    </row>
    <row r="5249">
      <c r="A5249" s="12" t="inlineStr">
        <is>
          <t>I-MV-0021</t>
        </is>
      </c>
      <c r="B5249" s="12" t="inlineStr">
        <is>
          <t>I</t>
        </is>
      </c>
      <c r="C5249" s="12" t="inlineStr">
        <is>
          <t>Modular / portable power</t>
        </is>
      </c>
      <c r="D5249" s="12" t="inlineStr">
        <is>
          <t>RICE-7 generator leads to the PCM</t>
        </is>
      </c>
      <c r="E5249" s="12" t="inlineStr">
        <is>
          <t>RICE-7</t>
        </is>
      </c>
      <c r="F5249" s="12" t="inlineStr">
        <is>
          <t>RICE engine-generator 7</t>
        </is>
      </c>
      <c r="G5249" s="12" t="inlineStr"/>
      <c r="H5249" s="12" t="inlineStr">
        <is>
          <t>PCM: power control module</t>
        </is>
      </c>
      <c r="I5249" s="12" t="inlineStr">
        <is>
          <t>MV 15 kV</t>
        </is>
      </c>
      <c r="J5249" s="12" t="inlineStr">
        <is>
          <t>MV-105 15 kV 1/C Cu, EPR 133%, Cu tape shield, PVC jacket (triplexed)</t>
        </is>
      </c>
      <c r="K5249" s="12" t="inlineStr">
        <is>
          <t>MV15|1/C|750</t>
        </is>
      </c>
      <c r="L5249" s="12" t="inlineStr">
        <is>
          <t>1/C</t>
        </is>
      </c>
      <c r="M5249" s="12" t="inlineStr">
        <is>
          <t>750 kcmil</t>
        </is>
      </c>
      <c r="N5249" s="12" t="n">
        <v>2</v>
      </c>
      <c r="O5249" s="12" t="n">
        <v>3</v>
      </c>
      <c r="P5249" s="12" t="n">
        <v>13800</v>
      </c>
      <c r="Q5249" s="12" t="n">
        <v>18400</v>
      </c>
      <c r="R5249" s="12" t="n">
        <v>770</v>
      </c>
      <c r="S5249" s="12" t="inlineStr">
        <is>
          <t>Tray</t>
        </is>
      </c>
      <c r="T5249" s="17" t="n">
        <v>83</v>
      </c>
      <c r="U5249" s="17" t="n">
        <v>106</v>
      </c>
      <c r="V5249" s="17">
        <f>ROUNDUP((T5249+U5249+2*'Read Me'!$B$13)*(1+'Read Me'!$B$12),-1)</f>
        <v/>
      </c>
      <c r="W5249" s="17">
        <f>V5249*N5249*O5249</f>
        <v/>
      </c>
      <c r="X5249" s="12">
        <f>IF(LEFT(I5249,2)="MV",2*N5249*IF(L5249="1/C",O5249,1),0)</f>
        <v/>
      </c>
      <c r="Y5249" s="12">
        <f>IF(OR(LEFT(K5249,4)="LVAX",LEFT(K5249,6)="MV15AX",LEFT(K5249,4)="CTAX",LEFT(K5249,2)="W|"),2*N5249*O5249,0)</f>
        <v/>
      </c>
      <c r="Z5249" s="12" t="inlineStr">
        <is>
          <t>18V50 class ~18 MW (typ.)</t>
        </is>
      </c>
      <c r="AA5249" s="12">
        <f>N5249*O5249</f>
        <v/>
      </c>
    </row>
    <row r="5250">
      <c r="A5250" s="12" t="inlineStr">
        <is>
          <t>I-MV-0022</t>
        </is>
      </c>
      <c r="B5250" s="12" t="inlineStr">
        <is>
          <t>I</t>
        </is>
      </c>
      <c r="C5250" s="12" t="inlineStr">
        <is>
          <t>Modular / portable power</t>
        </is>
      </c>
      <c r="D5250" s="12" t="inlineStr">
        <is>
          <t>RICE-8 generator leads to the PCM</t>
        </is>
      </c>
      <c r="E5250" s="12" t="inlineStr">
        <is>
          <t>RICE-8</t>
        </is>
      </c>
      <c r="F5250" s="12" t="inlineStr">
        <is>
          <t>RICE engine-generator 8</t>
        </is>
      </c>
      <c r="G5250" s="12" t="inlineStr"/>
      <c r="H5250" s="12" t="inlineStr">
        <is>
          <t>PCM: power control module</t>
        </is>
      </c>
      <c r="I5250" s="12" t="inlineStr">
        <is>
          <t>MV 15 kV</t>
        </is>
      </c>
      <c r="J5250" s="12" t="inlineStr">
        <is>
          <t>MV-105 15 kV 1/C Cu, EPR 133%, Cu tape shield, PVC jacket (triplexed)</t>
        </is>
      </c>
      <c r="K5250" s="12" t="inlineStr">
        <is>
          <t>MV15|1/C|750</t>
        </is>
      </c>
      <c r="L5250" s="12" t="inlineStr">
        <is>
          <t>1/C</t>
        </is>
      </c>
      <c r="M5250" s="12" t="inlineStr">
        <is>
          <t>750 kcmil</t>
        </is>
      </c>
      <c r="N5250" s="12" t="n">
        <v>2</v>
      </c>
      <c r="O5250" s="12" t="n">
        <v>3</v>
      </c>
      <c r="P5250" s="12" t="n">
        <v>13800</v>
      </c>
      <c r="Q5250" s="12" t="n">
        <v>18400</v>
      </c>
      <c r="R5250" s="12" t="n">
        <v>770</v>
      </c>
      <c r="S5250" s="12" t="inlineStr">
        <is>
          <t>Tray</t>
        </is>
      </c>
      <c r="T5250" s="17" t="n">
        <v>37</v>
      </c>
      <c r="U5250" s="17" t="n">
        <v>124</v>
      </c>
      <c r="V5250" s="17">
        <f>ROUNDUP((T5250+U5250+2*'Read Me'!$B$13)*(1+'Read Me'!$B$12),-1)</f>
        <v/>
      </c>
      <c r="W5250" s="17">
        <f>V5250*N5250*O5250</f>
        <v/>
      </c>
      <c r="X5250" s="12">
        <f>IF(LEFT(I5250,2)="MV",2*N5250*IF(L5250="1/C",O5250,1),0)</f>
        <v/>
      </c>
      <c r="Y5250" s="12">
        <f>IF(OR(LEFT(K5250,4)="LVAX",LEFT(K5250,6)="MV15AX",LEFT(K5250,4)="CTAX",LEFT(K5250,2)="W|"),2*N5250*O5250,0)</f>
        <v/>
      </c>
      <c r="Z5250" s="12" t="inlineStr">
        <is>
          <t>18V50 class ~18 MW (typ.)</t>
        </is>
      </c>
      <c r="AA5250" s="12">
        <f>N5250*O5250</f>
        <v/>
      </c>
    </row>
    <row r="5251">
      <c r="A5251" s="12" t="inlineStr">
        <is>
          <t>I-MV-0023</t>
        </is>
      </c>
      <c r="B5251" s="12" t="inlineStr">
        <is>
          <t>I</t>
        </is>
      </c>
      <c r="C5251" s="12" t="inlineStr">
        <is>
          <t>Modular / portable power</t>
        </is>
      </c>
      <c r="D5251" s="12" t="inlineStr">
        <is>
          <t>SC-1 (LM6000 class) generator leads to its PCM / GCB</t>
        </is>
      </c>
      <c r="E5251" s="12" t="inlineStr">
        <is>
          <t>SC-1</t>
        </is>
      </c>
      <c r="F5251" s="12" t="inlineStr">
        <is>
          <t>SC-1: aeroderivative simple-cycle unit (LM6000 class)</t>
        </is>
      </c>
      <c r="G5251" s="12" t="inlineStr"/>
      <c r="H5251" s="12" t="inlineStr">
        <is>
          <t>SC-1 PCM + 15 kV GCB</t>
        </is>
      </c>
      <c r="I5251" s="12" t="inlineStr">
        <is>
          <t>MV 15 kV</t>
        </is>
      </c>
      <c r="J5251" s="12" t="inlineStr">
        <is>
          <t>MV-105 15 kV 1/C Cu, EPR 133%, Cu tape shield, PVC jacket (triplexed)</t>
        </is>
      </c>
      <c r="K5251" s="12" t="inlineStr">
        <is>
          <t>MV15|1/C|750</t>
        </is>
      </c>
      <c r="L5251" s="12" t="inlineStr">
        <is>
          <t>1/C</t>
        </is>
      </c>
      <c r="M5251" s="12" t="inlineStr">
        <is>
          <t>750 kcmil</t>
        </is>
      </c>
      <c r="N5251" s="12" t="n">
        <v>5</v>
      </c>
      <c r="O5251" s="12" t="n">
        <v>3</v>
      </c>
      <c r="P5251" s="12" t="n">
        <v>13800</v>
      </c>
      <c r="Q5251" s="12" t="n">
        <v>50000</v>
      </c>
      <c r="R5251" s="12" t="n">
        <v>2092</v>
      </c>
      <c r="S5251" s="12" t="inlineStr">
        <is>
          <t>Tray</t>
        </is>
      </c>
      <c r="T5251" s="17" t="n">
        <v>12</v>
      </c>
      <c r="U5251" s="17" t="n">
        <v>52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I-MV-0024</t>
        </is>
      </c>
      <c r="B5252" s="12" t="inlineStr">
        <is>
          <t>I</t>
        </is>
      </c>
      <c r="C5252" s="12" t="inlineStr">
        <is>
          <t>Modular / portable power</t>
        </is>
      </c>
      <c r="D5252" s="12" t="inlineStr">
        <is>
          <t>SC-1 generator neutral to the NGR (in the terminal-box enclosure)</t>
        </is>
      </c>
      <c r="E5252" s="12" t="inlineStr">
        <is>
          <t>SC-1</t>
        </is>
      </c>
      <c r="F5252" s="12" t="inlineStr">
        <is>
          <t>SC-1: aeroderivative simple-cycle unit (LM6000 class)</t>
        </is>
      </c>
      <c r="G5252" s="12" t="inlineStr"/>
      <c r="H5252" s="12" t="inlineStr">
        <is>
          <t>SC-1 PCM + 15 kV GCB</t>
        </is>
      </c>
      <c r="I5252" s="12" t="inlineStr">
        <is>
          <t>MV 15 kV</t>
        </is>
      </c>
      <c r="J5252" s="12" t="inlineStr">
        <is>
          <t>MV-105 15 kV 1/C Cu, EPR 133%, Cu tape shield, PVC jacket (triplexed)</t>
        </is>
      </c>
      <c r="K5252" s="12" t="inlineStr">
        <is>
          <t>MV15|1/C|2</t>
        </is>
      </c>
      <c r="L5252" s="12" t="inlineStr">
        <is>
          <t>1/C</t>
        </is>
      </c>
      <c r="M5252" s="12" t="inlineStr">
        <is>
          <t>2</t>
        </is>
      </c>
      <c r="N5252" s="12" t="n">
        <v>1</v>
      </c>
      <c r="O5252" s="12" t="n">
        <v>1</v>
      </c>
      <c r="P5252" s="12" t="n">
        <v>13800</v>
      </c>
      <c r="Q5252" s="12" t="n"/>
      <c r="R5252" s="12" t="n"/>
      <c r="S5252" s="12" t="inlineStr">
        <is>
          <t>Conduit</t>
        </is>
      </c>
      <c r="T5252" s="17" t="n">
        <v>15</v>
      </c>
      <c r="U5252" s="17" t="n">
        <v>10</v>
      </c>
      <c r="V5252" s="17">
        <f>ROUNDUP((T5252+U5252+2*'Read Me'!$B$13)*(1+'Read Me'!$B$12),-1)</f>
        <v/>
      </c>
      <c r="W5252" s="17">
        <f>V5252*N5252*O5252</f>
        <v/>
      </c>
      <c r="X5252" s="12">
        <f>IF(LEFT(I5252,2)="MV",2*N5252*IF(L5252="1/C",O5252,1),0)</f>
        <v/>
      </c>
      <c r="Y5252" s="12">
        <f>IF(OR(LEFT(K5252,4)="LVAX",LEFT(K5252,6)="MV15AX",LEFT(K5252,4)="CTAX",LEFT(K5252,2)="W|"),2*N5252*O5252,0)</f>
        <v/>
      </c>
      <c r="Z5252" s="12" t="inlineStr">
        <is>
          <t>neutral grounding resistor beside the generator enclosure</t>
        </is>
      </c>
      <c r="AA5252" s="12">
        <f>N5252*O5252</f>
        <v/>
      </c>
    </row>
    <row r="5253">
      <c r="A5253" s="12" t="inlineStr">
        <is>
          <t>I-MV-0025</t>
        </is>
      </c>
      <c r="B5253" s="12" t="inlineStr">
        <is>
          <t>I</t>
        </is>
      </c>
      <c r="C5253" s="12" t="inlineStr">
        <is>
          <t>Modular / portable power</t>
        </is>
      </c>
      <c r="D5253" s="12" t="inlineStr">
        <is>
          <t>SC-1 PCM auxiliary transformer primary, 2 MVA 13.8 kV / 480 V (from the GCB bus)</t>
        </is>
      </c>
      <c r="E5253" s="12" t="inlineStr"/>
      <c r="F5253" s="12" t="inlineStr">
        <is>
          <t>SC-1 PCM + 15 kV GCB</t>
        </is>
      </c>
      <c r="G5253" s="12" t="inlineStr"/>
      <c r="H5253" s="12" t="inlineStr">
        <is>
          <t>SC-1 PCM + 15 kV GCB</t>
        </is>
      </c>
      <c r="I5253" s="12" t="inlineStr">
        <is>
          <t>MV 15 kV</t>
        </is>
      </c>
      <c r="J5253" s="12" t="inlineStr">
        <is>
          <t>MV-105 15 kV 1/C Cu, EPR 133%, Cu tape shield, PVC jacket (triplexed)</t>
        </is>
      </c>
      <c r="K5253" s="12" t="inlineStr">
        <is>
          <t>MV15|1/C|2</t>
        </is>
      </c>
      <c r="L5253" s="12" t="inlineStr">
        <is>
          <t>1/C</t>
        </is>
      </c>
      <c r="M5253" s="12" t="inlineStr">
        <is>
          <t>2</t>
        </is>
      </c>
      <c r="N5253" s="12" t="n">
        <v>1</v>
      </c>
      <c r="O5253" s="12" t="n">
        <v>3</v>
      </c>
      <c r="P5253" s="12" t="n">
        <v>13800</v>
      </c>
      <c r="Q5253" s="12" t="n">
        <v>2000</v>
      </c>
      <c r="R5253" s="12" t="n">
        <v>84</v>
      </c>
      <c r="S5253" s="12" t="inlineStr">
        <is>
          <t>Tray</t>
        </is>
      </c>
      <c r="T5253" s="17" t="n">
        <v>0</v>
      </c>
      <c r="U5253" s="17" t="n">
        <v>32</v>
      </c>
      <c r="V5253" s="17">
        <f>ROUNDUP((T5253+U5253+2*'Read Me'!$B$13)*(1+'Read Me'!$B$12),-1)</f>
        <v/>
      </c>
      <c r="W5253" s="17">
        <f>V5253*N5253*O5253</f>
        <v/>
      </c>
      <c r="X5253" s="12">
        <f>IF(LEFT(I5253,2)="MV",2*N5253*IF(L5253="1/C",O5253,1),0)</f>
        <v/>
      </c>
      <c r="Y5253" s="12">
        <f>IF(OR(LEFT(K5253,4)="LVAX",LEFT(K5253,6)="MV15AX",LEFT(K5253,4)="CTAX",LEFT(K5253,2)="W|"),2*N5253*O5253,0)</f>
        <v/>
      </c>
      <c r="Z5253" s="12" t="inlineStr">
        <is>
          <t>internal to the PCM; ~1.0-1.1 MW connected 480 V load + 0.5 MW conditional inlet chiller</t>
        </is>
      </c>
      <c r="AA5253" s="12">
        <f>N5253*O5253</f>
        <v/>
      </c>
    </row>
    <row r="5254">
      <c r="A5254" s="12" t="inlineStr">
        <is>
          <t>I-MV-0026</t>
        </is>
      </c>
      <c r="B5254" s="12" t="inlineStr">
        <is>
          <t>I</t>
        </is>
      </c>
      <c r="C5254" s="12" t="inlineStr">
        <is>
          <t>Modular / portable power</t>
        </is>
      </c>
      <c r="D5254" s="12" t="inlineStr">
        <is>
          <t>SC-2 (LM6000 class) generator leads to its PCM / GCB</t>
        </is>
      </c>
      <c r="E5254" s="12" t="inlineStr">
        <is>
          <t>SC-2</t>
        </is>
      </c>
      <c r="F5254" s="12" t="inlineStr">
        <is>
          <t>SC-2: aeroderivative simple-cycle unit (LM6000 class)</t>
        </is>
      </c>
      <c r="G5254" s="12" t="inlineStr"/>
      <c r="H5254" s="12" t="inlineStr">
        <is>
          <t>SC-2 PCM + 15 kV GCB</t>
        </is>
      </c>
      <c r="I5254" s="12" t="inlineStr">
        <is>
          <t>MV 15 kV</t>
        </is>
      </c>
      <c r="J5254" s="12" t="inlineStr">
        <is>
          <t>MV-105 15 kV 1/C Cu, EPR 133%, Cu tape shield, PVC jacket (triplexed)</t>
        </is>
      </c>
      <c r="K5254" s="12" t="inlineStr">
        <is>
          <t>MV15|1/C|750</t>
        </is>
      </c>
      <c r="L5254" s="12" t="inlineStr">
        <is>
          <t>1/C</t>
        </is>
      </c>
      <c r="M5254" s="12" t="inlineStr">
        <is>
          <t>750 kcmil</t>
        </is>
      </c>
      <c r="N5254" s="12" t="n">
        <v>5</v>
      </c>
      <c r="O5254" s="12" t="n">
        <v>3</v>
      </c>
      <c r="P5254" s="12" t="n">
        <v>13800</v>
      </c>
      <c r="Q5254" s="12" t="n">
        <v>50000</v>
      </c>
      <c r="R5254" s="12" t="n">
        <v>2092</v>
      </c>
      <c r="S5254" s="12" t="inlineStr">
        <is>
          <t>Tray</t>
        </is>
      </c>
      <c r="T5254" s="17" t="n">
        <v>0</v>
      </c>
      <c r="U5254" s="17" t="n">
        <v>57</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I-MV-0027</t>
        </is>
      </c>
      <c r="B5255" s="12" t="inlineStr">
        <is>
          <t>I</t>
        </is>
      </c>
      <c r="C5255" s="12" t="inlineStr">
        <is>
          <t>Modular / portable power</t>
        </is>
      </c>
      <c r="D5255" s="12" t="inlineStr">
        <is>
          <t>SC-2 generator neutral to the NGR (in the terminal-box enclosure)</t>
        </is>
      </c>
      <c r="E5255" s="12" t="inlineStr">
        <is>
          <t>SC-2</t>
        </is>
      </c>
      <c r="F5255" s="12" t="inlineStr">
        <is>
          <t>SC-2: aeroderivative simple-cycle unit (LM6000 class)</t>
        </is>
      </c>
      <c r="G5255" s="12" t="inlineStr"/>
      <c r="H5255" s="12" t="inlineStr">
        <is>
          <t>SC-2 PCM + 15 kV GCB</t>
        </is>
      </c>
      <c r="I5255" s="12" t="inlineStr">
        <is>
          <t>MV 15 kV</t>
        </is>
      </c>
      <c r="J5255" s="12" t="inlineStr">
        <is>
          <t>MV-105 15 kV 1/C Cu, EPR 133%, Cu tape shield, PVC jacket (triplexed)</t>
        </is>
      </c>
      <c r="K5255" s="12" t="inlineStr">
        <is>
          <t>MV15|1/C|2</t>
        </is>
      </c>
      <c r="L5255" s="12" t="inlineStr">
        <is>
          <t>1/C</t>
        </is>
      </c>
      <c r="M5255" s="12" t="inlineStr">
        <is>
          <t>2</t>
        </is>
      </c>
      <c r="N5255" s="12" t="n">
        <v>1</v>
      </c>
      <c r="O5255" s="12" t="n">
        <v>1</v>
      </c>
      <c r="P5255" s="12" t="n">
        <v>13800</v>
      </c>
      <c r="Q5255" s="12" t="n"/>
      <c r="R5255" s="12" t="n"/>
      <c r="S5255" s="12" t="inlineStr">
        <is>
          <t>Conduit</t>
        </is>
      </c>
      <c r="T5255" s="17" t="n">
        <v>15</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neutral grounding resistor beside the generator enclosure</t>
        </is>
      </c>
      <c r="AA5255" s="12">
        <f>N5255*O5255</f>
        <v/>
      </c>
    </row>
    <row r="5256">
      <c r="A5256" s="12" t="inlineStr">
        <is>
          <t>I-MV-0028</t>
        </is>
      </c>
      <c r="B5256" s="12" t="inlineStr">
        <is>
          <t>I</t>
        </is>
      </c>
      <c r="C5256" s="12" t="inlineStr">
        <is>
          <t>Modular / portable power</t>
        </is>
      </c>
      <c r="D5256" s="12" t="inlineStr">
        <is>
          <t>SC-2 PCM auxiliary transformer primary, 2 MVA 13.8 kV / 480 V (from the GCB bus)</t>
        </is>
      </c>
      <c r="E5256" s="12" t="inlineStr"/>
      <c r="F5256" s="12" t="inlineStr">
        <is>
          <t>SC-2 PCM + 15 kV GCB</t>
        </is>
      </c>
      <c r="G5256" s="12" t="inlineStr"/>
      <c r="H5256" s="12" t="inlineStr">
        <is>
          <t>SC-2 PCM + 15 kV GCB</t>
        </is>
      </c>
      <c r="I5256" s="12" t="inlineStr">
        <is>
          <t>MV 15 kV</t>
        </is>
      </c>
      <c r="J5256" s="12" t="inlineStr">
        <is>
          <t>MV-105 15 kV 1/C Cu, EPR 133%, Cu tape shield, PVC jacket (triplexed)</t>
        </is>
      </c>
      <c r="K5256" s="12" t="inlineStr">
        <is>
          <t>MV15|1/C|2</t>
        </is>
      </c>
      <c r="L5256" s="12" t="inlineStr">
        <is>
          <t>1/C</t>
        </is>
      </c>
      <c r="M5256" s="12" t="inlineStr">
        <is>
          <t>2</t>
        </is>
      </c>
      <c r="N5256" s="12" t="n">
        <v>1</v>
      </c>
      <c r="O5256" s="12" t="n">
        <v>3</v>
      </c>
      <c r="P5256" s="12" t="n">
        <v>13800</v>
      </c>
      <c r="Q5256" s="12" t="n">
        <v>2000</v>
      </c>
      <c r="R5256" s="12" t="n">
        <v>84</v>
      </c>
      <c r="S5256" s="12" t="inlineStr">
        <is>
          <t>Tray</t>
        </is>
      </c>
      <c r="T5256" s="17" t="n">
        <v>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is>
          <t>internal to the PCM; ~1.0-1.1 MW connected 480 V load + 0.5 MW conditional inlet chiller</t>
        </is>
      </c>
      <c r="AA5256" s="12">
        <f>N5256*O5256</f>
        <v/>
      </c>
    </row>
    <row r="5257">
      <c r="A5257" s="12" t="inlineStr">
        <is>
          <t>I-PP-0001</t>
        </is>
      </c>
      <c r="B5257" s="12" t="inlineStr">
        <is>
          <t>I</t>
        </is>
      </c>
      <c r="C5257" s="12" t="inlineStr">
        <is>
          <t>Modular / portable power</t>
        </is>
      </c>
      <c r="D5257" s="12" t="inlineStr">
        <is>
          <t>GEN-E 480 V to PAD-LV (Type W sets, cam-lock)</t>
        </is>
      </c>
      <c r="E5257" s="12" t="inlineStr">
        <is>
          <t>GEN-E</t>
        </is>
      </c>
      <c r="F5257" s="12" t="inlineStr">
        <is>
          <t>GEN-E: enclosed industrial gas genset 2 MW</t>
        </is>
      </c>
      <c r="G5257" s="12" t="inlineStr">
        <is>
          <t>PAD-LV</t>
        </is>
      </c>
      <c r="H5257" s="12" t="inlineStr">
        <is>
          <t>PAD-LV 480 V paralleling switchboard</t>
        </is>
      </c>
      <c r="I5257" s="12" t="inlineStr">
        <is>
          <t>Portable LV</t>
        </is>
      </c>
      <c r="J5257" s="12" t="inlineStr">
        <is>
          <t>Type W 2 kV 1/C Cu, EPDM / CPE (portable, cam-lock)</t>
        </is>
      </c>
      <c r="K5257" s="12" t="inlineStr">
        <is>
          <t>W|1/C|4/0</t>
        </is>
      </c>
      <c r="L5257" s="12" t="inlineStr">
        <is>
          <t>1/C</t>
        </is>
      </c>
      <c r="M5257" s="12" t="inlineStr">
        <is>
          <t>4/0</t>
        </is>
      </c>
      <c r="N5257" s="12" t="n">
        <v>8</v>
      </c>
      <c r="O5257" s="12" t="n">
        <v>4</v>
      </c>
      <c r="P5257" s="12" t="n">
        <v>480</v>
      </c>
      <c r="Q5257" s="12" t="n">
        <v>2000</v>
      </c>
      <c r="R5257" s="12" t="n">
        <v>2406</v>
      </c>
      <c r="S5257" s="12" t="inlineStr">
        <is>
          <t>Surface</t>
        </is>
      </c>
      <c r="T5257" s="17" t="n">
        <v>143</v>
      </c>
      <c r="U5257" s="17" t="n">
        <v>27</v>
      </c>
      <c r="V5257" s="17">
        <f>ROUNDUP((T5257+U5257+2*'Read Me'!$B$13)*(1+'Read Me'!$B$12),-1)</f>
        <v/>
      </c>
      <c r="W5257" s="17">
        <f>V5257*N5257*O5257</f>
        <v/>
      </c>
      <c r="X5257" s="12">
        <f>IF(LEFT(I5257,2)="MV",2*N5257*IF(L5257="1/C",O5257,1),0)</f>
        <v/>
      </c>
      <c r="Y5257" s="12">
        <f>IF(OR(LEFT(K5257,4)="LVAX",LEFT(K5257,6)="MV15AX",LEFT(K5257,4)="CTAX",LEFT(K5257,2)="W|"),2*N5257*O5257,0)</f>
        <v/>
      </c>
      <c r="Z5257" s="12" t="inlineStr">
        <is>
          <t>4 x 1/C per set incl. ground</t>
        </is>
      </c>
      <c r="AA5257" s="12">
        <f>N5257*O5257</f>
        <v/>
      </c>
    </row>
    <row r="5258">
      <c r="A5258" s="12" t="inlineStr">
        <is>
          <t>I-PP-0002</t>
        </is>
      </c>
      <c r="B5258" s="12" t="inlineStr">
        <is>
          <t>I</t>
        </is>
      </c>
      <c r="C5258" s="12" t="inlineStr">
        <is>
          <t>Modular / portable power</t>
        </is>
      </c>
      <c r="D5258" s="12" t="inlineStr">
        <is>
          <t>GEN-O 480 V to PAD-LV (Type W sets, cam-lock)</t>
        </is>
      </c>
      <c r="E5258" s="12" t="inlineStr">
        <is>
          <t>GEN-O</t>
        </is>
      </c>
      <c r="F5258" s="12" t="inlineStr">
        <is>
          <t>GEN-O: open engine-generator skid</t>
        </is>
      </c>
      <c r="G5258" s="12" t="inlineStr">
        <is>
          <t>PAD-LV</t>
        </is>
      </c>
      <c r="H5258" s="12" t="inlineStr">
        <is>
          <t>PAD-LV 480 V paralleling switchboard</t>
        </is>
      </c>
      <c r="I5258" s="12" t="inlineStr">
        <is>
          <t>Portable LV</t>
        </is>
      </c>
      <c r="J5258" s="12" t="inlineStr">
        <is>
          <t>Type W 2 kV 1/C Cu, EPDM / CPE (portable, cam-lock)</t>
        </is>
      </c>
      <c r="K5258" s="12" t="inlineStr">
        <is>
          <t>W|1/C|4/0</t>
        </is>
      </c>
      <c r="L5258" s="12" t="inlineStr">
        <is>
          <t>1/C</t>
        </is>
      </c>
      <c r="M5258" s="12" t="inlineStr">
        <is>
          <t>4/0</t>
        </is>
      </c>
      <c r="N5258" s="12" t="n">
        <v>4</v>
      </c>
      <c r="O5258" s="12" t="n">
        <v>4</v>
      </c>
      <c r="P5258" s="12" t="n">
        <v>480</v>
      </c>
      <c r="Q5258" s="12" t="n">
        <v>1000</v>
      </c>
      <c r="R5258" s="12" t="n">
        <v>1203</v>
      </c>
      <c r="S5258" s="12" t="inlineStr">
        <is>
          <t>Surface</t>
        </is>
      </c>
      <c r="T5258" s="17" t="n">
        <v>132</v>
      </c>
      <c r="U5258" s="17" t="n">
        <v>27</v>
      </c>
      <c r="V5258" s="17">
        <f>ROUNDUP((T5258+U5258+2*'Read Me'!$B$13)*(1+'Read Me'!$B$12),-1)</f>
        <v/>
      </c>
      <c r="W5258" s="17">
        <f>V5258*N5258*O5258</f>
        <v/>
      </c>
      <c r="X5258" s="12">
        <f>IF(LEFT(I5258,2)="MV",2*N5258*IF(L5258="1/C",O5258,1),0)</f>
        <v/>
      </c>
      <c r="Y5258" s="12">
        <f>IF(OR(LEFT(K5258,4)="LVAX",LEFT(K5258,6)="MV15AX",LEFT(K5258,4)="CTAX",LEFT(K5258,2)="W|"),2*N5258*O5258,0)</f>
        <v/>
      </c>
      <c r="Z5258" s="12" t="inlineStr">
        <is>
          <t>4 x 1/C per set incl. ground</t>
        </is>
      </c>
      <c r="AA5258" s="12">
        <f>N5258*O5258</f>
        <v/>
      </c>
    </row>
    <row r="5259">
      <c r="A5259" s="12" t="inlineStr">
        <is>
          <t>I-PP-0003</t>
        </is>
      </c>
      <c r="B5259" s="12" t="inlineStr">
        <is>
          <t>I</t>
        </is>
      </c>
      <c r="C5259" s="12" t="inlineStr">
        <is>
          <t>Modular / portable power</t>
        </is>
      </c>
      <c r="D5259" s="12" t="inlineStr">
        <is>
          <t>CONT-1 13.8 kV leads to GSP-1</t>
        </is>
      </c>
      <c r="E5259" s="12" t="inlineStr">
        <is>
          <t>CONT-1</t>
        </is>
      </c>
      <c r="F5259" s="12" t="inlineStr">
        <is>
          <t>CONT-1: containerized genset 13.8 kV (40 ft)</t>
        </is>
      </c>
      <c r="G5259" s="12" t="inlineStr">
        <is>
          <t>GSP-1</t>
        </is>
      </c>
      <c r="H5259" s="12" t="inlineStr">
        <is>
          <t>GSP-1: generator breaker / protection</t>
        </is>
      </c>
      <c r="I5259" s="12" t="inlineStr">
        <is>
          <t>Portable MV</t>
        </is>
      </c>
      <c r="J5259" s="12" t="inlineStr">
        <is>
          <t>Type SHD-GC 15 kV 3/C Cu, 2 grounds + GC, yellow CPE (portable)</t>
        </is>
      </c>
      <c r="K5259" s="12" t="inlineStr">
        <is>
          <t>SHD|3/C|2</t>
        </is>
      </c>
      <c r="L5259" s="12" t="inlineStr">
        <is>
          <t>3/C</t>
        </is>
      </c>
      <c r="M5259" s="12" t="inlineStr">
        <is>
          <t>2</t>
        </is>
      </c>
      <c r="N5259" s="12" t="n">
        <v>1</v>
      </c>
      <c r="O5259" s="12" t="n">
        <v>1</v>
      </c>
      <c r="P5259" s="12" t="n">
        <v>13800</v>
      </c>
      <c r="Q5259" s="12" t="n">
        <v>2000</v>
      </c>
      <c r="R5259" s="12" t="n">
        <v>93</v>
      </c>
      <c r="S5259" s="12" t="inlineStr">
        <is>
          <t>Tray</t>
        </is>
      </c>
      <c r="T5259" s="17" t="n">
        <v>0</v>
      </c>
      <c r="U5259" s="17" t="n">
        <v>29</v>
      </c>
      <c r="V5259" s="17">
        <f>ROUNDUP((T5259+U5259+2*'Read Me'!$B$13)*(1+'Read Me'!$B$12),-1)</f>
        <v/>
      </c>
      <c r="W5259" s="17">
        <f>V5259*N5259*O5259</f>
        <v/>
      </c>
      <c r="X5259" s="12">
        <f>IF(LEFT(I5259,2)="MV",2*N5259*IF(L5259="1/C",O5259,1),0)</f>
        <v/>
      </c>
      <c r="Y5259" s="12">
        <f>IF(OR(LEFT(K5259,4)="LVAX",LEFT(K5259,6)="MV15AX",LEFT(K5259,4)="CTAX",LEFT(K5259,2)="W|"),2*N5259*O5259,0)</f>
        <v/>
      </c>
      <c r="Z5259" s="12" t="inlineStr">
        <is>
          <t>portable, on grade</t>
        </is>
      </c>
      <c r="AA5259" s="12">
        <f>N5259*O5259</f>
        <v/>
      </c>
    </row>
    <row r="5260">
      <c r="A5260" s="12" t="inlineStr">
        <is>
          <t>I-PP-0004</t>
        </is>
      </c>
      <c r="B5260" s="12" t="inlineStr">
        <is>
          <t>I</t>
        </is>
      </c>
      <c r="C5260" s="12" t="inlineStr">
        <is>
          <t>Modular / portable power</t>
        </is>
      </c>
      <c r="D5260" s="12" t="inlineStr">
        <is>
          <t>CONT-2 13.8 kV leads to GSP-2</t>
        </is>
      </c>
      <c r="E5260" s="12" t="inlineStr">
        <is>
          <t>CONT-2</t>
        </is>
      </c>
      <c r="F5260" s="12" t="inlineStr">
        <is>
          <t>CONT-2: containerized genset 13.8 kV (40 ft)</t>
        </is>
      </c>
      <c r="G5260" s="12" t="inlineStr">
        <is>
          <t>GSP-2</t>
        </is>
      </c>
      <c r="H5260" s="12" t="inlineStr">
        <is>
          <t>GSP-2: generator breaker / protection</t>
        </is>
      </c>
      <c r="I5260" s="12" t="inlineStr">
        <is>
          <t>Portable MV</t>
        </is>
      </c>
      <c r="J5260" s="12" t="inlineStr">
        <is>
          <t>Type SHD-GC 15 kV 3/C Cu, 2 grounds + GC, yellow CPE (portable)</t>
        </is>
      </c>
      <c r="K5260" s="12" t="inlineStr">
        <is>
          <t>SHD|3/C|2</t>
        </is>
      </c>
      <c r="L5260" s="12" t="inlineStr">
        <is>
          <t>3/C</t>
        </is>
      </c>
      <c r="M5260" s="12" t="inlineStr">
        <is>
          <t>2</t>
        </is>
      </c>
      <c r="N5260" s="12" t="n">
        <v>1</v>
      </c>
      <c r="O5260" s="12" t="n">
        <v>1</v>
      </c>
      <c r="P5260" s="12" t="n">
        <v>13800</v>
      </c>
      <c r="Q5260" s="12" t="n">
        <v>2000</v>
      </c>
      <c r="R5260" s="12" t="n">
        <v>93</v>
      </c>
      <c r="S5260" s="12" t="inlineStr">
        <is>
          <t>Riser</t>
        </is>
      </c>
      <c r="T5260" s="17" t="n">
        <v>2</v>
      </c>
      <c r="U5260" s="17" t="n">
        <v>27</v>
      </c>
      <c r="V5260" s="17">
        <f>ROUNDUP((T5260+U5260+2*'Read Me'!$B$13)*(1+'Read Me'!$B$12),-1)</f>
        <v/>
      </c>
      <c r="W5260" s="17">
        <f>V5260*N5260*O5260</f>
        <v/>
      </c>
      <c r="X5260" s="12">
        <f>IF(LEFT(I5260,2)="MV",2*N5260*IF(L5260="1/C",O5260,1),0)</f>
        <v/>
      </c>
      <c r="Y5260" s="12">
        <f>IF(OR(LEFT(K5260,4)="LVAX",LEFT(K5260,6)="MV15AX",LEFT(K5260,4)="CTAX",LEFT(K5260,2)="W|"),2*N5260*O5260,0)</f>
        <v/>
      </c>
      <c r="Z5260" s="12" t="inlineStr">
        <is>
          <t>portable, on grade</t>
        </is>
      </c>
      <c r="AA5260" s="12">
        <f>N5260*O5260</f>
        <v/>
      </c>
    </row>
    <row r="5261">
      <c r="A5261" s="12" t="inlineStr">
        <is>
          <t>I-PP-0005</t>
        </is>
      </c>
      <c r="B5261" s="12" t="inlineStr">
        <is>
          <t>I</t>
        </is>
      </c>
      <c r="C5261" s="12" t="inlineStr">
        <is>
          <t>Modular / portable power</t>
        </is>
      </c>
      <c r="D5261" s="12" t="inlineStr">
        <is>
          <t>PIC to commissioning load bank</t>
        </is>
      </c>
      <c r="E5261" s="12" t="inlineStr">
        <is>
          <t>PIC</t>
        </is>
      </c>
      <c r="F5261" s="12" t="inlineStr">
        <is>
          <t>PIC: portable input cabinet</t>
        </is>
      </c>
      <c r="G5261" s="12" t="inlineStr">
        <is>
          <t>LB</t>
        </is>
      </c>
      <c r="H5261" s="12" t="inlineStr">
        <is>
          <t>LB: commissioning load bank (trailer)</t>
        </is>
      </c>
      <c r="I5261" s="12" t="inlineStr">
        <is>
          <t>Portable MV</t>
        </is>
      </c>
      <c r="J5261" s="12" t="inlineStr">
        <is>
          <t>Type SHD-GC 15 kV 3/C Cu, 2 grounds + GC, yellow CPE (portable)</t>
        </is>
      </c>
      <c r="K5261" s="12" t="inlineStr">
        <is>
          <t>SHD|3/C|2</t>
        </is>
      </c>
      <c r="L5261" s="12" t="inlineStr">
        <is>
          <t>3/C</t>
        </is>
      </c>
      <c r="M5261" s="12" t="inlineStr">
        <is>
          <t>2</t>
        </is>
      </c>
      <c r="N5261" s="12" t="n">
        <v>1</v>
      </c>
      <c r="O5261" s="12" t="n">
        <v>1</v>
      </c>
      <c r="P5261" s="12" t="n">
        <v>13800</v>
      </c>
      <c r="Q5261" s="12" t="n">
        <v>2000</v>
      </c>
      <c r="R5261" s="12" t="n">
        <v>93</v>
      </c>
      <c r="S5261" s="12" t="inlineStr">
        <is>
          <t>Surface</t>
        </is>
      </c>
      <c r="T5261" s="17" t="n">
        <v>27</v>
      </c>
      <c r="U5261" s="17" t="n">
        <v>39</v>
      </c>
      <c r="V5261" s="17">
        <f>ROUNDUP((T5261+U5261+2*'Read Me'!$B$13)*(1+'Read Me'!$B$12),-1)</f>
        <v/>
      </c>
      <c r="W5261" s="17">
        <f>V5261*N5261*O5261</f>
        <v/>
      </c>
      <c r="X5261" s="12">
        <f>IF(LEFT(I5261,2)="MV",2*N5261*IF(L5261="1/C",O5261,1),0)</f>
        <v/>
      </c>
      <c r="Y5261" s="12">
        <f>IF(OR(LEFT(K5261,4)="LVAX",LEFT(K5261,6)="MV15AX",LEFT(K5261,4)="CTAX",LEFT(K5261,2)="W|"),2*N5261*O5261,0)</f>
        <v/>
      </c>
      <c r="Z5261" s="12" t="inlineStr">
        <is>
          <t>portable</t>
        </is>
      </c>
      <c r="AA5261" s="12">
        <f>N5261*O5261</f>
        <v/>
      </c>
    </row>
    <row r="5262">
      <c r="A5262" s="12" t="inlineStr">
        <is>
          <t>I-PP-0006</t>
        </is>
      </c>
      <c r="B5262" s="12" t="inlineStr">
        <is>
          <t>I</t>
        </is>
      </c>
      <c r="C5262" s="12" t="inlineStr">
        <is>
          <t>Modular / portable power</t>
        </is>
      </c>
      <c r="D5262" s="12" t="inlineStr">
        <is>
          <t>GSP-1 to PAD-EH</t>
        </is>
      </c>
      <c r="E5262" s="12" t="inlineStr">
        <is>
          <t>GSP-1</t>
        </is>
      </c>
      <c r="F5262" s="12" t="inlineStr">
        <is>
          <t>GSP-1: generator breaker / protection</t>
        </is>
      </c>
      <c r="G5262" s="12" t="inlineStr">
        <is>
          <t>PAD-EH</t>
        </is>
      </c>
      <c r="H5262" s="12" t="inlineStr">
        <is>
          <t>PAD-EH 13.8 kV switchgear e-house</t>
        </is>
      </c>
      <c r="I5262" s="12" t="inlineStr">
        <is>
          <t>Portable MV</t>
        </is>
      </c>
      <c r="J5262" s="12" t="inlineStr">
        <is>
          <t>Type SHD-GC 15 kV 3/C Cu, 2 grounds + GC, yellow CPE (portable)</t>
        </is>
      </c>
      <c r="K5262" s="12" t="inlineStr">
        <is>
          <t>SHD|3/C|2</t>
        </is>
      </c>
      <c r="L5262" s="12" t="inlineStr">
        <is>
          <t>3/C</t>
        </is>
      </c>
      <c r="M5262" s="12" t="inlineStr">
        <is>
          <t>2</t>
        </is>
      </c>
      <c r="N5262" s="12" t="n">
        <v>1</v>
      </c>
      <c r="O5262" s="12" t="n">
        <v>1</v>
      </c>
      <c r="P5262" s="12" t="n">
        <v>13800</v>
      </c>
      <c r="Q5262" s="12" t="n">
        <v>2000</v>
      </c>
      <c r="R5262" s="12" t="n">
        <v>93</v>
      </c>
      <c r="S5262" s="12" t="inlineStr">
        <is>
          <t>Surface</t>
        </is>
      </c>
      <c r="T5262" s="17" t="n">
        <v>298</v>
      </c>
      <c r="U5262" s="17" t="n">
        <v>37</v>
      </c>
      <c r="V5262" s="17">
        <f>ROUNDUP((T5262+U5262+2*'Read Me'!$B$13)*(1+'Read Me'!$B$12),-1)</f>
        <v/>
      </c>
      <c r="W5262" s="17">
        <f>V5262*N5262*O5262</f>
        <v/>
      </c>
      <c r="X5262" s="12">
        <f>IF(LEFT(I5262,2)="MV",2*N5262*IF(L5262="1/C",O5262,1),0)</f>
        <v/>
      </c>
      <c r="Y5262" s="12">
        <f>IF(OR(LEFT(K5262,4)="LVAX",LEFT(K5262,6)="MV15AX",LEFT(K5262,4)="CTAX",LEFT(K5262,2)="W|"),2*N5262*O5262,0)</f>
        <v/>
      </c>
      <c r="Z5262" s="12" t="inlineStr">
        <is>
          <t>portable, on grade</t>
        </is>
      </c>
      <c r="AA5262" s="12">
        <f>N5262*O5262</f>
        <v/>
      </c>
    </row>
    <row r="5263">
      <c r="A5263" s="12" t="inlineStr">
        <is>
          <t>I-PP-0007</t>
        </is>
      </c>
      <c r="B5263" s="12" t="inlineStr">
        <is>
          <t>I</t>
        </is>
      </c>
      <c r="C5263" s="12" t="inlineStr">
        <is>
          <t>Modular / portable power</t>
        </is>
      </c>
      <c r="D5263" s="12" t="inlineStr">
        <is>
          <t>GSP-2 to PAD-EH</t>
        </is>
      </c>
      <c r="E5263" s="12" t="inlineStr">
        <is>
          <t>GSP-2</t>
        </is>
      </c>
      <c r="F5263" s="12" t="inlineStr">
        <is>
          <t>GSP-2: generator breaker / protection</t>
        </is>
      </c>
      <c r="G5263" s="12" t="inlineStr">
        <is>
          <t>PAD-EH</t>
        </is>
      </c>
      <c r="H5263" s="12" t="inlineStr">
        <is>
          <t>PAD-EH 13.8 kV switchgear e-house</t>
        </is>
      </c>
      <c r="I5263" s="12" t="inlineStr">
        <is>
          <t>Portable MV</t>
        </is>
      </c>
      <c r="J5263" s="12" t="inlineStr">
        <is>
          <t>Type SHD-GC 15 kV 3/C Cu, 2 grounds + GC, yellow CPE (portable)</t>
        </is>
      </c>
      <c r="K5263" s="12" t="inlineStr">
        <is>
          <t>SHD|3/C|2</t>
        </is>
      </c>
      <c r="L5263" s="12" t="inlineStr">
        <is>
          <t>3/C</t>
        </is>
      </c>
      <c r="M5263" s="12" t="inlineStr">
        <is>
          <t>2</t>
        </is>
      </c>
      <c r="N5263" s="12" t="n">
        <v>1</v>
      </c>
      <c r="O5263" s="12" t="n">
        <v>1</v>
      </c>
      <c r="P5263" s="12" t="n">
        <v>13800</v>
      </c>
      <c r="Q5263" s="12" t="n">
        <v>2000</v>
      </c>
      <c r="R5263" s="12" t="n">
        <v>93</v>
      </c>
      <c r="S5263" s="12" t="inlineStr">
        <is>
          <t>Surface</t>
        </is>
      </c>
      <c r="T5263" s="17" t="n">
        <v>269</v>
      </c>
      <c r="U5263" s="17" t="n">
        <v>37</v>
      </c>
      <c r="V5263" s="17">
        <f>ROUNDUP((T5263+U5263+2*'Read Me'!$B$13)*(1+'Read Me'!$B$12),-1)</f>
        <v/>
      </c>
      <c r="W5263" s="17">
        <f>V5263*N5263*O5263</f>
        <v/>
      </c>
      <c r="X5263" s="12">
        <f>IF(LEFT(I5263,2)="MV",2*N5263*IF(L5263="1/C",O5263,1),0)</f>
        <v/>
      </c>
      <c r="Y5263" s="12">
        <f>IF(OR(LEFT(K5263,4)="LVAX",LEFT(K5263,6)="MV15AX",LEFT(K5263,4)="CTAX",LEFT(K5263,2)="W|"),2*N5263*O5263,0)</f>
        <v/>
      </c>
      <c r="Z5263" s="12" t="inlineStr">
        <is>
          <t>portable, on grade</t>
        </is>
      </c>
      <c r="AA5263" s="12">
        <f>N5263*O5263</f>
        <v/>
      </c>
    </row>
    <row r="5264">
      <c r="A5264" s="12" t="inlineStr">
        <is>
          <t>I-PP-0008</t>
        </is>
      </c>
      <c r="B5264" s="12" t="inlineStr">
        <is>
          <t>I</t>
        </is>
      </c>
      <c r="C5264" s="12" t="inlineStr">
        <is>
          <t>Modular / portable power</t>
        </is>
      </c>
      <c r="D5264" s="12" t="inlineStr">
        <is>
          <t>MOB-1 13.8 kV to PIC through the C-L01 ramp</t>
        </is>
      </c>
      <c r="E5264" s="12" t="inlineStr">
        <is>
          <t>MOB-1</t>
        </is>
      </c>
      <c r="F5264" s="12" t="inlineStr">
        <is>
          <t>MOB-1: trailer genset</t>
        </is>
      </c>
      <c r="G5264" s="12" t="inlineStr">
        <is>
          <t>PIC</t>
        </is>
      </c>
      <c r="H5264" s="12" t="inlineStr">
        <is>
          <t>PIC: portable input cabinet</t>
        </is>
      </c>
      <c r="I5264" s="12" t="inlineStr">
        <is>
          <t>Portable MV</t>
        </is>
      </c>
      <c r="J5264" s="12" t="inlineStr">
        <is>
          <t>Type SHD-GC 15 kV 3/C Cu, 2 grounds + GC, yellow CPE (portable)</t>
        </is>
      </c>
      <c r="K5264" s="12" t="inlineStr">
        <is>
          <t>SHD|3/C|2</t>
        </is>
      </c>
      <c r="L5264" s="12" t="inlineStr">
        <is>
          <t>3/C</t>
        </is>
      </c>
      <c r="M5264" s="12" t="inlineStr">
        <is>
          <t>2</t>
        </is>
      </c>
      <c r="N5264" s="12" t="n">
        <v>1</v>
      </c>
      <c r="O5264" s="12" t="n">
        <v>1</v>
      </c>
      <c r="P5264" s="12" t="n">
        <v>13800</v>
      </c>
      <c r="Q5264" s="12" t="n">
        <v>2000</v>
      </c>
      <c r="R5264" s="12" t="n">
        <v>93</v>
      </c>
      <c r="S5264" s="12" t="inlineStr">
        <is>
          <t>Surface</t>
        </is>
      </c>
      <c r="T5264" s="17" t="n">
        <v>162</v>
      </c>
      <c r="U5264" s="17" t="n">
        <v>27</v>
      </c>
      <c r="V5264" s="17">
        <f>ROUNDUP((T5264+U5264+2*'Read Me'!$B$13)*(1+'Read Me'!$B$12),-1)</f>
        <v/>
      </c>
      <c r="W5264" s="17">
        <f>V5264*N5264*O5264</f>
        <v/>
      </c>
      <c r="X5264" s="12">
        <f>IF(LEFT(I5264,2)="MV",2*N5264*IF(L5264="1/C",O5264,1),0)</f>
        <v/>
      </c>
      <c r="Y5264" s="12">
        <f>IF(OR(LEFT(K5264,4)="LVAX",LEFT(K5264,6)="MV15AX",LEFT(K5264,4)="CTAX",LEFT(K5264,2)="W|"),2*N5264*O5264,0)</f>
        <v/>
      </c>
      <c r="Z5264" s="12" t="inlineStr">
        <is>
          <t>portable</t>
        </is>
      </c>
      <c r="AA5264" s="12">
        <f>N5264*O5264</f>
        <v/>
      </c>
    </row>
    <row r="5265">
      <c r="A5265" s="12" t="inlineStr">
        <is>
          <t>J-C-0001</t>
        </is>
      </c>
      <c r="B5265" s="12" t="inlineStr">
        <is>
          <t>J</t>
        </is>
      </c>
      <c r="C5265" s="12" t="inlineStr">
        <is>
          <t>GT inlet chilling</t>
        </is>
      </c>
      <c r="D5265" s="12" t="inlineStr">
        <is>
          <t>Motor 1 of 4: control / local station</t>
        </is>
      </c>
      <c r="E5265" s="12" t="inlineStr"/>
      <c r="F5265" s="12" t="inlineStr">
        <is>
          <t>Inlet-chilling e-house / transformer</t>
        </is>
      </c>
      <c r="G5265" s="12" t="inlineStr"/>
      <c r="H5265" s="12" t="inlineStr">
        <is>
          <t>CHW pumps</t>
        </is>
      </c>
      <c r="I5265" s="12" t="inlineStr">
        <is>
          <t>Control</t>
        </is>
      </c>
      <c r="J5265" s="12" t="inlineStr">
        <is>
          <t>Control cable 600 V Type TC-ER, Cu #14 AWG, PVC jacket</t>
        </is>
      </c>
      <c r="K5265" s="12" t="inlineStr">
        <is>
          <t>CT|7/C|14</t>
        </is>
      </c>
      <c r="L5265" s="12" t="inlineStr">
        <is>
          <t>7/C</t>
        </is>
      </c>
      <c r="M5265" s="12" t="inlineStr">
        <is>
          <t>14</t>
        </is>
      </c>
      <c r="N5265" s="12" t="n">
        <v>1</v>
      </c>
      <c r="O5265" s="12" t="n">
        <v>1</v>
      </c>
      <c r="P5265" s="12" t="n"/>
      <c r="Q5265" s="12" t="n"/>
      <c r="R5265" s="12" t="n"/>
      <c r="S5265" s="12" t="inlineStr">
        <is>
          <t>Duct bank</t>
        </is>
      </c>
      <c r="T5265" s="17" t="n">
        <v>579</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J-C-0002</t>
        </is>
      </c>
      <c r="B5266" s="12" t="inlineStr">
        <is>
          <t>J</t>
        </is>
      </c>
      <c r="C5266" s="12" t="inlineStr">
        <is>
          <t>GT inlet chilling</t>
        </is>
      </c>
      <c r="D5266" s="12" t="inlineStr">
        <is>
          <t>Motor 2 of 4: control / local station</t>
        </is>
      </c>
      <c r="E5266" s="12" t="inlineStr"/>
      <c r="F5266" s="12" t="inlineStr">
        <is>
          <t>Inlet-chilling e-house / transformer</t>
        </is>
      </c>
      <c r="G5266" s="12" t="inlineStr"/>
      <c r="H5266" s="12" t="inlineStr">
        <is>
          <t>CHW pumps</t>
        </is>
      </c>
      <c r="I5266" s="12" t="inlineStr">
        <is>
          <t>Control</t>
        </is>
      </c>
      <c r="J5266" s="12" t="inlineStr">
        <is>
          <t>Control cable 600 V Type TC-ER, Cu #14 AWG, PVC jacket</t>
        </is>
      </c>
      <c r="K5266" s="12" t="inlineStr">
        <is>
          <t>CT|7/C|14</t>
        </is>
      </c>
      <c r="L5266" s="12" t="inlineStr">
        <is>
          <t>7/C</t>
        </is>
      </c>
      <c r="M5266" s="12" t="inlineStr">
        <is>
          <t>14</t>
        </is>
      </c>
      <c r="N5266" s="12" t="n">
        <v>1</v>
      </c>
      <c r="O5266" s="12" t="n">
        <v>1</v>
      </c>
      <c r="P5266" s="12" t="n"/>
      <c r="Q5266" s="12" t="n"/>
      <c r="R5266" s="12" t="n"/>
      <c r="S5266" s="12" t="inlineStr">
        <is>
          <t>Duct bank</t>
        </is>
      </c>
      <c r="T5266" s="17" t="n">
        <v>579</v>
      </c>
      <c r="U5266" s="17" t="n">
        <v>32</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J-C-0003</t>
        </is>
      </c>
      <c r="B5267" s="12" t="inlineStr">
        <is>
          <t>J</t>
        </is>
      </c>
      <c r="C5267" s="12" t="inlineStr">
        <is>
          <t>GT inlet chilling</t>
        </is>
      </c>
      <c r="D5267" s="12" t="inlineStr">
        <is>
          <t>Motor 3 of 4: control / local station</t>
        </is>
      </c>
      <c r="E5267" s="12" t="inlineStr"/>
      <c r="F5267" s="12" t="inlineStr">
        <is>
          <t>Inlet-chilling e-house / transformer</t>
        </is>
      </c>
      <c r="G5267" s="12" t="inlineStr"/>
      <c r="H5267" s="12" t="inlineStr">
        <is>
          <t>CHW pumps</t>
        </is>
      </c>
      <c r="I5267" s="12" t="inlineStr">
        <is>
          <t>Control</t>
        </is>
      </c>
      <c r="J5267" s="12" t="inlineStr">
        <is>
          <t>Control cable 600 V Type TC-ER, Cu #14 AWG, PVC jacket</t>
        </is>
      </c>
      <c r="K5267" s="12" t="inlineStr">
        <is>
          <t>CT|7/C|14</t>
        </is>
      </c>
      <c r="L5267" s="12" t="inlineStr">
        <is>
          <t>7/C</t>
        </is>
      </c>
      <c r="M5267" s="12" t="inlineStr">
        <is>
          <t>14</t>
        </is>
      </c>
      <c r="N5267" s="12" t="n">
        <v>1</v>
      </c>
      <c r="O5267" s="12" t="n">
        <v>1</v>
      </c>
      <c r="P5267" s="12" t="n"/>
      <c r="Q5267" s="12" t="n"/>
      <c r="R5267" s="12" t="n"/>
      <c r="S5267" s="12" t="inlineStr">
        <is>
          <t>Duct bank</t>
        </is>
      </c>
      <c r="T5267" s="17" t="n">
        <v>579</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J-C-0004</t>
        </is>
      </c>
      <c r="B5268" s="12" t="inlineStr">
        <is>
          <t>J</t>
        </is>
      </c>
      <c r="C5268" s="12" t="inlineStr">
        <is>
          <t>GT inlet chilling</t>
        </is>
      </c>
      <c r="D5268" s="12" t="inlineStr">
        <is>
          <t>Motor 4 of 4: control / local station</t>
        </is>
      </c>
      <c r="E5268" s="12" t="inlineStr"/>
      <c r="F5268" s="12" t="inlineStr">
        <is>
          <t>Inlet-chilling e-house / transformer</t>
        </is>
      </c>
      <c r="G5268" s="12" t="inlineStr"/>
      <c r="H5268" s="12" t="inlineStr">
        <is>
          <t>CHW pumps</t>
        </is>
      </c>
      <c r="I5268" s="12" t="inlineStr">
        <is>
          <t>Control</t>
        </is>
      </c>
      <c r="J5268" s="12" t="inlineStr">
        <is>
          <t>Control cable 600 V Type TC-ER, Cu #14 AWG, PVC jacket</t>
        </is>
      </c>
      <c r="K5268" s="12" t="inlineStr">
        <is>
          <t>CT|7/C|14</t>
        </is>
      </c>
      <c r="L5268" s="12" t="inlineStr">
        <is>
          <t>7/C</t>
        </is>
      </c>
      <c r="M5268" s="12" t="inlineStr">
        <is>
          <t>14</t>
        </is>
      </c>
      <c r="N5268" s="12" t="n">
        <v>1</v>
      </c>
      <c r="O5268" s="12" t="n">
        <v>1</v>
      </c>
      <c r="P5268" s="12" t="n"/>
      <c r="Q5268" s="12" t="n"/>
      <c r="R5268" s="12" t="n"/>
      <c r="S5268" s="12" t="inlineStr">
        <is>
          <t>Duct bank</t>
        </is>
      </c>
      <c r="T5268" s="17" t="n">
        <v>579</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J-C-0005</t>
        </is>
      </c>
      <c r="B5269" s="12" t="inlineStr">
        <is>
          <t>J</t>
        </is>
      </c>
      <c r="C5269" s="12" t="inlineStr">
        <is>
          <t>GT inlet chilling</t>
        </is>
      </c>
      <c r="D5269" s="12" t="inlineStr">
        <is>
          <t>Motor 1 of 6: control / local station</t>
        </is>
      </c>
      <c r="E5269" s="12" t="inlineStr"/>
      <c r="F5269" s="12" t="inlineStr">
        <is>
          <t>Inlet-chilling e-house / transformer</t>
        </is>
      </c>
      <c r="G5269" s="12" t="inlineStr"/>
      <c r="H5269" s="12" t="inlineStr">
        <is>
          <t>Chillers x6 (water-cooled)</t>
        </is>
      </c>
      <c r="I5269" s="12" t="inlineStr">
        <is>
          <t>Control</t>
        </is>
      </c>
      <c r="J5269" s="12" t="inlineStr">
        <is>
          <t>Control cable 600 V Type TC-ER, Cu #14 AWG, PVC jacket</t>
        </is>
      </c>
      <c r="K5269" s="12" t="inlineStr">
        <is>
          <t>CT|7/C|14</t>
        </is>
      </c>
      <c r="L5269" s="12" t="inlineStr">
        <is>
          <t>7/C</t>
        </is>
      </c>
      <c r="M5269" s="12" t="inlineStr">
        <is>
          <t>14</t>
        </is>
      </c>
      <c r="N5269" s="12" t="n">
        <v>1</v>
      </c>
      <c r="O5269" s="12" t="n">
        <v>1</v>
      </c>
      <c r="P5269" s="12" t="n"/>
      <c r="Q5269" s="12" t="n"/>
      <c r="R5269" s="12" t="n"/>
      <c r="S5269" s="12" t="inlineStr">
        <is>
          <t>Duct bank</t>
        </is>
      </c>
      <c r="T5269" s="17" t="n">
        <v>10</v>
      </c>
      <c r="U5269" s="17" t="n">
        <v>32</v>
      </c>
      <c r="V5269" s="17">
        <f>ROUNDUP((T5269+U5269+2*'Read Me'!$B$13)*(1+'Read Me'!$B$12),-1)</f>
        <v/>
      </c>
      <c r="W5269" s="17">
        <f>V5269*N5269*O5269</f>
        <v/>
      </c>
      <c r="X5269" s="12">
        <f>IF(LEFT(I5269,2)="MV",2*N5269*IF(L5269="1/C",O5269,1),0)</f>
        <v/>
      </c>
      <c r="Y5269" s="12">
        <f>IF(OR(LEFT(K5269,4)="LVAX",LEFT(K5269,6)="MV15AX",LEFT(K5269,4)="CTAX",LEFT(K5269,2)="W|"),2*N5269*O5269,0)</f>
        <v/>
      </c>
      <c r="Z5269" s="12" t="inlineStr"/>
      <c r="AA5269" s="12">
        <f>N5269*O5269</f>
        <v/>
      </c>
    </row>
    <row r="5270">
      <c r="A5270" s="12" t="inlineStr">
        <is>
          <t>J-C-0006</t>
        </is>
      </c>
      <c r="B5270" s="12" t="inlineStr">
        <is>
          <t>J</t>
        </is>
      </c>
      <c r="C5270" s="12" t="inlineStr">
        <is>
          <t>GT inlet chilling</t>
        </is>
      </c>
      <c r="D5270" s="12" t="inlineStr">
        <is>
          <t>Motor 2 of 6: control / local station</t>
        </is>
      </c>
      <c r="E5270" s="12" t="inlineStr"/>
      <c r="F5270" s="12" t="inlineStr">
        <is>
          <t>Inlet-chilling e-house / transformer</t>
        </is>
      </c>
      <c r="G5270" s="12" t="inlineStr"/>
      <c r="H5270" s="12" t="inlineStr">
        <is>
          <t>Chillers x6 (water-cooled)</t>
        </is>
      </c>
      <c r="I5270" s="12" t="inlineStr">
        <is>
          <t>Control</t>
        </is>
      </c>
      <c r="J5270" s="12" t="inlineStr">
        <is>
          <t>Control cable 600 V Type TC-ER, Cu #14 AWG, PVC jacket</t>
        </is>
      </c>
      <c r="K5270" s="12" t="inlineStr">
        <is>
          <t>CT|7/C|14</t>
        </is>
      </c>
      <c r="L5270" s="12" t="inlineStr">
        <is>
          <t>7/C</t>
        </is>
      </c>
      <c r="M5270" s="12" t="inlineStr">
        <is>
          <t>14</t>
        </is>
      </c>
      <c r="N5270" s="12" t="n">
        <v>1</v>
      </c>
      <c r="O5270" s="12" t="n">
        <v>1</v>
      </c>
      <c r="P5270" s="12" t="n"/>
      <c r="Q5270" s="12" t="n"/>
      <c r="R5270" s="12" t="n"/>
      <c r="S5270" s="12" t="inlineStr">
        <is>
          <t>Duct bank</t>
        </is>
      </c>
      <c r="T5270" s="17" t="n">
        <v>10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J-C-0007</t>
        </is>
      </c>
      <c r="B5271" s="12" t="inlineStr">
        <is>
          <t>J</t>
        </is>
      </c>
      <c r="C5271" s="12" t="inlineStr">
        <is>
          <t>GT inlet chilling</t>
        </is>
      </c>
      <c r="D5271" s="12" t="inlineStr">
        <is>
          <t>Motor 3 of 6: control / local station</t>
        </is>
      </c>
      <c r="E5271" s="12" t="inlineStr"/>
      <c r="F5271" s="12" t="inlineStr">
        <is>
          <t>Inlet-chilling e-house / transformer</t>
        </is>
      </c>
      <c r="G5271" s="12" t="inlineStr"/>
      <c r="H5271" s="12" t="inlineStr">
        <is>
          <t>Chillers x6 (water-cooled)</t>
        </is>
      </c>
      <c r="I5271" s="12" t="inlineStr">
        <is>
          <t>Control</t>
        </is>
      </c>
      <c r="J5271" s="12" t="inlineStr">
        <is>
          <t>Control cable 600 V Type TC-ER, Cu #14 AWG, PVC jacket</t>
        </is>
      </c>
      <c r="K5271" s="12" t="inlineStr">
        <is>
          <t>CT|7/C|14</t>
        </is>
      </c>
      <c r="L5271" s="12" t="inlineStr">
        <is>
          <t>7/C</t>
        </is>
      </c>
      <c r="M5271" s="12" t="inlineStr">
        <is>
          <t>14</t>
        </is>
      </c>
      <c r="N5271" s="12" t="n">
        <v>1</v>
      </c>
      <c r="O5271" s="12" t="n">
        <v>1</v>
      </c>
      <c r="P5271" s="12" t="n"/>
      <c r="Q5271" s="12" t="n"/>
      <c r="R5271" s="12" t="n"/>
      <c r="S5271" s="12" t="inlineStr">
        <is>
          <t>Duct bank</t>
        </is>
      </c>
      <c r="T5271" s="17" t="n">
        <v>10</v>
      </c>
      <c r="U5271" s="17" t="n">
        <v>32</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J-C-0008</t>
        </is>
      </c>
      <c r="B5272" s="12" t="inlineStr">
        <is>
          <t>J</t>
        </is>
      </c>
      <c r="C5272" s="12" t="inlineStr">
        <is>
          <t>GT inlet chilling</t>
        </is>
      </c>
      <c r="D5272" s="12" t="inlineStr">
        <is>
          <t>Motor 4 of 6: control / local station</t>
        </is>
      </c>
      <c r="E5272" s="12" t="inlineStr"/>
      <c r="F5272" s="12" t="inlineStr">
        <is>
          <t>Inlet-chilling e-house / transformer</t>
        </is>
      </c>
      <c r="G5272" s="12" t="inlineStr"/>
      <c r="H5272" s="12" t="inlineStr">
        <is>
          <t>Chillers x6 (water-cooled)</t>
        </is>
      </c>
      <c r="I5272" s="12" t="inlineStr">
        <is>
          <t>Control</t>
        </is>
      </c>
      <c r="J5272" s="12" t="inlineStr">
        <is>
          <t>Control cable 600 V Type TC-ER, Cu #14 AWG, PVC jacket</t>
        </is>
      </c>
      <c r="K5272" s="12" t="inlineStr">
        <is>
          <t>CT|7/C|14</t>
        </is>
      </c>
      <c r="L5272" s="12" t="inlineStr">
        <is>
          <t>7/C</t>
        </is>
      </c>
      <c r="M5272" s="12" t="inlineStr">
        <is>
          <t>14</t>
        </is>
      </c>
      <c r="N5272" s="12" t="n">
        <v>1</v>
      </c>
      <c r="O5272" s="12" t="n">
        <v>1</v>
      </c>
      <c r="P5272" s="12" t="n"/>
      <c r="Q5272" s="12" t="n"/>
      <c r="R5272" s="12" t="n"/>
      <c r="S5272" s="12" t="inlineStr">
        <is>
          <t>Duct bank</t>
        </is>
      </c>
      <c r="T5272" s="17" t="n">
        <v>10</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J-C-0009</t>
        </is>
      </c>
      <c r="B5273" s="12" t="inlineStr">
        <is>
          <t>J</t>
        </is>
      </c>
      <c r="C5273" s="12" t="inlineStr">
        <is>
          <t>GT inlet chilling</t>
        </is>
      </c>
      <c r="D5273" s="12" t="inlineStr">
        <is>
          <t>Motor 5 of 6: control / local station</t>
        </is>
      </c>
      <c r="E5273" s="12" t="inlineStr"/>
      <c r="F5273" s="12" t="inlineStr">
        <is>
          <t>Inlet-chilling e-house / transformer</t>
        </is>
      </c>
      <c r="G5273" s="12" t="inlineStr"/>
      <c r="H5273" s="12" t="inlineStr">
        <is>
          <t>Chillers x6 (water-cooled)</t>
        </is>
      </c>
      <c r="I5273" s="12" t="inlineStr">
        <is>
          <t>Control</t>
        </is>
      </c>
      <c r="J5273" s="12" t="inlineStr">
        <is>
          <t>Control cable 600 V Type TC-ER, Cu #14 AWG, PVC jacket</t>
        </is>
      </c>
      <c r="K5273" s="12" t="inlineStr">
        <is>
          <t>CT|7/C|14</t>
        </is>
      </c>
      <c r="L5273" s="12" t="inlineStr">
        <is>
          <t>7/C</t>
        </is>
      </c>
      <c r="M5273" s="12" t="inlineStr">
        <is>
          <t>14</t>
        </is>
      </c>
      <c r="N5273" s="12" t="n">
        <v>1</v>
      </c>
      <c r="O5273" s="12" t="n">
        <v>1</v>
      </c>
      <c r="P5273" s="12" t="n"/>
      <c r="Q5273" s="12" t="n"/>
      <c r="R5273" s="12" t="n"/>
      <c r="S5273" s="12" t="inlineStr">
        <is>
          <t>Duct bank</t>
        </is>
      </c>
      <c r="T5273" s="17" t="n">
        <v>10</v>
      </c>
      <c r="U5273" s="17" t="n">
        <v>32</v>
      </c>
      <c r="V5273" s="17">
        <f>ROUNDUP((T5273+U5273+2*'Read Me'!$B$13)*(1+'Read Me'!$B$12),-1)</f>
        <v/>
      </c>
      <c r="W5273" s="17">
        <f>V5273*N5273*O5273</f>
        <v/>
      </c>
      <c r="X5273" s="12">
        <f>IF(LEFT(I5273,2)="MV",2*N5273*IF(L5273="1/C",O5273,1),0)</f>
        <v/>
      </c>
      <c r="Y5273" s="12">
        <f>IF(OR(LEFT(K5273,4)="LVAX",LEFT(K5273,6)="MV15AX",LEFT(K5273,4)="CTAX",LEFT(K5273,2)="W|"),2*N5273*O5273,0)</f>
        <v/>
      </c>
      <c r="Z5273" s="12" t="inlineStr"/>
      <c r="AA5273" s="12">
        <f>N5273*O5273</f>
        <v/>
      </c>
    </row>
    <row r="5274">
      <c r="A5274" s="12" t="inlineStr">
        <is>
          <t>J-C-0010</t>
        </is>
      </c>
      <c r="B5274" s="12" t="inlineStr">
        <is>
          <t>J</t>
        </is>
      </c>
      <c r="C5274" s="12" t="inlineStr">
        <is>
          <t>GT inlet chilling</t>
        </is>
      </c>
      <c r="D5274" s="12" t="inlineStr">
        <is>
          <t>Motor 6 of 6: control / local station</t>
        </is>
      </c>
      <c r="E5274" s="12" t="inlineStr"/>
      <c r="F5274" s="12" t="inlineStr">
        <is>
          <t>Inlet-chilling e-house / transformer</t>
        </is>
      </c>
      <c r="G5274" s="12" t="inlineStr"/>
      <c r="H5274" s="12" t="inlineStr">
        <is>
          <t>Chillers x6 (water-cooled)</t>
        </is>
      </c>
      <c r="I5274" s="12" t="inlineStr">
        <is>
          <t>Control</t>
        </is>
      </c>
      <c r="J5274" s="12" t="inlineStr">
        <is>
          <t>Control cable 600 V Type TC-ER, Cu #14 AWG, PVC jacket</t>
        </is>
      </c>
      <c r="K5274" s="12" t="inlineStr">
        <is>
          <t>CT|7/C|14</t>
        </is>
      </c>
      <c r="L5274" s="12" t="inlineStr">
        <is>
          <t>7/C</t>
        </is>
      </c>
      <c r="M5274" s="12" t="inlineStr">
        <is>
          <t>14</t>
        </is>
      </c>
      <c r="N5274" s="12" t="n">
        <v>1</v>
      </c>
      <c r="O5274" s="12" t="n">
        <v>1</v>
      </c>
      <c r="P5274" s="12" t="n"/>
      <c r="Q5274" s="12" t="n"/>
      <c r="R5274" s="12" t="n"/>
      <c r="S5274" s="12" t="inlineStr">
        <is>
          <t>Duct bank</t>
        </is>
      </c>
      <c r="T5274" s="17" t="n">
        <v>10</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J-C-0011</t>
        </is>
      </c>
      <c r="B5275" s="12" t="inlineStr">
        <is>
          <t>J</t>
        </is>
      </c>
      <c r="C5275" s="12" t="inlineStr">
        <is>
          <t>GT inlet chilling</t>
        </is>
      </c>
      <c r="D5275" s="12" t="inlineStr">
        <is>
          <t>Control</t>
        </is>
      </c>
      <c r="E5275" s="12" t="inlineStr"/>
      <c r="F5275" s="12" t="inlineStr">
        <is>
          <t>Inlet-chilling e-house / transformer</t>
        </is>
      </c>
      <c r="G5275" s="12" t="inlineStr"/>
      <c r="H5275" s="12" t="inlineStr">
        <is>
          <t>Inlet-chilling e-house / transformer</t>
        </is>
      </c>
      <c r="I5275" s="12" t="inlineStr">
        <is>
          <t>Control</t>
        </is>
      </c>
      <c r="J5275" s="12" t="inlineStr">
        <is>
          <t>Control cable 600 V Type TC-ER, Cu #14 AWG, PVC jacket</t>
        </is>
      </c>
      <c r="K5275" s="12" t="inlineStr">
        <is>
          <t>CT|7/C|14</t>
        </is>
      </c>
      <c r="L5275" s="12" t="inlineStr">
        <is>
          <t>7/C</t>
        </is>
      </c>
      <c r="M5275" s="12" t="inlineStr">
        <is>
          <t>14</t>
        </is>
      </c>
      <c r="N5275" s="12" t="n">
        <v>1</v>
      </c>
      <c r="O5275" s="12" t="n">
        <v>1</v>
      </c>
      <c r="P5275" s="12" t="n"/>
      <c r="Q5275" s="12" t="n"/>
      <c r="R5275" s="12" t="n"/>
      <c r="S5275" s="12" t="inlineStr">
        <is>
          <t>Tray</t>
        </is>
      </c>
      <c r="T5275" s="17" t="n">
        <v>0</v>
      </c>
      <c r="U5275" s="17" t="n">
        <v>32</v>
      </c>
      <c r="V5275" s="17">
        <f>ROUNDUP((T5275+U5275+2*'Read Me'!$B$13)*(1+'Read Me'!$B$12),-1)</f>
        <v/>
      </c>
      <c r="W5275" s="17">
        <f>V5275*N5275*O5275</f>
        <v/>
      </c>
      <c r="X5275" s="12">
        <f>IF(LEFT(I5275,2)="MV",2*N5275*IF(L5275="1/C",O5275,1),0)</f>
        <v/>
      </c>
      <c r="Y5275" s="12">
        <f>IF(OR(LEFT(K5275,4)="LVAX",LEFT(K5275,6)="MV15AX",LEFT(K5275,4)="CTAX",LEFT(K5275,2)="W|"),2*N5275*O5275,0)</f>
        <v/>
      </c>
      <c r="Z5275" s="12" t="inlineStr"/>
      <c r="AA5275" s="12">
        <f>N5275*O5275</f>
        <v/>
      </c>
    </row>
    <row r="5276">
      <c r="A5276" s="12" t="inlineStr">
        <is>
          <t>J-C-0012</t>
        </is>
      </c>
      <c r="B5276" s="12" t="inlineStr">
        <is>
          <t>J</t>
        </is>
      </c>
      <c r="C5276" s="12" t="inlineStr">
        <is>
          <t>GT inlet chilling</t>
        </is>
      </c>
      <c r="D5276" s="12" t="inlineStr">
        <is>
          <t>Control</t>
        </is>
      </c>
      <c r="E5276" s="12" t="inlineStr"/>
      <c r="F5276" s="12" t="inlineStr">
        <is>
          <t>Inlet-chilling e-house / transformer</t>
        </is>
      </c>
      <c r="G5276" s="12" t="inlineStr"/>
      <c r="H5276" s="12" t="inlineStr">
        <is>
          <t>Inlet-chilling e-house / transformer</t>
        </is>
      </c>
      <c r="I5276" s="12" t="inlineStr">
        <is>
          <t>Control</t>
        </is>
      </c>
      <c r="J5276" s="12" t="inlineStr">
        <is>
          <t>Control cable 600 V Type TC-ER, Cu #14 AWG, PVC jacket</t>
        </is>
      </c>
      <c r="K5276" s="12" t="inlineStr">
        <is>
          <t>CT|12/C|14</t>
        </is>
      </c>
      <c r="L5276" s="12" t="inlineStr">
        <is>
          <t>12/C</t>
        </is>
      </c>
      <c r="M5276" s="12" t="inlineStr">
        <is>
          <t>14</t>
        </is>
      </c>
      <c r="N5276" s="12" t="n">
        <v>1</v>
      </c>
      <c r="O5276" s="12" t="n">
        <v>1</v>
      </c>
      <c r="P5276" s="12" t="n"/>
      <c r="Q5276" s="12" t="n"/>
      <c r="R5276" s="12" t="n"/>
      <c r="S5276" s="12" t="inlineStr">
        <is>
          <t>Tray</t>
        </is>
      </c>
      <c r="T5276" s="17" t="n">
        <v>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J-C-0013</t>
        </is>
      </c>
      <c r="B5277" s="12" t="inlineStr">
        <is>
          <t>J</t>
        </is>
      </c>
      <c r="C5277" s="12" t="inlineStr">
        <is>
          <t>GT inlet chilling</t>
        </is>
      </c>
      <c r="D5277" s="12" t="inlineStr">
        <is>
          <t>CT / VT</t>
        </is>
      </c>
      <c r="E5277" s="12" t="inlineStr"/>
      <c r="F5277" s="12" t="inlineStr">
        <is>
          <t>Inlet-chilling e-house / transformer</t>
        </is>
      </c>
      <c r="G5277" s="12" t="inlineStr"/>
      <c r="H5277" s="12" t="inlineStr">
        <is>
          <t>Inlet-chilling e-house / transformer</t>
        </is>
      </c>
      <c r="I5277" s="12" t="inlineStr">
        <is>
          <t>Control</t>
        </is>
      </c>
      <c r="J5277" s="12" t="inlineStr">
        <is>
          <t>Control cable 600 V Type TC-ER, Cu #10 AWG (CT / VT circuits)</t>
        </is>
      </c>
      <c r="K5277" s="12" t="inlineStr">
        <is>
          <t>CTCT|4/C|10</t>
        </is>
      </c>
      <c r="L5277" s="12" t="inlineStr">
        <is>
          <t>4/C</t>
        </is>
      </c>
      <c r="M5277" s="12" t="inlineStr">
        <is>
          <t>10</t>
        </is>
      </c>
      <c r="N5277" s="12" t="n">
        <v>1</v>
      </c>
      <c r="O5277" s="12" t="n">
        <v>1</v>
      </c>
      <c r="P5277" s="12" t="n"/>
      <c r="Q5277" s="12" t="n"/>
      <c r="R5277" s="12" t="n"/>
      <c r="S5277" s="12" t="inlineStr">
        <is>
          <t>Tray</t>
        </is>
      </c>
      <c r="T5277" s="17" t="n">
        <v>0</v>
      </c>
      <c r="U5277" s="17" t="n">
        <v>32</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J-C-0014</t>
        </is>
      </c>
      <c r="B5278" s="12" t="inlineStr">
        <is>
          <t>J</t>
        </is>
      </c>
      <c r="C5278" s="12" t="inlineStr">
        <is>
          <t>GT inlet chilling</t>
        </is>
      </c>
      <c r="D5278" s="12" t="inlineStr">
        <is>
          <t>CT / VT</t>
        </is>
      </c>
      <c r="E5278" s="12" t="inlineStr"/>
      <c r="F5278" s="12" t="inlineStr">
        <is>
          <t>Inlet-chilling e-house / transformer</t>
        </is>
      </c>
      <c r="G5278" s="12" t="inlineStr"/>
      <c r="H5278" s="12" t="inlineStr">
        <is>
          <t>Inlet-chilling e-house / transformer</t>
        </is>
      </c>
      <c r="I5278" s="12" t="inlineStr">
        <is>
          <t>Control</t>
        </is>
      </c>
      <c r="J5278" s="12" t="inlineStr">
        <is>
          <t>Control cable 600 V Type TC-ER, Cu #10 AWG (CT / VT circuits)</t>
        </is>
      </c>
      <c r="K5278" s="12" t="inlineStr">
        <is>
          <t>CTCT|4/C|10</t>
        </is>
      </c>
      <c r="L5278" s="12" t="inlineStr">
        <is>
          <t>4/C</t>
        </is>
      </c>
      <c r="M5278" s="12" t="inlineStr">
        <is>
          <t>10</t>
        </is>
      </c>
      <c r="N5278" s="12" t="n">
        <v>1</v>
      </c>
      <c r="O5278" s="12" t="n">
        <v>1</v>
      </c>
      <c r="P5278" s="12" t="n"/>
      <c r="Q5278" s="12" t="n"/>
      <c r="R5278" s="12" t="n"/>
      <c r="S5278" s="12" t="inlineStr">
        <is>
          <t>Tray</t>
        </is>
      </c>
      <c r="T5278" s="17" t="n">
        <v>0</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J-C-0015</t>
        </is>
      </c>
      <c r="B5279" s="12" t="inlineStr">
        <is>
          <t>J</t>
        </is>
      </c>
      <c r="C5279" s="12" t="inlineStr">
        <is>
          <t>GT inlet chilling</t>
        </is>
      </c>
      <c r="D5279" s="12" t="inlineStr">
        <is>
          <t>Motor 1 of 12: control / local station</t>
        </is>
      </c>
      <c r="E5279" s="12" t="inlineStr"/>
      <c r="F5279" s="12" t="inlineStr">
        <is>
          <t>Inlet-chilling e-house / transformer</t>
        </is>
      </c>
      <c r="G5279" s="12" t="inlineStr"/>
      <c r="H5279" s="12" t="inlineStr">
        <is>
          <t>Inlet-chilling tower (12 cells): chiller heat rejection</t>
        </is>
      </c>
      <c r="I5279" s="12" t="inlineStr">
        <is>
          <t>Control</t>
        </is>
      </c>
      <c r="J5279" s="12" t="inlineStr">
        <is>
          <t>Control cable 600 V Type TC-ER, Cu #14 AWG, PVC jacket</t>
        </is>
      </c>
      <c r="K5279" s="12" t="inlineStr">
        <is>
          <t>CT|7/C|14</t>
        </is>
      </c>
      <c r="L5279" s="12" t="inlineStr">
        <is>
          <t>7/C</t>
        </is>
      </c>
      <c r="M5279" s="12" t="inlineStr">
        <is>
          <t>14</t>
        </is>
      </c>
      <c r="N5279" s="12" t="n">
        <v>1</v>
      </c>
      <c r="O5279" s="12" t="n">
        <v>1</v>
      </c>
      <c r="P5279" s="12" t="n"/>
      <c r="Q5279" s="12" t="n"/>
      <c r="R5279" s="12" t="n"/>
      <c r="S5279" s="12" t="inlineStr">
        <is>
          <t>Duct bank</t>
        </is>
      </c>
      <c r="T5279" s="17" t="n">
        <v>478</v>
      </c>
      <c r="U5279" s="17" t="n">
        <v>38</v>
      </c>
      <c r="V5279" s="17">
        <f>ROUNDUP((T5279+U5279+2*'Read Me'!$B$13)*(1+'Read Me'!$B$12),-1)</f>
        <v/>
      </c>
      <c r="W5279" s="17">
        <f>V5279*N5279*O5279</f>
        <v/>
      </c>
      <c r="X5279" s="12">
        <f>IF(LEFT(I5279,2)="MV",2*N5279*IF(L5279="1/C",O5279,1),0)</f>
        <v/>
      </c>
      <c r="Y5279" s="12">
        <f>IF(OR(LEFT(K5279,4)="LVAX",LEFT(K5279,6)="MV15AX",LEFT(K5279,4)="CTAX",LEFT(K5279,2)="W|"),2*N5279*O5279,0)</f>
        <v/>
      </c>
      <c r="Z5279" s="12" t="inlineStr"/>
      <c r="AA5279" s="12">
        <f>N5279*O5279</f>
        <v/>
      </c>
    </row>
    <row r="5280">
      <c r="A5280" s="12" t="inlineStr">
        <is>
          <t>J-C-0016</t>
        </is>
      </c>
      <c r="B5280" s="12" t="inlineStr">
        <is>
          <t>J</t>
        </is>
      </c>
      <c r="C5280" s="12" t="inlineStr">
        <is>
          <t>GT inlet chilling</t>
        </is>
      </c>
      <c r="D5280" s="12" t="inlineStr">
        <is>
          <t>Motor 2 of 12: control / local station</t>
        </is>
      </c>
      <c r="E5280" s="12" t="inlineStr"/>
      <c r="F5280" s="12" t="inlineStr">
        <is>
          <t>Inlet-chilling e-house / transformer</t>
        </is>
      </c>
      <c r="G5280" s="12" t="inlineStr"/>
      <c r="H5280" s="12" t="inlineStr">
        <is>
          <t>Inlet-chilling tower (12 cells): chiller heat rejection</t>
        </is>
      </c>
      <c r="I5280" s="12" t="inlineStr">
        <is>
          <t>Control</t>
        </is>
      </c>
      <c r="J5280" s="12" t="inlineStr">
        <is>
          <t>Control cable 600 V Type TC-ER, Cu #14 AWG, PVC jacket</t>
        </is>
      </c>
      <c r="K5280" s="12" t="inlineStr">
        <is>
          <t>CT|7/C|14</t>
        </is>
      </c>
      <c r="L5280" s="12" t="inlineStr">
        <is>
          <t>7/C</t>
        </is>
      </c>
      <c r="M5280" s="12" t="inlineStr">
        <is>
          <t>14</t>
        </is>
      </c>
      <c r="N5280" s="12" t="n">
        <v>1</v>
      </c>
      <c r="O5280" s="12" t="n">
        <v>1</v>
      </c>
      <c r="P5280" s="12" t="n"/>
      <c r="Q5280" s="12" t="n"/>
      <c r="R5280" s="12" t="n"/>
      <c r="S5280" s="12" t="inlineStr">
        <is>
          <t>Duct bank</t>
        </is>
      </c>
      <c r="T5280" s="17" t="n">
        <v>478</v>
      </c>
      <c r="U5280" s="17" t="n">
        <v>38</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J-C-0017</t>
        </is>
      </c>
      <c r="B5281" s="12" t="inlineStr">
        <is>
          <t>J</t>
        </is>
      </c>
      <c r="C5281" s="12" t="inlineStr">
        <is>
          <t>GT inlet chilling</t>
        </is>
      </c>
      <c r="D5281" s="12" t="inlineStr">
        <is>
          <t>Motor 3 of 12: control / local station</t>
        </is>
      </c>
      <c r="E5281" s="12" t="inlineStr"/>
      <c r="F5281" s="12" t="inlineStr">
        <is>
          <t>Inlet-chilling e-house / transformer</t>
        </is>
      </c>
      <c r="G5281" s="12" t="inlineStr"/>
      <c r="H5281" s="12" t="inlineStr">
        <is>
          <t>Inlet-chilling tower (12 cells): chiller heat rejection</t>
        </is>
      </c>
      <c r="I5281" s="12" t="inlineStr">
        <is>
          <t>Control</t>
        </is>
      </c>
      <c r="J5281" s="12" t="inlineStr">
        <is>
          <t>Control cable 600 V Type TC-ER, Cu #14 AWG, PVC jacket</t>
        </is>
      </c>
      <c r="K5281" s="12" t="inlineStr">
        <is>
          <t>CT|7/C|14</t>
        </is>
      </c>
      <c r="L5281" s="12" t="inlineStr">
        <is>
          <t>7/C</t>
        </is>
      </c>
      <c r="M5281" s="12" t="inlineStr">
        <is>
          <t>14</t>
        </is>
      </c>
      <c r="N5281" s="12" t="n">
        <v>1</v>
      </c>
      <c r="O5281" s="12" t="n">
        <v>1</v>
      </c>
      <c r="P5281" s="12" t="n"/>
      <c r="Q5281" s="12" t="n"/>
      <c r="R5281" s="12" t="n"/>
      <c r="S5281" s="12" t="inlineStr">
        <is>
          <t>Duct bank</t>
        </is>
      </c>
      <c r="T5281" s="17" t="n">
        <v>478</v>
      </c>
      <c r="U5281" s="17" t="n">
        <v>38</v>
      </c>
      <c r="V5281" s="17">
        <f>ROUNDUP((T5281+U5281+2*'Read Me'!$B$13)*(1+'Read Me'!$B$12),-1)</f>
        <v/>
      </c>
      <c r="W5281" s="17">
        <f>V5281*N5281*O5281</f>
        <v/>
      </c>
      <c r="X5281" s="12">
        <f>IF(LEFT(I5281,2)="MV",2*N5281*IF(L5281="1/C",O5281,1),0)</f>
        <v/>
      </c>
      <c r="Y5281" s="12">
        <f>IF(OR(LEFT(K5281,4)="LVAX",LEFT(K5281,6)="MV15AX",LEFT(K5281,4)="CTAX",LEFT(K5281,2)="W|"),2*N5281*O5281,0)</f>
        <v/>
      </c>
      <c r="Z5281" s="12" t="inlineStr"/>
      <c r="AA5281" s="12">
        <f>N5281*O5281</f>
        <v/>
      </c>
    </row>
    <row r="5282">
      <c r="A5282" s="12" t="inlineStr">
        <is>
          <t>J-C-0018</t>
        </is>
      </c>
      <c r="B5282" s="12" t="inlineStr">
        <is>
          <t>J</t>
        </is>
      </c>
      <c r="C5282" s="12" t="inlineStr">
        <is>
          <t>GT inlet chilling</t>
        </is>
      </c>
      <c r="D5282" s="12" t="inlineStr">
        <is>
          <t>Motor 4 of 12: control / local station</t>
        </is>
      </c>
      <c r="E5282" s="12" t="inlineStr"/>
      <c r="F5282" s="12" t="inlineStr">
        <is>
          <t>Inlet-chilling e-house / transformer</t>
        </is>
      </c>
      <c r="G5282" s="12" t="inlineStr"/>
      <c r="H5282" s="12" t="inlineStr">
        <is>
          <t>Inlet-chilling tower (12 cells): chiller heat rejection</t>
        </is>
      </c>
      <c r="I5282" s="12" t="inlineStr">
        <is>
          <t>Control</t>
        </is>
      </c>
      <c r="J5282" s="12" t="inlineStr">
        <is>
          <t>Control cable 600 V Type TC-ER, Cu #14 AWG, PVC jacket</t>
        </is>
      </c>
      <c r="K5282" s="12" t="inlineStr">
        <is>
          <t>CT|7/C|14</t>
        </is>
      </c>
      <c r="L5282" s="12" t="inlineStr">
        <is>
          <t>7/C</t>
        </is>
      </c>
      <c r="M5282" s="12" t="inlineStr">
        <is>
          <t>14</t>
        </is>
      </c>
      <c r="N5282" s="12" t="n">
        <v>1</v>
      </c>
      <c r="O5282" s="12" t="n">
        <v>1</v>
      </c>
      <c r="P5282" s="12" t="n"/>
      <c r="Q5282" s="12" t="n"/>
      <c r="R5282" s="12" t="n"/>
      <c r="S5282" s="12" t="inlineStr">
        <is>
          <t>Duct bank</t>
        </is>
      </c>
      <c r="T5282" s="17" t="n">
        <v>478</v>
      </c>
      <c r="U5282" s="17" t="n">
        <v>38</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J-C-0019</t>
        </is>
      </c>
      <c r="B5283" s="12" t="inlineStr">
        <is>
          <t>J</t>
        </is>
      </c>
      <c r="C5283" s="12" t="inlineStr">
        <is>
          <t>GT inlet chilling</t>
        </is>
      </c>
      <c r="D5283" s="12" t="inlineStr">
        <is>
          <t>Motor 5 of 12: control / local station</t>
        </is>
      </c>
      <c r="E5283" s="12" t="inlineStr"/>
      <c r="F5283" s="12" t="inlineStr">
        <is>
          <t>Inlet-chilling e-house / transformer</t>
        </is>
      </c>
      <c r="G5283" s="12" t="inlineStr"/>
      <c r="H5283" s="12" t="inlineStr">
        <is>
          <t>Inlet-chilling tower (12 cells): chiller heat rejection</t>
        </is>
      </c>
      <c r="I5283" s="12" t="inlineStr">
        <is>
          <t>Control</t>
        </is>
      </c>
      <c r="J5283" s="12" t="inlineStr">
        <is>
          <t>Control cable 600 V Type TC-ER, Cu #14 AWG, PVC jacket</t>
        </is>
      </c>
      <c r="K5283" s="12" t="inlineStr">
        <is>
          <t>CT|7/C|14</t>
        </is>
      </c>
      <c r="L5283" s="12" t="inlineStr">
        <is>
          <t>7/C</t>
        </is>
      </c>
      <c r="M5283" s="12" t="inlineStr">
        <is>
          <t>14</t>
        </is>
      </c>
      <c r="N5283" s="12" t="n">
        <v>1</v>
      </c>
      <c r="O5283" s="12" t="n">
        <v>1</v>
      </c>
      <c r="P5283" s="12" t="n"/>
      <c r="Q5283" s="12" t="n"/>
      <c r="R5283" s="12" t="n"/>
      <c r="S5283" s="12" t="inlineStr">
        <is>
          <t>Duct bank</t>
        </is>
      </c>
      <c r="T5283" s="17" t="n">
        <v>478</v>
      </c>
      <c r="U5283" s="17" t="n">
        <v>38</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J-C-0020</t>
        </is>
      </c>
      <c r="B5284" s="12" t="inlineStr">
        <is>
          <t>J</t>
        </is>
      </c>
      <c r="C5284" s="12" t="inlineStr">
        <is>
          <t>GT inlet chilling</t>
        </is>
      </c>
      <c r="D5284" s="12" t="inlineStr">
        <is>
          <t>Motor 6 of 12: control / local station</t>
        </is>
      </c>
      <c r="E5284" s="12" t="inlineStr"/>
      <c r="F5284" s="12" t="inlineStr">
        <is>
          <t>Inlet-chilling e-house / transformer</t>
        </is>
      </c>
      <c r="G5284" s="12" t="inlineStr"/>
      <c r="H5284" s="12" t="inlineStr">
        <is>
          <t>Inlet-chilling tower (12 cells): chiller heat rejection</t>
        </is>
      </c>
      <c r="I5284" s="12" t="inlineStr">
        <is>
          <t>Control</t>
        </is>
      </c>
      <c r="J5284" s="12" t="inlineStr">
        <is>
          <t>Control cable 600 V Type TC-ER, Cu #14 AWG, PVC jacket</t>
        </is>
      </c>
      <c r="K5284" s="12" t="inlineStr">
        <is>
          <t>CT|7/C|14</t>
        </is>
      </c>
      <c r="L5284" s="12" t="inlineStr">
        <is>
          <t>7/C</t>
        </is>
      </c>
      <c r="M5284" s="12" t="inlineStr">
        <is>
          <t>14</t>
        </is>
      </c>
      <c r="N5284" s="12" t="n">
        <v>1</v>
      </c>
      <c r="O5284" s="12" t="n">
        <v>1</v>
      </c>
      <c r="P5284" s="12" t="n"/>
      <c r="Q5284" s="12" t="n"/>
      <c r="R5284" s="12" t="n"/>
      <c r="S5284" s="12" t="inlineStr">
        <is>
          <t>Duct bank</t>
        </is>
      </c>
      <c r="T5284" s="17" t="n">
        <v>478</v>
      </c>
      <c r="U5284" s="17" t="n">
        <v>38</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J-C-0021</t>
        </is>
      </c>
      <c r="B5285" s="12" t="inlineStr">
        <is>
          <t>J</t>
        </is>
      </c>
      <c r="C5285" s="12" t="inlineStr">
        <is>
          <t>GT inlet chilling</t>
        </is>
      </c>
      <c r="D5285" s="12" t="inlineStr">
        <is>
          <t>Motor 7 of 12: control / local station</t>
        </is>
      </c>
      <c r="E5285" s="12" t="inlineStr"/>
      <c r="F5285" s="12" t="inlineStr">
        <is>
          <t>Inlet-chilling e-house / transformer</t>
        </is>
      </c>
      <c r="G5285" s="12" t="inlineStr"/>
      <c r="H5285" s="12" t="inlineStr">
        <is>
          <t>Inlet-chilling tower (12 cells): chiller heat rejection</t>
        </is>
      </c>
      <c r="I5285" s="12" t="inlineStr">
        <is>
          <t>Control</t>
        </is>
      </c>
      <c r="J5285" s="12" t="inlineStr">
        <is>
          <t>Control cable 600 V Type TC-ER, Cu #14 AWG, PVC jacket</t>
        </is>
      </c>
      <c r="K5285" s="12" t="inlineStr">
        <is>
          <t>CT|7/C|14</t>
        </is>
      </c>
      <c r="L5285" s="12" t="inlineStr">
        <is>
          <t>7/C</t>
        </is>
      </c>
      <c r="M5285" s="12" t="inlineStr">
        <is>
          <t>14</t>
        </is>
      </c>
      <c r="N5285" s="12" t="n">
        <v>1</v>
      </c>
      <c r="O5285" s="12" t="n">
        <v>1</v>
      </c>
      <c r="P5285" s="12" t="n"/>
      <c r="Q5285" s="12" t="n"/>
      <c r="R5285" s="12" t="n"/>
      <c r="S5285" s="12" t="inlineStr">
        <is>
          <t>Duct bank</t>
        </is>
      </c>
      <c r="T5285" s="17" t="n">
        <v>478</v>
      </c>
      <c r="U5285" s="17" t="n">
        <v>38</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J-C-0022</t>
        </is>
      </c>
      <c r="B5286" s="12" t="inlineStr">
        <is>
          <t>J</t>
        </is>
      </c>
      <c r="C5286" s="12" t="inlineStr">
        <is>
          <t>GT inlet chilling</t>
        </is>
      </c>
      <c r="D5286" s="12" t="inlineStr">
        <is>
          <t>Motor 8 of 12: control / local station</t>
        </is>
      </c>
      <c r="E5286" s="12" t="inlineStr"/>
      <c r="F5286" s="12" t="inlineStr">
        <is>
          <t>Inlet-chilling e-house / transformer</t>
        </is>
      </c>
      <c r="G5286" s="12" t="inlineStr"/>
      <c r="H5286" s="12" t="inlineStr">
        <is>
          <t>Inlet-chilling tower (12 cells): chiller heat rejection</t>
        </is>
      </c>
      <c r="I5286" s="12" t="inlineStr">
        <is>
          <t>Control</t>
        </is>
      </c>
      <c r="J5286" s="12" t="inlineStr">
        <is>
          <t>Control cable 600 V Type TC-ER, Cu #14 AWG, PVC jacket</t>
        </is>
      </c>
      <c r="K5286" s="12" t="inlineStr">
        <is>
          <t>CT|7/C|14</t>
        </is>
      </c>
      <c r="L5286" s="12" t="inlineStr">
        <is>
          <t>7/C</t>
        </is>
      </c>
      <c r="M5286" s="12" t="inlineStr">
        <is>
          <t>14</t>
        </is>
      </c>
      <c r="N5286" s="12" t="n">
        <v>1</v>
      </c>
      <c r="O5286" s="12" t="n">
        <v>1</v>
      </c>
      <c r="P5286" s="12" t="n"/>
      <c r="Q5286" s="12" t="n"/>
      <c r="R5286" s="12" t="n"/>
      <c r="S5286" s="12" t="inlineStr">
        <is>
          <t>Duct bank</t>
        </is>
      </c>
      <c r="T5286" s="17" t="n">
        <v>478</v>
      </c>
      <c r="U5286" s="17" t="n">
        <v>38</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J-C-0023</t>
        </is>
      </c>
      <c r="B5287" s="12" t="inlineStr">
        <is>
          <t>J</t>
        </is>
      </c>
      <c r="C5287" s="12" t="inlineStr">
        <is>
          <t>GT inlet chilling</t>
        </is>
      </c>
      <c r="D5287" s="12" t="inlineStr">
        <is>
          <t>Motor 9 of 12: control / local station</t>
        </is>
      </c>
      <c r="E5287" s="12" t="inlineStr"/>
      <c r="F5287" s="12" t="inlineStr">
        <is>
          <t>Inlet-chilling e-house / transformer</t>
        </is>
      </c>
      <c r="G5287" s="12" t="inlineStr"/>
      <c r="H5287" s="12" t="inlineStr">
        <is>
          <t>Inlet-chilling tower (12 cells): chiller heat rejection</t>
        </is>
      </c>
      <c r="I5287" s="12" t="inlineStr">
        <is>
          <t>Control</t>
        </is>
      </c>
      <c r="J5287" s="12" t="inlineStr">
        <is>
          <t>Control cable 600 V Type TC-ER, Cu #14 AWG, PVC jacket</t>
        </is>
      </c>
      <c r="K5287" s="12" t="inlineStr">
        <is>
          <t>CT|7/C|14</t>
        </is>
      </c>
      <c r="L5287" s="12" t="inlineStr">
        <is>
          <t>7/C</t>
        </is>
      </c>
      <c r="M5287" s="12" t="inlineStr">
        <is>
          <t>14</t>
        </is>
      </c>
      <c r="N5287" s="12" t="n">
        <v>1</v>
      </c>
      <c r="O5287" s="12" t="n">
        <v>1</v>
      </c>
      <c r="P5287" s="12" t="n"/>
      <c r="Q5287" s="12" t="n"/>
      <c r="R5287" s="12" t="n"/>
      <c r="S5287" s="12" t="inlineStr">
        <is>
          <t>Duct bank</t>
        </is>
      </c>
      <c r="T5287" s="17" t="n">
        <v>478</v>
      </c>
      <c r="U5287" s="17" t="n">
        <v>38</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J-C-0024</t>
        </is>
      </c>
      <c r="B5288" s="12" t="inlineStr">
        <is>
          <t>J</t>
        </is>
      </c>
      <c r="C5288" s="12" t="inlineStr">
        <is>
          <t>GT inlet chilling</t>
        </is>
      </c>
      <c r="D5288" s="12" t="inlineStr">
        <is>
          <t>Motor 10 of 12: control / local station</t>
        </is>
      </c>
      <c r="E5288" s="12" t="inlineStr"/>
      <c r="F5288" s="12" t="inlineStr">
        <is>
          <t>Inlet-chilling e-house / transformer</t>
        </is>
      </c>
      <c r="G5288" s="12" t="inlineStr"/>
      <c r="H5288" s="12" t="inlineStr">
        <is>
          <t>Inlet-chilling tower (12 cells): chiller heat rejection</t>
        </is>
      </c>
      <c r="I5288" s="12" t="inlineStr">
        <is>
          <t>Control</t>
        </is>
      </c>
      <c r="J5288" s="12" t="inlineStr">
        <is>
          <t>Control cable 600 V Type TC-ER, Cu #14 AWG, PVC jacket</t>
        </is>
      </c>
      <c r="K5288" s="12" t="inlineStr">
        <is>
          <t>CT|7/C|14</t>
        </is>
      </c>
      <c r="L5288" s="12" t="inlineStr">
        <is>
          <t>7/C</t>
        </is>
      </c>
      <c r="M5288" s="12" t="inlineStr">
        <is>
          <t>14</t>
        </is>
      </c>
      <c r="N5288" s="12" t="n">
        <v>1</v>
      </c>
      <c r="O5288" s="12" t="n">
        <v>1</v>
      </c>
      <c r="P5288" s="12" t="n"/>
      <c r="Q5288" s="12" t="n"/>
      <c r="R5288" s="12" t="n"/>
      <c r="S5288" s="12" t="inlineStr">
        <is>
          <t>Duct bank</t>
        </is>
      </c>
      <c r="T5288" s="17" t="n">
        <v>478</v>
      </c>
      <c r="U5288" s="17" t="n">
        <v>38</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J-C-0025</t>
        </is>
      </c>
      <c r="B5289" s="12" t="inlineStr">
        <is>
          <t>J</t>
        </is>
      </c>
      <c r="C5289" s="12" t="inlineStr">
        <is>
          <t>GT inlet chilling</t>
        </is>
      </c>
      <c r="D5289" s="12" t="inlineStr">
        <is>
          <t>Motor 11 of 12: control / local station</t>
        </is>
      </c>
      <c r="E5289" s="12" t="inlineStr"/>
      <c r="F5289" s="12" t="inlineStr">
        <is>
          <t>Inlet-chilling e-house / transformer</t>
        </is>
      </c>
      <c r="G5289" s="12" t="inlineStr"/>
      <c r="H5289" s="12" t="inlineStr">
        <is>
          <t>Inlet-chilling tower (12 cells): chiller heat rejection</t>
        </is>
      </c>
      <c r="I5289" s="12" t="inlineStr">
        <is>
          <t>Control</t>
        </is>
      </c>
      <c r="J5289" s="12" t="inlineStr">
        <is>
          <t>Control cable 600 V Type TC-ER, Cu #14 AWG, PVC jacket</t>
        </is>
      </c>
      <c r="K5289" s="12" t="inlineStr">
        <is>
          <t>CT|7/C|14</t>
        </is>
      </c>
      <c r="L5289" s="12" t="inlineStr">
        <is>
          <t>7/C</t>
        </is>
      </c>
      <c r="M5289" s="12" t="inlineStr">
        <is>
          <t>14</t>
        </is>
      </c>
      <c r="N5289" s="12" t="n">
        <v>1</v>
      </c>
      <c r="O5289" s="12" t="n">
        <v>1</v>
      </c>
      <c r="P5289" s="12" t="n"/>
      <c r="Q5289" s="12" t="n"/>
      <c r="R5289" s="12" t="n"/>
      <c r="S5289" s="12" t="inlineStr">
        <is>
          <t>Duct bank</t>
        </is>
      </c>
      <c r="T5289" s="17" t="n">
        <v>478</v>
      </c>
      <c r="U5289" s="17" t="n">
        <v>38</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J-C-0026</t>
        </is>
      </c>
      <c r="B5290" s="12" t="inlineStr">
        <is>
          <t>J</t>
        </is>
      </c>
      <c r="C5290" s="12" t="inlineStr">
        <is>
          <t>GT inlet chilling</t>
        </is>
      </c>
      <c r="D5290" s="12" t="inlineStr">
        <is>
          <t>Motor 12 of 12: control / local station</t>
        </is>
      </c>
      <c r="E5290" s="12" t="inlineStr"/>
      <c r="F5290" s="12" t="inlineStr">
        <is>
          <t>Inlet-chilling e-house / transformer</t>
        </is>
      </c>
      <c r="G5290" s="12" t="inlineStr"/>
      <c r="H5290" s="12" t="inlineStr">
        <is>
          <t>Inlet-chilling tower (12 cells): chiller heat rejection</t>
        </is>
      </c>
      <c r="I5290" s="12" t="inlineStr">
        <is>
          <t>Control</t>
        </is>
      </c>
      <c r="J5290" s="12" t="inlineStr">
        <is>
          <t>Control cable 600 V Type TC-ER, Cu #14 AWG, PVC jacket</t>
        </is>
      </c>
      <c r="K5290" s="12" t="inlineStr">
        <is>
          <t>CT|7/C|14</t>
        </is>
      </c>
      <c r="L5290" s="12" t="inlineStr">
        <is>
          <t>7/C</t>
        </is>
      </c>
      <c r="M5290" s="12" t="inlineStr">
        <is>
          <t>14</t>
        </is>
      </c>
      <c r="N5290" s="12" t="n">
        <v>1</v>
      </c>
      <c r="O5290" s="12" t="n">
        <v>1</v>
      </c>
      <c r="P5290" s="12" t="n"/>
      <c r="Q5290" s="12" t="n"/>
      <c r="R5290" s="12" t="n"/>
      <c r="S5290" s="12" t="inlineStr">
        <is>
          <t>Duct bank</t>
        </is>
      </c>
      <c r="T5290" s="17" t="n">
        <v>478</v>
      </c>
      <c r="U5290" s="17" t="n">
        <v>38</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J-I-0001</t>
        </is>
      </c>
      <c r="B5291" s="12" t="inlineStr">
        <is>
          <t>J</t>
        </is>
      </c>
      <c r="C5291" s="12" t="inlineStr">
        <is>
          <t>GT inlet chilling</t>
        </is>
      </c>
      <c r="D5291" s="12" t="inlineStr">
        <is>
          <t>Analog instrument to JB JB-CHW pumps-AI01: 12 x 1 pr (field cables)</t>
        </is>
      </c>
      <c r="E5291" s="12" t="inlineStr"/>
      <c r="F5291" s="12" t="inlineStr">
        <is>
          <t>CHW pumps</t>
        </is>
      </c>
      <c r="G5291" s="12" t="inlineStr">
        <is>
          <t>JB-CHW pumps-AI01</t>
        </is>
      </c>
      <c r="H5291" s="12" t="inlineStr">
        <is>
          <t>CHW pumps</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12</v>
      </c>
      <c r="O5291" s="12" t="n">
        <v>1</v>
      </c>
      <c r="P5291" s="12" t="n"/>
      <c r="Q5291" s="12" t="n"/>
      <c r="R5291" s="12" t="n"/>
      <c r="S5291" s="12" t="inlineStr">
        <is>
          <t>Tray / conduit</t>
        </is>
      </c>
      <c r="T5291" s="17" t="n">
        <v>92</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J-I-0002</t>
        </is>
      </c>
      <c r="B5292" s="12" t="inlineStr">
        <is>
          <t>J</t>
        </is>
      </c>
      <c r="C5292" s="12" t="inlineStr">
        <is>
          <t>GT inlet chilling</t>
        </is>
      </c>
      <c r="D5292" s="12" t="inlineStr">
        <is>
          <t>Home run JB-CHW pumps-AI01 to the control / marshalling room</t>
        </is>
      </c>
      <c r="E5292" s="12" t="inlineStr"/>
      <c r="F5292" s="12" t="inlineStr">
        <is>
          <t>Inlet-chilling e-house / transformer</t>
        </is>
      </c>
      <c r="G5292" s="12" t="inlineStr">
        <is>
          <t>JB-CHW pumps-AI01</t>
        </is>
      </c>
      <c r="H5292" s="12" t="inlineStr">
        <is>
          <t>CHW pumps</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579</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J-I-0003</t>
        </is>
      </c>
      <c r="B5293" s="12" t="inlineStr">
        <is>
          <t>J</t>
        </is>
      </c>
      <c r="C5293" s="12" t="inlineStr">
        <is>
          <t>GT inlet chilling</t>
        </is>
      </c>
      <c r="D5293" s="12" t="inlineStr">
        <is>
          <t>Discrete device to JB JB-CHW pumps-DI01: 12 x 1 pr (field cables)</t>
        </is>
      </c>
      <c r="E5293" s="12" t="inlineStr"/>
      <c r="F5293" s="12" t="inlineStr">
        <is>
          <t>CHW pumps</t>
        </is>
      </c>
      <c r="G5293" s="12" t="inlineStr">
        <is>
          <t>JB-CHW pumps-DI01</t>
        </is>
      </c>
      <c r="H5293" s="12" t="inlineStr">
        <is>
          <t>CHW pumps</t>
        </is>
      </c>
      <c r="I5293" s="12" t="inlineStr">
        <is>
          <t>Instrumentation</t>
        </is>
      </c>
      <c r="J5293" s="12" t="inlineStr">
        <is>
          <t>Instrumentation PLTC / TC-ER 300 V, #18 twisted shielded pairs, overall shield</t>
        </is>
      </c>
      <c r="K5293" s="12" t="inlineStr">
        <is>
          <t>PLTC|1 pr|16</t>
        </is>
      </c>
      <c r="L5293" s="12" t="inlineStr">
        <is>
          <t>1 pr</t>
        </is>
      </c>
      <c r="M5293" s="12" t="inlineStr">
        <is>
          <t>16</t>
        </is>
      </c>
      <c r="N5293" s="12" t="n">
        <v>12</v>
      </c>
      <c r="O5293" s="12" t="n">
        <v>1</v>
      </c>
      <c r="P5293" s="12" t="n"/>
      <c r="Q5293" s="12" t="n"/>
      <c r="R5293" s="12" t="n"/>
      <c r="S5293" s="12" t="inlineStr">
        <is>
          <t>Tray / conduit</t>
        </is>
      </c>
      <c r="T5293" s="17" t="n">
        <v>92</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J-I-0004</t>
        </is>
      </c>
      <c r="B5294" s="12" t="inlineStr">
        <is>
          <t>J</t>
        </is>
      </c>
      <c r="C5294" s="12" t="inlineStr">
        <is>
          <t>GT inlet chilling</t>
        </is>
      </c>
      <c r="D5294" s="12" t="inlineStr">
        <is>
          <t>Home run JB-CHW pumps-DI01 to the control / marshalling room</t>
        </is>
      </c>
      <c r="E5294" s="12" t="inlineStr"/>
      <c r="F5294" s="12" t="inlineStr">
        <is>
          <t>Inlet-chilling e-house / transformer</t>
        </is>
      </c>
      <c r="G5294" s="12" t="inlineStr">
        <is>
          <t>JB-CHW pumps-DI01</t>
        </is>
      </c>
      <c r="H5294" s="12" t="inlineStr">
        <is>
          <t>CHW pumps</t>
        </is>
      </c>
      <c r="I5294" s="12" t="inlineStr">
        <is>
          <t>Instrumentation</t>
        </is>
      </c>
      <c r="J5294" s="12" t="inlineStr">
        <is>
          <t>Instrumentation PLTC / TC-ER 300 V, #18 twisted shielded pairs, overall shield</t>
        </is>
      </c>
      <c r="K5294" s="12" t="inlineStr">
        <is>
          <t>PLTC|24 pr|18</t>
        </is>
      </c>
      <c r="L5294" s="12" t="inlineStr">
        <is>
          <t>24 pr</t>
        </is>
      </c>
      <c r="M5294" s="12" t="inlineStr">
        <is>
          <t>18</t>
        </is>
      </c>
      <c r="N5294" s="12" t="n">
        <v>1</v>
      </c>
      <c r="O5294" s="12" t="n">
        <v>1</v>
      </c>
      <c r="P5294" s="12" t="n"/>
      <c r="Q5294" s="12" t="n"/>
      <c r="R5294" s="12" t="n"/>
      <c r="S5294" s="12" t="inlineStr">
        <is>
          <t>Duct bank</t>
        </is>
      </c>
      <c r="T5294" s="17" t="n">
        <v>579</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J-I-0005</t>
        </is>
      </c>
      <c r="B5295" s="12" t="inlineStr">
        <is>
          <t>J</t>
        </is>
      </c>
      <c r="C5295" s="12" t="inlineStr">
        <is>
          <t>GT inlet chilling</t>
        </is>
      </c>
      <c r="D5295" s="12" t="inlineStr">
        <is>
          <t>Analog instrument to JB JB-CONDITIONAL: TES c-AI01: 4 x 1 pr (field cables)</t>
        </is>
      </c>
      <c r="E5295" s="12" t="inlineStr"/>
      <c r="F5295" s="12" t="inlineStr">
        <is>
          <t>CONDITIONAL: TES chilled-water tank</t>
        </is>
      </c>
      <c r="G5295" s="12" t="inlineStr">
        <is>
          <t>JB-CONDITIONAL: TES c-AI01</t>
        </is>
      </c>
      <c r="H5295" s="12" t="inlineStr">
        <is>
          <t>CONDITIONAL: TES chilled-water tank</t>
        </is>
      </c>
      <c r="I5295" s="12" t="inlineStr">
        <is>
          <t>Instrumentation</t>
        </is>
      </c>
      <c r="J5295" s="12" t="inlineStr">
        <is>
          <t>Instrumentation PLTC / TC-ER 300 V, #18 twisted shielded pairs, overall shield</t>
        </is>
      </c>
      <c r="K5295" s="12" t="inlineStr">
        <is>
          <t>PLTC|1 pr|16</t>
        </is>
      </c>
      <c r="L5295" s="12" t="inlineStr">
        <is>
          <t>1 pr</t>
        </is>
      </c>
      <c r="M5295" s="12" t="inlineStr">
        <is>
          <t>16</t>
        </is>
      </c>
      <c r="N5295" s="12" t="n">
        <v>4</v>
      </c>
      <c r="O5295" s="12" t="n">
        <v>1</v>
      </c>
      <c r="P5295" s="12" t="n"/>
      <c r="Q5295" s="12" t="n"/>
      <c r="R5295" s="12" t="n"/>
      <c r="S5295" s="12" t="inlineStr">
        <is>
          <t>Tray / conduit</t>
        </is>
      </c>
      <c r="T5295" s="17" t="n">
        <v>91</v>
      </c>
      <c r="U5295" s="17" t="n">
        <v>10</v>
      </c>
      <c r="V5295" s="17">
        <f>ROUNDUP((T5295+U5295+2*'Read Me'!$B$13)*(1+'Read Me'!$B$12),-1)</f>
        <v/>
      </c>
      <c r="W5295" s="17">
        <f>V5295*N5295*O5295</f>
        <v/>
      </c>
      <c r="X5295" s="12">
        <f>IF(LEFT(I5295,2)="MV",2*N5295*IF(L5295="1/C",O5295,1),0)</f>
        <v/>
      </c>
      <c r="Y5295" s="12">
        <f>IF(OR(LEFT(K5295,4)="LVAX",LEFT(K5295,6)="MV15AX",LEFT(K5295,4)="CTAX",LEFT(K5295,2)="W|"),2*N5295*O5295,0)</f>
        <v/>
      </c>
      <c r="Z5295" s="12" t="inlineStr">
        <is>
          <t>device-to-JB field wiring, one cable per device</t>
        </is>
      </c>
      <c r="AA5295" s="12">
        <f>N5295*O5295</f>
        <v/>
      </c>
    </row>
    <row r="5296">
      <c r="A5296" s="12" t="inlineStr">
        <is>
          <t>J-I-0006</t>
        </is>
      </c>
      <c r="B5296" s="12" t="inlineStr">
        <is>
          <t>J</t>
        </is>
      </c>
      <c r="C5296" s="12" t="inlineStr">
        <is>
          <t>GT inlet chilling</t>
        </is>
      </c>
      <c r="D5296" s="12" t="inlineStr">
        <is>
          <t>Home run JB-CONDITIONAL: TES c-AI01 to the control / marshalling room</t>
        </is>
      </c>
      <c r="E5296" s="12" t="inlineStr"/>
      <c r="F5296" s="12" t="inlineStr">
        <is>
          <t>Inlet-chilling e-house / transformer</t>
        </is>
      </c>
      <c r="G5296" s="12" t="inlineStr">
        <is>
          <t>JB-CONDITIONAL: TES c-AI01</t>
        </is>
      </c>
      <c r="H5296" s="12" t="inlineStr">
        <is>
          <t>CONDITIONAL: TES chilled-water tank</t>
        </is>
      </c>
      <c r="I5296" s="12" t="inlineStr">
        <is>
          <t>Instrumentation</t>
        </is>
      </c>
      <c r="J5296" s="12" t="inlineStr">
        <is>
          <t>Instrumentation PLTC / TC-ER 300 V, #18 twisted shielded pairs, overall shield</t>
        </is>
      </c>
      <c r="K5296" s="12" t="inlineStr">
        <is>
          <t>PLTC|24 pr|18</t>
        </is>
      </c>
      <c r="L5296" s="12" t="inlineStr">
        <is>
          <t>24 pr</t>
        </is>
      </c>
      <c r="M5296" s="12" t="inlineStr">
        <is>
          <t>18</t>
        </is>
      </c>
      <c r="N5296" s="12" t="n">
        <v>1</v>
      </c>
      <c r="O5296" s="12" t="n">
        <v>1</v>
      </c>
      <c r="P5296" s="12" t="n"/>
      <c r="Q5296" s="12" t="n"/>
      <c r="R5296" s="12" t="n"/>
      <c r="S5296" s="12" t="inlineStr">
        <is>
          <t>Duct bank</t>
        </is>
      </c>
      <c r="T5296" s="17" t="n">
        <v>271</v>
      </c>
      <c r="U5296" s="17" t="n">
        <v>217</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J-I-0007</t>
        </is>
      </c>
      <c r="B5297" s="12" t="inlineStr">
        <is>
          <t>J</t>
        </is>
      </c>
      <c r="C5297" s="12" t="inlineStr">
        <is>
          <t>GT inlet chilling</t>
        </is>
      </c>
      <c r="D5297" s="12" t="inlineStr">
        <is>
          <t>Discrete device to JB JB-CONDITIONAL: TES c-DI01: 4 x 1 pr (field cables)</t>
        </is>
      </c>
      <c r="E5297" s="12" t="inlineStr"/>
      <c r="F5297" s="12" t="inlineStr">
        <is>
          <t>CONDITIONAL: TES chilled-water tank</t>
        </is>
      </c>
      <c r="G5297" s="12" t="inlineStr">
        <is>
          <t>JB-CONDITIONAL: TES c-DI01</t>
        </is>
      </c>
      <c r="H5297" s="12" t="inlineStr">
        <is>
          <t>CONDITIONAL: TES chilled-water tank</t>
        </is>
      </c>
      <c r="I5297" s="12" t="inlineStr">
        <is>
          <t>Instrumentation</t>
        </is>
      </c>
      <c r="J5297" s="12" t="inlineStr">
        <is>
          <t>Instrumentation PLTC / TC-ER 300 V, #18 twisted shielded pairs, overall shield</t>
        </is>
      </c>
      <c r="K5297" s="12" t="inlineStr">
        <is>
          <t>PLTC|1 pr|16</t>
        </is>
      </c>
      <c r="L5297" s="12" t="inlineStr">
        <is>
          <t>1 pr</t>
        </is>
      </c>
      <c r="M5297" s="12" t="inlineStr">
        <is>
          <t>16</t>
        </is>
      </c>
      <c r="N5297" s="12" t="n">
        <v>4</v>
      </c>
      <c r="O5297" s="12" t="n">
        <v>1</v>
      </c>
      <c r="P5297" s="12" t="n"/>
      <c r="Q5297" s="12" t="n"/>
      <c r="R5297" s="12" t="n"/>
      <c r="S5297" s="12" t="inlineStr">
        <is>
          <t>Tray / conduit</t>
        </is>
      </c>
      <c r="T5297" s="17" t="n">
        <v>91</v>
      </c>
      <c r="U5297" s="17" t="n">
        <v>10</v>
      </c>
      <c r="V5297" s="17">
        <f>ROUNDUP((T5297+U5297+2*'Read Me'!$B$13)*(1+'Read Me'!$B$12),-1)</f>
        <v/>
      </c>
      <c r="W5297" s="17">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J-I-0008</t>
        </is>
      </c>
      <c r="B5298" s="12" t="inlineStr">
        <is>
          <t>J</t>
        </is>
      </c>
      <c r="C5298" s="12" t="inlineStr">
        <is>
          <t>GT inlet chilling</t>
        </is>
      </c>
      <c r="D5298" s="12" t="inlineStr">
        <is>
          <t>Home run JB-CONDITIONAL: TES c-DI01 to the control / marshalling room</t>
        </is>
      </c>
      <c r="E5298" s="12" t="inlineStr"/>
      <c r="F5298" s="12" t="inlineStr">
        <is>
          <t>Inlet-chilling e-house / transformer</t>
        </is>
      </c>
      <c r="G5298" s="12" t="inlineStr">
        <is>
          <t>JB-CONDITIONAL: TES c-DI01</t>
        </is>
      </c>
      <c r="H5298" s="12" t="inlineStr">
        <is>
          <t>CONDITIONAL: TES chilled-water tank</t>
        </is>
      </c>
      <c r="I5298" s="12" t="inlineStr">
        <is>
          <t>Instrumentation</t>
        </is>
      </c>
      <c r="J5298" s="12" t="inlineStr">
        <is>
          <t>Instrumentation PLTC / TC-ER 300 V, #18 twisted shielded pairs, overall shield</t>
        </is>
      </c>
      <c r="K5298" s="12" t="inlineStr">
        <is>
          <t>PLTC|24 pr|18</t>
        </is>
      </c>
      <c r="L5298" s="12" t="inlineStr">
        <is>
          <t>24 pr</t>
        </is>
      </c>
      <c r="M5298" s="12" t="inlineStr">
        <is>
          <t>18</t>
        </is>
      </c>
      <c r="N5298" s="12" t="n">
        <v>1</v>
      </c>
      <c r="O5298" s="12" t="n">
        <v>1</v>
      </c>
      <c r="P5298" s="12" t="n"/>
      <c r="Q5298" s="12" t="n"/>
      <c r="R5298" s="12" t="n"/>
      <c r="S5298" s="12" t="inlineStr">
        <is>
          <t>Duct bank</t>
        </is>
      </c>
      <c r="T5298" s="17" t="n">
        <v>271</v>
      </c>
      <c r="U5298" s="17" t="n">
        <v>217</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J-I-0009</t>
        </is>
      </c>
      <c r="B5299" s="12" t="inlineStr">
        <is>
          <t>J</t>
        </is>
      </c>
      <c r="C5299" s="12" t="inlineStr">
        <is>
          <t>GT inlet chilling</t>
        </is>
      </c>
      <c r="D5299" s="12" t="inlineStr">
        <is>
          <t>Analog instrument to JB JB-CW pumps (inlet ch-AI01: 20 x 1 pr (field cables)</t>
        </is>
      </c>
      <c r="E5299" s="12" t="inlineStr"/>
      <c r="F5299" s="12" t="inlineStr">
        <is>
          <t>CW pumps (inlet chilling)</t>
        </is>
      </c>
      <c r="G5299" s="12" t="inlineStr">
        <is>
          <t>JB-CW pumps (inlet ch-AI01</t>
        </is>
      </c>
      <c r="H5299" s="12" t="inlineStr">
        <is>
          <t>CW pumps (inlet chilling)</t>
        </is>
      </c>
      <c r="I5299" s="12" t="inlineStr">
        <is>
          <t>Instrumentation</t>
        </is>
      </c>
      <c r="J5299" s="12" t="inlineStr">
        <is>
          <t>Instrumentation PLTC / TC-ER 300 V, #18 twisted shielded pairs, overall shield</t>
        </is>
      </c>
      <c r="K5299" s="12" t="inlineStr">
        <is>
          <t>PLTC|1 pr|16</t>
        </is>
      </c>
      <c r="L5299" s="12" t="inlineStr">
        <is>
          <t>1 pr</t>
        </is>
      </c>
      <c r="M5299" s="12" t="inlineStr">
        <is>
          <t>16</t>
        </is>
      </c>
      <c r="N5299" s="12" t="n">
        <v>20</v>
      </c>
      <c r="O5299" s="12" t="n">
        <v>1</v>
      </c>
      <c r="P5299" s="12" t="n"/>
      <c r="Q5299" s="12" t="n"/>
      <c r="R5299" s="12" t="n"/>
      <c r="S5299" s="12" t="inlineStr">
        <is>
          <t>Tray / conduit</t>
        </is>
      </c>
      <c r="T5299" s="17" t="n">
        <v>92</v>
      </c>
      <c r="U5299" s="17" t="n">
        <v>10</v>
      </c>
      <c r="V5299" s="17">
        <f>ROUNDUP((T5299+U5299+2*'Read Me'!$B$13)*(1+'Read Me'!$B$12),-1)</f>
        <v/>
      </c>
      <c r="W5299" s="17">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J-I-0010</t>
        </is>
      </c>
      <c r="B5300" s="12" t="inlineStr">
        <is>
          <t>J</t>
        </is>
      </c>
      <c r="C5300" s="12" t="inlineStr">
        <is>
          <t>GT inlet chilling</t>
        </is>
      </c>
      <c r="D5300" s="12" t="inlineStr">
        <is>
          <t>Home run JB-CW pumps (inlet ch-AI01 to the control / marshalling room</t>
        </is>
      </c>
      <c r="E5300" s="12" t="inlineStr"/>
      <c r="F5300" s="12" t="inlineStr">
        <is>
          <t>Inlet-chilling e-house / transformer</t>
        </is>
      </c>
      <c r="G5300" s="12" t="inlineStr">
        <is>
          <t>JB-CW pumps (inlet ch-AI01</t>
        </is>
      </c>
      <c r="H5300" s="12" t="inlineStr">
        <is>
          <t>CW pumps (inlet chilling)</t>
        </is>
      </c>
      <c r="I5300" s="12" t="inlineStr">
        <is>
          <t>Instrumentation</t>
        </is>
      </c>
      <c r="J5300" s="12" t="inlineStr">
        <is>
          <t>Instrumentation PLTC / TC-ER 300 V, #18 twisted shielded pairs, overall shield</t>
        </is>
      </c>
      <c r="K5300" s="12" t="inlineStr">
        <is>
          <t>PLTC|24 pr|18</t>
        </is>
      </c>
      <c r="L5300" s="12" t="inlineStr">
        <is>
          <t>24 pr</t>
        </is>
      </c>
      <c r="M5300" s="12" t="inlineStr">
        <is>
          <t>18</t>
        </is>
      </c>
      <c r="N5300" s="12" t="n">
        <v>1</v>
      </c>
      <c r="O5300" s="12" t="n">
        <v>1</v>
      </c>
      <c r="P5300" s="12" t="n"/>
      <c r="Q5300" s="12" t="n"/>
      <c r="R5300" s="12" t="n"/>
      <c r="S5300" s="12" t="inlineStr">
        <is>
          <t>Tray</t>
        </is>
      </c>
      <c r="T5300" s="17" t="n">
        <v>0</v>
      </c>
      <c r="U5300" s="17" t="n">
        <v>70</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J-I-0011</t>
        </is>
      </c>
      <c r="B5301" s="12" t="inlineStr">
        <is>
          <t>J</t>
        </is>
      </c>
      <c r="C5301" s="12" t="inlineStr">
        <is>
          <t>GT inlet chilling</t>
        </is>
      </c>
      <c r="D5301" s="12" t="inlineStr">
        <is>
          <t>Analog instrument to JB JB-CW pumps (inlet ch-AI02: 4 x 1 pr (field cables)</t>
        </is>
      </c>
      <c r="E5301" s="12" t="inlineStr"/>
      <c r="F5301" s="12" t="inlineStr">
        <is>
          <t>CW pumps (inlet chilling)</t>
        </is>
      </c>
      <c r="G5301" s="12" t="inlineStr">
        <is>
          <t>JB-CW pumps (inlet ch-AI02</t>
        </is>
      </c>
      <c r="H5301" s="12" t="inlineStr">
        <is>
          <t>CW pumps (inlet chilling)</t>
        </is>
      </c>
      <c r="I5301" s="12" t="inlineStr">
        <is>
          <t>Instrumentation</t>
        </is>
      </c>
      <c r="J5301" s="12" t="inlineStr">
        <is>
          <t>Instrumentation PLTC / TC-ER 300 V, #18 twisted shielded pairs, overall shield</t>
        </is>
      </c>
      <c r="K5301" s="12" t="inlineStr">
        <is>
          <t>PLTC|1 pr|16</t>
        </is>
      </c>
      <c r="L5301" s="12" t="inlineStr">
        <is>
          <t>1 pr</t>
        </is>
      </c>
      <c r="M5301" s="12" t="inlineStr">
        <is>
          <t>16</t>
        </is>
      </c>
      <c r="N5301" s="12" t="n">
        <v>4</v>
      </c>
      <c r="O5301" s="12" t="n">
        <v>1</v>
      </c>
      <c r="P5301" s="12" t="n"/>
      <c r="Q5301" s="12" t="n"/>
      <c r="R5301" s="12" t="n"/>
      <c r="S5301" s="12" t="inlineStr">
        <is>
          <t>Tray / conduit</t>
        </is>
      </c>
      <c r="T5301" s="17" t="n">
        <v>92</v>
      </c>
      <c r="U5301" s="17" t="n">
        <v>10</v>
      </c>
      <c r="V5301" s="17">
        <f>ROUNDUP((T5301+U5301+2*'Read Me'!$B$13)*(1+'Read Me'!$B$12),-1)</f>
        <v/>
      </c>
      <c r="W5301" s="17">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J-I-0012</t>
        </is>
      </c>
      <c r="B5302" s="12" t="inlineStr">
        <is>
          <t>J</t>
        </is>
      </c>
      <c r="C5302" s="12" t="inlineStr">
        <is>
          <t>GT inlet chilling</t>
        </is>
      </c>
      <c r="D5302" s="12" t="inlineStr">
        <is>
          <t>Home run JB-CW pumps (inlet ch-AI02 to the control / marshalling room</t>
        </is>
      </c>
      <c r="E5302" s="12" t="inlineStr"/>
      <c r="F5302" s="12" t="inlineStr">
        <is>
          <t>Inlet-chilling e-house / transformer</t>
        </is>
      </c>
      <c r="G5302" s="12" t="inlineStr">
        <is>
          <t>JB-CW pumps (inlet ch-AI02</t>
        </is>
      </c>
      <c r="H5302" s="12" t="inlineStr">
        <is>
          <t>CW pumps (inlet chilling)</t>
        </is>
      </c>
      <c r="I5302" s="12" t="inlineStr">
        <is>
          <t>Instrumentation</t>
        </is>
      </c>
      <c r="J5302" s="12" t="inlineStr">
        <is>
          <t>Instrumentation PLTC / TC-ER 300 V, #18 twisted shielded pairs, overall shield</t>
        </is>
      </c>
      <c r="K5302" s="12" t="inlineStr">
        <is>
          <t>PLTC|24 pr|18</t>
        </is>
      </c>
      <c r="L5302" s="12" t="inlineStr">
        <is>
          <t>24 pr</t>
        </is>
      </c>
      <c r="M5302" s="12" t="inlineStr">
        <is>
          <t>18</t>
        </is>
      </c>
      <c r="N5302" s="12" t="n">
        <v>1</v>
      </c>
      <c r="O5302" s="12" t="n">
        <v>1</v>
      </c>
      <c r="P5302" s="12" t="n"/>
      <c r="Q5302" s="12" t="n"/>
      <c r="R5302" s="12" t="n"/>
      <c r="S5302" s="12" t="inlineStr">
        <is>
          <t>Tray</t>
        </is>
      </c>
      <c r="T5302" s="17" t="n">
        <v>0</v>
      </c>
      <c r="U5302" s="17" t="n">
        <v>70</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J-I-0013</t>
        </is>
      </c>
      <c r="B5303" s="12" t="inlineStr">
        <is>
          <t>J</t>
        </is>
      </c>
      <c r="C5303" s="12" t="inlineStr">
        <is>
          <t>GT inlet chilling</t>
        </is>
      </c>
      <c r="D5303" s="12" t="inlineStr">
        <is>
          <t>Discrete device to JB JB-CW pumps (inlet ch-DI01: 20 x 1 pr (field cables)</t>
        </is>
      </c>
      <c r="E5303" s="12" t="inlineStr"/>
      <c r="F5303" s="12" t="inlineStr">
        <is>
          <t>CW pumps (inlet chilling)</t>
        </is>
      </c>
      <c r="G5303" s="12" t="inlineStr">
        <is>
          <t>JB-CW pumps (inlet ch-DI01</t>
        </is>
      </c>
      <c r="H5303" s="12" t="inlineStr">
        <is>
          <t>CW pumps (inlet chilling)</t>
        </is>
      </c>
      <c r="I5303" s="12" t="inlineStr">
        <is>
          <t>Instrumentation</t>
        </is>
      </c>
      <c r="J5303" s="12" t="inlineStr">
        <is>
          <t>Instrumentation PLTC / TC-ER 300 V, #18 twisted shielded pairs, overall shield</t>
        </is>
      </c>
      <c r="K5303" s="12" t="inlineStr">
        <is>
          <t>PLTC|1 pr|16</t>
        </is>
      </c>
      <c r="L5303" s="12" t="inlineStr">
        <is>
          <t>1 pr</t>
        </is>
      </c>
      <c r="M5303" s="12" t="inlineStr">
        <is>
          <t>16</t>
        </is>
      </c>
      <c r="N5303" s="12" t="n">
        <v>20</v>
      </c>
      <c r="O5303" s="12" t="n">
        <v>1</v>
      </c>
      <c r="P5303" s="12" t="n"/>
      <c r="Q5303" s="12" t="n"/>
      <c r="R5303" s="12" t="n"/>
      <c r="S5303" s="12" t="inlineStr">
        <is>
          <t>Tray / conduit</t>
        </is>
      </c>
      <c r="T5303" s="17" t="n">
        <v>92</v>
      </c>
      <c r="U5303" s="17" t="n">
        <v>10</v>
      </c>
      <c r="V5303" s="17">
        <f>ROUNDUP((T5303+U5303+2*'Read Me'!$B$13)*(1+'Read Me'!$B$12),-1)</f>
        <v/>
      </c>
      <c r="W5303" s="17">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J-I-0014</t>
        </is>
      </c>
      <c r="B5304" s="12" t="inlineStr">
        <is>
          <t>J</t>
        </is>
      </c>
      <c r="C5304" s="12" t="inlineStr">
        <is>
          <t>GT inlet chilling</t>
        </is>
      </c>
      <c r="D5304" s="12" t="inlineStr">
        <is>
          <t>Home run JB-CW pumps (inlet ch-DI01 to the control / marshalling room</t>
        </is>
      </c>
      <c r="E5304" s="12" t="inlineStr"/>
      <c r="F5304" s="12" t="inlineStr">
        <is>
          <t>Inlet-chilling e-house / transformer</t>
        </is>
      </c>
      <c r="G5304" s="12" t="inlineStr">
        <is>
          <t>JB-CW pumps (inlet ch-DI01</t>
        </is>
      </c>
      <c r="H5304" s="12" t="inlineStr">
        <is>
          <t>CW pumps (inlet chilling)</t>
        </is>
      </c>
      <c r="I5304" s="12" t="inlineStr">
        <is>
          <t>Instrumentation</t>
        </is>
      </c>
      <c r="J5304" s="12" t="inlineStr">
        <is>
          <t>Instrumentation PLTC / TC-ER 300 V, #18 twisted shielded pairs, overall shield</t>
        </is>
      </c>
      <c r="K5304" s="12" t="inlineStr">
        <is>
          <t>PLTC|24 pr|18</t>
        </is>
      </c>
      <c r="L5304" s="12" t="inlineStr">
        <is>
          <t>24 pr</t>
        </is>
      </c>
      <c r="M5304" s="12" t="inlineStr">
        <is>
          <t>18</t>
        </is>
      </c>
      <c r="N5304" s="12" t="n">
        <v>1</v>
      </c>
      <c r="O5304" s="12" t="n">
        <v>1</v>
      </c>
      <c r="P5304" s="12" t="n"/>
      <c r="Q5304" s="12" t="n"/>
      <c r="R5304" s="12" t="n"/>
      <c r="S5304" s="12" t="inlineStr">
        <is>
          <t>Tray</t>
        </is>
      </c>
      <c r="T5304" s="17" t="n">
        <v>0</v>
      </c>
      <c r="U5304" s="17" t="n">
        <v>70</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J-I-0015</t>
        </is>
      </c>
      <c r="B5305" s="12" t="inlineStr">
        <is>
          <t>J</t>
        </is>
      </c>
      <c r="C5305" s="12" t="inlineStr">
        <is>
          <t>GT inlet chilling</t>
        </is>
      </c>
      <c r="D5305" s="12" t="inlineStr">
        <is>
          <t>Discrete device to JB JB-CW pumps (inlet ch-DI02: 4 x 1 pr (field cables)</t>
        </is>
      </c>
      <c r="E5305" s="12" t="inlineStr"/>
      <c r="F5305" s="12" t="inlineStr">
        <is>
          <t>CW pumps (inlet chilling)</t>
        </is>
      </c>
      <c r="G5305" s="12" t="inlineStr">
        <is>
          <t>JB-CW pumps (inlet ch-DI02</t>
        </is>
      </c>
      <c r="H5305" s="12" t="inlineStr">
        <is>
          <t>CW pumps (inlet chilling)</t>
        </is>
      </c>
      <c r="I5305" s="12" t="inlineStr">
        <is>
          <t>Instrumentation</t>
        </is>
      </c>
      <c r="J5305" s="12" t="inlineStr">
        <is>
          <t>Instrumentation PLTC / TC-ER 300 V, #18 twisted shielded pairs, overall shield</t>
        </is>
      </c>
      <c r="K5305" s="12" t="inlineStr">
        <is>
          <t>PLTC|1 pr|16</t>
        </is>
      </c>
      <c r="L5305" s="12" t="inlineStr">
        <is>
          <t>1 pr</t>
        </is>
      </c>
      <c r="M5305" s="12" t="inlineStr">
        <is>
          <t>16</t>
        </is>
      </c>
      <c r="N5305" s="12" t="n">
        <v>4</v>
      </c>
      <c r="O5305" s="12" t="n">
        <v>1</v>
      </c>
      <c r="P5305" s="12" t="n"/>
      <c r="Q5305" s="12" t="n"/>
      <c r="R5305" s="12" t="n"/>
      <c r="S5305" s="12" t="inlineStr">
        <is>
          <t>Tray / conduit</t>
        </is>
      </c>
      <c r="T5305" s="17" t="n">
        <v>92</v>
      </c>
      <c r="U5305" s="17" t="n">
        <v>10</v>
      </c>
      <c r="V5305" s="17">
        <f>ROUNDUP((T5305+U5305+2*'Read Me'!$B$13)*(1+'Read Me'!$B$12),-1)</f>
        <v/>
      </c>
      <c r="W5305" s="17">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J-I-0016</t>
        </is>
      </c>
      <c r="B5306" s="12" t="inlineStr">
        <is>
          <t>J</t>
        </is>
      </c>
      <c r="C5306" s="12" t="inlineStr">
        <is>
          <t>GT inlet chilling</t>
        </is>
      </c>
      <c r="D5306" s="12" t="inlineStr">
        <is>
          <t>Home run JB-CW pumps (inlet ch-DI02 to the control / marshalling room</t>
        </is>
      </c>
      <c r="E5306" s="12" t="inlineStr"/>
      <c r="F5306" s="12" t="inlineStr">
        <is>
          <t>Inlet-chilling e-house / transformer</t>
        </is>
      </c>
      <c r="G5306" s="12" t="inlineStr">
        <is>
          <t>JB-CW pumps (inlet ch-DI02</t>
        </is>
      </c>
      <c r="H5306" s="12" t="inlineStr">
        <is>
          <t>CW pumps (inlet chilling)</t>
        </is>
      </c>
      <c r="I5306" s="12" t="inlineStr">
        <is>
          <t>Instrumentation</t>
        </is>
      </c>
      <c r="J5306" s="12" t="inlineStr">
        <is>
          <t>Instrumentation PLTC / TC-ER 300 V, #18 twisted shielded pairs, overall shield</t>
        </is>
      </c>
      <c r="K5306" s="12" t="inlineStr">
        <is>
          <t>PLTC|24 pr|18</t>
        </is>
      </c>
      <c r="L5306" s="12" t="inlineStr">
        <is>
          <t>24 pr</t>
        </is>
      </c>
      <c r="M5306" s="12" t="inlineStr">
        <is>
          <t>18</t>
        </is>
      </c>
      <c r="N5306" s="12" t="n">
        <v>1</v>
      </c>
      <c r="O5306" s="12" t="n">
        <v>1</v>
      </c>
      <c r="P5306" s="12" t="n"/>
      <c r="Q5306" s="12" t="n"/>
      <c r="R5306" s="12" t="n"/>
      <c r="S5306" s="12" t="inlineStr">
        <is>
          <t>Tray</t>
        </is>
      </c>
      <c r="T5306" s="17" t="n">
        <v>0</v>
      </c>
      <c r="U5306" s="17" t="n">
        <v>70</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J-I-0017</t>
        </is>
      </c>
      <c r="B5307" s="12" t="inlineStr">
        <is>
          <t>J</t>
        </is>
      </c>
      <c r="C5307" s="12" t="inlineStr">
        <is>
          <t>GT inlet chilling</t>
        </is>
      </c>
      <c r="D5307" s="12" t="inlineStr">
        <is>
          <t>Analog instrument to JB JB-Chillers x6 (water-AI01: 20 x 1 pr (field cables)</t>
        </is>
      </c>
      <c r="E5307" s="12" t="inlineStr"/>
      <c r="F5307" s="12" t="inlineStr">
        <is>
          <t>Chillers x6 (water-cooled)</t>
        </is>
      </c>
      <c r="G5307" s="12" t="inlineStr">
        <is>
          <t>JB-Chillers x6 (water-AI01</t>
        </is>
      </c>
      <c r="H5307" s="12" t="inlineStr">
        <is>
          <t>Chillers x6 (water-cooled)</t>
        </is>
      </c>
      <c r="I5307" s="12" t="inlineStr">
        <is>
          <t>Instrumentation</t>
        </is>
      </c>
      <c r="J5307" s="12" t="inlineStr">
        <is>
          <t>Instrumentation PLTC / TC-ER 300 V, #18 twisted shielded pairs, overall shield</t>
        </is>
      </c>
      <c r="K5307" s="12" t="inlineStr">
        <is>
          <t>PLTC|1 pr|16</t>
        </is>
      </c>
      <c r="L5307" s="12" t="inlineStr">
        <is>
          <t>1 pr</t>
        </is>
      </c>
      <c r="M5307" s="12" t="inlineStr">
        <is>
          <t>16</t>
        </is>
      </c>
      <c r="N5307" s="12" t="n">
        <v>20</v>
      </c>
      <c r="O5307" s="12" t="n">
        <v>1</v>
      </c>
      <c r="P5307" s="12" t="n"/>
      <c r="Q5307" s="12" t="n"/>
      <c r="R5307" s="12" t="n"/>
      <c r="S5307" s="12" t="inlineStr">
        <is>
          <t>Tray / conduit</t>
        </is>
      </c>
      <c r="T5307" s="17" t="n">
        <v>190</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J-I-0018</t>
        </is>
      </c>
      <c r="B5308" s="12" t="inlineStr">
        <is>
          <t>J</t>
        </is>
      </c>
      <c r="C5308" s="12" t="inlineStr">
        <is>
          <t>GT inlet chilling</t>
        </is>
      </c>
      <c r="D5308" s="12" t="inlineStr">
        <is>
          <t>Home run JB-Chillers x6 (water-AI01 to the control / marshalling room</t>
        </is>
      </c>
      <c r="E5308" s="12" t="inlineStr"/>
      <c r="F5308" s="12" t="inlineStr">
        <is>
          <t>Inlet-chilling e-house / transformer</t>
        </is>
      </c>
      <c r="G5308" s="12" t="inlineStr">
        <is>
          <t>JB-Chillers x6 (water-AI01</t>
        </is>
      </c>
      <c r="H5308" s="12" t="inlineStr">
        <is>
          <t>Chillers x6 (water-cooled)</t>
        </is>
      </c>
      <c r="I5308" s="12" t="inlineStr">
        <is>
          <t>Instrumentation</t>
        </is>
      </c>
      <c r="J5308" s="12" t="inlineStr">
        <is>
          <t>Instrumentation PLTC / TC-ER 300 V, #18 twisted shielded pairs, overall shield</t>
        </is>
      </c>
      <c r="K5308" s="12" t="inlineStr">
        <is>
          <t>PLTC|24 pr|18</t>
        </is>
      </c>
      <c r="L5308" s="12" t="inlineStr">
        <is>
          <t>24 pr</t>
        </is>
      </c>
      <c r="M5308" s="12" t="inlineStr">
        <is>
          <t>18</t>
        </is>
      </c>
      <c r="N5308" s="12" t="n">
        <v>1</v>
      </c>
      <c r="O5308" s="12" t="n">
        <v>1</v>
      </c>
      <c r="P5308" s="12" t="n"/>
      <c r="Q5308" s="12" t="n"/>
      <c r="R5308" s="12" t="n"/>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J-I-0019</t>
        </is>
      </c>
      <c r="B5309" s="12" t="inlineStr">
        <is>
          <t>J</t>
        </is>
      </c>
      <c r="C5309" s="12" t="inlineStr">
        <is>
          <t>GT inlet chilling</t>
        </is>
      </c>
      <c r="D5309" s="12" t="inlineStr">
        <is>
          <t>Analog instrument to JB JB-Chillers x6 (water-AI02: 20 x 1 pr (field cables)</t>
        </is>
      </c>
      <c r="E5309" s="12" t="inlineStr"/>
      <c r="F5309" s="12" t="inlineStr">
        <is>
          <t>Chillers x6 (water-cooled)</t>
        </is>
      </c>
      <c r="G5309" s="12" t="inlineStr">
        <is>
          <t>JB-Chillers x6 (water-AI02</t>
        </is>
      </c>
      <c r="H5309" s="12" t="inlineStr">
        <is>
          <t>Chillers x6 (water-cooled)</t>
        </is>
      </c>
      <c r="I5309" s="12" t="inlineStr">
        <is>
          <t>Instrumentation</t>
        </is>
      </c>
      <c r="J5309" s="12" t="inlineStr">
        <is>
          <t>Instrumentation PLTC / TC-ER 300 V, #18 twisted shielded pairs, overall shield</t>
        </is>
      </c>
      <c r="K5309" s="12" t="inlineStr">
        <is>
          <t>PLTC|1 pr|16</t>
        </is>
      </c>
      <c r="L5309" s="12" t="inlineStr">
        <is>
          <t>1 pr</t>
        </is>
      </c>
      <c r="M5309" s="12" t="inlineStr">
        <is>
          <t>16</t>
        </is>
      </c>
      <c r="N5309" s="12" t="n">
        <v>20</v>
      </c>
      <c r="O5309" s="12" t="n">
        <v>1</v>
      </c>
      <c r="P5309" s="12" t="n"/>
      <c r="Q5309" s="12" t="n"/>
      <c r="R5309" s="12" t="n"/>
      <c r="S5309" s="12" t="inlineStr">
        <is>
          <t>Tray / conduit</t>
        </is>
      </c>
      <c r="T5309" s="17" t="n">
        <v>190</v>
      </c>
      <c r="U5309" s="17" t="n">
        <v>10</v>
      </c>
      <c r="V5309" s="17">
        <f>ROUNDUP((T5309+U5309+2*'Read Me'!$B$13)*(1+'Read Me'!$B$12),-1)</f>
        <v/>
      </c>
      <c r="W5309" s="17">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J-I-0020</t>
        </is>
      </c>
      <c r="B5310" s="12" t="inlineStr">
        <is>
          <t>J</t>
        </is>
      </c>
      <c r="C5310" s="12" t="inlineStr">
        <is>
          <t>GT inlet chilling</t>
        </is>
      </c>
      <c r="D5310" s="12" t="inlineStr">
        <is>
          <t>Home run JB-Chillers x6 (water-AI02 to the control / marshalling room</t>
        </is>
      </c>
      <c r="E5310" s="12" t="inlineStr"/>
      <c r="F5310" s="12" t="inlineStr">
        <is>
          <t>Inlet-chilling e-house / transformer</t>
        </is>
      </c>
      <c r="G5310" s="12" t="inlineStr">
        <is>
          <t>JB-Chillers x6 (water-AI02</t>
        </is>
      </c>
      <c r="H5310" s="12" t="inlineStr">
        <is>
          <t>Chillers x6 (water-cooled)</t>
        </is>
      </c>
      <c r="I5310" s="12" t="inlineStr">
        <is>
          <t>Instrumentation</t>
        </is>
      </c>
      <c r="J5310" s="12" t="inlineStr">
        <is>
          <t>Instrumentation PLTC / TC-ER 300 V, #18 twisted shielded pairs, overall shield</t>
        </is>
      </c>
      <c r="K5310" s="12" t="inlineStr">
        <is>
          <t>PLTC|24 pr|18</t>
        </is>
      </c>
      <c r="L5310" s="12" t="inlineStr">
        <is>
          <t>24 pr</t>
        </is>
      </c>
      <c r="M5310" s="12" t="inlineStr">
        <is>
          <t>18</t>
        </is>
      </c>
      <c r="N5310" s="12" t="n">
        <v>1</v>
      </c>
      <c r="O5310" s="12" t="n">
        <v>1</v>
      </c>
      <c r="P5310" s="12" t="n"/>
      <c r="Q5310" s="12" t="n"/>
      <c r="R5310" s="12" t="n"/>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c r="AA5310" s="12">
        <f>N5310*O5310</f>
        <v/>
      </c>
    </row>
    <row r="5311">
      <c r="A5311" s="12" t="inlineStr">
        <is>
          <t>J-I-0021</t>
        </is>
      </c>
      <c r="B5311" s="12" t="inlineStr">
        <is>
          <t>J</t>
        </is>
      </c>
      <c r="C5311" s="12" t="inlineStr">
        <is>
          <t>GT inlet chilling</t>
        </is>
      </c>
      <c r="D5311" s="12" t="inlineStr">
        <is>
          <t>Analog instrument to JB JB-Chillers x6 (water-AI03: 20 x 1 pr (field cables)</t>
        </is>
      </c>
      <c r="E5311" s="12" t="inlineStr"/>
      <c r="F5311" s="12" t="inlineStr">
        <is>
          <t>Chillers x6 (water-cooled)</t>
        </is>
      </c>
      <c r="G5311" s="12" t="inlineStr">
        <is>
          <t>JB-Chillers x6 (water-AI03</t>
        </is>
      </c>
      <c r="H5311" s="12" t="inlineStr">
        <is>
          <t>Chillers x6 (water-cooled)</t>
        </is>
      </c>
      <c r="I5311" s="12" t="inlineStr">
        <is>
          <t>Instrumentation</t>
        </is>
      </c>
      <c r="J5311" s="12" t="inlineStr">
        <is>
          <t>Instrumentation PLTC / TC-ER 300 V, #18 twisted shielded pairs, overall shield</t>
        </is>
      </c>
      <c r="K5311" s="12" t="inlineStr">
        <is>
          <t>PLTC|1 pr|16</t>
        </is>
      </c>
      <c r="L5311" s="12" t="inlineStr">
        <is>
          <t>1 pr</t>
        </is>
      </c>
      <c r="M5311" s="12" t="inlineStr">
        <is>
          <t>16</t>
        </is>
      </c>
      <c r="N5311" s="12" t="n">
        <v>20</v>
      </c>
      <c r="O5311" s="12" t="n">
        <v>1</v>
      </c>
      <c r="P5311" s="12" t="n"/>
      <c r="Q5311" s="12" t="n"/>
      <c r="R5311" s="12" t="n"/>
      <c r="S5311" s="12" t="inlineStr">
        <is>
          <t>Tray / conduit</t>
        </is>
      </c>
      <c r="T5311" s="17" t="n">
        <v>190</v>
      </c>
      <c r="U5311" s="17" t="n">
        <v>10</v>
      </c>
      <c r="V5311" s="17">
        <f>ROUNDUP((T5311+U5311+2*'Read Me'!$B$13)*(1+'Read Me'!$B$12),-1)</f>
        <v/>
      </c>
      <c r="W5311" s="17">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J-I-0022</t>
        </is>
      </c>
      <c r="B5312" s="12" t="inlineStr">
        <is>
          <t>J</t>
        </is>
      </c>
      <c r="C5312" s="12" t="inlineStr">
        <is>
          <t>GT inlet chilling</t>
        </is>
      </c>
      <c r="D5312" s="12" t="inlineStr">
        <is>
          <t>Home run JB-Chillers x6 (water-AI03 to the control / marshalling room</t>
        </is>
      </c>
      <c r="E5312" s="12" t="inlineStr"/>
      <c r="F5312" s="12" t="inlineStr">
        <is>
          <t>Inlet-chilling e-house / transformer</t>
        </is>
      </c>
      <c r="G5312" s="12" t="inlineStr">
        <is>
          <t>JB-Chillers x6 (water-AI03</t>
        </is>
      </c>
      <c r="H5312" s="12" t="inlineStr">
        <is>
          <t>Chillers x6 (water-cooled)</t>
        </is>
      </c>
      <c r="I5312" s="12" t="inlineStr">
        <is>
          <t>Instrumentation</t>
        </is>
      </c>
      <c r="J5312" s="12" t="inlineStr">
        <is>
          <t>Instrumentation PLTC / TC-ER 300 V, #18 twisted shielded pairs, overall shield</t>
        </is>
      </c>
      <c r="K5312" s="12" t="inlineStr">
        <is>
          <t>PLTC|24 pr|18</t>
        </is>
      </c>
      <c r="L5312" s="12" t="inlineStr">
        <is>
          <t>24 pr</t>
        </is>
      </c>
      <c r="M5312" s="12" t="inlineStr">
        <is>
          <t>18</t>
        </is>
      </c>
      <c r="N5312" s="12" t="n">
        <v>1</v>
      </c>
      <c r="O5312" s="12" t="n">
        <v>1</v>
      </c>
      <c r="P5312" s="12" t="n"/>
      <c r="Q5312" s="12" t="n"/>
      <c r="R5312" s="12" t="n"/>
      <c r="S5312" s="12" t="inlineStr">
        <is>
          <t>Duct bank</t>
        </is>
      </c>
      <c r="T5312" s="17" t="n">
        <v>10</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J-I-0023</t>
        </is>
      </c>
      <c r="B5313" s="12" t="inlineStr">
        <is>
          <t>J</t>
        </is>
      </c>
      <c r="C5313" s="12" t="inlineStr">
        <is>
          <t>GT inlet chilling</t>
        </is>
      </c>
      <c r="D5313" s="12" t="inlineStr">
        <is>
          <t>Analog instrument to JB JB-Chillers x6 (water-AI04: 20 x 1 pr (field cables)</t>
        </is>
      </c>
      <c r="E5313" s="12" t="inlineStr"/>
      <c r="F5313" s="12" t="inlineStr">
        <is>
          <t>Chillers x6 (water-cooled)</t>
        </is>
      </c>
      <c r="G5313" s="12" t="inlineStr">
        <is>
          <t>JB-Chillers x6 (water-AI04</t>
        </is>
      </c>
      <c r="H5313" s="12" t="inlineStr">
        <is>
          <t>Chillers x6 (water-cooled)</t>
        </is>
      </c>
      <c r="I5313" s="12" t="inlineStr">
        <is>
          <t>Instrumentation</t>
        </is>
      </c>
      <c r="J5313" s="12" t="inlineStr">
        <is>
          <t>Instrumentation PLTC / TC-ER 300 V, #18 twisted shielded pairs, overall shield</t>
        </is>
      </c>
      <c r="K5313" s="12" t="inlineStr">
        <is>
          <t>PLTC|1 pr|16</t>
        </is>
      </c>
      <c r="L5313" s="12" t="inlineStr">
        <is>
          <t>1 pr</t>
        </is>
      </c>
      <c r="M5313" s="12" t="inlineStr">
        <is>
          <t>16</t>
        </is>
      </c>
      <c r="N5313" s="12" t="n">
        <v>20</v>
      </c>
      <c r="O5313" s="12" t="n">
        <v>1</v>
      </c>
      <c r="P5313" s="12" t="n"/>
      <c r="Q5313" s="12" t="n"/>
      <c r="R5313" s="12" t="n"/>
      <c r="S5313" s="12" t="inlineStr">
        <is>
          <t>Tray / conduit</t>
        </is>
      </c>
      <c r="T5313" s="17" t="n">
        <v>190</v>
      </c>
      <c r="U5313" s="17" t="n">
        <v>10</v>
      </c>
      <c r="V5313" s="17">
        <f>ROUNDUP((T5313+U5313+2*'Read Me'!$B$13)*(1+'Read Me'!$B$12),-1)</f>
        <v/>
      </c>
      <c r="W5313" s="17">
        <f>V5313*N5313*O5313</f>
        <v/>
      </c>
      <c r="X5313" s="12">
        <f>IF(LEFT(I5313,2)="MV",2*N5313*IF(L5313="1/C",O5313,1),0)</f>
        <v/>
      </c>
      <c r="Y5313" s="12">
        <f>IF(OR(LEFT(K5313,4)="LVAX",LEFT(K5313,6)="MV15AX",LEFT(K5313,4)="CTAX",LEFT(K5313,2)="W|"),2*N5313*O5313,0)</f>
        <v/>
      </c>
      <c r="Z5313" s="12" t="inlineStr">
        <is>
          <t>device-to-JB field wiring, one cable per device</t>
        </is>
      </c>
      <c r="AA5313" s="12">
        <f>N5313*O5313</f>
        <v/>
      </c>
    </row>
    <row r="5314">
      <c r="A5314" s="12" t="inlineStr">
        <is>
          <t>J-I-0024</t>
        </is>
      </c>
      <c r="B5314" s="12" t="inlineStr">
        <is>
          <t>J</t>
        </is>
      </c>
      <c r="C5314" s="12" t="inlineStr">
        <is>
          <t>GT inlet chilling</t>
        </is>
      </c>
      <c r="D5314" s="12" t="inlineStr">
        <is>
          <t>Home run JB-Chillers x6 (water-AI04 to the control / marshalling room</t>
        </is>
      </c>
      <c r="E5314" s="12" t="inlineStr"/>
      <c r="F5314" s="12" t="inlineStr">
        <is>
          <t>Inlet-chilling e-house / transformer</t>
        </is>
      </c>
      <c r="G5314" s="12" t="inlineStr">
        <is>
          <t>JB-Chillers x6 (water-AI04</t>
        </is>
      </c>
      <c r="H5314" s="12" t="inlineStr">
        <is>
          <t>Chillers x6 (water-cooled)</t>
        </is>
      </c>
      <c r="I5314" s="12" t="inlineStr">
        <is>
          <t>Instrumentation</t>
        </is>
      </c>
      <c r="J5314" s="12" t="inlineStr">
        <is>
          <t>Instrumentation PLTC / TC-ER 300 V, #18 twisted shielded pairs, overall shield</t>
        </is>
      </c>
      <c r="K5314" s="12" t="inlineStr">
        <is>
          <t>PLTC|24 pr|18</t>
        </is>
      </c>
      <c r="L5314" s="12" t="inlineStr">
        <is>
          <t>24 pr</t>
        </is>
      </c>
      <c r="M5314" s="12" t="inlineStr">
        <is>
          <t>18</t>
        </is>
      </c>
      <c r="N5314" s="12" t="n">
        <v>1</v>
      </c>
      <c r="O5314" s="12" t="n">
        <v>1</v>
      </c>
      <c r="P5314" s="12" t="n"/>
      <c r="Q5314" s="12" t="n"/>
      <c r="R5314" s="12" t="n"/>
      <c r="S5314" s="12" t="inlineStr">
        <is>
          <t>Duct bank</t>
        </is>
      </c>
      <c r="T5314" s="17" t="n">
        <v>10</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c r="AA5314" s="12">
        <f>N5314*O5314</f>
        <v/>
      </c>
    </row>
    <row r="5315">
      <c r="A5315" s="12" t="inlineStr">
        <is>
          <t>J-I-0025</t>
        </is>
      </c>
      <c r="B5315" s="12" t="inlineStr">
        <is>
          <t>J</t>
        </is>
      </c>
      <c r="C5315" s="12" t="inlineStr">
        <is>
          <t>GT inlet chilling</t>
        </is>
      </c>
      <c r="D5315" s="12" t="inlineStr">
        <is>
          <t>Analog instrument to JB JB-Chillers x6 (water-AI05: 20 x 1 pr (field cables)</t>
        </is>
      </c>
      <c r="E5315" s="12" t="inlineStr"/>
      <c r="F5315" s="12" t="inlineStr">
        <is>
          <t>Chillers x6 (water-cooled)</t>
        </is>
      </c>
      <c r="G5315" s="12" t="inlineStr">
        <is>
          <t>JB-Chillers x6 (water-AI05</t>
        </is>
      </c>
      <c r="H5315" s="12" t="inlineStr">
        <is>
          <t>Chillers x6 (water-cooled)</t>
        </is>
      </c>
      <c r="I5315" s="12" t="inlineStr">
        <is>
          <t>Instrumentation</t>
        </is>
      </c>
      <c r="J5315" s="12" t="inlineStr">
        <is>
          <t>Instrumentation PLTC / TC-ER 300 V, #18 twisted shielded pairs, overall shield</t>
        </is>
      </c>
      <c r="K5315" s="12" t="inlineStr">
        <is>
          <t>PLTC|1 pr|16</t>
        </is>
      </c>
      <c r="L5315" s="12" t="inlineStr">
        <is>
          <t>1 pr</t>
        </is>
      </c>
      <c r="M5315" s="12" t="inlineStr">
        <is>
          <t>16</t>
        </is>
      </c>
      <c r="N5315" s="12" t="n">
        <v>20</v>
      </c>
      <c r="O5315" s="12" t="n">
        <v>1</v>
      </c>
      <c r="P5315" s="12" t="n"/>
      <c r="Q5315" s="12" t="n"/>
      <c r="R5315" s="12" t="n"/>
      <c r="S5315" s="12" t="inlineStr">
        <is>
          <t>Tray / conduit</t>
        </is>
      </c>
      <c r="T5315" s="17" t="n">
        <v>190</v>
      </c>
      <c r="U5315" s="17" t="n">
        <v>10</v>
      </c>
      <c r="V5315" s="17">
        <f>ROUNDUP((T5315+U5315+2*'Read Me'!$B$13)*(1+'Read Me'!$B$12),-1)</f>
        <v/>
      </c>
      <c r="W5315" s="17">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J-I-0026</t>
        </is>
      </c>
      <c r="B5316" s="12" t="inlineStr">
        <is>
          <t>J</t>
        </is>
      </c>
      <c r="C5316" s="12" t="inlineStr">
        <is>
          <t>GT inlet chilling</t>
        </is>
      </c>
      <c r="D5316" s="12" t="inlineStr">
        <is>
          <t>Home run JB-Chillers x6 (water-AI05 to the control / marshalling room</t>
        </is>
      </c>
      <c r="E5316" s="12" t="inlineStr"/>
      <c r="F5316" s="12" t="inlineStr">
        <is>
          <t>Inlet-chilling e-house / transformer</t>
        </is>
      </c>
      <c r="G5316" s="12" t="inlineStr">
        <is>
          <t>JB-Chillers x6 (water-AI05</t>
        </is>
      </c>
      <c r="H5316" s="12" t="inlineStr">
        <is>
          <t>Chillers x6 (water-cooled)</t>
        </is>
      </c>
      <c r="I5316" s="12" t="inlineStr">
        <is>
          <t>Instrumentation</t>
        </is>
      </c>
      <c r="J5316" s="12" t="inlineStr">
        <is>
          <t>Instrumentation PLTC / TC-ER 300 V, #18 twisted shielded pairs, overall shield</t>
        </is>
      </c>
      <c r="K5316" s="12" t="inlineStr">
        <is>
          <t>PLTC|24 pr|18</t>
        </is>
      </c>
      <c r="L5316" s="12" t="inlineStr">
        <is>
          <t>24 pr</t>
        </is>
      </c>
      <c r="M5316" s="12" t="inlineStr">
        <is>
          <t>18</t>
        </is>
      </c>
      <c r="N5316" s="12" t="n">
        <v>1</v>
      </c>
      <c r="O5316" s="12" t="n">
        <v>1</v>
      </c>
      <c r="P5316" s="12" t="n"/>
      <c r="Q5316" s="12" t="n"/>
      <c r="R5316" s="12" t="n"/>
      <c r="S5316" s="12" t="inlineStr">
        <is>
          <t>Duct bank</t>
        </is>
      </c>
      <c r="T5316" s="17" t="n">
        <v>10</v>
      </c>
      <c r="U5316" s="17" t="n">
        <v>32</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J-I-0027</t>
        </is>
      </c>
      <c r="B5317" s="12" t="inlineStr">
        <is>
          <t>J</t>
        </is>
      </c>
      <c r="C5317" s="12" t="inlineStr">
        <is>
          <t>GT inlet chilling</t>
        </is>
      </c>
      <c r="D5317" s="12" t="inlineStr">
        <is>
          <t>Analog instrument to JB JB-Chillers x6 (water-AI06: 20 x 1 pr (field cables)</t>
        </is>
      </c>
      <c r="E5317" s="12" t="inlineStr"/>
      <c r="F5317" s="12" t="inlineStr">
        <is>
          <t>Chillers x6 (water-cooled)</t>
        </is>
      </c>
      <c r="G5317" s="12" t="inlineStr">
        <is>
          <t>JB-Chillers x6 (water-AI06</t>
        </is>
      </c>
      <c r="H5317" s="12" t="inlineStr">
        <is>
          <t>Chillers x6 (water-cooled)</t>
        </is>
      </c>
      <c r="I5317" s="12" t="inlineStr">
        <is>
          <t>Instrumentation</t>
        </is>
      </c>
      <c r="J5317" s="12" t="inlineStr">
        <is>
          <t>Instrumentation PLTC / TC-ER 300 V, #18 twisted shielded pairs, overall shield</t>
        </is>
      </c>
      <c r="K5317" s="12" t="inlineStr">
        <is>
          <t>PLTC|1 pr|16</t>
        </is>
      </c>
      <c r="L5317" s="12" t="inlineStr">
        <is>
          <t>1 pr</t>
        </is>
      </c>
      <c r="M5317" s="12" t="inlineStr">
        <is>
          <t>16</t>
        </is>
      </c>
      <c r="N5317" s="12" t="n">
        <v>20</v>
      </c>
      <c r="O5317" s="12" t="n">
        <v>1</v>
      </c>
      <c r="P5317" s="12" t="n"/>
      <c r="Q5317" s="12" t="n"/>
      <c r="R5317" s="12" t="n"/>
      <c r="S5317" s="12" t="inlineStr">
        <is>
          <t>Tray / conduit</t>
        </is>
      </c>
      <c r="T5317" s="17" t="n">
        <v>190</v>
      </c>
      <c r="U5317" s="17" t="n">
        <v>10</v>
      </c>
      <c r="V5317" s="17">
        <f>ROUNDUP((T5317+U5317+2*'Read Me'!$B$13)*(1+'Read Me'!$B$12),-1)</f>
        <v/>
      </c>
      <c r="W5317" s="17">
        <f>V5317*N5317*O5317</f>
        <v/>
      </c>
      <c r="X5317" s="12">
        <f>IF(LEFT(I5317,2)="MV",2*N5317*IF(L5317="1/C",O5317,1),0)</f>
        <v/>
      </c>
      <c r="Y5317" s="12">
        <f>IF(OR(LEFT(K5317,4)="LVAX",LEFT(K5317,6)="MV15AX",LEFT(K5317,4)="CTAX",LEFT(K5317,2)="W|"),2*N5317*O5317,0)</f>
        <v/>
      </c>
      <c r="Z5317" s="12" t="inlineStr">
        <is>
          <t>device-to-JB field wiring, one cable per device</t>
        </is>
      </c>
      <c r="AA5317" s="12">
        <f>N5317*O5317</f>
        <v/>
      </c>
    </row>
    <row r="5318">
      <c r="A5318" s="12" t="inlineStr">
        <is>
          <t>J-I-0028</t>
        </is>
      </c>
      <c r="B5318" s="12" t="inlineStr">
        <is>
          <t>J</t>
        </is>
      </c>
      <c r="C5318" s="12" t="inlineStr">
        <is>
          <t>GT inlet chilling</t>
        </is>
      </c>
      <c r="D5318" s="12" t="inlineStr">
        <is>
          <t>Home run JB-Chillers x6 (water-AI06 to the control / marshalling room</t>
        </is>
      </c>
      <c r="E5318" s="12" t="inlineStr"/>
      <c r="F5318" s="12" t="inlineStr">
        <is>
          <t>Inlet-chilling e-house / transformer</t>
        </is>
      </c>
      <c r="G5318" s="12" t="inlineStr">
        <is>
          <t>JB-Chillers x6 (water-AI06</t>
        </is>
      </c>
      <c r="H5318" s="12" t="inlineStr">
        <is>
          <t>Chillers x6 (water-cooled)</t>
        </is>
      </c>
      <c r="I5318" s="12" t="inlineStr">
        <is>
          <t>Instrumentation</t>
        </is>
      </c>
      <c r="J5318" s="12" t="inlineStr">
        <is>
          <t>Instrumentation PLTC / TC-ER 300 V, #18 twisted shielded pairs, overall shield</t>
        </is>
      </c>
      <c r="K5318" s="12" t="inlineStr">
        <is>
          <t>PLTC|24 pr|18</t>
        </is>
      </c>
      <c r="L5318" s="12" t="inlineStr">
        <is>
          <t>24 pr</t>
        </is>
      </c>
      <c r="M5318" s="12" t="inlineStr">
        <is>
          <t>18</t>
        </is>
      </c>
      <c r="N5318" s="12" t="n">
        <v>1</v>
      </c>
      <c r="O5318" s="12" t="n">
        <v>1</v>
      </c>
      <c r="P5318" s="12" t="n"/>
      <c r="Q5318" s="12" t="n"/>
      <c r="R5318" s="12" t="n"/>
      <c r="S5318" s="12" t="inlineStr">
        <is>
          <t>Duct bank</t>
        </is>
      </c>
      <c r="T5318" s="17" t="n">
        <v>10</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c r="AA5318" s="12">
        <f>N5318*O5318</f>
        <v/>
      </c>
    </row>
    <row r="5319">
      <c r="A5319" s="12" t="inlineStr">
        <is>
          <t>J-I-0029</t>
        </is>
      </c>
      <c r="B5319" s="12" t="inlineStr">
        <is>
          <t>J</t>
        </is>
      </c>
      <c r="C5319" s="12" t="inlineStr">
        <is>
          <t>GT inlet chilling</t>
        </is>
      </c>
      <c r="D5319" s="12" t="inlineStr">
        <is>
          <t>Discrete device to JB JB-Chillers x6 (water-DI01: 20 x 1 pr (field cables)</t>
        </is>
      </c>
      <c r="E5319" s="12" t="inlineStr"/>
      <c r="F5319" s="12" t="inlineStr">
        <is>
          <t>Chillers x6 (water-cooled)</t>
        </is>
      </c>
      <c r="G5319" s="12" t="inlineStr">
        <is>
          <t>JB-Chillers x6 (water-DI01</t>
        </is>
      </c>
      <c r="H5319" s="12" t="inlineStr">
        <is>
          <t>Chillers x6 (water-cooled)</t>
        </is>
      </c>
      <c r="I5319" s="12" t="inlineStr">
        <is>
          <t>Instrumentation</t>
        </is>
      </c>
      <c r="J5319" s="12" t="inlineStr">
        <is>
          <t>Instrumentation PLTC / TC-ER 300 V, #18 twisted shielded pairs, overall shield</t>
        </is>
      </c>
      <c r="K5319" s="12" t="inlineStr">
        <is>
          <t>PLTC|1 pr|16</t>
        </is>
      </c>
      <c r="L5319" s="12" t="inlineStr">
        <is>
          <t>1 pr</t>
        </is>
      </c>
      <c r="M5319" s="12" t="inlineStr">
        <is>
          <t>16</t>
        </is>
      </c>
      <c r="N5319" s="12" t="n">
        <v>20</v>
      </c>
      <c r="O5319" s="12" t="n">
        <v>1</v>
      </c>
      <c r="P5319" s="12" t="n"/>
      <c r="Q5319" s="12" t="n"/>
      <c r="R5319" s="12" t="n"/>
      <c r="S5319" s="12" t="inlineStr">
        <is>
          <t>Tray / conduit</t>
        </is>
      </c>
      <c r="T5319" s="17" t="n">
        <v>190</v>
      </c>
      <c r="U5319" s="17" t="n">
        <v>10</v>
      </c>
      <c r="V5319" s="17">
        <f>ROUNDUP((T5319+U5319+2*'Read Me'!$B$13)*(1+'Read Me'!$B$12),-1)</f>
        <v/>
      </c>
      <c r="W5319" s="17">
        <f>V5319*N5319*O5319</f>
        <v/>
      </c>
      <c r="X5319" s="12">
        <f>IF(LEFT(I5319,2)="MV",2*N5319*IF(L5319="1/C",O5319,1),0)</f>
        <v/>
      </c>
      <c r="Y5319" s="12">
        <f>IF(OR(LEFT(K5319,4)="LVAX",LEFT(K5319,6)="MV15AX",LEFT(K5319,4)="CTAX",LEFT(K5319,2)="W|"),2*N5319*O5319,0)</f>
        <v/>
      </c>
      <c r="Z5319" s="12" t="inlineStr">
        <is>
          <t>device-to-JB field wiring, one cable per device</t>
        </is>
      </c>
      <c r="AA5319" s="12">
        <f>N5319*O5319</f>
        <v/>
      </c>
    </row>
    <row r="5320">
      <c r="A5320" s="12" t="inlineStr">
        <is>
          <t>J-I-0030</t>
        </is>
      </c>
      <c r="B5320" s="12" t="inlineStr">
        <is>
          <t>J</t>
        </is>
      </c>
      <c r="C5320" s="12" t="inlineStr">
        <is>
          <t>GT inlet chilling</t>
        </is>
      </c>
      <c r="D5320" s="12" t="inlineStr">
        <is>
          <t>Home run JB-Chillers x6 (water-DI01 to the control / marshalling room</t>
        </is>
      </c>
      <c r="E5320" s="12" t="inlineStr"/>
      <c r="F5320" s="12" t="inlineStr">
        <is>
          <t>Inlet-chilling e-house / transformer</t>
        </is>
      </c>
      <c r="G5320" s="12" t="inlineStr">
        <is>
          <t>JB-Chillers x6 (water-DI01</t>
        </is>
      </c>
      <c r="H5320" s="12" t="inlineStr">
        <is>
          <t>Chillers x6 (water-cooled)</t>
        </is>
      </c>
      <c r="I5320" s="12" t="inlineStr">
        <is>
          <t>Instrumentation</t>
        </is>
      </c>
      <c r="J5320" s="12" t="inlineStr">
        <is>
          <t>Instrumentation PLTC / TC-ER 300 V, #18 twisted shielded pairs, overall shield</t>
        </is>
      </c>
      <c r="K5320" s="12" t="inlineStr">
        <is>
          <t>PLTC|24 pr|18</t>
        </is>
      </c>
      <c r="L5320" s="12" t="inlineStr">
        <is>
          <t>24 pr</t>
        </is>
      </c>
      <c r="M5320" s="12" t="inlineStr">
        <is>
          <t>18</t>
        </is>
      </c>
      <c r="N5320" s="12" t="n">
        <v>1</v>
      </c>
      <c r="O5320" s="12" t="n">
        <v>1</v>
      </c>
      <c r="P5320" s="12" t="n"/>
      <c r="Q5320" s="12" t="n"/>
      <c r="R5320" s="12" t="n"/>
      <c r="S5320" s="12" t="inlineStr">
        <is>
          <t>Duct bank</t>
        </is>
      </c>
      <c r="T5320" s="17" t="n">
        <v>10</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c r="AA5320" s="12">
        <f>N5320*O5320</f>
        <v/>
      </c>
    </row>
    <row r="5321">
      <c r="A5321" s="12" t="inlineStr">
        <is>
          <t>J-I-0031</t>
        </is>
      </c>
      <c r="B5321" s="12" t="inlineStr">
        <is>
          <t>J</t>
        </is>
      </c>
      <c r="C5321" s="12" t="inlineStr">
        <is>
          <t>GT inlet chilling</t>
        </is>
      </c>
      <c r="D5321" s="12" t="inlineStr">
        <is>
          <t>Discrete device to JB JB-Chillers x6 (water-DI02: 20 x 1 pr (field cables)</t>
        </is>
      </c>
      <c r="E5321" s="12" t="inlineStr"/>
      <c r="F5321" s="12" t="inlineStr">
        <is>
          <t>Chillers x6 (water-cooled)</t>
        </is>
      </c>
      <c r="G5321" s="12" t="inlineStr">
        <is>
          <t>JB-Chillers x6 (water-DI02</t>
        </is>
      </c>
      <c r="H5321" s="12" t="inlineStr">
        <is>
          <t>Chillers x6 (water-cooled)</t>
        </is>
      </c>
      <c r="I5321" s="12" t="inlineStr">
        <is>
          <t>Instrumentation</t>
        </is>
      </c>
      <c r="J5321" s="12" t="inlineStr">
        <is>
          <t>Instrumentation PLTC / TC-ER 300 V, #18 twisted shielded pairs, overall shield</t>
        </is>
      </c>
      <c r="K5321" s="12" t="inlineStr">
        <is>
          <t>PLTC|1 pr|16</t>
        </is>
      </c>
      <c r="L5321" s="12" t="inlineStr">
        <is>
          <t>1 pr</t>
        </is>
      </c>
      <c r="M5321" s="12" t="inlineStr">
        <is>
          <t>16</t>
        </is>
      </c>
      <c r="N5321" s="12" t="n">
        <v>20</v>
      </c>
      <c r="O5321" s="12" t="n">
        <v>1</v>
      </c>
      <c r="P5321" s="12" t="n"/>
      <c r="Q5321" s="12" t="n"/>
      <c r="R5321" s="12" t="n"/>
      <c r="S5321" s="12" t="inlineStr">
        <is>
          <t>Tray / conduit</t>
        </is>
      </c>
      <c r="T5321" s="17" t="n">
        <v>190</v>
      </c>
      <c r="U5321" s="17" t="n">
        <v>10</v>
      </c>
      <c r="V5321" s="17">
        <f>ROUNDUP((T5321+U5321+2*'Read Me'!$B$13)*(1+'Read Me'!$B$12),-1)</f>
        <v/>
      </c>
      <c r="W5321" s="17">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J-I-0032</t>
        </is>
      </c>
      <c r="B5322" s="12" t="inlineStr">
        <is>
          <t>J</t>
        </is>
      </c>
      <c r="C5322" s="12" t="inlineStr">
        <is>
          <t>GT inlet chilling</t>
        </is>
      </c>
      <c r="D5322" s="12" t="inlineStr">
        <is>
          <t>Home run JB-Chillers x6 (water-DI02 to the control / marshalling room</t>
        </is>
      </c>
      <c r="E5322" s="12" t="inlineStr"/>
      <c r="F5322" s="12" t="inlineStr">
        <is>
          <t>Inlet-chilling e-house / transformer</t>
        </is>
      </c>
      <c r="G5322" s="12" t="inlineStr">
        <is>
          <t>JB-Chillers x6 (water-DI02</t>
        </is>
      </c>
      <c r="H5322" s="12" t="inlineStr">
        <is>
          <t>Chillers x6 (water-cooled)</t>
        </is>
      </c>
      <c r="I5322" s="12" t="inlineStr">
        <is>
          <t>Instrumentation</t>
        </is>
      </c>
      <c r="J5322" s="12" t="inlineStr">
        <is>
          <t>Instrumentation PLTC / TC-ER 300 V, #18 twisted shielded pairs, overall shield</t>
        </is>
      </c>
      <c r="K5322" s="12" t="inlineStr">
        <is>
          <t>PLTC|24 pr|18</t>
        </is>
      </c>
      <c r="L5322" s="12" t="inlineStr">
        <is>
          <t>24 pr</t>
        </is>
      </c>
      <c r="M5322" s="12" t="inlineStr">
        <is>
          <t>18</t>
        </is>
      </c>
      <c r="N5322" s="12" t="n">
        <v>1</v>
      </c>
      <c r="O5322" s="12" t="n">
        <v>1</v>
      </c>
      <c r="P5322" s="12" t="n"/>
      <c r="Q5322" s="12" t="n"/>
      <c r="R5322" s="12" t="n"/>
      <c r="S5322" s="12" t="inlineStr">
        <is>
          <t>Duct bank</t>
        </is>
      </c>
      <c r="T5322" s="17" t="n">
        <v>10</v>
      </c>
      <c r="U5322" s="17" t="n">
        <v>32</v>
      </c>
      <c r="V5322" s="17">
        <f>ROUNDUP((T5322+U5322+2*'Read Me'!$B$13)*(1+'Read Me'!$B$12),-1)</f>
        <v/>
      </c>
      <c r="W5322" s="17">
        <f>V5322*N5322*O5322</f>
        <v/>
      </c>
      <c r="X5322" s="12">
        <f>IF(LEFT(I5322,2)="MV",2*N5322*IF(L5322="1/C",O5322,1),0)</f>
        <v/>
      </c>
      <c r="Y5322" s="12">
        <f>IF(OR(LEFT(K5322,4)="LVAX",LEFT(K5322,6)="MV15AX",LEFT(K5322,4)="CTAX",LEFT(K5322,2)="W|"),2*N5322*O5322,0)</f>
        <v/>
      </c>
      <c r="Z5322" s="12" t="inlineStr"/>
      <c r="AA5322" s="12">
        <f>N5322*O5322</f>
        <v/>
      </c>
    </row>
    <row r="5323">
      <c r="A5323" s="12" t="inlineStr">
        <is>
          <t>J-I-0033</t>
        </is>
      </c>
      <c r="B5323" s="12" t="inlineStr">
        <is>
          <t>J</t>
        </is>
      </c>
      <c r="C5323" s="12" t="inlineStr">
        <is>
          <t>GT inlet chilling</t>
        </is>
      </c>
      <c r="D5323" s="12" t="inlineStr">
        <is>
          <t>Discrete device to JB JB-Chillers x6 (water-DI03: 20 x 1 pr (field cables)</t>
        </is>
      </c>
      <c r="E5323" s="12" t="inlineStr"/>
      <c r="F5323" s="12" t="inlineStr">
        <is>
          <t>Chillers x6 (water-cooled)</t>
        </is>
      </c>
      <c r="G5323" s="12" t="inlineStr">
        <is>
          <t>JB-Chillers x6 (water-DI03</t>
        </is>
      </c>
      <c r="H5323" s="12" t="inlineStr">
        <is>
          <t>Chillers x6 (water-cooled)</t>
        </is>
      </c>
      <c r="I5323" s="12" t="inlineStr">
        <is>
          <t>Instrumentation</t>
        </is>
      </c>
      <c r="J5323" s="12" t="inlineStr">
        <is>
          <t>Instrumentation PLTC / TC-ER 300 V, #18 twisted shielded pairs, overall shield</t>
        </is>
      </c>
      <c r="K5323" s="12" t="inlineStr">
        <is>
          <t>PLTC|1 pr|16</t>
        </is>
      </c>
      <c r="L5323" s="12" t="inlineStr">
        <is>
          <t>1 pr</t>
        </is>
      </c>
      <c r="M5323" s="12" t="inlineStr">
        <is>
          <t>16</t>
        </is>
      </c>
      <c r="N5323" s="12" t="n">
        <v>20</v>
      </c>
      <c r="O5323" s="12" t="n">
        <v>1</v>
      </c>
      <c r="P5323" s="12" t="n"/>
      <c r="Q5323" s="12" t="n"/>
      <c r="R5323" s="12" t="n"/>
      <c r="S5323" s="12" t="inlineStr">
        <is>
          <t>Tray / conduit</t>
        </is>
      </c>
      <c r="T5323" s="17" t="n">
        <v>190</v>
      </c>
      <c r="U5323" s="17" t="n">
        <v>10</v>
      </c>
      <c r="V5323" s="17">
        <f>ROUNDUP((T5323+U5323+2*'Read Me'!$B$13)*(1+'Read Me'!$B$12),-1)</f>
        <v/>
      </c>
      <c r="W5323" s="17">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J-I-0034</t>
        </is>
      </c>
      <c r="B5324" s="12" t="inlineStr">
        <is>
          <t>J</t>
        </is>
      </c>
      <c r="C5324" s="12" t="inlineStr">
        <is>
          <t>GT inlet chilling</t>
        </is>
      </c>
      <c r="D5324" s="12" t="inlineStr">
        <is>
          <t>Home run JB-Chillers x6 (water-DI03 to the control / marshalling room</t>
        </is>
      </c>
      <c r="E5324" s="12" t="inlineStr"/>
      <c r="F5324" s="12" t="inlineStr">
        <is>
          <t>Inlet-chilling e-house / transformer</t>
        </is>
      </c>
      <c r="G5324" s="12" t="inlineStr">
        <is>
          <t>JB-Chillers x6 (water-DI03</t>
        </is>
      </c>
      <c r="H5324" s="12" t="inlineStr">
        <is>
          <t>Chillers x6 (water-cooled)</t>
        </is>
      </c>
      <c r="I5324" s="12" t="inlineStr">
        <is>
          <t>Instrumentation</t>
        </is>
      </c>
      <c r="J5324" s="12" t="inlineStr">
        <is>
          <t>Instrumentation PLTC / TC-ER 300 V, #18 twisted shielded pairs, overall shield</t>
        </is>
      </c>
      <c r="K5324" s="12" t="inlineStr">
        <is>
          <t>PLTC|24 pr|18</t>
        </is>
      </c>
      <c r="L5324" s="12" t="inlineStr">
        <is>
          <t>24 pr</t>
        </is>
      </c>
      <c r="M5324" s="12" t="inlineStr">
        <is>
          <t>18</t>
        </is>
      </c>
      <c r="N5324" s="12" t="n">
        <v>1</v>
      </c>
      <c r="O5324" s="12" t="n">
        <v>1</v>
      </c>
      <c r="P5324" s="12" t="n"/>
      <c r="Q5324" s="12" t="n"/>
      <c r="R5324" s="12" t="n"/>
      <c r="S5324" s="12" t="inlineStr">
        <is>
          <t>Duct bank</t>
        </is>
      </c>
      <c r="T5324" s="17" t="n">
        <v>10</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J-I-0035</t>
        </is>
      </c>
      <c r="B5325" s="12" t="inlineStr">
        <is>
          <t>J</t>
        </is>
      </c>
      <c r="C5325" s="12" t="inlineStr">
        <is>
          <t>GT inlet chilling</t>
        </is>
      </c>
      <c r="D5325" s="12" t="inlineStr">
        <is>
          <t>Discrete device to JB JB-Chillers x6 (water-DI04: 20 x 1 pr (field cables)</t>
        </is>
      </c>
      <c r="E5325" s="12" t="inlineStr"/>
      <c r="F5325" s="12" t="inlineStr">
        <is>
          <t>Chillers x6 (water-cooled)</t>
        </is>
      </c>
      <c r="G5325" s="12" t="inlineStr">
        <is>
          <t>JB-Chillers x6 (water-DI04</t>
        </is>
      </c>
      <c r="H5325" s="12" t="inlineStr">
        <is>
          <t>Chillers x6 (water-cooled)</t>
        </is>
      </c>
      <c r="I5325" s="12" t="inlineStr">
        <is>
          <t>Instrumentation</t>
        </is>
      </c>
      <c r="J5325" s="12" t="inlineStr">
        <is>
          <t>Instrumentation PLTC / TC-ER 300 V, #18 twisted shielded pairs, overall shield</t>
        </is>
      </c>
      <c r="K5325" s="12" t="inlineStr">
        <is>
          <t>PLTC|1 pr|16</t>
        </is>
      </c>
      <c r="L5325" s="12" t="inlineStr">
        <is>
          <t>1 pr</t>
        </is>
      </c>
      <c r="M5325" s="12" t="inlineStr">
        <is>
          <t>16</t>
        </is>
      </c>
      <c r="N5325" s="12" t="n">
        <v>20</v>
      </c>
      <c r="O5325" s="12" t="n">
        <v>1</v>
      </c>
      <c r="P5325" s="12" t="n"/>
      <c r="Q5325" s="12" t="n"/>
      <c r="R5325" s="12" t="n"/>
      <c r="S5325" s="12" t="inlineStr">
        <is>
          <t>Tray / conduit</t>
        </is>
      </c>
      <c r="T5325" s="17" t="n">
        <v>190</v>
      </c>
      <c r="U5325" s="17" t="n">
        <v>10</v>
      </c>
      <c r="V5325" s="17">
        <f>ROUNDUP((T5325+U5325+2*'Read Me'!$B$13)*(1+'Read Me'!$B$12),-1)</f>
        <v/>
      </c>
      <c r="W5325" s="17">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J-I-0036</t>
        </is>
      </c>
      <c r="B5326" s="12" t="inlineStr">
        <is>
          <t>J</t>
        </is>
      </c>
      <c r="C5326" s="12" t="inlineStr">
        <is>
          <t>GT inlet chilling</t>
        </is>
      </c>
      <c r="D5326" s="12" t="inlineStr">
        <is>
          <t>Home run JB-Chillers x6 (water-DI04 to the control / marshalling room</t>
        </is>
      </c>
      <c r="E5326" s="12" t="inlineStr"/>
      <c r="F5326" s="12" t="inlineStr">
        <is>
          <t>Inlet-chilling e-house / transformer</t>
        </is>
      </c>
      <c r="G5326" s="12" t="inlineStr">
        <is>
          <t>JB-Chillers x6 (water-DI04</t>
        </is>
      </c>
      <c r="H5326" s="12" t="inlineStr">
        <is>
          <t>Chillers x6 (water-cooled)</t>
        </is>
      </c>
      <c r="I5326" s="12" t="inlineStr">
        <is>
          <t>Instrumentation</t>
        </is>
      </c>
      <c r="J5326" s="12" t="inlineStr">
        <is>
          <t>Instrumentation PLTC / TC-ER 300 V, #18 twisted shielded pairs, overall shield</t>
        </is>
      </c>
      <c r="K5326" s="12" t="inlineStr">
        <is>
          <t>PLTC|24 pr|18</t>
        </is>
      </c>
      <c r="L5326" s="12" t="inlineStr">
        <is>
          <t>24 pr</t>
        </is>
      </c>
      <c r="M5326" s="12" t="inlineStr">
        <is>
          <t>18</t>
        </is>
      </c>
      <c r="N5326" s="12" t="n">
        <v>1</v>
      </c>
      <c r="O5326" s="12" t="n">
        <v>1</v>
      </c>
      <c r="P5326" s="12" t="n"/>
      <c r="Q5326" s="12" t="n"/>
      <c r="R5326" s="12" t="n"/>
      <c r="S5326" s="12" t="inlineStr">
        <is>
          <t>Duct bank</t>
        </is>
      </c>
      <c r="T5326" s="17" t="n">
        <v>10</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J-I-0037</t>
        </is>
      </c>
      <c r="B5327" s="12" t="inlineStr">
        <is>
          <t>J</t>
        </is>
      </c>
      <c r="C5327" s="12" t="inlineStr">
        <is>
          <t>GT inlet chilling</t>
        </is>
      </c>
      <c r="D5327" s="12" t="inlineStr">
        <is>
          <t>Discrete device to JB JB-Chillers x6 (water-DI05: 20 x 1 pr (field cables)</t>
        </is>
      </c>
      <c r="E5327" s="12" t="inlineStr"/>
      <c r="F5327" s="12" t="inlineStr">
        <is>
          <t>Chillers x6 (water-cooled)</t>
        </is>
      </c>
      <c r="G5327" s="12" t="inlineStr">
        <is>
          <t>JB-Chillers x6 (water-DI05</t>
        </is>
      </c>
      <c r="H5327" s="12" t="inlineStr">
        <is>
          <t>Chillers x6 (water-cooled)</t>
        </is>
      </c>
      <c r="I5327" s="12" t="inlineStr">
        <is>
          <t>Instrumentation</t>
        </is>
      </c>
      <c r="J5327" s="12" t="inlineStr">
        <is>
          <t>Instrumentation PLTC / TC-ER 300 V, #18 twisted shielded pairs, overall shield</t>
        </is>
      </c>
      <c r="K5327" s="12" t="inlineStr">
        <is>
          <t>PLTC|1 pr|16</t>
        </is>
      </c>
      <c r="L5327" s="12" t="inlineStr">
        <is>
          <t>1 pr</t>
        </is>
      </c>
      <c r="M5327" s="12" t="inlineStr">
        <is>
          <t>16</t>
        </is>
      </c>
      <c r="N5327" s="12" t="n">
        <v>20</v>
      </c>
      <c r="O5327" s="12" t="n">
        <v>1</v>
      </c>
      <c r="P5327" s="12" t="n"/>
      <c r="Q5327" s="12" t="n"/>
      <c r="R5327" s="12" t="n"/>
      <c r="S5327" s="12" t="inlineStr">
        <is>
          <t>Tray / conduit</t>
        </is>
      </c>
      <c r="T5327" s="17" t="n">
        <v>190</v>
      </c>
      <c r="U5327" s="17" t="n">
        <v>10</v>
      </c>
      <c r="V5327" s="17">
        <f>ROUNDUP((T5327+U5327+2*'Read Me'!$B$13)*(1+'Read Me'!$B$12),-1)</f>
        <v/>
      </c>
      <c r="W5327" s="17">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J-I-0038</t>
        </is>
      </c>
      <c r="B5328" s="12" t="inlineStr">
        <is>
          <t>J</t>
        </is>
      </c>
      <c r="C5328" s="12" t="inlineStr">
        <is>
          <t>GT inlet chilling</t>
        </is>
      </c>
      <c r="D5328" s="12" t="inlineStr">
        <is>
          <t>Home run JB-Chillers x6 (water-DI05 to the control / marshalling room</t>
        </is>
      </c>
      <c r="E5328" s="12" t="inlineStr"/>
      <c r="F5328" s="12" t="inlineStr">
        <is>
          <t>Inlet-chilling e-house / transformer</t>
        </is>
      </c>
      <c r="G5328" s="12" t="inlineStr">
        <is>
          <t>JB-Chillers x6 (water-DI05</t>
        </is>
      </c>
      <c r="H5328" s="12" t="inlineStr">
        <is>
          <t>Chillers x6 (water-cooled)</t>
        </is>
      </c>
      <c r="I5328" s="12" t="inlineStr">
        <is>
          <t>Instrumentation</t>
        </is>
      </c>
      <c r="J5328" s="12" t="inlineStr">
        <is>
          <t>Instrumentation PLTC / TC-ER 300 V, #18 twisted shielded pairs, overall shield</t>
        </is>
      </c>
      <c r="K5328" s="12" t="inlineStr">
        <is>
          <t>PLTC|24 pr|18</t>
        </is>
      </c>
      <c r="L5328" s="12" t="inlineStr">
        <is>
          <t>24 pr</t>
        </is>
      </c>
      <c r="M5328" s="12" t="inlineStr">
        <is>
          <t>18</t>
        </is>
      </c>
      <c r="N5328" s="12" t="n">
        <v>1</v>
      </c>
      <c r="O5328" s="12" t="n">
        <v>1</v>
      </c>
      <c r="P5328" s="12" t="n"/>
      <c r="Q5328" s="12" t="n"/>
      <c r="R5328" s="12" t="n"/>
      <c r="S5328" s="12" t="inlineStr">
        <is>
          <t>Duct bank</t>
        </is>
      </c>
      <c r="T5328" s="17" t="n">
        <v>10</v>
      </c>
      <c r="U5328" s="17" t="n">
        <v>32</v>
      </c>
      <c r="V5328" s="17">
        <f>ROUNDUP((T5328+U5328+2*'Read Me'!$B$13)*(1+'Read Me'!$B$12),-1)</f>
        <v/>
      </c>
      <c r="W5328" s="17">
        <f>V5328*N5328*O5328</f>
        <v/>
      </c>
      <c r="X5328" s="12">
        <f>IF(LEFT(I5328,2)="MV",2*N5328*IF(L5328="1/C",O5328,1),0)</f>
        <v/>
      </c>
      <c r="Y5328" s="12">
        <f>IF(OR(LEFT(K5328,4)="LVAX",LEFT(K5328,6)="MV15AX",LEFT(K5328,4)="CTAX",LEFT(K5328,2)="W|"),2*N5328*O5328,0)</f>
        <v/>
      </c>
      <c r="Z5328" s="12" t="inlineStr"/>
      <c r="AA5328" s="12">
        <f>N5328*O5328</f>
        <v/>
      </c>
    </row>
    <row r="5329">
      <c r="A5329" s="12" t="inlineStr">
        <is>
          <t>J-I-0039</t>
        </is>
      </c>
      <c r="B5329" s="12" t="inlineStr">
        <is>
          <t>J</t>
        </is>
      </c>
      <c r="C5329" s="12" t="inlineStr">
        <is>
          <t>GT inlet chilling</t>
        </is>
      </c>
      <c r="D5329" s="12" t="inlineStr">
        <is>
          <t>Discrete device to JB JB-Chillers x6 (water-DI06: 20 x 1 pr (field cables)</t>
        </is>
      </c>
      <c r="E5329" s="12" t="inlineStr"/>
      <c r="F5329" s="12" t="inlineStr">
        <is>
          <t>Chillers x6 (water-cooled)</t>
        </is>
      </c>
      <c r="G5329" s="12" t="inlineStr">
        <is>
          <t>JB-Chillers x6 (water-DI06</t>
        </is>
      </c>
      <c r="H5329" s="12" t="inlineStr">
        <is>
          <t>Chillers x6 (water-cooled)</t>
        </is>
      </c>
      <c r="I5329" s="12" t="inlineStr">
        <is>
          <t>Instrumentation</t>
        </is>
      </c>
      <c r="J5329" s="12" t="inlineStr">
        <is>
          <t>Instrumentation PLTC / TC-ER 300 V, #18 twisted shielded pairs, overall shield</t>
        </is>
      </c>
      <c r="K5329" s="12" t="inlineStr">
        <is>
          <t>PLTC|1 pr|16</t>
        </is>
      </c>
      <c r="L5329" s="12" t="inlineStr">
        <is>
          <t>1 pr</t>
        </is>
      </c>
      <c r="M5329" s="12" t="inlineStr">
        <is>
          <t>16</t>
        </is>
      </c>
      <c r="N5329" s="12" t="n">
        <v>20</v>
      </c>
      <c r="O5329" s="12" t="n">
        <v>1</v>
      </c>
      <c r="P5329" s="12" t="n"/>
      <c r="Q5329" s="12" t="n"/>
      <c r="R5329" s="12" t="n"/>
      <c r="S5329" s="12" t="inlineStr">
        <is>
          <t>Tray / conduit</t>
        </is>
      </c>
      <c r="T5329" s="17" t="n">
        <v>190</v>
      </c>
      <c r="U5329" s="17" t="n">
        <v>10</v>
      </c>
      <c r="V5329" s="17">
        <f>ROUNDUP((T5329+U5329+2*'Read Me'!$B$13)*(1+'Read Me'!$B$12),-1)</f>
        <v/>
      </c>
      <c r="W5329" s="17">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J-I-0040</t>
        </is>
      </c>
      <c r="B5330" s="12" t="inlineStr">
        <is>
          <t>J</t>
        </is>
      </c>
      <c r="C5330" s="12" t="inlineStr">
        <is>
          <t>GT inlet chilling</t>
        </is>
      </c>
      <c r="D5330" s="12" t="inlineStr">
        <is>
          <t>Home run JB-Chillers x6 (water-DI06 to the control / marshalling room</t>
        </is>
      </c>
      <c r="E5330" s="12" t="inlineStr"/>
      <c r="F5330" s="12" t="inlineStr">
        <is>
          <t>Inlet-chilling e-house / transformer</t>
        </is>
      </c>
      <c r="G5330" s="12" t="inlineStr">
        <is>
          <t>JB-Chillers x6 (water-DI06</t>
        </is>
      </c>
      <c r="H5330" s="12" t="inlineStr">
        <is>
          <t>Chillers x6 (water-cooled)</t>
        </is>
      </c>
      <c r="I5330" s="12" t="inlineStr">
        <is>
          <t>Instrumentation</t>
        </is>
      </c>
      <c r="J5330" s="12" t="inlineStr">
        <is>
          <t>Instrumentation PLTC / TC-ER 300 V, #18 twisted shielded pairs, overall shield</t>
        </is>
      </c>
      <c r="K5330" s="12" t="inlineStr">
        <is>
          <t>PLTC|24 pr|18</t>
        </is>
      </c>
      <c r="L5330" s="12" t="inlineStr">
        <is>
          <t>24 pr</t>
        </is>
      </c>
      <c r="M5330" s="12" t="inlineStr">
        <is>
          <t>18</t>
        </is>
      </c>
      <c r="N5330" s="12" t="n">
        <v>1</v>
      </c>
      <c r="O5330" s="12" t="n">
        <v>1</v>
      </c>
      <c r="P5330" s="12" t="n"/>
      <c r="Q5330" s="12" t="n"/>
      <c r="R5330" s="12" t="n"/>
      <c r="S5330" s="12" t="inlineStr">
        <is>
          <t>Duct bank</t>
        </is>
      </c>
      <c r="T5330" s="17" t="n">
        <v>10</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J-I-0041</t>
        </is>
      </c>
      <c r="B5331" s="12" t="inlineStr">
        <is>
          <t>J</t>
        </is>
      </c>
      <c r="C5331" s="12" t="inlineStr">
        <is>
          <t>GT inlet chilling</t>
        </is>
      </c>
      <c r="D5331" s="12" t="inlineStr">
        <is>
          <t>Instrumentation</t>
        </is>
      </c>
      <c r="E5331" s="12" t="inlineStr"/>
      <c r="F5331" s="12" t="inlineStr">
        <is>
          <t>Inlet-chilling e-house / transformer</t>
        </is>
      </c>
      <c r="G5331" s="12" t="inlineStr"/>
      <c r="H5331" s="12" t="inlineStr">
        <is>
          <t>Inlet-chilling e-house / transformer</t>
        </is>
      </c>
      <c r="I5331" s="12" t="inlineStr">
        <is>
          <t>Instrumentation</t>
        </is>
      </c>
      <c r="J5331" s="12" t="inlineStr">
        <is>
          <t>Instrumentation PLTC / TC-ER 300 V, #18 twisted shielded pairs, overall shield</t>
        </is>
      </c>
      <c r="K5331" s="12" t="inlineStr">
        <is>
          <t>PLTC|4 pr|18</t>
        </is>
      </c>
      <c r="L5331" s="12" t="inlineStr">
        <is>
          <t>4 pr</t>
        </is>
      </c>
      <c r="M5331" s="12" t="inlineStr">
        <is>
          <t>18</t>
        </is>
      </c>
      <c r="N5331" s="12" t="n">
        <v>1</v>
      </c>
      <c r="O5331" s="12" t="n">
        <v>1</v>
      </c>
      <c r="P5331" s="12" t="n"/>
      <c r="Q5331" s="12" t="n"/>
      <c r="R5331" s="12" t="n"/>
      <c r="S5331" s="12" t="inlineStr">
        <is>
          <t>Tray</t>
        </is>
      </c>
      <c r="T5331" s="17" t="n">
        <v>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J-I-0042</t>
        </is>
      </c>
      <c r="B5332" s="12" t="inlineStr">
        <is>
          <t>J</t>
        </is>
      </c>
      <c r="C5332" s="12" t="inlineStr">
        <is>
          <t>GT inlet chilling</t>
        </is>
      </c>
      <c r="D5332" s="12" t="inlineStr">
        <is>
          <t>Analog instrument to JB JB-Inlet-chilling tow-AI01: 12 x 1 pr (field cables)</t>
        </is>
      </c>
      <c r="E5332" s="12" t="inlineStr"/>
      <c r="F5332" s="12" t="inlineStr">
        <is>
          <t>Inlet-chilling tower (12 cells): chiller heat rejection</t>
        </is>
      </c>
      <c r="G5332" s="12" t="inlineStr">
        <is>
          <t>JB-Inlet-chilling tow-AI01</t>
        </is>
      </c>
      <c r="H5332" s="12" t="inlineStr">
        <is>
          <t>Inlet-chilling tower (12 cells): chiller heat rejection</t>
        </is>
      </c>
      <c r="I5332" s="12" t="inlineStr">
        <is>
          <t>Instrumentation</t>
        </is>
      </c>
      <c r="J5332" s="12" t="inlineStr">
        <is>
          <t>Instrumentation PLTC / TC-ER 300 V, #18 twisted shielded pairs, overall shield</t>
        </is>
      </c>
      <c r="K5332" s="12" t="inlineStr">
        <is>
          <t>PLTC|1 pr|16</t>
        </is>
      </c>
      <c r="L5332" s="12" t="inlineStr">
        <is>
          <t>1 pr</t>
        </is>
      </c>
      <c r="M5332" s="12" t="inlineStr">
        <is>
          <t>16</t>
        </is>
      </c>
      <c r="N5332" s="12" t="n">
        <v>12</v>
      </c>
      <c r="O5332" s="12" t="n">
        <v>1</v>
      </c>
      <c r="P5332" s="12" t="n"/>
      <c r="Q5332" s="12" t="n"/>
      <c r="R5332" s="12" t="n"/>
      <c r="S5332" s="12" t="inlineStr">
        <is>
          <t>Tray / conduit</t>
        </is>
      </c>
      <c r="T5332" s="17" t="n">
        <v>205</v>
      </c>
      <c r="U5332" s="17" t="n">
        <v>10</v>
      </c>
      <c r="V5332" s="17">
        <f>ROUNDUP((T5332+U5332+2*'Read Me'!$B$13)*(1+'Read Me'!$B$12),-1)</f>
        <v/>
      </c>
      <c r="W5332" s="17">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J-I-0043</t>
        </is>
      </c>
      <c r="B5333" s="12" t="inlineStr">
        <is>
          <t>J</t>
        </is>
      </c>
      <c r="C5333" s="12" t="inlineStr">
        <is>
          <t>GT inlet chilling</t>
        </is>
      </c>
      <c r="D5333" s="12" t="inlineStr">
        <is>
          <t>Home run JB-Inlet-chilling tow-AI01 to the control / marshalling room</t>
        </is>
      </c>
      <c r="E5333" s="12" t="inlineStr"/>
      <c r="F5333" s="12" t="inlineStr">
        <is>
          <t>Inlet-chilling e-house / transformer</t>
        </is>
      </c>
      <c r="G5333" s="12" t="inlineStr">
        <is>
          <t>JB-Inlet-chilling tow-AI01</t>
        </is>
      </c>
      <c r="H5333" s="12" t="inlineStr">
        <is>
          <t>Inlet-chilling tower (12 cells): chiller heat rejection</t>
        </is>
      </c>
      <c r="I5333" s="12" t="inlineStr">
        <is>
          <t>Instrumentation</t>
        </is>
      </c>
      <c r="J5333" s="12" t="inlineStr">
        <is>
          <t>Instrumentation PLTC / TC-ER 300 V, #18 twisted shielded pairs, overall shield</t>
        </is>
      </c>
      <c r="K5333" s="12" t="inlineStr">
        <is>
          <t>PLTC|24 pr|18</t>
        </is>
      </c>
      <c r="L5333" s="12" t="inlineStr">
        <is>
          <t>24 pr</t>
        </is>
      </c>
      <c r="M5333" s="12" t="inlineStr">
        <is>
          <t>18</t>
        </is>
      </c>
      <c r="N5333" s="12" t="n">
        <v>1</v>
      </c>
      <c r="O5333" s="12" t="n">
        <v>1</v>
      </c>
      <c r="P5333" s="12" t="n"/>
      <c r="Q5333" s="12" t="n"/>
      <c r="R5333" s="12" t="n"/>
      <c r="S5333" s="12" t="inlineStr">
        <is>
          <t>Duct bank</t>
        </is>
      </c>
      <c r="T5333" s="17" t="n">
        <v>478</v>
      </c>
      <c r="U5333" s="17" t="n">
        <v>38</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J-I-0044</t>
        </is>
      </c>
      <c r="B5334" s="12" t="inlineStr">
        <is>
          <t>J</t>
        </is>
      </c>
      <c r="C5334" s="12" t="inlineStr">
        <is>
          <t>GT inlet chilling</t>
        </is>
      </c>
      <c r="D5334" s="12" t="inlineStr">
        <is>
          <t>Discrete device to JB JB-Inlet-chilling tow-DI01: 20 x 1 pr (field cables)</t>
        </is>
      </c>
      <c r="E5334" s="12" t="inlineStr"/>
      <c r="F5334" s="12" t="inlineStr">
        <is>
          <t>Inlet-chilling tower (12 cells): chiller heat rejection</t>
        </is>
      </c>
      <c r="G5334" s="12" t="inlineStr">
        <is>
          <t>JB-Inlet-chilling tow-DI01</t>
        </is>
      </c>
      <c r="H5334" s="12" t="inlineStr">
        <is>
          <t>Inlet-chilling tower (12 cells): chiller heat rejection</t>
        </is>
      </c>
      <c r="I5334" s="12" t="inlineStr">
        <is>
          <t>Instrumentation</t>
        </is>
      </c>
      <c r="J5334" s="12" t="inlineStr">
        <is>
          <t>Instrumentation PLTC / TC-ER 300 V, #18 twisted shielded pairs, overall shield</t>
        </is>
      </c>
      <c r="K5334" s="12" t="inlineStr">
        <is>
          <t>PLTC|1 pr|16</t>
        </is>
      </c>
      <c r="L5334" s="12" t="inlineStr">
        <is>
          <t>1 pr</t>
        </is>
      </c>
      <c r="M5334" s="12" t="inlineStr">
        <is>
          <t>16</t>
        </is>
      </c>
      <c r="N5334" s="12" t="n">
        <v>20</v>
      </c>
      <c r="O5334" s="12" t="n">
        <v>1</v>
      </c>
      <c r="P5334" s="12" t="n"/>
      <c r="Q5334" s="12" t="n"/>
      <c r="R5334" s="12" t="n"/>
      <c r="S5334" s="12" t="inlineStr">
        <is>
          <t>Tray / conduit</t>
        </is>
      </c>
      <c r="T5334" s="17" t="n">
        <v>205</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J-I-0045</t>
        </is>
      </c>
      <c r="B5335" s="12" t="inlineStr">
        <is>
          <t>J</t>
        </is>
      </c>
      <c r="C5335" s="12" t="inlineStr">
        <is>
          <t>GT inlet chilling</t>
        </is>
      </c>
      <c r="D5335" s="12" t="inlineStr">
        <is>
          <t>Home run JB-Inlet-chilling tow-DI01 to the control / marshalling room</t>
        </is>
      </c>
      <c r="E5335" s="12" t="inlineStr"/>
      <c r="F5335" s="12" t="inlineStr">
        <is>
          <t>Inlet-chilling e-house / transformer</t>
        </is>
      </c>
      <c r="G5335" s="12" t="inlineStr">
        <is>
          <t>JB-Inlet-chilling tow-DI01</t>
        </is>
      </c>
      <c r="H5335" s="12" t="inlineStr">
        <is>
          <t>Inlet-chilling tower (12 cells): chiller heat rejection</t>
        </is>
      </c>
      <c r="I5335" s="12" t="inlineStr">
        <is>
          <t>Instrumentation</t>
        </is>
      </c>
      <c r="J5335" s="12" t="inlineStr">
        <is>
          <t>Instrumentation PLTC / TC-ER 300 V, #18 twisted shielded pairs, overall shield</t>
        </is>
      </c>
      <c r="K5335" s="12" t="inlineStr">
        <is>
          <t>PLTC|24 pr|18</t>
        </is>
      </c>
      <c r="L5335" s="12" t="inlineStr">
        <is>
          <t>24 pr</t>
        </is>
      </c>
      <c r="M5335" s="12" t="inlineStr">
        <is>
          <t>18</t>
        </is>
      </c>
      <c r="N5335" s="12" t="n">
        <v>1</v>
      </c>
      <c r="O5335" s="12" t="n">
        <v>1</v>
      </c>
      <c r="P5335" s="12" t="n"/>
      <c r="Q5335" s="12" t="n"/>
      <c r="R5335" s="12" t="n"/>
      <c r="S5335" s="12" t="inlineStr">
        <is>
          <t>Duct bank</t>
        </is>
      </c>
      <c r="T5335" s="17" t="n">
        <v>478</v>
      </c>
      <c r="U5335" s="17" t="n">
        <v>38</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J-I-0046</t>
        </is>
      </c>
      <c r="B5336" s="12" t="inlineStr">
        <is>
          <t>J</t>
        </is>
      </c>
      <c r="C5336" s="12" t="inlineStr">
        <is>
          <t>GT inlet chilling</t>
        </is>
      </c>
      <c r="D5336" s="12" t="inlineStr">
        <is>
          <t>Discrete device to JB JB-Inlet-chilling tow-DI02: 4 x 1 pr (field cables)</t>
        </is>
      </c>
      <c r="E5336" s="12" t="inlineStr"/>
      <c r="F5336" s="12" t="inlineStr">
        <is>
          <t>Inlet-chilling tower (12 cells): chiller heat rejection</t>
        </is>
      </c>
      <c r="G5336" s="12" t="inlineStr">
        <is>
          <t>JB-Inlet-chilling tow-DI02</t>
        </is>
      </c>
      <c r="H5336" s="12" t="inlineStr">
        <is>
          <t>Inlet-chilling tower (12 cells): chiller heat rejection</t>
        </is>
      </c>
      <c r="I5336" s="12" t="inlineStr">
        <is>
          <t>Instrumentation</t>
        </is>
      </c>
      <c r="J5336" s="12" t="inlineStr">
        <is>
          <t>Instrumentation PLTC / TC-ER 300 V, #18 twisted shielded pairs, overall shield</t>
        </is>
      </c>
      <c r="K5336" s="12" t="inlineStr">
        <is>
          <t>PLTC|1 pr|16</t>
        </is>
      </c>
      <c r="L5336" s="12" t="inlineStr">
        <is>
          <t>1 pr</t>
        </is>
      </c>
      <c r="M5336" s="12" t="inlineStr">
        <is>
          <t>16</t>
        </is>
      </c>
      <c r="N5336" s="12" t="n">
        <v>4</v>
      </c>
      <c r="O5336" s="12" t="n">
        <v>1</v>
      </c>
      <c r="P5336" s="12" t="n"/>
      <c r="Q5336" s="12" t="n"/>
      <c r="R5336" s="12" t="n"/>
      <c r="S5336" s="12" t="inlineStr">
        <is>
          <t>Tray / conduit</t>
        </is>
      </c>
      <c r="T5336" s="17" t="n">
        <v>205</v>
      </c>
      <c r="U5336" s="17" t="n">
        <v>10</v>
      </c>
      <c r="V5336" s="17">
        <f>ROUNDUP((T5336+U5336+2*'Read Me'!$B$13)*(1+'Read Me'!$B$12),-1)</f>
        <v/>
      </c>
      <c r="W5336" s="17">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J-I-0047</t>
        </is>
      </c>
      <c r="B5337" s="12" t="inlineStr">
        <is>
          <t>J</t>
        </is>
      </c>
      <c r="C5337" s="12" t="inlineStr">
        <is>
          <t>GT inlet chilling</t>
        </is>
      </c>
      <c r="D5337" s="12" t="inlineStr">
        <is>
          <t>Home run JB-Inlet-chilling tow-DI02 to the control / marshalling room</t>
        </is>
      </c>
      <c r="E5337" s="12" t="inlineStr"/>
      <c r="F5337" s="12" t="inlineStr">
        <is>
          <t>Inlet-chilling e-house / transformer</t>
        </is>
      </c>
      <c r="G5337" s="12" t="inlineStr">
        <is>
          <t>JB-Inlet-chilling tow-DI02</t>
        </is>
      </c>
      <c r="H5337" s="12" t="inlineStr">
        <is>
          <t>Inlet-chilling tower (12 cells): chiller heat rejection</t>
        </is>
      </c>
      <c r="I5337" s="12" t="inlineStr">
        <is>
          <t>Instrumentation</t>
        </is>
      </c>
      <c r="J5337" s="12" t="inlineStr">
        <is>
          <t>Instrumentation PLTC / TC-ER 300 V, #18 twisted shielded pairs, overall shield</t>
        </is>
      </c>
      <c r="K5337" s="12" t="inlineStr">
        <is>
          <t>PLTC|24 pr|18</t>
        </is>
      </c>
      <c r="L5337" s="12" t="inlineStr">
        <is>
          <t>24 pr</t>
        </is>
      </c>
      <c r="M5337" s="12" t="inlineStr">
        <is>
          <t>18</t>
        </is>
      </c>
      <c r="N5337" s="12" t="n">
        <v>1</v>
      </c>
      <c r="O5337" s="12" t="n">
        <v>1</v>
      </c>
      <c r="P5337" s="12" t="n"/>
      <c r="Q5337" s="12" t="n"/>
      <c r="R5337" s="12" t="n"/>
      <c r="S5337" s="12" t="inlineStr">
        <is>
          <t>Duct bank</t>
        </is>
      </c>
      <c r="T5337" s="17" t="n">
        <v>478</v>
      </c>
      <c r="U5337" s="17" t="n">
        <v>38</v>
      </c>
      <c r="V5337" s="17">
        <f>ROUNDUP((T5337+U5337+2*'Read Me'!$B$13)*(1+'Read Me'!$B$12),-1)</f>
        <v/>
      </c>
      <c r="W5337" s="17">
        <f>V5337*N5337*O5337</f>
        <v/>
      </c>
      <c r="X5337" s="12">
        <f>IF(LEFT(I5337,2)="MV",2*N5337*IF(L5337="1/C",O5337,1),0)</f>
        <v/>
      </c>
      <c r="Y5337" s="12">
        <f>IF(OR(LEFT(K5337,4)="LVAX",LEFT(K5337,6)="MV15AX",LEFT(K5337,4)="CTAX",LEFT(K5337,2)="W|"),2*N5337*O5337,0)</f>
        <v/>
      </c>
      <c r="Z5337" s="12" t="inlineStr"/>
      <c r="AA5337" s="12">
        <f>N5337*O5337</f>
        <v/>
      </c>
    </row>
    <row r="5338">
      <c r="A5338" s="12" t="inlineStr">
        <is>
          <t>J-P-0001</t>
        </is>
      </c>
      <c r="B5338" s="12" t="inlineStr">
        <is>
          <t>J</t>
        </is>
      </c>
      <c r="C5338" s="12" t="inlineStr">
        <is>
          <t>GT inlet chilling</t>
        </is>
      </c>
      <c r="D5338" s="12" t="inlineStr">
        <is>
          <t>Motor 1 of 4, 150 kW</t>
        </is>
      </c>
      <c r="E5338" s="12" t="inlineStr"/>
      <c r="F5338" s="12" t="inlineStr">
        <is>
          <t>Inlet-chilling e-house / transformer</t>
        </is>
      </c>
      <c r="G5338" s="12" t="inlineStr"/>
      <c r="H5338" s="12" t="inlineStr">
        <is>
          <t>CHW pumps</t>
        </is>
      </c>
      <c r="I5338" s="12" t="inlineStr">
        <is>
          <t>LV 600 V</t>
        </is>
      </c>
      <c r="J5338" s="12" t="inlineStr">
        <is>
          <t>Type TC-ER 600 V 3/C Cu XHHW-2 + ground, PVC jacket</t>
        </is>
      </c>
      <c r="K5338" s="12" t="inlineStr">
        <is>
          <t>LV|3/C+G|350</t>
        </is>
      </c>
      <c r="L5338" s="12" t="inlineStr">
        <is>
          <t>3/C+G</t>
        </is>
      </c>
      <c r="M5338" s="12" t="inlineStr">
        <is>
          <t>350 kcmil</t>
        </is>
      </c>
      <c r="N5338" s="12" t="n">
        <v>1</v>
      </c>
      <c r="O5338" s="12" t="n">
        <v>1</v>
      </c>
      <c r="P5338" s="12" t="n">
        <v>480</v>
      </c>
      <c r="Q5338" s="12" t="n">
        <v>150</v>
      </c>
      <c r="R5338" s="12" t="n">
        <v>212.3</v>
      </c>
      <c r="S5338" s="12" t="inlineStr">
        <is>
          <t>Duct bank</t>
        </is>
      </c>
      <c r="T5338" s="17" t="n">
        <v>579</v>
      </c>
      <c r="U5338" s="17" t="n">
        <v>32</v>
      </c>
      <c r="V5338" s="17">
        <f>ROUNDUP((T5338+U5338+2*'Read Me'!$B$13)*(1+'Read Me'!$B$12),-1)</f>
        <v/>
      </c>
      <c r="W5338" s="17">
        <f>V5338*N5338*O5338</f>
        <v/>
      </c>
      <c r="X5338" s="12">
        <f>IF(LEFT(I5338,2)="MV",2*N5338*IF(L5338="1/C",O5338,1),0)</f>
        <v/>
      </c>
      <c r="Y5338" s="12">
        <f>IF(OR(LEFT(K5338,4)="LVAX",LEFT(K5338,6)="MV15AX",LEFT(K5338,4)="CTAX",LEFT(K5338,2)="W|"),2*N5338*O5338,0)</f>
        <v/>
      </c>
      <c r="Z5338" s="12" t="inlineStr">
        <is>
          <t>VD 1.9 %</t>
        </is>
      </c>
      <c r="AA5338" s="12">
        <f>N5338*O5338</f>
        <v/>
      </c>
    </row>
    <row r="5339">
      <c r="A5339" s="12" t="inlineStr">
        <is>
          <t>J-P-0002</t>
        </is>
      </c>
      <c r="B5339" s="12" t="inlineStr">
        <is>
          <t>J</t>
        </is>
      </c>
      <c r="C5339" s="12" t="inlineStr">
        <is>
          <t>GT inlet chilling</t>
        </is>
      </c>
      <c r="D5339" s="12" t="inlineStr">
        <is>
          <t>Motor 2 of 4, 150 kW</t>
        </is>
      </c>
      <c r="E5339" s="12" t="inlineStr"/>
      <c r="F5339" s="12" t="inlineStr">
        <is>
          <t>Inlet-chilling e-house / transformer</t>
        </is>
      </c>
      <c r="G5339" s="12" t="inlineStr"/>
      <c r="H5339" s="12" t="inlineStr">
        <is>
          <t>CHW pumps</t>
        </is>
      </c>
      <c r="I5339" s="12" t="inlineStr">
        <is>
          <t>LV 600 V</t>
        </is>
      </c>
      <c r="J5339" s="12" t="inlineStr">
        <is>
          <t>Type TC-ER 600 V 3/C Cu XHHW-2 + ground, PVC jacket</t>
        </is>
      </c>
      <c r="K5339" s="12" t="inlineStr">
        <is>
          <t>LV|3/C+G|350</t>
        </is>
      </c>
      <c r="L5339" s="12" t="inlineStr">
        <is>
          <t>3/C+G</t>
        </is>
      </c>
      <c r="M5339" s="12" t="inlineStr">
        <is>
          <t>350 kcmil</t>
        </is>
      </c>
      <c r="N5339" s="12" t="n">
        <v>1</v>
      </c>
      <c r="O5339" s="12" t="n">
        <v>1</v>
      </c>
      <c r="P5339" s="12" t="n">
        <v>480</v>
      </c>
      <c r="Q5339" s="12" t="n">
        <v>150</v>
      </c>
      <c r="R5339" s="12" t="n">
        <v>212.3</v>
      </c>
      <c r="S5339" s="12" t="inlineStr">
        <is>
          <t>Duct bank</t>
        </is>
      </c>
      <c r="T5339" s="17" t="n">
        <v>579</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VD 1.9 %</t>
        </is>
      </c>
      <c r="AA5339" s="12">
        <f>N5339*O5339</f>
        <v/>
      </c>
    </row>
    <row r="5340">
      <c r="A5340" s="12" t="inlineStr">
        <is>
          <t>J-P-0003</t>
        </is>
      </c>
      <c r="B5340" s="12" t="inlineStr">
        <is>
          <t>J</t>
        </is>
      </c>
      <c r="C5340" s="12" t="inlineStr">
        <is>
          <t>GT inlet chilling</t>
        </is>
      </c>
      <c r="D5340" s="12" t="inlineStr">
        <is>
          <t>Motor 3 of 4, 150 kW</t>
        </is>
      </c>
      <c r="E5340" s="12" t="inlineStr"/>
      <c r="F5340" s="12" t="inlineStr">
        <is>
          <t>Inlet-chilling e-house / transformer</t>
        </is>
      </c>
      <c r="G5340" s="12" t="inlineStr"/>
      <c r="H5340" s="12" t="inlineStr">
        <is>
          <t>CHW pumps</t>
        </is>
      </c>
      <c r="I5340" s="12" t="inlineStr">
        <is>
          <t>LV 600 V</t>
        </is>
      </c>
      <c r="J5340" s="12" t="inlineStr">
        <is>
          <t>Type TC-ER 600 V 3/C Cu XHHW-2 + ground, PVC jacket</t>
        </is>
      </c>
      <c r="K5340" s="12" t="inlineStr">
        <is>
          <t>LV|3/C+G|350</t>
        </is>
      </c>
      <c r="L5340" s="12" t="inlineStr">
        <is>
          <t>3/C+G</t>
        </is>
      </c>
      <c r="M5340" s="12" t="inlineStr">
        <is>
          <t>350 kcmil</t>
        </is>
      </c>
      <c r="N5340" s="12" t="n">
        <v>1</v>
      </c>
      <c r="O5340" s="12" t="n">
        <v>1</v>
      </c>
      <c r="P5340" s="12" t="n">
        <v>480</v>
      </c>
      <c r="Q5340" s="12" t="n">
        <v>150</v>
      </c>
      <c r="R5340" s="12" t="n">
        <v>212.3</v>
      </c>
      <c r="S5340" s="12" t="inlineStr">
        <is>
          <t>Duct bank</t>
        </is>
      </c>
      <c r="T5340" s="17" t="n">
        <v>579</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VD 1.9 %</t>
        </is>
      </c>
      <c r="AA5340" s="12">
        <f>N5340*O5340</f>
        <v/>
      </c>
    </row>
    <row r="5341">
      <c r="A5341" s="12" t="inlineStr">
        <is>
          <t>J-P-0004</t>
        </is>
      </c>
      <c r="B5341" s="12" t="inlineStr">
        <is>
          <t>J</t>
        </is>
      </c>
      <c r="C5341" s="12" t="inlineStr">
        <is>
          <t>GT inlet chilling</t>
        </is>
      </c>
      <c r="D5341" s="12" t="inlineStr">
        <is>
          <t>Motor 4 of 4, 150 kW</t>
        </is>
      </c>
      <c r="E5341" s="12" t="inlineStr"/>
      <c r="F5341" s="12" t="inlineStr">
        <is>
          <t>Inlet-chilling e-house / transformer</t>
        </is>
      </c>
      <c r="G5341" s="12" t="inlineStr"/>
      <c r="H5341" s="12" t="inlineStr">
        <is>
          <t>CHW pumps</t>
        </is>
      </c>
      <c r="I5341" s="12" t="inlineStr">
        <is>
          <t>LV 600 V</t>
        </is>
      </c>
      <c r="J5341" s="12" t="inlineStr">
        <is>
          <t>Type TC-ER 600 V 3/C Cu XHHW-2 + ground, PVC jacket</t>
        </is>
      </c>
      <c r="K5341" s="12" t="inlineStr">
        <is>
          <t>LV|3/C+G|350</t>
        </is>
      </c>
      <c r="L5341" s="12" t="inlineStr">
        <is>
          <t>3/C+G</t>
        </is>
      </c>
      <c r="M5341" s="12" t="inlineStr">
        <is>
          <t>350 kcmil</t>
        </is>
      </c>
      <c r="N5341" s="12" t="n">
        <v>1</v>
      </c>
      <c r="O5341" s="12" t="n">
        <v>1</v>
      </c>
      <c r="P5341" s="12" t="n">
        <v>480</v>
      </c>
      <c r="Q5341" s="12" t="n">
        <v>150</v>
      </c>
      <c r="R5341" s="12" t="n">
        <v>212.3</v>
      </c>
      <c r="S5341" s="12" t="inlineStr">
        <is>
          <t>Duct bank</t>
        </is>
      </c>
      <c r="T5341" s="17" t="n">
        <v>579</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is>
          <t>VD 1.9 %</t>
        </is>
      </c>
      <c r="AA5341" s="12">
        <f>N5341*O5341</f>
        <v/>
      </c>
    </row>
    <row r="5342">
      <c r="A5342" s="12" t="inlineStr">
        <is>
          <t>J-P-0005</t>
        </is>
      </c>
      <c r="B5342" s="12" t="inlineStr">
        <is>
          <t>J</t>
        </is>
      </c>
      <c r="C5342" s="12" t="inlineStr">
        <is>
          <t>GT inlet chilling</t>
        </is>
      </c>
      <c r="D5342" s="12" t="inlineStr">
        <is>
          <t>LV power feeder</t>
        </is>
      </c>
      <c r="E5342" s="12" t="inlineStr"/>
      <c r="F5342" s="12" t="inlineStr">
        <is>
          <t>Inlet-chilling e-house / transformer</t>
        </is>
      </c>
      <c r="G5342" s="12" t="inlineStr"/>
      <c r="H5342" s="12" t="inlineStr">
        <is>
          <t>CONDITIONAL: TES chilled-water tank</t>
        </is>
      </c>
      <c r="I5342" s="12" t="inlineStr">
        <is>
          <t>LV 600 V</t>
        </is>
      </c>
      <c r="J5342" s="12" t="inlineStr">
        <is>
          <t>Type TC-ER 600 V 3/C Cu XHHW-2 + ground, PVC jacket</t>
        </is>
      </c>
      <c r="K5342" s="12" t="inlineStr">
        <is>
          <t>LV|3/C+G|8</t>
        </is>
      </c>
      <c r="L5342" s="12" t="inlineStr">
        <is>
          <t>3/C+G</t>
        </is>
      </c>
      <c r="M5342" s="12" t="inlineStr">
        <is>
          <t>8</t>
        </is>
      </c>
      <c r="N5342" s="12" t="n">
        <v>1</v>
      </c>
      <c r="O5342" s="12" t="n">
        <v>1</v>
      </c>
      <c r="P5342" s="12" t="n">
        <v>480</v>
      </c>
      <c r="Q5342" s="12" t="n">
        <v>10</v>
      </c>
      <c r="R5342" s="12" t="n">
        <v>14.2</v>
      </c>
      <c r="S5342" s="12" t="inlineStr">
        <is>
          <t>Duct bank</t>
        </is>
      </c>
      <c r="T5342" s="17" t="n">
        <v>271</v>
      </c>
      <c r="U5342" s="17" t="n">
        <v>217</v>
      </c>
      <c r="V5342" s="17">
        <f>ROUNDUP((T5342+U5342+2*'Read Me'!$B$13)*(1+'Read Me'!$B$12),-1)</f>
        <v/>
      </c>
      <c r="W5342" s="17">
        <f>V5342*N5342*O5342</f>
        <v/>
      </c>
      <c r="X5342" s="12">
        <f>IF(LEFT(I5342,2)="MV",2*N5342*IF(L5342="1/C",O5342,1),0)</f>
        <v/>
      </c>
      <c r="Y5342" s="12">
        <f>IF(OR(LEFT(K5342,4)="LVAX",LEFT(K5342,6)="MV15AX",LEFT(K5342,4)="CTAX",LEFT(K5342,2)="W|"),2*N5342*O5342,0)</f>
        <v/>
      </c>
      <c r="Z5342" s="12" t="inlineStr">
        <is>
          <t>VD 2.1 %</t>
        </is>
      </c>
      <c r="AA5342" s="12">
        <f>N5342*O5342</f>
        <v/>
      </c>
    </row>
    <row r="5343">
      <c r="A5343" s="12" t="inlineStr">
        <is>
          <t>J-P-0006</t>
        </is>
      </c>
      <c r="B5343" s="12" t="inlineStr">
        <is>
          <t>J</t>
        </is>
      </c>
      <c r="C5343" s="12" t="inlineStr">
        <is>
          <t>GT inlet chilling</t>
        </is>
      </c>
      <c r="D5343" s="12" t="inlineStr">
        <is>
          <t>Motor 1 of 6, 7 kW</t>
        </is>
      </c>
      <c r="E5343" s="12" t="inlineStr"/>
      <c r="F5343" s="12" t="inlineStr">
        <is>
          <t>Inlet-chilling e-house / transformer</t>
        </is>
      </c>
      <c r="G5343" s="12" t="inlineStr"/>
      <c r="H5343" s="12" t="inlineStr">
        <is>
          <t>Chillers x6 (water-cooled)</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7</v>
      </c>
      <c r="R5343" s="12" t="n">
        <v>9.9</v>
      </c>
      <c r="S5343" s="12" t="inlineStr">
        <is>
          <t>Duct bank</t>
        </is>
      </c>
      <c r="T5343" s="17" t="n">
        <v>10</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is>
          <t>VD 0.2 %</t>
        </is>
      </c>
      <c r="AA5343" s="12">
        <f>N5343*O5343</f>
        <v/>
      </c>
    </row>
    <row r="5344">
      <c r="A5344" s="12" t="inlineStr">
        <is>
          <t>J-P-0007</t>
        </is>
      </c>
      <c r="B5344" s="12" t="inlineStr">
        <is>
          <t>J</t>
        </is>
      </c>
      <c r="C5344" s="12" t="inlineStr">
        <is>
          <t>GT inlet chilling</t>
        </is>
      </c>
      <c r="D5344" s="12" t="inlineStr">
        <is>
          <t>Motor 2 of 6, 7 kW</t>
        </is>
      </c>
      <c r="E5344" s="12" t="inlineStr"/>
      <c r="F5344" s="12" t="inlineStr">
        <is>
          <t>Inlet-chilling e-house / transformer</t>
        </is>
      </c>
      <c r="G5344" s="12" t="inlineStr"/>
      <c r="H5344" s="12" t="inlineStr">
        <is>
          <t>Chillers x6 (water-cooled)</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7</v>
      </c>
      <c r="R5344" s="12" t="n">
        <v>9.9</v>
      </c>
      <c r="S5344" s="12" t="inlineStr">
        <is>
          <t>Duct bank</t>
        </is>
      </c>
      <c r="T5344" s="17" t="n">
        <v>10</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VD 0.2 %</t>
        </is>
      </c>
      <c r="AA5344" s="12">
        <f>N5344*O5344</f>
        <v/>
      </c>
    </row>
    <row r="5345">
      <c r="A5345" s="12" t="inlineStr">
        <is>
          <t>J-P-0008</t>
        </is>
      </c>
      <c r="B5345" s="12" t="inlineStr">
        <is>
          <t>J</t>
        </is>
      </c>
      <c r="C5345" s="12" t="inlineStr">
        <is>
          <t>GT inlet chilling</t>
        </is>
      </c>
      <c r="D5345" s="12" t="inlineStr">
        <is>
          <t>Motor 3 of 6, 7 kW</t>
        </is>
      </c>
      <c r="E5345" s="12" t="inlineStr"/>
      <c r="F5345" s="12" t="inlineStr">
        <is>
          <t>Inlet-chilling e-house / transformer</t>
        </is>
      </c>
      <c r="G5345" s="12" t="inlineStr"/>
      <c r="H5345" s="12" t="inlineStr">
        <is>
          <t>Chillers x6 (water-cooled)</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7</v>
      </c>
      <c r="R5345" s="12" t="n">
        <v>9.9</v>
      </c>
      <c r="S5345" s="12" t="inlineStr">
        <is>
          <t>Duct bank</t>
        </is>
      </c>
      <c r="T5345" s="17" t="n">
        <v>10</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VD 0.2 %</t>
        </is>
      </c>
      <c r="AA5345" s="12">
        <f>N5345*O5345</f>
        <v/>
      </c>
    </row>
    <row r="5346">
      <c r="A5346" s="12" t="inlineStr">
        <is>
          <t>J-P-0009</t>
        </is>
      </c>
      <c r="B5346" s="12" t="inlineStr">
        <is>
          <t>J</t>
        </is>
      </c>
      <c r="C5346" s="12" t="inlineStr">
        <is>
          <t>GT inlet chilling</t>
        </is>
      </c>
      <c r="D5346" s="12" t="inlineStr">
        <is>
          <t>Motor 4 of 6, 7 kW</t>
        </is>
      </c>
      <c r="E5346" s="12" t="inlineStr"/>
      <c r="F5346" s="12" t="inlineStr">
        <is>
          <t>Inlet-chilling e-house / transformer</t>
        </is>
      </c>
      <c r="G5346" s="12" t="inlineStr"/>
      <c r="H5346" s="12" t="inlineStr">
        <is>
          <t>Chillers x6 (water-cooled)</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7</v>
      </c>
      <c r="R5346" s="12" t="n">
        <v>9.9</v>
      </c>
      <c r="S5346" s="12" t="inlineStr">
        <is>
          <t>Duct bank</t>
        </is>
      </c>
      <c r="T5346" s="17" t="n">
        <v>10</v>
      </c>
      <c r="U5346" s="17" t="n">
        <v>32</v>
      </c>
      <c r="V5346" s="17">
        <f>ROUNDUP((T5346+U5346+2*'Read Me'!$B$13)*(1+'Read Me'!$B$12),-1)</f>
        <v/>
      </c>
      <c r="W5346" s="17">
        <f>V5346*N5346*O5346</f>
        <v/>
      </c>
      <c r="X5346" s="12">
        <f>IF(LEFT(I5346,2)="MV",2*N5346*IF(L5346="1/C",O5346,1),0)</f>
        <v/>
      </c>
      <c r="Y5346" s="12">
        <f>IF(OR(LEFT(K5346,4)="LVAX",LEFT(K5346,6)="MV15AX",LEFT(K5346,4)="CTAX",LEFT(K5346,2)="W|"),2*N5346*O5346,0)</f>
        <v/>
      </c>
      <c r="Z5346" s="12" t="inlineStr">
        <is>
          <t>VD 0.2 %</t>
        </is>
      </c>
      <c r="AA5346" s="12">
        <f>N5346*O5346</f>
        <v/>
      </c>
    </row>
    <row r="5347">
      <c r="A5347" s="12" t="inlineStr">
        <is>
          <t>J-P-0010</t>
        </is>
      </c>
      <c r="B5347" s="12" t="inlineStr">
        <is>
          <t>J</t>
        </is>
      </c>
      <c r="C5347" s="12" t="inlineStr">
        <is>
          <t>GT inlet chilling</t>
        </is>
      </c>
      <c r="D5347" s="12" t="inlineStr">
        <is>
          <t>Motor 5 of 6, 7 kW</t>
        </is>
      </c>
      <c r="E5347" s="12" t="inlineStr"/>
      <c r="F5347" s="12" t="inlineStr">
        <is>
          <t>Inlet-chilling e-house / transformer</t>
        </is>
      </c>
      <c r="G5347" s="12" t="inlineStr"/>
      <c r="H5347" s="12" t="inlineStr">
        <is>
          <t>Chillers x6 (water-cooled)</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7</v>
      </c>
      <c r="R5347" s="12" t="n">
        <v>9.9</v>
      </c>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is>
          <t>VD 0.2 %</t>
        </is>
      </c>
      <c r="AA5347" s="12">
        <f>N5347*O5347</f>
        <v/>
      </c>
    </row>
    <row r="5348">
      <c r="A5348" s="12" t="inlineStr">
        <is>
          <t>J-P-0011</t>
        </is>
      </c>
      <c r="B5348" s="12" t="inlineStr">
        <is>
          <t>J</t>
        </is>
      </c>
      <c r="C5348" s="12" t="inlineStr">
        <is>
          <t>GT inlet chilling</t>
        </is>
      </c>
      <c r="D5348" s="12" t="inlineStr">
        <is>
          <t>Motor 6 of 6, 7 kW</t>
        </is>
      </c>
      <c r="E5348" s="12" t="inlineStr"/>
      <c r="F5348" s="12" t="inlineStr">
        <is>
          <t>Inlet-chilling e-house / transformer</t>
        </is>
      </c>
      <c r="G5348" s="12" t="inlineStr"/>
      <c r="H5348" s="12" t="inlineStr">
        <is>
          <t>Chillers x6 (water-cooled)</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7</v>
      </c>
      <c r="R5348" s="12" t="n">
        <v>9.9</v>
      </c>
      <c r="S5348" s="12" t="inlineStr">
        <is>
          <t>Duct bank</t>
        </is>
      </c>
      <c r="T5348" s="17" t="n">
        <v>10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is>
          <t>VD 0.2 %</t>
        </is>
      </c>
      <c r="AA5348" s="12">
        <f>N5348*O5348</f>
        <v/>
      </c>
    </row>
    <row r="5349">
      <c r="A5349" s="12" t="inlineStr">
        <is>
          <t>J-P-0012</t>
        </is>
      </c>
      <c r="B5349" s="12" t="inlineStr">
        <is>
          <t>J</t>
        </is>
      </c>
      <c r="C5349" s="12" t="inlineStr">
        <is>
          <t>GT inlet chilling</t>
        </is>
      </c>
      <c r="D5349" s="12" t="inlineStr">
        <is>
          <t>Motor 1 of 12, 75 kW (VFD output)</t>
        </is>
      </c>
      <c r="E5349" s="12" t="inlineStr"/>
      <c r="F5349" s="12" t="inlineStr">
        <is>
          <t>Inlet-chilling e-house / transformer</t>
        </is>
      </c>
      <c r="G5349" s="12" t="inlineStr"/>
      <c r="H5349" s="12" t="inlineStr">
        <is>
          <t>Inlet-chilling tower (12 cells): chiller heat rejection</t>
        </is>
      </c>
      <c r="I5349" s="12" t="inlineStr">
        <is>
          <t>LV 600 V</t>
        </is>
      </c>
      <c r="J5349" s="12" t="inlineStr">
        <is>
          <t>VFD cable 600 V 3/C Cu XHHW-2, 3 symmetrical grounds, overall Cu tape shield, TC-ER</t>
        </is>
      </c>
      <c r="K5349" s="12" t="inlineStr">
        <is>
          <t>VFD|3/C+3G|2/0</t>
        </is>
      </c>
      <c r="L5349" s="12" t="inlineStr">
        <is>
          <t>3/C+3G</t>
        </is>
      </c>
      <c r="M5349" s="12" t="inlineStr">
        <is>
          <t>2/0</t>
        </is>
      </c>
      <c r="N5349" s="12" t="n">
        <v>1</v>
      </c>
      <c r="O5349" s="12" t="n">
        <v>1</v>
      </c>
      <c r="P5349" s="12" t="n">
        <v>480</v>
      </c>
      <c r="Q5349" s="12" t="n">
        <v>75</v>
      </c>
      <c r="R5349" s="12" t="n">
        <v>106</v>
      </c>
      <c r="S5349" s="12" t="inlineStr">
        <is>
          <t>Duct bank</t>
        </is>
      </c>
      <c r="T5349" s="17" t="n">
        <v>683</v>
      </c>
      <c r="U5349" s="17" t="n">
        <v>38</v>
      </c>
      <c r="V5349" s="17">
        <f>ROUNDUP((T5349+U5349+2*'Read Me'!$B$13)*(1+'Read Me'!$B$12),-1)</f>
        <v/>
      </c>
      <c r="W5349" s="17">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J-P-0013</t>
        </is>
      </c>
      <c r="B5350" s="12" t="inlineStr">
        <is>
          <t>J</t>
        </is>
      </c>
      <c r="C5350" s="12" t="inlineStr">
        <is>
          <t>GT inlet chilling</t>
        </is>
      </c>
      <c r="D5350" s="12" t="inlineStr">
        <is>
          <t>Motor 2 of 12, 75 kW (VFD output)</t>
        </is>
      </c>
      <c r="E5350" s="12" t="inlineStr"/>
      <c r="F5350" s="12" t="inlineStr">
        <is>
          <t>Inlet-chilling e-house / transformer</t>
        </is>
      </c>
      <c r="G5350" s="12" t="inlineStr"/>
      <c r="H5350" s="12" t="inlineStr">
        <is>
          <t>Inlet-chilling tower (12 cells): chiller heat rejection</t>
        </is>
      </c>
      <c r="I5350" s="12" t="inlineStr">
        <is>
          <t>LV 600 V</t>
        </is>
      </c>
      <c r="J5350" s="12" t="inlineStr">
        <is>
          <t>VFD cable 600 V 3/C Cu XHHW-2, 3 symmetrical grounds, overall Cu tape shield, TC-ER</t>
        </is>
      </c>
      <c r="K5350" s="12" t="inlineStr">
        <is>
          <t>VFD|3/C+3G|2/0</t>
        </is>
      </c>
      <c r="L5350" s="12" t="inlineStr">
        <is>
          <t>3/C+3G</t>
        </is>
      </c>
      <c r="M5350" s="12" t="inlineStr">
        <is>
          <t>2/0</t>
        </is>
      </c>
      <c r="N5350" s="12" t="n">
        <v>1</v>
      </c>
      <c r="O5350" s="12" t="n">
        <v>1</v>
      </c>
      <c r="P5350" s="12" t="n">
        <v>480</v>
      </c>
      <c r="Q5350" s="12" t="n">
        <v>75</v>
      </c>
      <c r="R5350" s="12" t="n">
        <v>106</v>
      </c>
      <c r="S5350" s="12" t="inlineStr">
        <is>
          <t>Duct bank</t>
        </is>
      </c>
      <c r="T5350" s="17" t="n">
        <v>683</v>
      </c>
      <c r="U5350" s="17" t="n">
        <v>38</v>
      </c>
      <c r="V5350" s="17">
        <f>ROUNDUP((T5350+U5350+2*'Read Me'!$B$13)*(1+'Read Me'!$B$12),-1)</f>
        <v/>
      </c>
      <c r="W5350" s="17">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J-P-0014</t>
        </is>
      </c>
      <c r="B5351" s="12" t="inlineStr">
        <is>
          <t>J</t>
        </is>
      </c>
      <c r="C5351" s="12" t="inlineStr">
        <is>
          <t>GT inlet chilling</t>
        </is>
      </c>
      <c r="D5351" s="12" t="inlineStr">
        <is>
          <t>Motor 3 of 12, 75 kW (VFD output)</t>
        </is>
      </c>
      <c r="E5351" s="12" t="inlineStr"/>
      <c r="F5351" s="12" t="inlineStr">
        <is>
          <t>Inlet-chilling e-house / transformer</t>
        </is>
      </c>
      <c r="G5351" s="12" t="inlineStr"/>
      <c r="H5351" s="12" t="inlineStr">
        <is>
          <t>Inlet-chilling tower (12 cells): chiller heat rejection</t>
        </is>
      </c>
      <c r="I5351" s="12" t="inlineStr">
        <is>
          <t>LV 600 V</t>
        </is>
      </c>
      <c r="J5351" s="12" t="inlineStr">
        <is>
          <t>VFD cable 600 V 3/C Cu XHHW-2, 3 symmetrical grounds, overall Cu tape shield, TC-ER</t>
        </is>
      </c>
      <c r="K5351" s="12" t="inlineStr">
        <is>
          <t>VFD|3/C+3G|2/0</t>
        </is>
      </c>
      <c r="L5351" s="12" t="inlineStr">
        <is>
          <t>3/C+3G</t>
        </is>
      </c>
      <c r="M5351" s="12" t="inlineStr">
        <is>
          <t>2/0</t>
        </is>
      </c>
      <c r="N5351" s="12" t="n">
        <v>1</v>
      </c>
      <c r="O5351" s="12" t="n">
        <v>1</v>
      </c>
      <c r="P5351" s="12" t="n">
        <v>480</v>
      </c>
      <c r="Q5351" s="12" t="n">
        <v>75</v>
      </c>
      <c r="R5351" s="12" t="n">
        <v>106</v>
      </c>
      <c r="S5351" s="12" t="inlineStr">
        <is>
          <t>Duct bank</t>
        </is>
      </c>
      <c r="T5351" s="17" t="n">
        <v>683</v>
      </c>
      <c r="U5351" s="17" t="n">
        <v>38</v>
      </c>
      <c r="V5351" s="17">
        <f>ROUNDUP((T5351+U5351+2*'Read Me'!$B$13)*(1+'Read Me'!$B$12),-1)</f>
        <v/>
      </c>
      <c r="W5351" s="17">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J-P-0015</t>
        </is>
      </c>
      <c r="B5352" s="12" t="inlineStr">
        <is>
          <t>J</t>
        </is>
      </c>
      <c r="C5352" s="12" t="inlineStr">
        <is>
          <t>GT inlet chilling</t>
        </is>
      </c>
      <c r="D5352" s="12" t="inlineStr">
        <is>
          <t>Motor 4 of 12, 75 kW (VFD output)</t>
        </is>
      </c>
      <c r="E5352" s="12" t="inlineStr"/>
      <c r="F5352" s="12" t="inlineStr">
        <is>
          <t>Inlet-chilling e-house / transformer</t>
        </is>
      </c>
      <c r="G5352" s="12" t="inlineStr"/>
      <c r="H5352" s="12" t="inlineStr">
        <is>
          <t>Inlet-chilling tower (12 cells): chiller heat rejection</t>
        </is>
      </c>
      <c r="I5352" s="12" t="inlineStr">
        <is>
          <t>LV 600 V</t>
        </is>
      </c>
      <c r="J5352" s="12" t="inlineStr">
        <is>
          <t>VFD cable 600 V 3/C Cu XHHW-2, 3 symmetrical grounds, overall Cu tape shield, TC-ER</t>
        </is>
      </c>
      <c r="K5352" s="12" t="inlineStr">
        <is>
          <t>VFD|3/C+3G|2/0</t>
        </is>
      </c>
      <c r="L5352" s="12" t="inlineStr">
        <is>
          <t>3/C+3G</t>
        </is>
      </c>
      <c r="M5352" s="12" t="inlineStr">
        <is>
          <t>2/0</t>
        </is>
      </c>
      <c r="N5352" s="12" t="n">
        <v>1</v>
      </c>
      <c r="O5352" s="12" t="n">
        <v>1</v>
      </c>
      <c r="P5352" s="12" t="n">
        <v>480</v>
      </c>
      <c r="Q5352" s="12" t="n">
        <v>75</v>
      </c>
      <c r="R5352" s="12" t="n">
        <v>106</v>
      </c>
      <c r="S5352" s="12" t="inlineStr">
        <is>
          <t>Duct bank</t>
        </is>
      </c>
      <c r="T5352" s="17" t="n">
        <v>683</v>
      </c>
      <c r="U5352" s="17" t="n">
        <v>38</v>
      </c>
      <c r="V5352" s="17">
        <f>ROUNDUP((T5352+U5352+2*'Read Me'!$B$13)*(1+'Read Me'!$B$12),-1)</f>
        <v/>
      </c>
      <c r="W5352" s="17">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J-P-0016</t>
        </is>
      </c>
      <c r="B5353" s="12" t="inlineStr">
        <is>
          <t>J</t>
        </is>
      </c>
      <c r="C5353" s="12" t="inlineStr">
        <is>
          <t>GT inlet chilling</t>
        </is>
      </c>
      <c r="D5353" s="12" t="inlineStr">
        <is>
          <t>Motor 5 of 12, 75 kW (VFD output)</t>
        </is>
      </c>
      <c r="E5353" s="12" t="inlineStr"/>
      <c r="F5353" s="12" t="inlineStr">
        <is>
          <t>Inlet-chilling e-house / transformer</t>
        </is>
      </c>
      <c r="G5353" s="12" t="inlineStr"/>
      <c r="H5353" s="12" t="inlineStr">
        <is>
          <t>Inlet-chilling tower (12 cells): chiller heat rejection</t>
        </is>
      </c>
      <c r="I5353" s="12" t="inlineStr">
        <is>
          <t>LV 600 V</t>
        </is>
      </c>
      <c r="J5353" s="12" t="inlineStr">
        <is>
          <t>VFD cable 600 V 3/C Cu XHHW-2, 3 symmetrical grounds, overall Cu tape shield, TC-ER</t>
        </is>
      </c>
      <c r="K5353" s="12" t="inlineStr">
        <is>
          <t>VFD|3/C+3G|2/0</t>
        </is>
      </c>
      <c r="L5353" s="12" t="inlineStr">
        <is>
          <t>3/C+3G</t>
        </is>
      </c>
      <c r="M5353" s="12" t="inlineStr">
        <is>
          <t>2/0</t>
        </is>
      </c>
      <c r="N5353" s="12" t="n">
        <v>1</v>
      </c>
      <c r="O5353" s="12" t="n">
        <v>1</v>
      </c>
      <c r="P5353" s="12" t="n">
        <v>480</v>
      </c>
      <c r="Q5353" s="12" t="n">
        <v>75</v>
      </c>
      <c r="R5353" s="12" t="n">
        <v>106</v>
      </c>
      <c r="S5353" s="12" t="inlineStr">
        <is>
          <t>Duct bank</t>
        </is>
      </c>
      <c r="T5353" s="17" t="n">
        <v>683</v>
      </c>
      <c r="U5353" s="17" t="n">
        <v>38</v>
      </c>
      <c r="V5353" s="17">
        <f>ROUNDUP((T5353+U5353+2*'Read Me'!$B$13)*(1+'Read Me'!$B$12),-1)</f>
        <v/>
      </c>
      <c r="W5353" s="17">
        <f>V5353*N5353*O5353</f>
        <v/>
      </c>
      <c r="X5353" s="12">
        <f>IF(LEFT(I5353,2)="MV",2*N5353*IF(L5353="1/C",O5353,1),0)</f>
        <v/>
      </c>
      <c r="Y5353" s="12">
        <f>IF(OR(LEFT(K5353,4)="LVAX",LEFT(K5353,6)="MV15AX",LEFT(K5353,4)="CTAX",LEFT(K5353,2)="W|"),2*N5353*O5353,0)</f>
        <v/>
      </c>
      <c r="Z5353" s="12" t="inlineStr">
        <is>
          <t>VD 2.9 %</t>
        </is>
      </c>
      <c r="AA5353" s="12">
        <f>N5353*O5353</f>
        <v/>
      </c>
    </row>
    <row r="5354">
      <c r="A5354" s="12" t="inlineStr">
        <is>
          <t>J-P-0017</t>
        </is>
      </c>
      <c r="B5354" s="12" t="inlineStr">
        <is>
          <t>J</t>
        </is>
      </c>
      <c r="C5354" s="12" t="inlineStr">
        <is>
          <t>GT inlet chilling</t>
        </is>
      </c>
      <c r="D5354" s="12" t="inlineStr">
        <is>
          <t>Motor 6 of 12, 75 kW (VFD output)</t>
        </is>
      </c>
      <c r="E5354" s="12" t="inlineStr"/>
      <c r="F5354" s="12" t="inlineStr">
        <is>
          <t>Inlet-chilling e-house / transformer</t>
        </is>
      </c>
      <c r="G5354" s="12" t="inlineStr"/>
      <c r="H5354" s="12" t="inlineStr">
        <is>
          <t>Inlet-chilling tower (12 cells): chiller heat rejection</t>
        </is>
      </c>
      <c r="I5354" s="12" t="inlineStr">
        <is>
          <t>LV 600 V</t>
        </is>
      </c>
      <c r="J5354" s="12" t="inlineStr">
        <is>
          <t>VFD cable 600 V 3/C Cu XHHW-2, 3 symmetrical grounds, overall Cu tape shield, TC-ER</t>
        </is>
      </c>
      <c r="K5354" s="12" t="inlineStr">
        <is>
          <t>VFD|3/C+3G|2/0</t>
        </is>
      </c>
      <c r="L5354" s="12" t="inlineStr">
        <is>
          <t>3/C+3G</t>
        </is>
      </c>
      <c r="M5354" s="12" t="inlineStr">
        <is>
          <t>2/0</t>
        </is>
      </c>
      <c r="N5354" s="12" t="n">
        <v>1</v>
      </c>
      <c r="O5354" s="12" t="n">
        <v>1</v>
      </c>
      <c r="P5354" s="12" t="n">
        <v>480</v>
      </c>
      <c r="Q5354" s="12" t="n">
        <v>75</v>
      </c>
      <c r="R5354" s="12" t="n">
        <v>106</v>
      </c>
      <c r="S5354" s="12" t="inlineStr">
        <is>
          <t>Duct bank</t>
        </is>
      </c>
      <c r="T5354" s="17" t="n">
        <v>683</v>
      </c>
      <c r="U5354" s="17" t="n">
        <v>38</v>
      </c>
      <c r="V5354" s="17">
        <f>ROUNDUP((T5354+U5354+2*'Read Me'!$B$13)*(1+'Read Me'!$B$12),-1)</f>
        <v/>
      </c>
      <c r="W5354" s="17">
        <f>V5354*N5354*O5354</f>
        <v/>
      </c>
      <c r="X5354" s="12">
        <f>IF(LEFT(I5354,2)="MV",2*N5354*IF(L5354="1/C",O5354,1),0)</f>
        <v/>
      </c>
      <c r="Y5354" s="12">
        <f>IF(OR(LEFT(K5354,4)="LVAX",LEFT(K5354,6)="MV15AX",LEFT(K5354,4)="CTAX",LEFT(K5354,2)="W|"),2*N5354*O5354,0)</f>
        <v/>
      </c>
      <c r="Z5354" s="12" t="inlineStr">
        <is>
          <t>VD 2.9 %</t>
        </is>
      </c>
      <c r="AA5354" s="12">
        <f>N5354*O5354</f>
        <v/>
      </c>
    </row>
    <row r="5355">
      <c r="A5355" s="12" t="inlineStr">
        <is>
          <t>J-P-0018</t>
        </is>
      </c>
      <c r="B5355" s="12" t="inlineStr">
        <is>
          <t>J</t>
        </is>
      </c>
      <c r="C5355" s="12" t="inlineStr">
        <is>
          <t>GT inlet chilling</t>
        </is>
      </c>
      <c r="D5355" s="12" t="inlineStr">
        <is>
          <t>Motor 7 of 12, 75 kW (VFD output)</t>
        </is>
      </c>
      <c r="E5355" s="12" t="inlineStr"/>
      <c r="F5355" s="12" t="inlineStr">
        <is>
          <t>Inlet-chilling e-house / transformer</t>
        </is>
      </c>
      <c r="G5355" s="12" t="inlineStr"/>
      <c r="H5355" s="12" t="inlineStr">
        <is>
          <t>Inlet-chilling tower (12 cells): chiller heat rejection</t>
        </is>
      </c>
      <c r="I5355" s="12" t="inlineStr">
        <is>
          <t>LV 600 V</t>
        </is>
      </c>
      <c r="J5355" s="12" t="inlineStr">
        <is>
          <t>VFD cable 600 V 3/C Cu XHHW-2, 3 symmetrical grounds, overall Cu tape shield, TC-ER</t>
        </is>
      </c>
      <c r="K5355" s="12" t="inlineStr">
        <is>
          <t>VFD|3/C+3G|2/0</t>
        </is>
      </c>
      <c r="L5355" s="12" t="inlineStr">
        <is>
          <t>3/C+3G</t>
        </is>
      </c>
      <c r="M5355" s="12" t="inlineStr">
        <is>
          <t>2/0</t>
        </is>
      </c>
      <c r="N5355" s="12" t="n">
        <v>1</v>
      </c>
      <c r="O5355" s="12" t="n">
        <v>1</v>
      </c>
      <c r="P5355" s="12" t="n">
        <v>480</v>
      </c>
      <c r="Q5355" s="12" t="n">
        <v>75</v>
      </c>
      <c r="R5355" s="12" t="n">
        <v>106</v>
      </c>
      <c r="S5355" s="12" t="inlineStr">
        <is>
          <t>Duct bank</t>
        </is>
      </c>
      <c r="T5355" s="17" t="n">
        <v>683</v>
      </c>
      <c r="U5355" s="17" t="n">
        <v>38</v>
      </c>
      <c r="V5355" s="17">
        <f>ROUNDUP((T5355+U5355+2*'Read Me'!$B$13)*(1+'Read Me'!$B$12),-1)</f>
        <v/>
      </c>
      <c r="W5355" s="17">
        <f>V5355*N5355*O5355</f>
        <v/>
      </c>
      <c r="X5355" s="12">
        <f>IF(LEFT(I5355,2)="MV",2*N5355*IF(L5355="1/C",O5355,1),0)</f>
        <v/>
      </c>
      <c r="Y5355" s="12">
        <f>IF(OR(LEFT(K5355,4)="LVAX",LEFT(K5355,6)="MV15AX",LEFT(K5355,4)="CTAX",LEFT(K5355,2)="W|"),2*N5355*O5355,0)</f>
        <v/>
      </c>
      <c r="Z5355" s="12" t="inlineStr">
        <is>
          <t>VD 2.9 %</t>
        </is>
      </c>
      <c r="AA5355" s="12">
        <f>N5355*O5355</f>
        <v/>
      </c>
    </row>
    <row r="5356">
      <c r="A5356" s="12" t="inlineStr">
        <is>
          <t>J-P-0019</t>
        </is>
      </c>
      <c r="B5356" s="12" t="inlineStr">
        <is>
          <t>J</t>
        </is>
      </c>
      <c r="C5356" s="12" t="inlineStr">
        <is>
          <t>GT inlet chilling</t>
        </is>
      </c>
      <c r="D5356" s="12" t="inlineStr">
        <is>
          <t>Motor 8 of 12, 75 kW (VFD output)</t>
        </is>
      </c>
      <c r="E5356" s="12" t="inlineStr"/>
      <c r="F5356" s="12" t="inlineStr">
        <is>
          <t>Inlet-chilling e-house / transformer</t>
        </is>
      </c>
      <c r="G5356" s="12" t="inlineStr"/>
      <c r="H5356" s="12" t="inlineStr">
        <is>
          <t>Inlet-chilling tower (12 cells): chiller heat rejection</t>
        </is>
      </c>
      <c r="I5356" s="12" t="inlineStr">
        <is>
          <t>LV 600 V</t>
        </is>
      </c>
      <c r="J5356" s="12" t="inlineStr">
        <is>
          <t>VFD cable 600 V 3/C Cu XHHW-2, 3 symmetrical grounds, overall Cu tape shield, TC-ER</t>
        </is>
      </c>
      <c r="K5356" s="12" t="inlineStr">
        <is>
          <t>VFD|3/C+3G|2/0</t>
        </is>
      </c>
      <c r="L5356" s="12" t="inlineStr">
        <is>
          <t>3/C+3G</t>
        </is>
      </c>
      <c r="M5356" s="12" t="inlineStr">
        <is>
          <t>2/0</t>
        </is>
      </c>
      <c r="N5356" s="12" t="n">
        <v>1</v>
      </c>
      <c r="O5356" s="12" t="n">
        <v>1</v>
      </c>
      <c r="P5356" s="12" t="n">
        <v>480</v>
      </c>
      <c r="Q5356" s="12" t="n">
        <v>75</v>
      </c>
      <c r="R5356" s="12" t="n">
        <v>106</v>
      </c>
      <c r="S5356" s="12" t="inlineStr">
        <is>
          <t>Duct bank</t>
        </is>
      </c>
      <c r="T5356" s="17" t="n">
        <v>683</v>
      </c>
      <c r="U5356" s="17" t="n">
        <v>38</v>
      </c>
      <c r="V5356" s="17">
        <f>ROUNDUP((T5356+U5356+2*'Read Me'!$B$13)*(1+'Read Me'!$B$12),-1)</f>
        <v/>
      </c>
      <c r="W5356" s="17">
        <f>V5356*N5356*O5356</f>
        <v/>
      </c>
      <c r="X5356" s="12">
        <f>IF(LEFT(I5356,2)="MV",2*N5356*IF(L5356="1/C",O5356,1),0)</f>
        <v/>
      </c>
      <c r="Y5356" s="12">
        <f>IF(OR(LEFT(K5356,4)="LVAX",LEFT(K5356,6)="MV15AX",LEFT(K5356,4)="CTAX",LEFT(K5356,2)="W|"),2*N5356*O5356,0)</f>
        <v/>
      </c>
      <c r="Z5356" s="12" t="inlineStr">
        <is>
          <t>VD 2.9 %</t>
        </is>
      </c>
      <c r="AA5356" s="12">
        <f>N5356*O5356</f>
        <v/>
      </c>
    </row>
    <row r="5357">
      <c r="A5357" s="12" t="inlineStr">
        <is>
          <t>J-P-0020</t>
        </is>
      </c>
      <c r="B5357" s="12" t="inlineStr">
        <is>
          <t>J</t>
        </is>
      </c>
      <c r="C5357" s="12" t="inlineStr">
        <is>
          <t>GT inlet chilling</t>
        </is>
      </c>
      <c r="D5357" s="12" t="inlineStr">
        <is>
          <t>Motor 9 of 12, 75 kW (VFD output)</t>
        </is>
      </c>
      <c r="E5357" s="12" t="inlineStr"/>
      <c r="F5357" s="12" t="inlineStr">
        <is>
          <t>Inlet-chilling e-house / transformer</t>
        </is>
      </c>
      <c r="G5357" s="12" t="inlineStr"/>
      <c r="H5357" s="12" t="inlineStr">
        <is>
          <t>Inlet-chilling tower (12 cells): chiller heat rejection</t>
        </is>
      </c>
      <c r="I5357" s="12" t="inlineStr">
        <is>
          <t>LV 600 V</t>
        </is>
      </c>
      <c r="J5357" s="12" t="inlineStr">
        <is>
          <t>VFD cable 600 V 3/C Cu XHHW-2, 3 symmetrical grounds, overall Cu tape shield, TC-ER</t>
        </is>
      </c>
      <c r="K5357" s="12" t="inlineStr">
        <is>
          <t>VFD|3/C+3G|2/0</t>
        </is>
      </c>
      <c r="L5357" s="12" t="inlineStr">
        <is>
          <t>3/C+3G</t>
        </is>
      </c>
      <c r="M5357" s="12" t="inlineStr">
        <is>
          <t>2/0</t>
        </is>
      </c>
      <c r="N5357" s="12" t="n">
        <v>1</v>
      </c>
      <c r="O5357" s="12" t="n">
        <v>1</v>
      </c>
      <c r="P5357" s="12" t="n">
        <v>480</v>
      </c>
      <c r="Q5357" s="12" t="n">
        <v>75</v>
      </c>
      <c r="R5357" s="12" t="n">
        <v>106</v>
      </c>
      <c r="S5357" s="12" t="inlineStr">
        <is>
          <t>Duct bank</t>
        </is>
      </c>
      <c r="T5357" s="17" t="n">
        <v>683</v>
      </c>
      <c r="U5357" s="17" t="n">
        <v>38</v>
      </c>
      <c r="V5357" s="17">
        <f>ROUNDUP((T5357+U5357+2*'Read Me'!$B$13)*(1+'Read Me'!$B$12),-1)</f>
        <v/>
      </c>
      <c r="W5357" s="17">
        <f>V5357*N5357*O5357</f>
        <v/>
      </c>
      <c r="X5357" s="12">
        <f>IF(LEFT(I5357,2)="MV",2*N5357*IF(L5357="1/C",O5357,1),0)</f>
        <v/>
      </c>
      <c r="Y5357" s="12">
        <f>IF(OR(LEFT(K5357,4)="LVAX",LEFT(K5357,6)="MV15AX",LEFT(K5357,4)="CTAX",LEFT(K5357,2)="W|"),2*N5357*O5357,0)</f>
        <v/>
      </c>
      <c r="Z5357" s="12" t="inlineStr">
        <is>
          <t>VD 2.9 %</t>
        </is>
      </c>
      <c r="AA5357" s="12">
        <f>N5357*O5357</f>
        <v/>
      </c>
    </row>
    <row r="5358">
      <c r="A5358" s="12" t="inlineStr">
        <is>
          <t>J-P-0021</t>
        </is>
      </c>
      <c r="B5358" s="12" t="inlineStr">
        <is>
          <t>J</t>
        </is>
      </c>
      <c r="C5358" s="12" t="inlineStr">
        <is>
          <t>GT inlet chilling</t>
        </is>
      </c>
      <c r="D5358" s="12" t="inlineStr">
        <is>
          <t>Motor 10 of 12, 75 kW (VFD output)</t>
        </is>
      </c>
      <c r="E5358" s="12" t="inlineStr"/>
      <c r="F5358" s="12" t="inlineStr">
        <is>
          <t>Inlet-chilling e-house / transformer</t>
        </is>
      </c>
      <c r="G5358" s="12" t="inlineStr"/>
      <c r="H5358" s="12" t="inlineStr">
        <is>
          <t>Inlet-chilling tower (12 cells): chiller heat rejection</t>
        </is>
      </c>
      <c r="I5358" s="12" t="inlineStr">
        <is>
          <t>LV 600 V</t>
        </is>
      </c>
      <c r="J5358" s="12" t="inlineStr">
        <is>
          <t>VFD cable 600 V 3/C Cu XHHW-2, 3 symmetrical grounds, overall Cu tape shield, TC-ER</t>
        </is>
      </c>
      <c r="K5358" s="12" t="inlineStr">
        <is>
          <t>VFD|3/C+3G|2/0</t>
        </is>
      </c>
      <c r="L5358" s="12" t="inlineStr">
        <is>
          <t>3/C+3G</t>
        </is>
      </c>
      <c r="M5358" s="12" t="inlineStr">
        <is>
          <t>2/0</t>
        </is>
      </c>
      <c r="N5358" s="12" t="n">
        <v>1</v>
      </c>
      <c r="O5358" s="12" t="n">
        <v>1</v>
      </c>
      <c r="P5358" s="12" t="n">
        <v>480</v>
      </c>
      <c r="Q5358" s="12" t="n">
        <v>75</v>
      </c>
      <c r="R5358" s="12" t="n">
        <v>106</v>
      </c>
      <c r="S5358" s="12" t="inlineStr">
        <is>
          <t>Duct bank</t>
        </is>
      </c>
      <c r="T5358" s="17" t="n">
        <v>683</v>
      </c>
      <c r="U5358" s="17" t="n">
        <v>38</v>
      </c>
      <c r="V5358" s="17">
        <f>ROUNDUP((T5358+U5358+2*'Read Me'!$B$13)*(1+'Read Me'!$B$12),-1)</f>
        <v/>
      </c>
      <c r="W5358" s="17">
        <f>V5358*N5358*O5358</f>
        <v/>
      </c>
      <c r="X5358" s="12">
        <f>IF(LEFT(I5358,2)="MV",2*N5358*IF(L5358="1/C",O5358,1),0)</f>
        <v/>
      </c>
      <c r="Y5358" s="12">
        <f>IF(OR(LEFT(K5358,4)="LVAX",LEFT(K5358,6)="MV15AX",LEFT(K5358,4)="CTAX",LEFT(K5358,2)="W|"),2*N5358*O5358,0)</f>
        <v/>
      </c>
      <c r="Z5358" s="12" t="inlineStr">
        <is>
          <t>VD 2.9 %</t>
        </is>
      </c>
      <c r="AA5358" s="12">
        <f>N5358*O5358</f>
        <v/>
      </c>
    </row>
    <row r="5359">
      <c r="A5359" s="12" t="inlineStr">
        <is>
          <t>J-P-0022</t>
        </is>
      </c>
      <c r="B5359" s="12" t="inlineStr">
        <is>
          <t>J</t>
        </is>
      </c>
      <c r="C5359" s="12" t="inlineStr">
        <is>
          <t>GT inlet chilling</t>
        </is>
      </c>
      <c r="D5359" s="12" t="inlineStr">
        <is>
          <t>Motor 11 of 12, 75 kW (VFD output)</t>
        </is>
      </c>
      <c r="E5359" s="12" t="inlineStr"/>
      <c r="F5359" s="12" t="inlineStr">
        <is>
          <t>Inlet-chilling e-house / transformer</t>
        </is>
      </c>
      <c r="G5359" s="12" t="inlineStr"/>
      <c r="H5359" s="12" t="inlineStr">
        <is>
          <t>Inlet-chilling tower (12 cells): chiller heat rejection</t>
        </is>
      </c>
      <c r="I5359" s="12" t="inlineStr">
        <is>
          <t>LV 600 V</t>
        </is>
      </c>
      <c r="J5359" s="12" t="inlineStr">
        <is>
          <t>VFD cable 600 V 3/C Cu XHHW-2, 3 symmetrical grounds, overall Cu tape shield, TC-ER</t>
        </is>
      </c>
      <c r="K5359" s="12" t="inlineStr">
        <is>
          <t>VFD|3/C+3G|2/0</t>
        </is>
      </c>
      <c r="L5359" s="12" t="inlineStr">
        <is>
          <t>3/C+3G</t>
        </is>
      </c>
      <c r="M5359" s="12" t="inlineStr">
        <is>
          <t>2/0</t>
        </is>
      </c>
      <c r="N5359" s="12" t="n">
        <v>1</v>
      </c>
      <c r="O5359" s="12" t="n">
        <v>1</v>
      </c>
      <c r="P5359" s="12" t="n">
        <v>480</v>
      </c>
      <c r="Q5359" s="12" t="n">
        <v>75</v>
      </c>
      <c r="R5359" s="12" t="n">
        <v>106</v>
      </c>
      <c r="S5359" s="12" t="inlineStr">
        <is>
          <t>Duct bank</t>
        </is>
      </c>
      <c r="T5359" s="17" t="n">
        <v>683</v>
      </c>
      <c r="U5359" s="17" t="n">
        <v>38</v>
      </c>
      <c r="V5359" s="17">
        <f>ROUNDUP((T5359+U5359+2*'Read Me'!$B$13)*(1+'Read Me'!$B$12),-1)</f>
        <v/>
      </c>
      <c r="W5359" s="17">
        <f>V5359*N5359*O5359</f>
        <v/>
      </c>
      <c r="X5359" s="12">
        <f>IF(LEFT(I5359,2)="MV",2*N5359*IF(L5359="1/C",O5359,1),0)</f>
        <v/>
      </c>
      <c r="Y5359" s="12">
        <f>IF(OR(LEFT(K5359,4)="LVAX",LEFT(K5359,6)="MV15AX",LEFT(K5359,4)="CTAX",LEFT(K5359,2)="W|"),2*N5359*O5359,0)</f>
        <v/>
      </c>
      <c r="Z5359" s="12" t="inlineStr">
        <is>
          <t>VD 2.9 %</t>
        </is>
      </c>
      <c r="AA5359" s="12">
        <f>N5359*O5359</f>
        <v/>
      </c>
    </row>
    <row r="5360">
      <c r="A5360" s="12" t="inlineStr">
        <is>
          <t>J-P-0023</t>
        </is>
      </c>
      <c r="B5360" s="12" t="inlineStr">
        <is>
          <t>J</t>
        </is>
      </c>
      <c r="C5360" s="12" t="inlineStr">
        <is>
          <t>GT inlet chilling</t>
        </is>
      </c>
      <c r="D5360" s="12" t="inlineStr">
        <is>
          <t>Motor 12 of 12, 75 kW (VFD output)</t>
        </is>
      </c>
      <c r="E5360" s="12" t="inlineStr"/>
      <c r="F5360" s="12" t="inlineStr">
        <is>
          <t>Inlet-chilling e-house / transformer</t>
        </is>
      </c>
      <c r="G5360" s="12" t="inlineStr"/>
      <c r="H5360" s="12" t="inlineStr">
        <is>
          <t>Inlet-chilling tower (12 cells): chiller heat rejection</t>
        </is>
      </c>
      <c r="I5360" s="12" t="inlineStr">
        <is>
          <t>LV 600 V</t>
        </is>
      </c>
      <c r="J5360" s="12" t="inlineStr">
        <is>
          <t>VFD cable 600 V 3/C Cu XHHW-2, 3 symmetrical grounds, overall Cu tape shield, TC-ER</t>
        </is>
      </c>
      <c r="K5360" s="12" t="inlineStr">
        <is>
          <t>VFD|3/C+3G|2/0</t>
        </is>
      </c>
      <c r="L5360" s="12" t="inlineStr">
        <is>
          <t>3/C+3G</t>
        </is>
      </c>
      <c r="M5360" s="12" t="inlineStr">
        <is>
          <t>2/0</t>
        </is>
      </c>
      <c r="N5360" s="12" t="n">
        <v>1</v>
      </c>
      <c r="O5360" s="12" t="n">
        <v>1</v>
      </c>
      <c r="P5360" s="12" t="n">
        <v>480</v>
      </c>
      <c r="Q5360" s="12" t="n">
        <v>75</v>
      </c>
      <c r="R5360" s="12" t="n">
        <v>106</v>
      </c>
      <c r="S5360" s="12" t="inlineStr">
        <is>
          <t>Duct bank</t>
        </is>
      </c>
      <c r="T5360" s="17" t="n">
        <v>683</v>
      </c>
      <c r="U5360" s="17" t="n">
        <v>38</v>
      </c>
      <c r="V5360" s="17">
        <f>ROUNDUP((T5360+U5360+2*'Read Me'!$B$13)*(1+'Read Me'!$B$12),-1)</f>
        <v/>
      </c>
      <c r="W5360" s="17">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J-P-0024</t>
        </is>
      </c>
      <c r="B5361" s="12" t="inlineStr">
        <is>
          <t>J</t>
        </is>
      </c>
      <c r="C5361" s="12" t="inlineStr">
        <is>
          <t>GT inlet chilling</t>
        </is>
      </c>
      <c r="D5361" s="12" t="inlineStr">
        <is>
          <t>Area / platform lighting circuit 1 (12 fixtures)</t>
        </is>
      </c>
      <c r="E5361" s="12" t="inlineStr"/>
      <c r="F5361" s="12" t="inlineStr">
        <is>
          <t>Inlet-chilling e-house / transformer</t>
        </is>
      </c>
      <c r="G5361" s="12" t="inlineStr"/>
      <c r="H5361" s="12" t="inlineStr">
        <is>
          <t>Inlet-chilling tower (12 cells): chiller heat rejection</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3</v>
      </c>
      <c r="R5361" s="12" t="n">
        <v>5</v>
      </c>
      <c r="S5361" s="12" t="inlineStr">
        <is>
          <t>Duct bank</t>
        </is>
      </c>
      <c r="T5361" s="17" t="n">
        <v>778</v>
      </c>
      <c r="U5361" s="17" t="n">
        <v>38</v>
      </c>
      <c r="V5361" s="17">
        <f>ROUNDUP((T5361+U5361+2*'Read Me'!$B$13)*(1+'Read Me'!$B$12),-1)</f>
        <v/>
      </c>
      <c r="W5361" s="17">
        <f>V5361*N5361*O5361</f>
        <v/>
      </c>
      <c r="X5361" s="12">
        <f>IF(LEFT(I5361,2)="MV",2*N5361*IF(L5361="1/C",O5361,1),0)</f>
        <v/>
      </c>
      <c r="Y5361" s="12">
        <f>IF(OR(LEFT(K5361,4)="LVAX",LEFT(K5361,6)="MV15AX",LEFT(K5361,4)="CTAX",LEFT(K5361,2)="W|"),2*N5361*O5361,0)</f>
        <v/>
      </c>
      <c r="Z5361" s="12" t="inlineStr">
        <is>
          <t>fixture-to-fixture run included</t>
        </is>
      </c>
      <c r="AA5361" s="12">
        <f>N5361*O5361</f>
        <v/>
      </c>
    </row>
    <row r="5362">
      <c r="A5362" s="12" t="inlineStr">
        <is>
          <t>J-MV-0001</t>
        </is>
      </c>
      <c r="B5362" s="12" t="inlineStr">
        <is>
          <t>J</t>
        </is>
      </c>
      <c r="C5362" s="12" t="inlineStr">
        <is>
          <t>GT inlet chilling</t>
        </is>
      </c>
      <c r="D5362" s="12" t="inlineStr">
        <is>
          <t>Inlet-chilling e-house / transformer</t>
        </is>
      </c>
      <c r="E5362" s="12" t="inlineStr">
        <is>
          <t>SWGR-13.8-1</t>
        </is>
      </c>
      <c r="F5362" s="12" t="inlineStr">
        <is>
          <t>R1 SWGR-13.8-1 (11 x 36 in cubicles, 15 kV metal-clad)</t>
        </is>
      </c>
      <c r="G5362" s="12" t="inlineStr"/>
      <c r="H5362" s="12" t="inlineStr">
        <is>
          <t>Inlet-chilling e-house / transformer</t>
        </is>
      </c>
      <c r="I5362" s="12" t="inlineStr">
        <is>
          <t>MV 15 kV</t>
        </is>
      </c>
      <c r="J5362" s="12" t="inlineStr">
        <is>
          <t>MV-105 15 kV 1/C Cu, EPR 133%, Cu tape shield, PVC jacket (triplexed)</t>
        </is>
      </c>
      <c r="K5362" s="12" t="inlineStr">
        <is>
          <t>MV15|1/C|1000</t>
        </is>
      </c>
      <c r="L5362" s="12" t="inlineStr">
        <is>
          <t>1/C</t>
        </is>
      </c>
      <c r="M5362" s="12" t="inlineStr">
        <is>
          <t>1000 kcmil</t>
        </is>
      </c>
      <c r="N5362" s="12" t="n">
        <v>1</v>
      </c>
      <c r="O5362" s="12" t="n">
        <v>3</v>
      </c>
      <c r="P5362" s="12" t="n">
        <v>13800</v>
      </c>
      <c r="Q5362" s="12" t="n">
        <v>12000</v>
      </c>
      <c r="R5362" s="12" t="n">
        <v>502</v>
      </c>
      <c r="S5362" s="12" t="inlineStr">
        <is>
          <t>Duct bank</t>
        </is>
      </c>
      <c r="T5362" s="17" t="n">
        <v>629</v>
      </c>
      <c r="U5362" s="17" t="n">
        <v>38</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J-MV-0002</t>
        </is>
      </c>
      <c r="B5363" s="12" t="inlineStr">
        <is>
          <t>J</t>
        </is>
      </c>
      <c r="C5363" s="12" t="inlineStr">
        <is>
          <t>GT inlet chilling</t>
        </is>
      </c>
      <c r="D5363" s="12" t="inlineStr">
        <is>
          <t>Inlet-chilling CW pump 1</t>
        </is>
      </c>
      <c r="E5363" s="12" t="inlineStr"/>
      <c r="F5363" s="12" t="inlineStr">
        <is>
          <t>Inlet-chilling e-house / transformer</t>
        </is>
      </c>
      <c r="G5363" s="12" t="inlineStr"/>
      <c r="H5363" s="12" t="inlineStr">
        <is>
          <t>CW pumps (inlet chilling)</t>
        </is>
      </c>
      <c r="I5363" s="12" t="inlineStr">
        <is>
          <t>MV 5 kV</t>
        </is>
      </c>
      <c r="J5363" s="12" t="inlineStr">
        <is>
          <t>MV-105 5 kV 3/C Cu, EPR 133%, tape shield, gnd, PVC jacket</t>
        </is>
      </c>
      <c r="K5363" s="12" t="inlineStr">
        <is>
          <t>MV5|3/C|2</t>
        </is>
      </c>
      <c r="L5363" s="12" t="inlineStr">
        <is>
          <t>3/C</t>
        </is>
      </c>
      <c r="M5363" s="12" t="inlineStr">
        <is>
          <t>2</t>
        </is>
      </c>
      <c r="N5363" s="12" t="n">
        <v>1</v>
      </c>
      <c r="O5363" s="12" t="n">
        <v>1</v>
      </c>
      <c r="P5363" s="12" t="n">
        <v>4160</v>
      </c>
      <c r="Q5363" s="12" t="n">
        <v>450</v>
      </c>
      <c r="R5363" s="12" t="n">
        <v>69</v>
      </c>
      <c r="S5363" s="12" t="inlineStr">
        <is>
          <t>Tray</t>
        </is>
      </c>
      <c r="T5363" s="17" t="n">
        <v>0</v>
      </c>
      <c r="U5363" s="17" t="n">
        <v>70</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J-MV-0003</t>
        </is>
      </c>
      <c r="B5364" s="12" t="inlineStr">
        <is>
          <t>J</t>
        </is>
      </c>
      <c r="C5364" s="12" t="inlineStr">
        <is>
          <t>GT inlet chilling</t>
        </is>
      </c>
      <c r="D5364" s="12" t="inlineStr">
        <is>
          <t>Inlet-chilling CW pump 2</t>
        </is>
      </c>
      <c r="E5364" s="12" t="inlineStr"/>
      <c r="F5364" s="12" t="inlineStr">
        <is>
          <t>Inlet-chilling e-house / transformer</t>
        </is>
      </c>
      <c r="G5364" s="12" t="inlineStr"/>
      <c r="H5364" s="12" t="inlineStr">
        <is>
          <t>CW pumps (inlet chilling)</t>
        </is>
      </c>
      <c r="I5364" s="12" t="inlineStr">
        <is>
          <t>MV 5 kV</t>
        </is>
      </c>
      <c r="J5364" s="12" t="inlineStr">
        <is>
          <t>MV-105 5 kV 3/C Cu, EPR 133%, tape shield, gnd, PVC jacket</t>
        </is>
      </c>
      <c r="K5364" s="12" t="inlineStr">
        <is>
          <t>MV5|3/C|2</t>
        </is>
      </c>
      <c r="L5364" s="12" t="inlineStr">
        <is>
          <t>3/C</t>
        </is>
      </c>
      <c r="M5364" s="12" t="inlineStr">
        <is>
          <t>2</t>
        </is>
      </c>
      <c r="N5364" s="12" t="n">
        <v>1</v>
      </c>
      <c r="O5364" s="12" t="n">
        <v>1</v>
      </c>
      <c r="P5364" s="12" t="n">
        <v>4160</v>
      </c>
      <c r="Q5364" s="12" t="n">
        <v>450</v>
      </c>
      <c r="R5364" s="12" t="n">
        <v>69</v>
      </c>
      <c r="S5364" s="12" t="inlineStr">
        <is>
          <t>Tray</t>
        </is>
      </c>
      <c r="T5364" s="17" t="n">
        <v>0</v>
      </c>
      <c r="U5364" s="17" t="n">
        <v>70</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J-MV-0004</t>
        </is>
      </c>
      <c r="B5365" s="12" t="inlineStr">
        <is>
          <t>J</t>
        </is>
      </c>
      <c r="C5365" s="12" t="inlineStr">
        <is>
          <t>GT inlet chilling</t>
        </is>
      </c>
      <c r="D5365" s="12" t="inlineStr">
        <is>
          <t>Inlet-chilling CW pump 3</t>
        </is>
      </c>
      <c r="E5365" s="12" t="inlineStr"/>
      <c r="F5365" s="12" t="inlineStr">
        <is>
          <t>Inlet-chilling e-house / transformer</t>
        </is>
      </c>
      <c r="G5365" s="12" t="inlineStr"/>
      <c r="H5365" s="12" t="inlineStr">
        <is>
          <t>CW pumps (inlet chilling)</t>
        </is>
      </c>
      <c r="I5365" s="12" t="inlineStr">
        <is>
          <t>MV 5 kV</t>
        </is>
      </c>
      <c r="J5365" s="12" t="inlineStr">
        <is>
          <t>MV-105 5 kV 3/C Cu, EPR 133%, tape shield, gnd, PVC jacket</t>
        </is>
      </c>
      <c r="K5365" s="12" t="inlineStr">
        <is>
          <t>MV5|3/C|2</t>
        </is>
      </c>
      <c r="L5365" s="12" t="inlineStr">
        <is>
          <t>3/C</t>
        </is>
      </c>
      <c r="M5365" s="12" t="inlineStr">
        <is>
          <t>2</t>
        </is>
      </c>
      <c r="N5365" s="12" t="n">
        <v>1</v>
      </c>
      <c r="O5365" s="12" t="n">
        <v>1</v>
      </c>
      <c r="P5365" s="12" t="n">
        <v>4160</v>
      </c>
      <c r="Q5365" s="12" t="n">
        <v>450</v>
      </c>
      <c r="R5365" s="12" t="n">
        <v>69</v>
      </c>
      <c r="S5365" s="12" t="inlineStr">
        <is>
          <t>Tray</t>
        </is>
      </c>
      <c r="T5365" s="17" t="n">
        <v>0</v>
      </c>
      <c r="U5365" s="17" t="n">
        <v>70</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J-MV-0005</t>
        </is>
      </c>
      <c r="B5366" s="12" t="inlineStr">
        <is>
          <t>J</t>
        </is>
      </c>
      <c r="C5366" s="12" t="inlineStr">
        <is>
          <t>GT inlet chilling</t>
        </is>
      </c>
      <c r="D5366" s="12" t="inlineStr">
        <is>
          <t>Inlet-chilling CW pump 4</t>
        </is>
      </c>
      <c r="E5366" s="12" t="inlineStr"/>
      <c r="F5366" s="12" t="inlineStr">
        <is>
          <t>Inlet-chilling e-house / transformer</t>
        </is>
      </c>
      <c r="G5366" s="12" t="inlineStr"/>
      <c r="H5366" s="12" t="inlineStr">
        <is>
          <t>CW pumps (inlet chilling)</t>
        </is>
      </c>
      <c r="I5366" s="12" t="inlineStr">
        <is>
          <t>MV 5 kV</t>
        </is>
      </c>
      <c r="J5366" s="12" t="inlineStr">
        <is>
          <t>MV-105 5 kV 3/C Cu, EPR 133%, tape shield, gnd, PVC jacket</t>
        </is>
      </c>
      <c r="K5366" s="12" t="inlineStr">
        <is>
          <t>MV5|3/C|2</t>
        </is>
      </c>
      <c r="L5366" s="12" t="inlineStr">
        <is>
          <t>3/C</t>
        </is>
      </c>
      <c r="M5366" s="12" t="inlineStr">
        <is>
          <t>2</t>
        </is>
      </c>
      <c r="N5366" s="12" t="n">
        <v>1</v>
      </c>
      <c r="O5366" s="12" t="n">
        <v>1</v>
      </c>
      <c r="P5366" s="12" t="n">
        <v>4160</v>
      </c>
      <c r="Q5366" s="12" t="n">
        <v>450</v>
      </c>
      <c r="R5366" s="12" t="n">
        <v>69</v>
      </c>
      <c r="S5366" s="12" t="inlineStr">
        <is>
          <t>Tray</t>
        </is>
      </c>
      <c r="T5366" s="17" t="n">
        <v>0</v>
      </c>
      <c r="U5366" s="17" t="n">
        <v>70</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J-MV-0006</t>
        </is>
      </c>
      <c r="B5367" s="12" t="inlineStr">
        <is>
          <t>J</t>
        </is>
      </c>
      <c r="C5367" s="12" t="inlineStr">
        <is>
          <t>GT inlet chilling</t>
        </is>
      </c>
      <c r="D5367" s="12" t="inlineStr">
        <is>
          <t>Water-cooled chiller CH-1</t>
        </is>
      </c>
      <c r="E5367" s="12" t="inlineStr"/>
      <c r="F5367" s="12" t="inlineStr">
        <is>
          <t>Inlet-chilling e-house / transformer</t>
        </is>
      </c>
      <c r="G5367" s="12" t="inlineStr"/>
      <c r="H5367" s="12" t="inlineStr">
        <is>
          <t>Chillers x6 (water-cooled)</t>
        </is>
      </c>
      <c r="I5367" s="12" t="inlineStr">
        <is>
          <t>MV 5 kV</t>
        </is>
      </c>
      <c r="J5367" s="12" t="inlineStr">
        <is>
          <t>MV-105 5 kV 3/C Cu, EPR 133%, tape shield, gnd, PVC jacket</t>
        </is>
      </c>
      <c r="K5367" s="12" t="inlineStr">
        <is>
          <t>MV5|3/C|250</t>
        </is>
      </c>
      <c r="L5367" s="12" t="inlineStr">
        <is>
          <t>3/C</t>
        </is>
      </c>
      <c r="M5367" s="12" t="inlineStr">
        <is>
          <t>250 kcmil</t>
        </is>
      </c>
      <c r="N5367" s="12" t="n">
        <v>1</v>
      </c>
      <c r="O5367" s="12" t="n">
        <v>1</v>
      </c>
      <c r="P5367" s="12" t="n">
        <v>4160</v>
      </c>
      <c r="Q5367" s="12" t="n">
        <v>1500</v>
      </c>
      <c r="R5367" s="12" t="n">
        <v>231</v>
      </c>
      <c r="S5367" s="12" t="inlineStr">
        <is>
          <t>Duct bank</t>
        </is>
      </c>
      <c r="T5367" s="17" t="n">
        <v>10</v>
      </c>
      <c r="U5367" s="17" t="n">
        <v>32</v>
      </c>
      <c r="V5367" s="17">
        <f>ROUNDUP((T5367+U5367+2*'Read Me'!$B$13)*(1+'Read Me'!$B$12),-1)</f>
        <v/>
      </c>
      <c r="W5367" s="17">
        <f>V5367*N5367*O5367</f>
        <v/>
      </c>
      <c r="X5367" s="12">
        <f>IF(LEFT(I5367,2)="MV",2*N5367*IF(L5367="1/C",O5367,1),0)</f>
        <v/>
      </c>
      <c r="Y5367" s="12">
        <f>IF(OR(LEFT(K5367,4)="LVAX",LEFT(K5367,6)="MV15AX",LEFT(K5367,4)="CTAX",LEFT(K5367,2)="W|"),2*N5367*O5367,0)</f>
        <v/>
      </c>
      <c r="Z5367" s="12" t="inlineStr"/>
      <c r="AA5367" s="12">
        <f>N5367*O5367</f>
        <v/>
      </c>
    </row>
    <row r="5368">
      <c r="A5368" s="12" t="inlineStr">
        <is>
          <t>J-MV-0007</t>
        </is>
      </c>
      <c r="B5368" s="12" t="inlineStr">
        <is>
          <t>J</t>
        </is>
      </c>
      <c r="C5368" s="12" t="inlineStr">
        <is>
          <t>GT inlet chilling</t>
        </is>
      </c>
      <c r="D5368" s="12" t="inlineStr">
        <is>
          <t>Water-cooled chiller CH-2</t>
        </is>
      </c>
      <c r="E5368" s="12" t="inlineStr"/>
      <c r="F5368" s="12" t="inlineStr">
        <is>
          <t>Inlet-chilling e-house / transformer</t>
        </is>
      </c>
      <c r="G5368" s="12" t="inlineStr"/>
      <c r="H5368" s="12" t="inlineStr">
        <is>
          <t>Chillers x6 (water-cooled)</t>
        </is>
      </c>
      <c r="I5368" s="12" t="inlineStr">
        <is>
          <t>MV 5 kV</t>
        </is>
      </c>
      <c r="J5368" s="12" t="inlineStr">
        <is>
          <t>MV-105 5 kV 3/C Cu, EPR 133%, tape shield, gnd, PVC jacket</t>
        </is>
      </c>
      <c r="K5368" s="12" t="inlineStr">
        <is>
          <t>MV5|3/C|250</t>
        </is>
      </c>
      <c r="L5368" s="12" t="inlineStr">
        <is>
          <t>3/C</t>
        </is>
      </c>
      <c r="M5368" s="12" t="inlineStr">
        <is>
          <t>250 kcmil</t>
        </is>
      </c>
      <c r="N5368" s="12" t="n">
        <v>1</v>
      </c>
      <c r="O5368" s="12" t="n">
        <v>1</v>
      </c>
      <c r="P5368" s="12" t="n">
        <v>4160</v>
      </c>
      <c r="Q5368" s="12" t="n">
        <v>1500</v>
      </c>
      <c r="R5368" s="12" t="n">
        <v>231</v>
      </c>
      <c r="S5368" s="12" t="inlineStr">
        <is>
          <t>Duct bank</t>
        </is>
      </c>
      <c r="T5368" s="17" t="n">
        <v>10</v>
      </c>
      <c r="U5368" s="17" t="n">
        <v>32</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J-MV-0008</t>
        </is>
      </c>
      <c r="B5369" s="12" t="inlineStr">
        <is>
          <t>J</t>
        </is>
      </c>
      <c r="C5369" s="12" t="inlineStr">
        <is>
          <t>GT inlet chilling</t>
        </is>
      </c>
      <c r="D5369" s="12" t="inlineStr">
        <is>
          <t>Water-cooled chiller CH-3</t>
        </is>
      </c>
      <c r="E5369" s="12" t="inlineStr"/>
      <c r="F5369" s="12" t="inlineStr">
        <is>
          <t>Inlet-chilling e-house / transformer</t>
        </is>
      </c>
      <c r="G5369" s="12" t="inlineStr"/>
      <c r="H5369" s="12" t="inlineStr">
        <is>
          <t>Chillers x6 (water-cooled)</t>
        </is>
      </c>
      <c r="I5369" s="12" t="inlineStr">
        <is>
          <t>MV 5 kV</t>
        </is>
      </c>
      <c r="J5369" s="12" t="inlineStr">
        <is>
          <t>MV-105 5 kV 3/C Cu, EPR 133%, tape shield, gnd, PVC jacket</t>
        </is>
      </c>
      <c r="K5369" s="12" t="inlineStr">
        <is>
          <t>MV5|3/C|250</t>
        </is>
      </c>
      <c r="L5369" s="12" t="inlineStr">
        <is>
          <t>3/C</t>
        </is>
      </c>
      <c r="M5369" s="12" t="inlineStr">
        <is>
          <t>250 kcmil</t>
        </is>
      </c>
      <c r="N5369" s="12" t="n">
        <v>1</v>
      </c>
      <c r="O5369" s="12" t="n">
        <v>1</v>
      </c>
      <c r="P5369" s="12" t="n">
        <v>4160</v>
      </c>
      <c r="Q5369" s="12" t="n">
        <v>1500</v>
      </c>
      <c r="R5369" s="12" t="n">
        <v>231</v>
      </c>
      <c r="S5369" s="12" t="inlineStr">
        <is>
          <t>Duct bank</t>
        </is>
      </c>
      <c r="T5369" s="17" t="n">
        <v>10</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J-MV-0009</t>
        </is>
      </c>
      <c r="B5370" s="12" t="inlineStr">
        <is>
          <t>J</t>
        </is>
      </c>
      <c r="C5370" s="12" t="inlineStr">
        <is>
          <t>GT inlet chilling</t>
        </is>
      </c>
      <c r="D5370" s="12" t="inlineStr">
        <is>
          <t>Water-cooled chiller CH-4</t>
        </is>
      </c>
      <c r="E5370" s="12" t="inlineStr"/>
      <c r="F5370" s="12" t="inlineStr">
        <is>
          <t>Inlet-chilling e-house / transformer</t>
        </is>
      </c>
      <c r="G5370" s="12" t="inlineStr"/>
      <c r="H5370" s="12" t="inlineStr">
        <is>
          <t>Chillers x6 (water-cooled)</t>
        </is>
      </c>
      <c r="I5370" s="12" t="inlineStr">
        <is>
          <t>MV 5 kV</t>
        </is>
      </c>
      <c r="J5370" s="12" t="inlineStr">
        <is>
          <t>MV-105 5 kV 3/C Cu, EPR 133%, tape shield, gnd, PVC jacket</t>
        </is>
      </c>
      <c r="K5370" s="12" t="inlineStr">
        <is>
          <t>MV5|3/C|250</t>
        </is>
      </c>
      <c r="L5370" s="12" t="inlineStr">
        <is>
          <t>3/C</t>
        </is>
      </c>
      <c r="M5370" s="12" t="inlineStr">
        <is>
          <t>250 kcmil</t>
        </is>
      </c>
      <c r="N5370" s="12" t="n">
        <v>1</v>
      </c>
      <c r="O5370" s="12" t="n">
        <v>1</v>
      </c>
      <c r="P5370" s="12" t="n">
        <v>4160</v>
      </c>
      <c r="Q5370" s="12" t="n">
        <v>1500</v>
      </c>
      <c r="R5370" s="12" t="n">
        <v>231</v>
      </c>
      <c r="S5370" s="12" t="inlineStr">
        <is>
          <t>Duct bank</t>
        </is>
      </c>
      <c r="T5370" s="17" t="n">
        <v>10</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J-MV-0010</t>
        </is>
      </c>
      <c r="B5371" s="12" t="inlineStr">
        <is>
          <t>J</t>
        </is>
      </c>
      <c r="C5371" s="12" t="inlineStr">
        <is>
          <t>GT inlet chilling</t>
        </is>
      </c>
      <c r="D5371" s="12" t="inlineStr">
        <is>
          <t>Water-cooled chiller CH-5</t>
        </is>
      </c>
      <c r="E5371" s="12" t="inlineStr"/>
      <c r="F5371" s="12" t="inlineStr">
        <is>
          <t>Inlet-chilling e-house / transformer</t>
        </is>
      </c>
      <c r="G5371" s="12" t="inlineStr"/>
      <c r="H5371" s="12" t="inlineStr">
        <is>
          <t>Chillers x6 (water-cooled)</t>
        </is>
      </c>
      <c r="I5371" s="12" t="inlineStr">
        <is>
          <t>MV 5 kV</t>
        </is>
      </c>
      <c r="J5371" s="12" t="inlineStr">
        <is>
          <t>MV-105 5 kV 3/C Cu, EPR 133%, tape shield, gnd, PVC jacket</t>
        </is>
      </c>
      <c r="K5371" s="12" t="inlineStr">
        <is>
          <t>MV5|3/C|250</t>
        </is>
      </c>
      <c r="L5371" s="12" t="inlineStr">
        <is>
          <t>3/C</t>
        </is>
      </c>
      <c r="M5371" s="12" t="inlineStr">
        <is>
          <t>250 kcmil</t>
        </is>
      </c>
      <c r="N5371" s="12" t="n">
        <v>1</v>
      </c>
      <c r="O5371" s="12" t="n">
        <v>1</v>
      </c>
      <c r="P5371" s="12" t="n">
        <v>4160</v>
      </c>
      <c r="Q5371" s="12" t="n">
        <v>1500</v>
      </c>
      <c r="R5371" s="12" t="n">
        <v>231</v>
      </c>
      <c r="S5371" s="12" t="inlineStr">
        <is>
          <t>Duct bank</t>
        </is>
      </c>
      <c r="T5371" s="17" t="n">
        <v>10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J-MV-0011</t>
        </is>
      </c>
      <c r="B5372" s="12" t="inlineStr">
        <is>
          <t>J</t>
        </is>
      </c>
      <c r="C5372" s="12" t="inlineStr">
        <is>
          <t>GT inlet chilling</t>
        </is>
      </c>
      <c r="D5372" s="12" t="inlineStr">
        <is>
          <t>Water-cooled chiller CH-6</t>
        </is>
      </c>
      <c r="E5372" s="12" t="inlineStr"/>
      <c r="F5372" s="12" t="inlineStr">
        <is>
          <t>Inlet-chilling e-house / transformer</t>
        </is>
      </c>
      <c r="G5372" s="12" t="inlineStr"/>
      <c r="H5372" s="12" t="inlineStr">
        <is>
          <t>Chillers x6 (water-cooled)</t>
        </is>
      </c>
      <c r="I5372" s="12" t="inlineStr">
        <is>
          <t>MV 5 kV</t>
        </is>
      </c>
      <c r="J5372" s="12" t="inlineStr">
        <is>
          <t>MV-105 5 kV 3/C Cu, EPR 133%, tape shield, gnd, PVC jacket</t>
        </is>
      </c>
      <c r="K5372" s="12" t="inlineStr">
        <is>
          <t>MV5|3/C|250</t>
        </is>
      </c>
      <c r="L5372" s="12" t="inlineStr">
        <is>
          <t>3/C</t>
        </is>
      </c>
      <c r="M5372" s="12" t="inlineStr">
        <is>
          <t>250 kcmil</t>
        </is>
      </c>
      <c r="N5372" s="12" t="n">
        <v>1</v>
      </c>
      <c r="O5372" s="12" t="n">
        <v>1</v>
      </c>
      <c r="P5372" s="12" t="n">
        <v>4160</v>
      </c>
      <c r="Q5372" s="12" t="n">
        <v>1500</v>
      </c>
      <c r="R5372" s="12" t="n">
        <v>231</v>
      </c>
      <c r="S5372" s="12" t="inlineStr">
        <is>
          <t>Duct bank</t>
        </is>
      </c>
      <c r="T5372" s="17" t="n">
        <v>10</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K-L-0001</t>
        </is>
      </c>
      <c r="B5373" s="12" t="inlineStr">
        <is>
          <t>K</t>
        </is>
      </c>
      <c r="C5373" s="12" t="inlineStr">
        <is>
          <t>Fuel supply (adjacent market)</t>
        </is>
      </c>
      <c r="D5373" s="12" t="inlineStr">
        <is>
          <t>Lighting, receptacles and small power branch circuits (allowance)</t>
        </is>
      </c>
      <c r="E5373" s="12" t="inlineStr"/>
      <c r="F5373" s="12" t="inlineStr">
        <is>
          <t>H2 20: 13.8 kV e-house</t>
        </is>
      </c>
      <c r="G5373" s="12" t="inlineStr"/>
      <c r="H5373" s="12" t="inlineStr">
        <is>
          <t>H2 20: 13.8 kV e-house</t>
        </is>
      </c>
      <c r="I5373" s="12" t="inlineStr">
        <is>
          <t>Building wire</t>
        </is>
      </c>
      <c r="J5373" s="12" t="inlineStr">
        <is>
          <t>SIMpull THHN/THWN-2 600 V 1/C Cu (lighting, receptacles, small power)</t>
        </is>
      </c>
      <c r="K5373" s="12" t="inlineStr">
        <is>
          <t>THHN|1/C|12</t>
        </is>
      </c>
      <c r="L5373" s="12" t="inlineStr">
        <is>
          <t>1/C</t>
        </is>
      </c>
      <c r="M5373" s="12" t="inlineStr">
        <is>
          <t>12</t>
        </is>
      </c>
      <c r="N5373" s="12" t="n">
        <v>1</v>
      </c>
      <c r="O5373" s="12" t="n">
        <v>1</v>
      </c>
      <c r="P5373" s="12" t="n">
        <v>277</v>
      </c>
      <c r="Q5373" s="12" t="n"/>
      <c r="R5373" s="12" t="n"/>
      <c r="S5373" s="12" t="inlineStr">
        <is>
          <t>Conduit</t>
        </is>
      </c>
      <c r="T5373" s="17" t="n">
        <v>1536</v>
      </c>
      <c r="U5373" s="17" t="n">
        <v>0</v>
      </c>
      <c r="V5373" s="17">
        <f>ROUNDUP((T5373+U5373+2*'Read Me'!$B$13)*(1+'Read Me'!$B$12),-1)</f>
        <v/>
      </c>
      <c r="W5373" s="17">
        <f>V5373*N5373*O5373</f>
        <v/>
      </c>
      <c r="X5373" s="12">
        <f>IF(LEFT(I5373,2)="MV",2*N5373*IF(L5373="1/C",O5373,1),0)</f>
        <v/>
      </c>
      <c r="Y5373" s="12">
        <f>IF(OR(LEFT(K5373,4)="LVAX",LEFT(K5373,6)="MV15AX",LEFT(K5373,4)="CTAX",LEFT(K5373,2)="W|"),2*N5373*O5373,0)</f>
        <v/>
      </c>
      <c r="Z5373" s="12" t="inlineStr">
        <is>
          <t>allowance: 1.6 ft of conductor per ft2 of floor</t>
        </is>
      </c>
      <c r="AA5373" s="12">
        <f>N5373*O5373</f>
        <v/>
      </c>
    </row>
    <row r="5374">
      <c r="A5374" s="12" t="inlineStr">
        <is>
          <t>K-L-0002</t>
        </is>
      </c>
      <c r="B5374" s="12" t="inlineStr">
        <is>
          <t>K</t>
        </is>
      </c>
      <c r="C5374" s="12" t="inlineStr">
        <is>
          <t>Fuel supply (adjacent market)</t>
        </is>
      </c>
      <c r="D5374" s="12" t="inlineStr">
        <is>
          <t>Lighting, receptacles and small power branch circuits (allowance)</t>
        </is>
      </c>
      <c r="E5374" s="12" t="inlineStr"/>
      <c r="F5374" s="12" t="inlineStr">
        <is>
          <t>LNG 17: LNG e-house (13.8 kV / 480 V)</t>
        </is>
      </c>
      <c r="G5374" s="12" t="inlineStr"/>
      <c r="H5374" s="12" t="inlineStr">
        <is>
          <t>LNG 17: LNG e-house (13.8 kV / 480 V)</t>
        </is>
      </c>
      <c r="I5374" s="12" t="inlineStr">
        <is>
          <t>Building wire</t>
        </is>
      </c>
      <c r="J5374" s="12" t="inlineStr">
        <is>
          <t>SIMpull THHN/THWN-2 600 V 1/C Cu (lighting, receptacles, small power)</t>
        </is>
      </c>
      <c r="K5374" s="12" t="inlineStr">
        <is>
          <t>THHN|1/C|12</t>
        </is>
      </c>
      <c r="L5374" s="12" t="inlineStr">
        <is>
          <t>1/C</t>
        </is>
      </c>
      <c r="M5374" s="12" t="inlineStr">
        <is>
          <t>12</t>
        </is>
      </c>
      <c r="N5374" s="12" t="n">
        <v>1</v>
      </c>
      <c r="O5374" s="12" t="n">
        <v>1</v>
      </c>
      <c r="P5374" s="12" t="n">
        <v>277</v>
      </c>
      <c r="Q5374" s="12" t="n"/>
      <c r="R5374" s="12" t="n"/>
      <c r="S5374" s="12" t="inlineStr">
        <is>
          <t>Conduit</t>
        </is>
      </c>
      <c r="T5374" s="17" t="n">
        <v>896</v>
      </c>
      <c r="U5374" s="17" t="n">
        <v>0</v>
      </c>
      <c r="V5374" s="17">
        <f>ROUNDUP((T5374+U5374+2*'Read Me'!$B$13)*(1+'Read Me'!$B$12),-1)</f>
        <v/>
      </c>
      <c r="W5374" s="17">
        <f>V5374*N5374*O5374</f>
        <v/>
      </c>
      <c r="X5374" s="12">
        <f>IF(LEFT(I5374,2)="MV",2*N5374*IF(L5374="1/C",O5374,1),0)</f>
        <v/>
      </c>
      <c r="Y5374" s="12">
        <f>IF(OR(LEFT(K5374,4)="LVAX",LEFT(K5374,6)="MV15AX",LEFT(K5374,4)="CTAX",LEFT(K5374,2)="W|"),2*N5374*O5374,0)</f>
        <v/>
      </c>
      <c r="Z5374" s="12" t="inlineStr">
        <is>
          <t>allowance: 1.6 ft of conductor per ft2 of floor</t>
        </is>
      </c>
      <c r="AA5374" s="12">
        <f>N5374*O5374</f>
        <v/>
      </c>
    </row>
    <row r="5375">
      <c r="A5375" s="12" t="inlineStr">
        <is>
          <t>K-L-0003</t>
        </is>
      </c>
      <c r="B5375" s="12" t="inlineStr">
        <is>
          <t>K</t>
        </is>
      </c>
      <c r="C5375" s="12" t="inlineStr">
        <is>
          <t>Fuel supply (adjacent market)</t>
        </is>
      </c>
      <c r="D5375" s="12" t="inlineStr">
        <is>
          <t>Lighting, receptacles and small power branch circuits (allowance)</t>
        </is>
      </c>
      <c r="E5375" s="12" t="inlineStr"/>
      <c r="F5375" s="12" t="inlineStr">
        <is>
          <t>M&amp;R 6: regulation / flow control building</t>
        </is>
      </c>
      <c r="G5375" s="12" t="inlineStr"/>
      <c r="H5375" s="12" t="inlineStr">
        <is>
          <t>M&amp;R 6: regulation / flow control building</t>
        </is>
      </c>
      <c r="I5375" s="12" t="inlineStr">
        <is>
          <t>Building wire</t>
        </is>
      </c>
      <c r="J5375" s="12" t="inlineStr">
        <is>
          <t>SIMpull THHN/THWN-2 600 V 1/C Cu (lighting, receptacles, small power)</t>
        </is>
      </c>
      <c r="K5375" s="12" t="inlineStr">
        <is>
          <t>THHN|1/C|12</t>
        </is>
      </c>
      <c r="L5375" s="12" t="inlineStr">
        <is>
          <t>1/C</t>
        </is>
      </c>
      <c r="M5375" s="12" t="inlineStr">
        <is>
          <t>12</t>
        </is>
      </c>
      <c r="N5375" s="12" t="n">
        <v>1</v>
      </c>
      <c r="O5375" s="12" t="n">
        <v>1</v>
      </c>
      <c r="P5375" s="12" t="n">
        <v>277</v>
      </c>
      <c r="Q5375" s="12" t="n"/>
      <c r="R5375" s="12" t="n"/>
      <c r="S5375" s="12" t="inlineStr">
        <is>
          <t>Conduit</t>
        </is>
      </c>
      <c r="T5375" s="17" t="n">
        <v>1440</v>
      </c>
      <c r="U5375" s="17" t="n">
        <v>0</v>
      </c>
      <c r="V5375" s="17">
        <f>ROUNDUP((T5375+U5375+2*'Read Me'!$B$13)*(1+'Read Me'!$B$12),-1)</f>
        <v/>
      </c>
      <c r="W5375" s="17">
        <f>V5375*N5375*O5375</f>
        <v/>
      </c>
      <c r="X5375" s="12">
        <f>IF(LEFT(I5375,2)="MV",2*N5375*IF(L5375="1/C",O5375,1),0)</f>
        <v/>
      </c>
      <c r="Y5375" s="12">
        <f>IF(OR(LEFT(K5375,4)="LVAX",LEFT(K5375,6)="MV15AX",LEFT(K5375,4)="CTAX",LEFT(K5375,2)="W|"),2*N5375*O5375,0)</f>
        <v/>
      </c>
      <c r="Z5375" s="12" t="inlineStr">
        <is>
          <t>allowance: 1.6 ft of conductor per ft2 of floor</t>
        </is>
      </c>
      <c r="AA5375" s="12">
        <f>N5375*O5375</f>
        <v/>
      </c>
    </row>
    <row r="5376">
      <c r="A5376" s="12" t="inlineStr">
        <is>
          <t>K-L-0004</t>
        </is>
      </c>
      <c r="B5376" s="12" t="inlineStr">
        <is>
          <t>K</t>
        </is>
      </c>
      <c r="C5376" s="12" t="inlineStr">
        <is>
          <t>Fuel supply (adjacent market)</t>
        </is>
      </c>
      <c r="D5376" s="12" t="inlineStr">
        <is>
          <t>Lighting, receptacles and small power branch circuits (allowance)</t>
        </is>
      </c>
      <c r="E5376" s="12" t="inlineStr"/>
      <c r="F5376" s="12" t="inlineStr">
        <is>
          <t>M&amp;R 7: gas quality + measurement building</t>
        </is>
      </c>
      <c r="G5376" s="12" t="inlineStr"/>
      <c r="H5376" s="12" t="inlineStr">
        <is>
          <t>M&amp;R 7: gas quality + measurement building</t>
        </is>
      </c>
      <c r="I5376" s="12" t="inlineStr">
        <is>
          <t>Building wire</t>
        </is>
      </c>
      <c r="J5376" s="12" t="inlineStr">
        <is>
          <t>SIMpull THHN/THWN-2 600 V 1/C Cu (lighting, receptacles, small power)</t>
        </is>
      </c>
      <c r="K5376" s="12" t="inlineStr">
        <is>
          <t>THHN|1/C|12</t>
        </is>
      </c>
      <c r="L5376" s="12" t="inlineStr">
        <is>
          <t>1/C</t>
        </is>
      </c>
      <c r="M5376" s="12" t="inlineStr">
        <is>
          <t>12</t>
        </is>
      </c>
      <c r="N5376" s="12" t="n">
        <v>1</v>
      </c>
      <c r="O5376" s="12" t="n">
        <v>1</v>
      </c>
      <c r="P5376" s="12" t="n">
        <v>277</v>
      </c>
      <c r="Q5376" s="12" t="n"/>
      <c r="R5376" s="12" t="n"/>
      <c r="S5376" s="12" t="inlineStr">
        <is>
          <t>Conduit</t>
        </is>
      </c>
      <c r="T5376" s="17" t="n">
        <v>205</v>
      </c>
      <c r="U5376" s="17" t="n">
        <v>0</v>
      </c>
      <c r="V5376" s="17">
        <f>ROUNDUP((T5376+U5376+2*'Read Me'!$B$13)*(1+'Read Me'!$B$12),-1)</f>
        <v/>
      </c>
      <c r="W5376" s="17">
        <f>V5376*N5376*O5376</f>
        <v/>
      </c>
      <c r="X5376" s="12">
        <f>IF(LEFT(I5376,2)="MV",2*N5376*IF(L5376="1/C",O5376,1),0)</f>
        <v/>
      </c>
      <c r="Y5376" s="12">
        <f>IF(OR(LEFT(K5376,4)="LVAX",LEFT(K5376,6)="MV15AX",LEFT(K5376,4)="CTAX",LEFT(K5376,2)="W|"),2*N5376*O5376,0)</f>
        <v/>
      </c>
      <c r="Z5376" s="12" t="inlineStr">
        <is>
          <t>allowance: 1.6 ft of conductor per ft2 of floor</t>
        </is>
      </c>
      <c r="AA5376" s="12">
        <f>N5376*O5376</f>
        <v/>
      </c>
    </row>
    <row r="5377">
      <c r="A5377" s="12" t="inlineStr">
        <is>
          <t>K-C-0001</t>
        </is>
      </c>
      <c r="B5377" s="12" t="inlineStr">
        <is>
          <t>K</t>
        </is>
      </c>
      <c r="C5377" s="12" t="inlineStr">
        <is>
          <t>Fuel supply (adjacent market)</t>
        </is>
      </c>
      <c r="D5377" s="12" t="inlineStr">
        <is>
          <t>Motor 1 of 1: control / local station</t>
        </is>
      </c>
      <c r="E5377" s="12" t="inlineStr"/>
      <c r="F5377" s="12" t="inlineStr">
        <is>
          <t>H2 20: 13.8 kV e-house</t>
        </is>
      </c>
      <c r="G5377" s="12" t="inlineStr">
        <is>
          <t>T-H2</t>
        </is>
      </c>
      <c r="H5377" s="12" t="inlineStr">
        <is>
          <t>H2 19: T-H2 230/13.8 kV (about 40 MVA)</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7" t="n">
        <v>35</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K-C-0002</t>
        </is>
      </c>
      <c r="B5378" s="12" t="inlineStr">
        <is>
          <t>K</t>
        </is>
      </c>
      <c r="C5378" s="12" t="inlineStr">
        <is>
          <t>Fuel supply (adjacent market)</t>
        </is>
      </c>
      <c r="D5378" s="12" t="inlineStr">
        <is>
          <t>Solenoid to JB JB-T-H2-SOL01: 2 x 2/C (field cables)</t>
        </is>
      </c>
      <c r="E5378" s="12" t="inlineStr">
        <is>
          <t>T-H2</t>
        </is>
      </c>
      <c r="F5378" s="12" t="inlineStr">
        <is>
          <t>H2 19: T-H2 230/13.8 kV (about 40 MVA)</t>
        </is>
      </c>
      <c r="G5378" s="12" t="inlineStr">
        <is>
          <t>JB-T-H2-SOL01</t>
        </is>
      </c>
      <c r="H5378" s="12" t="inlineStr">
        <is>
          <t>H2 19: T-H2 230/13.8 kV (about 40 MVA)</t>
        </is>
      </c>
      <c r="I5378" s="12" t="inlineStr">
        <is>
          <t>Control</t>
        </is>
      </c>
      <c r="J5378" s="12" t="inlineStr">
        <is>
          <t>ARMOR-X MC-HL 600 V control, Cu #14 AWG (Class I Div 2)</t>
        </is>
      </c>
      <c r="K5378" s="12" t="inlineStr">
        <is>
          <t>CTAX|2/C|14</t>
        </is>
      </c>
      <c r="L5378" s="12" t="inlineStr">
        <is>
          <t>2/C</t>
        </is>
      </c>
      <c r="M5378" s="12" t="inlineStr">
        <is>
          <t>14</t>
        </is>
      </c>
      <c r="N5378" s="12" t="n">
        <v>2</v>
      </c>
      <c r="O5378" s="12" t="n">
        <v>1</v>
      </c>
      <c r="P5378" s="12" t="n"/>
      <c r="Q5378" s="12" t="n"/>
      <c r="R5378" s="12" t="n"/>
      <c r="S5378" s="12" t="inlineStr">
        <is>
          <t>Tray / conduit</t>
        </is>
      </c>
      <c r="T5378" s="17" t="n">
        <v>80</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K-C-0003</t>
        </is>
      </c>
      <c r="B5379" s="12" t="inlineStr">
        <is>
          <t>K</t>
        </is>
      </c>
      <c r="C5379" s="12" t="inlineStr">
        <is>
          <t>Fuel supply (adjacent market)</t>
        </is>
      </c>
      <c r="D5379" s="12" t="inlineStr">
        <is>
          <t>Home run JB-T-H2-SOL01 to the control / marshalling room</t>
        </is>
      </c>
      <c r="E5379" s="12" t="inlineStr"/>
      <c r="F5379" s="12" t="inlineStr">
        <is>
          <t>H2 20: 13.8 kV e-house</t>
        </is>
      </c>
      <c r="G5379" s="12" t="inlineStr">
        <is>
          <t>JB-T-H2-SOL01</t>
        </is>
      </c>
      <c r="H5379" s="12" t="inlineStr">
        <is>
          <t>H2 19: T-H2 230/13.8 kV (about 40 MVA)</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35</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K-C-0004</t>
        </is>
      </c>
      <c r="B5380" s="12" t="inlineStr">
        <is>
          <t>K</t>
        </is>
      </c>
      <c r="C5380" s="12" t="inlineStr">
        <is>
          <t>Fuel supply (adjacent market)</t>
        </is>
      </c>
      <c r="D5380" s="12" t="inlineStr">
        <is>
          <t>Motor 1 of 1: control / local station</t>
        </is>
      </c>
      <c r="E5380" s="12" t="inlineStr"/>
      <c r="F5380" s="12" t="inlineStr">
        <is>
          <t>H2 20: 13.8 kV e-house</t>
        </is>
      </c>
      <c r="G5380" s="12" t="inlineStr"/>
      <c r="H5380" s="12" t="inlineStr">
        <is>
          <t>H2 20: 13.8 kV e-house</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Tray</t>
        </is>
      </c>
      <c r="T5380" s="17" t="n">
        <v>0</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K-C-0005</t>
        </is>
      </c>
      <c r="B5381" s="12" t="inlineStr">
        <is>
          <t>K</t>
        </is>
      </c>
      <c r="C5381" s="12" t="inlineStr">
        <is>
          <t>Fuel supply (adjacent market)</t>
        </is>
      </c>
      <c r="D5381" s="12" t="inlineStr">
        <is>
          <t>Solenoid to JB JB-H2 20: 13.8 kV e-h-SOL01: 2 x 2/C (field cables)</t>
        </is>
      </c>
      <c r="E5381" s="12" t="inlineStr"/>
      <c r="F5381" s="12" t="inlineStr">
        <is>
          <t>H2 20: 13.8 kV e-house</t>
        </is>
      </c>
      <c r="G5381" s="12" t="inlineStr">
        <is>
          <t>JB-H2 20: 13.8 kV e-h-SOL01</t>
        </is>
      </c>
      <c r="H5381" s="12" t="inlineStr">
        <is>
          <t>H2 20: 13.8 kV e-house</t>
        </is>
      </c>
      <c r="I5381" s="12" t="inlineStr">
        <is>
          <t>Control</t>
        </is>
      </c>
      <c r="J5381" s="12" t="inlineStr">
        <is>
          <t>ARMOR-X MC-HL 600 V control, Cu #14 AWG (Class I Div 2)</t>
        </is>
      </c>
      <c r="K5381" s="12" t="inlineStr">
        <is>
          <t>CTAX|2/C|14</t>
        </is>
      </c>
      <c r="L5381" s="12" t="inlineStr">
        <is>
          <t>2/C</t>
        </is>
      </c>
      <c r="M5381" s="12" t="inlineStr">
        <is>
          <t>14</t>
        </is>
      </c>
      <c r="N5381" s="12" t="n">
        <v>2</v>
      </c>
      <c r="O5381" s="12" t="n">
        <v>1</v>
      </c>
      <c r="P5381" s="12" t="n"/>
      <c r="Q5381" s="12" t="n"/>
      <c r="R5381" s="12" t="n"/>
      <c r="S5381" s="12" t="inlineStr">
        <is>
          <t>Tray / conduit</t>
        </is>
      </c>
      <c r="T5381" s="17" t="n">
        <v>69</v>
      </c>
      <c r="U5381" s="17" t="n">
        <v>10</v>
      </c>
      <c r="V5381" s="17">
        <f>ROUNDUP((T5381+U5381+2*'Read Me'!$B$13)*(1+'Read Me'!$B$12),-1)</f>
        <v/>
      </c>
      <c r="W5381" s="17">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K-C-0006</t>
        </is>
      </c>
      <c r="B5382" s="12" t="inlineStr">
        <is>
          <t>K</t>
        </is>
      </c>
      <c r="C5382" s="12" t="inlineStr">
        <is>
          <t>Fuel supply (adjacent market)</t>
        </is>
      </c>
      <c r="D5382" s="12" t="inlineStr">
        <is>
          <t>Home run JB-H2 20: 13.8 kV e-h-SOL01 to the control / marshalling room</t>
        </is>
      </c>
      <c r="E5382" s="12" t="inlineStr"/>
      <c r="F5382" s="12" t="inlineStr">
        <is>
          <t>H2 20: 13.8 kV e-house</t>
        </is>
      </c>
      <c r="G5382" s="12" t="inlineStr">
        <is>
          <t>JB-H2 20: 13.8 kV e-h-SOL01</t>
        </is>
      </c>
      <c r="H5382" s="12" t="inlineStr">
        <is>
          <t>H2 20: 13.8 kV e-house</t>
        </is>
      </c>
      <c r="I5382" s="12" t="inlineStr">
        <is>
          <t>Control</t>
        </is>
      </c>
      <c r="J5382" s="12" t="inlineStr">
        <is>
          <t>ARMOR-X MC-HL 600 V control, Cu #14 AWG (Class I Div 2)</t>
        </is>
      </c>
      <c r="K5382" s="12" t="inlineStr">
        <is>
          <t>CTAX|25/C|14</t>
        </is>
      </c>
      <c r="L5382" s="12" t="inlineStr">
        <is>
          <t>25/C</t>
        </is>
      </c>
      <c r="M5382" s="12" t="inlineStr">
        <is>
          <t>14</t>
        </is>
      </c>
      <c r="N5382" s="12" t="n">
        <v>1</v>
      </c>
      <c r="O5382" s="12" t="n">
        <v>1</v>
      </c>
      <c r="P5382" s="12" t="n"/>
      <c r="Q5382" s="12" t="n"/>
      <c r="R5382" s="12" t="n"/>
      <c r="S5382" s="12" t="inlineStr">
        <is>
          <t>Tray</t>
        </is>
      </c>
      <c r="T5382" s="17" t="n">
        <v>0</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K-C-0007</t>
        </is>
      </c>
      <c r="B5383" s="12" t="inlineStr">
        <is>
          <t>K</t>
        </is>
      </c>
      <c r="C5383" s="12" t="inlineStr">
        <is>
          <t>Fuel supply (adjacent market)</t>
        </is>
      </c>
      <c r="D5383" s="12" t="inlineStr">
        <is>
          <t>Motor 1 of 1: control / local station</t>
        </is>
      </c>
      <c r="E5383" s="12" t="inlineStr"/>
      <c r="F5383" s="12" t="inlineStr">
        <is>
          <t>H2 20: 13.8 kV e-house</t>
        </is>
      </c>
      <c r="G5383" s="12" t="inlineStr"/>
      <c r="H5383" s="12" t="inlineStr">
        <is>
          <t>H2 21: rectifier transformer 1 (7 MVA)</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356</v>
      </c>
      <c r="U5383" s="17" t="n">
        <v>48</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K-C-0008</t>
        </is>
      </c>
      <c r="B5384" s="12" t="inlineStr">
        <is>
          <t>K</t>
        </is>
      </c>
      <c r="C5384" s="12" t="inlineStr">
        <is>
          <t>Fuel supply (adjacent market)</t>
        </is>
      </c>
      <c r="D5384" s="12" t="inlineStr">
        <is>
          <t>Solenoid to JB JB-H2 21: rectifier t-SOL01: 2 x 2/C (field cables)</t>
        </is>
      </c>
      <c r="E5384" s="12" t="inlineStr"/>
      <c r="F5384" s="12" t="inlineStr">
        <is>
          <t>H2 21: rectifier transformer 1 (7 MVA)</t>
        </is>
      </c>
      <c r="G5384" s="12" t="inlineStr">
        <is>
          <t>JB-H2 21: rectifier t-SOL01</t>
        </is>
      </c>
      <c r="H5384" s="12" t="inlineStr">
        <is>
          <t>H2 21: rectifier transformer 1 (7 MVA)</t>
        </is>
      </c>
      <c r="I5384" s="12" t="inlineStr">
        <is>
          <t>Control</t>
        </is>
      </c>
      <c r="J5384" s="12" t="inlineStr">
        <is>
          <t>ARMOR-X MC-HL 600 V control, Cu #14 AWG (Class I Div 2)</t>
        </is>
      </c>
      <c r="K5384" s="12" t="inlineStr">
        <is>
          <t>CTAX|2/C|14</t>
        </is>
      </c>
      <c r="L5384" s="12" t="inlineStr">
        <is>
          <t>2/C</t>
        </is>
      </c>
      <c r="M5384" s="12" t="inlineStr">
        <is>
          <t>14</t>
        </is>
      </c>
      <c r="N5384" s="12" t="n">
        <v>2</v>
      </c>
      <c r="O5384" s="12" t="n">
        <v>1</v>
      </c>
      <c r="P5384" s="12" t="n"/>
      <c r="Q5384" s="12" t="n"/>
      <c r="R5384" s="12" t="n"/>
      <c r="S5384" s="12" t="inlineStr">
        <is>
          <t>Tray / conduit</t>
        </is>
      </c>
      <c r="T5384" s="17" t="n">
        <v>41</v>
      </c>
      <c r="U5384" s="17" t="n">
        <v>10</v>
      </c>
      <c r="V5384" s="17">
        <f>ROUNDUP((T5384+U5384+2*'Read Me'!$B$13)*(1+'Read Me'!$B$12),-1)</f>
        <v/>
      </c>
      <c r="W5384" s="17">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K-C-0009</t>
        </is>
      </c>
      <c r="B5385" s="12" t="inlineStr">
        <is>
          <t>K</t>
        </is>
      </c>
      <c r="C5385" s="12" t="inlineStr">
        <is>
          <t>Fuel supply (adjacent market)</t>
        </is>
      </c>
      <c r="D5385" s="12" t="inlineStr">
        <is>
          <t>Home run JB-H2 21: rectifier t-SOL01 to the control / marshalling room</t>
        </is>
      </c>
      <c r="E5385" s="12" t="inlineStr"/>
      <c r="F5385" s="12" t="inlineStr">
        <is>
          <t>H2 20: 13.8 kV e-house</t>
        </is>
      </c>
      <c r="G5385" s="12" t="inlineStr">
        <is>
          <t>JB-H2 21: rectifier t-SOL01</t>
        </is>
      </c>
      <c r="H5385" s="12" t="inlineStr">
        <is>
          <t>H2 21: rectifier transformer 1 (7 MVA)</t>
        </is>
      </c>
      <c r="I5385" s="12" t="inlineStr">
        <is>
          <t>Control</t>
        </is>
      </c>
      <c r="J5385" s="12" t="inlineStr">
        <is>
          <t>ARMOR-X MC-HL 600 V control, Cu #14 AWG (Class I Div 2)</t>
        </is>
      </c>
      <c r="K5385" s="12" t="inlineStr">
        <is>
          <t>CTAX|25/C|14</t>
        </is>
      </c>
      <c r="L5385" s="12" t="inlineStr">
        <is>
          <t>25/C</t>
        </is>
      </c>
      <c r="M5385" s="12" t="inlineStr">
        <is>
          <t>14</t>
        </is>
      </c>
      <c r="N5385" s="12" t="n">
        <v>1</v>
      </c>
      <c r="O5385" s="12" t="n">
        <v>1</v>
      </c>
      <c r="P5385" s="12" t="n"/>
      <c r="Q5385" s="12" t="n"/>
      <c r="R5385" s="12" t="n"/>
      <c r="S5385" s="12" t="inlineStr">
        <is>
          <t>Duct bank</t>
        </is>
      </c>
      <c r="T5385" s="17" t="n">
        <v>356</v>
      </c>
      <c r="U5385" s="17" t="n">
        <v>48</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K-C-0010</t>
        </is>
      </c>
      <c r="B5386" s="12" t="inlineStr">
        <is>
          <t>K</t>
        </is>
      </c>
      <c r="C5386" s="12" t="inlineStr">
        <is>
          <t>Fuel supply (adjacent market)</t>
        </is>
      </c>
      <c r="D5386" s="12" t="inlineStr">
        <is>
          <t>Control</t>
        </is>
      </c>
      <c r="E5386" s="12" t="inlineStr"/>
      <c r="F5386" s="12" t="inlineStr">
        <is>
          <t>H2 20: 13.8 kV e-house</t>
        </is>
      </c>
      <c r="G5386" s="12" t="inlineStr"/>
      <c r="H5386" s="12" t="inlineStr">
        <is>
          <t>H2 21: rectifier transformer 1 (7 MVA)</t>
        </is>
      </c>
      <c r="I5386" s="12" t="inlineStr">
        <is>
          <t>Control</t>
        </is>
      </c>
      <c r="J5386" s="12" t="inlineStr">
        <is>
          <t>ARMOR-X MC-HL 600 V control, Cu #14 AWG (Class I Div 2)</t>
        </is>
      </c>
      <c r="K5386" s="12" t="inlineStr">
        <is>
          <t>CTAX|7/C|14</t>
        </is>
      </c>
      <c r="L5386" s="12" t="inlineStr">
        <is>
          <t>7/C</t>
        </is>
      </c>
      <c r="M5386" s="12" t="inlineStr">
        <is>
          <t>14</t>
        </is>
      </c>
      <c r="N5386" s="12" t="n">
        <v>1</v>
      </c>
      <c r="O5386" s="12" t="n">
        <v>1</v>
      </c>
      <c r="P5386" s="12" t="n"/>
      <c r="Q5386" s="12" t="n"/>
      <c r="R5386" s="12" t="n"/>
      <c r="S5386" s="12" t="inlineStr">
        <is>
          <t>Duct bank</t>
        </is>
      </c>
      <c r="T5386" s="17" t="n">
        <v>356</v>
      </c>
      <c r="U5386" s="17" t="n">
        <v>48</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K-C-0011</t>
        </is>
      </c>
      <c r="B5387" s="12" t="inlineStr">
        <is>
          <t>K</t>
        </is>
      </c>
      <c r="C5387" s="12" t="inlineStr">
        <is>
          <t>Fuel supply (adjacent market)</t>
        </is>
      </c>
      <c r="D5387" s="12" t="inlineStr">
        <is>
          <t>Control</t>
        </is>
      </c>
      <c r="E5387" s="12" t="inlineStr"/>
      <c r="F5387" s="12" t="inlineStr">
        <is>
          <t>H2 20: 13.8 kV e-house</t>
        </is>
      </c>
      <c r="G5387" s="12" t="inlineStr"/>
      <c r="H5387" s="12" t="inlineStr">
        <is>
          <t>H2 21: rectifier transformer 1 (7 MVA)</t>
        </is>
      </c>
      <c r="I5387" s="12" t="inlineStr">
        <is>
          <t>Control</t>
        </is>
      </c>
      <c r="J5387" s="12" t="inlineStr">
        <is>
          <t>ARMOR-X MC-HL 600 V control, Cu #14 AWG (Class I Div 2)</t>
        </is>
      </c>
      <c r="K5387" s="12" t="inlineStr">
        <is>
          <t>CTAX|12/C|14</t>
        </is>
      </c>
      <c r="L5387" s="12" t="inlineStr">
        <is>
          <t>12/C</t>
        </is>
      </c>
      <c r="M5387" s="12" t="inlineStr">
        <is>
          <t>14</t>
        </is>
      </c>
      <c r="N5387" s="12" t="n">
        <v>1</v>
      </c>
      <c r="O5387" s="12" t="n">
        <v>1</v>
      </c>
      <c r="P5387" s="12" t="n"/>
      <c r="Q5387" s="12" t="n"/>
      <c r="R5387" s="12" t="n"/>
      <c r="S5387" s="12" t="inlineStr">
        <is>
          <t>Duct bank</t>
        </is>
      </c>
      <c r="T5387" s="17" t="n">
        <v>356</v>
      </c>
      <c r="U5387" s="17" t="n">
        <v>48</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K-C-0012</t>
        </is>
      </c>
      <c r="B5388" s="12" t="inlineStr">
        <is>
          <t>K</t>
        </is>
      </c>
      <c r="C5388" s="12" t="inlineStr">
        <is>
          <t>Fuel supply (adjacent market)</t>
        </is>
      </c>
      <c r="D5388" s="12" t="inlineStr">
        <is>
          <t>CT / VT</t>
        </is>
      </c>
      <c r="E5388" s="12" t="inlineStr"/>
      <c r="F5388" s="12" t="inlineStr">
        <is>
          <t>H2 20: 13.8 kV e-house</t>
        </is>
      </c>
      <c r="G5388" s="12" t="inlineStr"/>
      <c r="H5388" s="12" t="inlineStr">
        <is>
          <t>H2 21: rectifier transformer 1 (7 MVA)</t>
        </is>
      </c>
      <c r="I5388" s="12" t="inlineStr">
        <is>
          <t>Control</t>
        </is>
      </c>
      <c r="J5388" s="12" t="inlineStr">
        <is>
          <t>Control cable 600 V Type TC-ER, Cu #10 AWG (CT / VT circuits)</t>
        </is>
      </c>
      <c r="K5388" s="12" t="inlineStr">
        <is>
          <t>CTCT|4/C|10</t>
        </is>
      </c>
      <c r="L5388" s="12" t="inlineStr">
        <is>
          <t>4/C</t>
        </is>
      </c>
      <c r="M5388" s="12" t="inlineStr">
        <is>
          <t>10</t>
        </is>
      </c>
      <c r="N5388" s="12" t="n">
        <v>1</v>
      </c>
      <c r="O5388" s="12" t="n">
        <v>1</v>
      </c>
      <c r="P5388" s="12" t="n"/>
      <c r="Q5388" s="12" t="n"/>
      <c r="R5388" s="12" t="n"/>
      <c r="S5388" s="12" t="inlineStr">
        <is>
          <t>Duct bank</t>
        </is>
      </c>
      <c r="T5388" s="17" t="n">
        <v>356</v>
      </c>
      <c r="U5388" s="17" t="n">
        <v>48</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K-C-0013</t>
        </is>
      </c>
      <c r="B5389" s="12" t="inlineStr">
        <is>
          <t>K</t>
        </is>
      </c>
      <c r="C5389" s="12" t="inlineStr">
        <is>
          <t>Fuel supply (adjacent market)</t>
        </is>
      </c>
      <c r="D5389" s="12" t="inlineStr">
        <is>
          <t>CT / VT</t>
        </is>
      </c>
      <c r="E5389" s="12" t="inlineStr"/>
      <c r="F5389" s="12" t="inlineStr">
        <is>
          <t>H2 20: 13.8 kV e-house</t>
        </is>
      </c>
      <c r="G5389" s="12" t="inlineStr"/>
      <c r="H5389" s="12" t="inlineStr">
        <is>
          <t>H2 21: rectifier transformer 1 (7 MVA)</t>
        </is>
      </c>
      <c r="I5389" s="12" t="inlineStr">
        <is>
          <t>Control</t>
        </is>
      </c>
      <c r="J5389" s="12" t="inlineStr">
        <is>
          <t>Control cable 600 V Type TC-ER, Cu #10 AWG (CT / VT circuits)</t>
        </is>
      </c>
      <c r="K5389" s="12" t="inlineStr">
        <is>
          <t>CTCT|4/C|10</t>
        </is>
      </c>
      <c r="L5389" s="12" t="inlineStr">
        <is>
          <t>4/C</t>
        </is>
      </c>
      <c r="M5389" s="12" t="inlineStr">
        <is>
          <t>10</t>
        </is>
      </c>
      <c r="N5389" s="12" t="n">
        <v>1</v>
      </c>
      <c r="O5389" s="12" t="n">
        <v>1</v>
      </c>
      <c r="P5389" s="12" t="n"/>
      <c r="Q5389" s="12" t="n"/>
      <c r="R5389" s="12" t="n"/>
      <c r="S5389" s="12" t="inlineStr">
        <is>
          <t>Duct bank</t>
        </is>
      </c>
      <c r="T5389" s="17" t="n">
        <v>356</v>
      </c>
      <c r="U5389" s="17" t="n">
        <v>48</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K-C-0014</t>
        </is>
      </c>
      <c r="B5390" s="12" t="inlineStr">
        <is>
          <t>K</t>
        </is>
      </c>
      <c r="C5390" s="12" t="inlineStr">
        <is>
          <t>Fuel supply (adjacent market)</t>
        </is>
      </c>
      <c r="D5390" s="12" t="inlineStr">
        <is>
          <t>Motor 1 of 1: control / local station</t>
        </is>
      </c>
      <c r="E5390" s="12" t="inlineStr"/>
      <c r="F5390" s="12" t="inlineStr">
        <is>
          <t>H2 20: 13.8 kV e-house</t>
        </is>
      </c>
      <c r="G5390" s="12" t="inlineStr"/>
      <c r="H5390" s="12" t="inlineStr">
        <is>
          <t>H2 21: rectifier transformer 2 (7 MVA)</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7" t="n">
        <v>356</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K-C-0015</t>
        </is>
      </c>
      <c r="B5391" s="12" t="inlineStr">
        <is>
          <t>K</t>
        </is>
      </c>
      <c r="C5391" s="12" t="inlineStr">
        <is>
          <t>Fuel supply (adjacent market)</t>
        </is>
      </c>
      <c r="D5391" s="12" t="inlineStr">
        <is>
          <t>Solenoid to JB JB-H2 21: rectifier t-SOL01: 2 x 2/C (field cables)</t>
        </is>
      </c>
      <c r="E5391" s="12" t="inlineStr"/>
      <c r="F5391" s="12" t="inlineStr">
        <is>
          <t>H2 21: rectifier transformer 2 (7 MVA)</t>
        </is>
      </c>
      <c r="G5391" s="12" t="inlineStr">
        <is>
          <t>JB-H2 21: rectifier t-SOL01</t>
        </is>
      </c>
      <c r="H5391" s="12" t="inlineStr">
        <is>
          <t>H2 21: rectifier transformer 2 (7 MVA)</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7" t="n">
        <v>41</v>
      </c>
      <c r="U5391" s="17" t="n">
        <v>10</v>
      </c>
      <c r="V5391" s="17">
        <f>ROUNDUP((T5391+U5391+2*'Read Me'!$B$13)*(1+'Read Me'!$B$12),-1)</f>
        <v/>
      </c>
      <c r="W5391" s="17">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K-C-0016</t>
        </is>
      </c>
      <c r="B5392" s="12" t="inlineStr">
        <is>
          <t>K</t>
        </is>
      </c>
      <c r="C5392" s="12" t="inlineStr">
        <is>
          <t>Fuel supply (adjacent market)</t>
        </is>
      </c>
      <c r="D5392" s="12" t="inlineStr">
        <is>
          <t>Home run JB-H2 21: rectifier t-SOL01 to the control / marshalling room</t>
        </is>
      </c>
      <c r="E5392" s="12" t="inlineStr"/>
      <c r="F5392" s="12" t="inlineStr">
        <is>
          <t>H2 20: 13.8 kV e-house</t>
        </is>
      </c>
      <c r="G5392" s="12" t="inlineStr">
        <is>
          <t>JB-H2 21: rectifier t-SOL01</t>
        </is>
      </c>
      <c r="H5392" s="12" t="inlineStr">
        <is>
          <t>H2 21: rectifier transformer 2 (7 MVA)</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7" t="n">
        <v>356</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K-C-0017</t>
        </is>
      </c>
      <c r="B5393" s="12" t="inlineStr">
        <is>
          <t>K</t>
        </is>
      </c>
      <c r="C5393" s="12" t="inlineStr">
        <is>
          <t>Fuel supply (adjacent market)</t>
        </is>
      </c>
      <c r="D5393" s="12" t="inlineStr">
        <is>
          <t>Control</t>
        </is>
      </c>
      <c r="E5393" s="12" t="inlineStr"/>
      <c r="F5393" s="12" t="inlineStr">
        <is>
          <t>H2 20: 13.8 kV e-house</t>
        </is>
      </c>
      <c r="G5393" s="12" t="inlineStr"/>
      <c r="H5393" s="12" t="inlineStr">
        <is>
          <t>H2 21: rectifier transformer 2 (7 MVA)</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7" t="n">
        <v>356</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K-C-0018</t>
        </is>
      </c>
      <c r="B5394" s="12" t="inlineStr">
        <is>
          <t>K</t>
        </is>
      </c>
      <c r="C5394" s="12" t="inlineStr">
        <is>
          <t>Fuel supply (adjacent market)</t>
        </is>
      </c>
      <c r="D5394" s="12" t="inlineStr">
        <is>
          <t>Control</t>
        </is>
      </c>
      <c r="E5394" s="12" t="inlineStr"/>
      <c r="F5394" s="12" t="inlineStr">
        <is>
          <t>H2 20: 13.8 kV e-house</t>
        </is>
      </c>
      <c r="G5394" s="12" t="inlineStr"/>
      <c r="H5394" s="12" t="inlineStr">
        <is>
          <t>H2 21: rectifier transformer 2 (7 MVA)</t>
        </is>
      </c>
      <c r="I5394" s="12" t="inlineStr">
        <is>
          <t>Control</t>
        </is>
      </c>
      <c r="J5394" s="12" t="inlineStr">
        <is>
          <t>ARMOR-X MC-HL 600 V control, Cu #14 AWG (Class I Div 2)</t>
        </is>
      </c>
      <c r="K5394" s="12" t="inlineStr">
        <is>
          <t>CTAX|12/C|14</t>
        </is>
      </c>
      <c r="L5394" s="12" t="inlineStr">
        <is>
          <t>12/C</t>
        </is>
      </c>
      <c r="M5394" s="12" t="inlineStr">
        <is>
          <t>14</t>
        </is>
      </c>
      <c r="N5394" s="12" t="n">
        <v>1</v>
      </c>
      <c r="O5394" s="12" t="n">
        <v>1</v>
      </c>
      <c r="P5394" s="12" t="n"/>
      <c r="Q5394" s="12" t="n"/>
      <c r="R5394" s="12" t="n"/>
      <c r="S5394" s="12" t="inlineStr">
        <is>
          <t>Duct bank</t>
        </is>
      </c>
      <c r="T5394" s="17" t="n">
        <v>356</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K-C-0019</t>
        </is>
      </c>
      <c r="B5395" s="12" t="inlineStr">
        <is>
          <t>K</t>
        </is>
      </c>
      <c r="C5395" s="12" t="inlineStr">
        <is>
          <t>Fuel supply (adjacent market)</t>
        </is>
      </c>
      <c r="D5395" s="12" t="inlineStr">
        <is>
          <t>CT / VT</t>
        </is>
      </c>
      <c r="E5395" s="12" t="inlineStr"/>
      <c r="F5395" s="12" t="inlineStr">
        <is>
          <t>H2 20: 13.8 kV e-house</t>
        </is>
      </c>
      <c r="G5395" s="12" t="inlineStr"/>
      <c r="H5395" s="12" t="inlineStr">
        <is>
          <t>H2 21: rectifier transformer 2 (7 MVA)</t>
        </is>
      </c>
      <c r="I5395" s="12" t="inlineStr">
        <is>
          <t>Control</t>
        </is>
      </c>
      <c r="J5395" s="12" t="inlineStr">
        <is>
          <t>Control cable 600 V Type TC-ER, Cu #10 AWG (CT / VT circuits)</t>
        </is>
      </c>
      <c r="K5395" s="12" t="inlineStr">
        <is>
          <t>CTCT|4/C|10</t>
        </is>
      </c>
      <c r="L5395" s="12" t="inlineStr">
        <is>
          <t>4/C</t>
        </is>
      </c>
      <c r="M5395" s="12" t="inlineStr">
        <is>
          <t>10</t>
        </is>
      </c>
      <c r="N5395" s="12" t="n">
        <v>1</v>
      </c>
      <c r="O5395" s="12" t="n">
        <v>1</v>
      </c>
      <c r="P5395" s="12" t="n"/>
      <c r="Q5395" s="12" t="n"/>
      <c r="R5395" s="12" t="n"/>
      <c r="S5395" s="12" t="inlineStr">
        <is>
          <t>Duct bank</t>
        </is>
      </c>
      <c r="T5395" s="17" t="n">
        <v>356</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K-C-0020</t>
        </is>
      </c>
      <c r="B5396" s="12" t="inlineStr">
        <is>
          <t>K</t>
        </is>
      </c>
      <c r="C5396" s="12" t="inlineStr">
        <is>
          <t>Fuel supply (adjacent market)</t>
        </is>
      </c>
      <c r="D5396" s="12" t="inlineStr">
        <is>
          <t>CT / VT</t>
        </is>
      </c>
      <c r="E5396" s="12" t="inlineStr"/>
      <c r="F5396" s="12" t="inlineStr">
        <is>
          <t>H2 20: 13.8 kV e-house</t>
        </is>
      </c>
      <c r="G5396" s="12" t="inlineStr"/>
      <c r="H5396" s="12" t="inlineStr">
        <is>
          <t>H2 21: rectifier transformer 2 (7 MVA)</t>
        </is>
      </c>
      <c r="I5396" s="12" t="inlineStr">
        <is>
          <t>Control</t>
        </is>
      </c>
      <c r="J5396" s="12" t="inlineStr">
        <is>
          <t>Control cable 600 V Type TC-ER, Cu #10 AWG (CT / VT circuits)</t>
        </is>
      </c>
      <c r="K5396" s="12" t="inlineStr">
        <is>
          <t>CTCT|4/C|10</t>
        </is>
      </c>
      <c r="L5396" s="12" t="inlineStr">
        <is>
          <t>4/C</t>
        </is>
      </c>
      <c r="M5396" s="12" t="inlineStr">
        <is>
          <t>10</t>
        </is>
      </c>
      <c r="N5396" s="12" t="n">
        <v>1</v>
      </c>
      <c r="O5396" s="12" t="n">
        <v>1</v>
      </c>
      <c r="P5396" s="12" t="n"/>
      <c r="Q5396" s="12" t="n"/>
      <c r="R5396" s="12" t="n"/>
      <c r="S5396" s="12" t="inlineStr">
        <is>
          <t>Duct bank</t>
        </is>
      </c>
      <c r="T5396" s="17" t="n">
        <v>356</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K-C-0021</t>
        </is>
      </c>
      <c r="B5397" s="12" t="inlineStr">
        <is>
          <t>K</t>
        </is>
      </c>
      <c r="C5397" s="12" t="inlineStr">
        <is>
          <t>Fuel supply (adjacent market)</t>
        </is>
      </c>
      <c r="D5397" s="12" t="inlineStr">
        <is>
          <t>Motor 1 of 1: control / local station</t>
        </is>
      </c>
      <c r="E5397" s="12" t="inlineStr"/>
      <c r="F5397" s="12" t="inlineStr">
        <is>
          <t>H2 20: 13.8 kV e-house</t>
        </is>
      </c>
      <c r="G5397" s="12" t="inlineStr"/>
      <c r="H5397" s="12" t="inlineStr">
        <is>
          <t>H2 21: rectifier transformer 3 (7 MVA)</t>
        </is>
      </c>
      <c r="I5397" s="12" t="inlineStr">
        <is>
          <t>Control</t>
        </is>
      </c>
      <c r="J5397" s="12" t="inlineStr">
        <is>
          <t>ARMOR-X MC-HL 600 V control, Cu #14 AWG (Class I Div 2)</t>
        </is>
      </c>
      <c r="K5397" s="12" t="inlineStr">
        <is>
          <t>CTAX|7/C|14</t>
        </is>
      </c>
      <c r="L5397" s="12" t="inlineStr">
        <is>
          <t>7/C</t>
        </is>
      </c>
      <c r="M5397" s="12" t="inlineStr">
        <is>
          <t>14</t>
        </is>
      </c>
      <c r="N5397" s="12" t="n">
        <v>1</v>
      </c>
      <c r="O5397" s="12" t="n">
        <v>1</v>
      </c>
      <c r="P5397" s="12" t="n"/>
      <c r="Q5397" s="12" t="n"/>
      <c r="R5397" s="12" t="n"/>
      <c r="S5397" s="12" t="inlineStr">
        <is>
          <t>Duct bank</t>
        </is>
      </c>
      <c r="T5397" s="17" t="n">
        <v>334</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K-C-0022</t>
        </is>
      </c>
      <c r="B5398" s="12" t="inlineStr">
        <is>
          <t>K</t>
        </is>
      </c>
      <c r="C5398" s="12" t="inlineStr">
        <is>
          <t>Fuel supply (adjacent market)</t>
        </is>
      </c>
      <c r="D5398" s="12" t="inlineStr">
        <is>
          <t>Solenoid to JB JB-H2 21: rectifier t-SOL01: 2 x 2/C (field cables)</t>
        </is>
      </c>
      <c r="E5398" s="12" t="inlineStr"/>
      <c r="F5398" s="12" t="inlineStr">
        <is>
          <t>H2 21: rectifier transformer 3 (7 MVA)</t>
        </is>
      </c>
      <c r="G5398" s="12" t="inlineStr">
        <is>
          <t>JB-H2 21: rectifier t-SOL01</t>
        </is>
      </c>
      <c r="H5398" s="12" t="inlineStr">
        <is>
          <t>H2 21: rectifier transformer 3 (7 MVA)</t>
        </is>
      </c>
      <c r="I5398" s="12" t="inlineStr">
        <is>
          <t>Control</t>
        </is>
      </c>
      <c r="J5398" s="12" t="inlineStr">
        <is>
          <t>ARMOR-X MC-HL 600 V control, Cu #14 AWG (Class I Div 2)</t>
        </is>
      </c>
      <c r="K5398" s="12" t="inlineStr">
        <is>
          <t>CTAX|2/C|14</t>
        </is>
      </c>
      <c r="L5398" s="12" t="inlineStr">
        <is>
          <t>2/C</t>
        </is>
      </c>
      <c r="M5398" s="12" t="inlineStr">
        <is>
          <t>14</t>
        </is>
      </c>
      <c r="N5398" s="12" t="n">
        <v>2</v>
      </c>
      <c r="O5398" s="12" t="n">
        <v>1</v>
      </c>
      <c r="P5398" s="12" t="n"/>
      <c r="Q5398" s="12" t="n"/>
      <c r="R5398" s="12" t="n"/>
      <c r="S5398" s="12" t="inlineStr">
        <is>
          <t>Tray / conduit</t>
        </is>
      </c>
      <c r="T5398" s="17" t="n">
        <v>41</v>
      </c>
      <c r="U5398" s="17" t="n">
        <v>10</v>
      </c>
      <c r="V5398" s="17">
        <f>ROUNDUP((T5398+U5398+2*'Read Me'!$B$13)*(1+'Read Me'!$B$12),-1)</f>
        <v/>
      </c>
      <c r="W5398" s="17">
        <f>V5398*N5398*O5398</f>
        <v/>
      </c>
      <c r="X5398" s="12">
        <f>IF(LEFT(I5398,2)="MV",2*N5398*IF(L5398="1/C",O5398,1),0)</f>
        <v/>
      </c>
      <c r="Y5398" s="12">
        <f>IF(OR(LEFT(K5398,4)="LVAX",LEFT(K5398,6)="MV15AX",LEFT(K5398,4)="CTAX",LEFT(K5398,2)="W|"),2*N5398*O5398,0)</f>
        <v/>
      </c>
      <c r="Z5398" s="12" t="inlineStr">
        <is>
          <t>device-to-JB field wiring, one cable per device</t>
        </is>
      </c>
      <c r="AA5398" s="12">
        <f>N5398*O5398</f>
        <v/>
      </c>
    </row>
    <row r="5399">
      <c r="A5399" s="12" t="inlineStr">
        <is>
          <t>K-C-0023</t>
        </is>
      </c>
      <c r="B5399" s="12" t="inlineStr">
        <is>
          <t>K</t>
        </is>
      </c>
      <c r="C5399" s="12" t="inlineStr">
        <is>
          <t>Fuel supply (adjacent market)</t>
        </is>
      </c>
      <c r="D5399" s="12" t="inlineStr">
        <is>
          <t>Home run JB-H2 21: rectifier t-SOL01 to the control / marshalling room</t>
        </is>
      </c>
      <c r="E5399" s="12" t="inlineStr"/>
      <c r="F5399" s="12" t="inlineStr">
        <is>
          <t>H2 20: 13.8 kV e-house</t>
        </is>
      </c>
      <c r="G5399" s="12" t="inlineStr">
        <is>
          <t>JB-H2 21: rectifier t-SOL01</t>
        </is>
      </c>
      <c r="H5399" s="12" t="inlineStr">
        <is>
          <t>H2 21: rectifier transformer 3 (7 MVA)</t>
        </is>
      </c>
      <c r="I5399" s="12" t="inlineStr">
        <is>
          <t>Control</t>
        </is>
      </c>
      <c r="J5399" s="12" t="inlineStr">
        <is>
          <t>ARMOR-X MC-HL 600 V control, Cu #14 AWG (Class I Div 2)</t>
        </is>
      </c>
      <c r="K5399" s="12" t="inlineStr">
        <is>
          <t>CTAX|25/C|14</t>
        </is>
      </c>
      <c r="L5399" s="12" t="inlineStr">
        <is>
          <t>25/C</t>
        </is>
      </c>
      <c r="M5399" s="12" t="inlineStr">
        <is>
          <t>14</t>
        </is>
      </c>
      <c r="N5399" s="12" t="n">
        <v>1</v>
      </c>
      <c r="O5399" s="12" t="n">
        <v>1</v>
      </c>
      <c r="P5399" s="12" t="n"/>
      <c r="Q5399" s="12" t="n"/>
      <c r="R5399" s="12" t="n"/>
      <c r="S5399" s="12" t="inlineStr">
        <is>
          <t>Duct bank</t>
        </is>
      </c>
      <c r="T5399" s="17" t="n">
        <v>334</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K-C-0024</t>
        </is>
      </c>
      <c r="B5400" s="12" t="inlineStr">
        <is>
          <t>K</t>
        </is>
      </c>
      <c r="C5400" s="12" t="inlineStr">
        <is>
          <t>Fuel supply (adjacent market)</t>
        </is>
      </c>
      <c r="D5400" s="12" t="inlineStr">
        <is>
          <t>Control</t>
        </is>
      </c>
      <c r="E5400" s="12" t="inlineStr"/>
      <c r="F5400" s="12" t="inlineStr">
        <is>
          <t>H2 20: 13.8 kV e-house</t>
        </is>
      </c>
      <c r="G5400" s="12" t="inlineStr"/>
      <c r="H5400" s="12" t="inlineStr">
        <is>
          <t>H2 21: rectifier transformer 3 (7 MVA)</t>
        </is>
      </c>
      <c r="I5400" s="12" t="inlineStr">
        <is>
          <t>Control</t>
        </is>
      </c>
      <c r="J5400" s="12" t="inlineStr">
        <is>
          <t>ARMOR-X MC-HL 600 V control, Cu #14 AWG (Class I Div 2)</t>
        </is>
      </c>
      <c r="K5400" s="12" t="inlineStr">
        <is>
          <t>CTAX|7/C|14</t>
        </is>
      </c>
      <c r="L5400" s="12" t="inlineStr">
        <is>
          <t>7/C</t>
        </is>
      </c>
      <c r="M5400" s="12" t="inlineStr">
        <is>
          <t>14</t>
        </is>
      </c>
      <c r="N5400" s="12" t="n">
        <v>1</v>
      </c>
      <c r="O5400" s="12" t="n">
        <v>1</v>
      </c>
      <c r="P5400" s="12" t="n"/>
      <c r="Q5400" s="12" t="n"/>
      <c r="R5400" s="12" t="n"/>
      <c r="S5400" s="12" t="inlineStr">
        <is>
          <t>Duct bank</t>
        </is>
      </c>
      <c r="T5400" s="17" t="n">
        <v>334</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K-C-0025</t>
        </is>
      </c>
      <c r="B5401" s="12" t="inlineStr">
        <is>
          <t>K</t>
        </is>
      </c>
      <c r="C5401" s="12" t="inlineStr">
        <is>
          <t>Fuel supply (adjacent market)</t>
        </is>
      </c>
      <c r="D5401" s="12" t="inlineStr">
        <is>
          <t>Control</t>
        </is>
      </c>
      <c r="E5401" s="12" t="inlineStr"/>
      <c r="F5401" s="12" t="inlineStr">
        <is>
          <t>H2 20: 13.8 kV e-house</t>
        </is>
      </c>
      <c r="G5401" s="12" t="inlineStr"/>
      <c r="H5401" s="12" t="inlineStr">
        <is>
          <t>H2 21: rectifier transformer 3 (7 MVA)</t>
        </is>
      </c>
      <c r="I5401" s="12" t="inlineStr">
        <is>
          <t>Control</t>
        </is>
      </c>
      <c r="J5401" s="12" t="inlineStr">
        <is>
          <t>ARMOR-X MC-HL 600 V control, Cu #14 AWG (Class I Div 2)</t>
        </is>
      </c>
      <c r="K5401" s="12" t="inlineStr">
        <is>
          <t>CTAX|12/C|14</t>
        </is>
      </c>
      <c r="L5401" s="12" t="inlineStr">
        <is>
          <t>12/C</t>
        </is>
      </c>
      <c r="M5401" s="12" t="inlineStr">
        <is>
          <t>14</t>
        </is>
      </c>
      <c r="N5401" s="12" t="n">
        <v>1</v>
      </c>
      <c r="O5401" s="12" t="n">
        <v>1</v>
      </c>
      <c r="P5401" s="12" t="n"/>
      <c r="Q5401" s="12" t="n"/>
      <c r="R5401" s="12" t="n"/>
      <c r="S5401" s="12" t="inlineStr">
        <is>
          <t>Duct bank</t>
        </is>
      </c>
      <c r="T5401" s="17" t="n">
        <v>334</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K-C-0026</t>
        </is>
      </c>
      <c r="B5402" s="12" t="inlineStr">
        <is>
          <t>K</t>
        </is>
      </c>
      <c r="C5402" s="12" t="inlineStr">
        <is>
          <t>Fuel supply (adjacent market)</t>
        </is>
      </c>
      <c r="D5402" s="12" t="inlineStr">
        <is>
          <t>CT / VT</t>
        </is>
      </c>
      <c r="E5402" s="12" t="inlineStr"/>
      <c r="F5402" s="12" t="inlineStr">
        <is>
          <t>H2 20: 13.8 kV e-house</t>
        </is>
      </c>
      <c r="G5402" s="12" t="inlineStr"/>
      <c r="H5402" s="12" t="inlineStr">
        <is>
          <t>H2 21: rectifier transformer 3 (7 MVA)</t>
        </is>
      </c>
      <c r="I5402" s="12" t="inlineStr">
        <is>
          <t>Control</t>
        </is>
      </c>
      <c r="J5402" s="12" t="inlineStr">
        <is>
          <t>Control cable 600 V Type TC-ER, Cu #10 AWG (CT / VT circuits)</t>
        </is>
      </c>
      <c r="K5402" s="12" t="inlineStr">
        <is>
          <t>CTCT|4/C|10</t>
        </is>
      </c>
      <c r="L5402" s="12" t="inlineStr">
        <is>
          <t>4/C</t>
        </is>
      </c>
      <c r="M5402" s="12" t="inlineStr">
        <is>
          <t>10</t>
        </is>
      </c>
      <c r="N5402" s="12" t="n">
        <v>1</v>
      </c>
      <c r="O5402" s="12" t="n">
        <v>1</v>
      </c>
      <c r="P5402" s="12" t="n"/>
      <c r="Q5402" s="12" t="n"/>
      <c r="R5402" s="12" t="n"/>
      <c r="S5402" s="12" t="inlineStr">
        <is>
          <t>Duct bank</t>
        </is>
      </c>
      <c r="T5402" s="17" t="n">
        <v>334</v>
      </c>
      <c r="U5402" s="17" t="n">
        <v>32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K-C-0027</t>
        </is>
      </c>
      <c r="B5403" s="12" t="inlineStr">
        <is>
          <t>K</t>
        </is>
      </c>
      <c r="C5403" s="12" t="inlineStr">
        <is>
          <t>Fuel supply (adjacent market)</t>
        </is>
      </c>
      <c r="D5403" s="12" t="inlineStr">
        <is>
          <t>CT / VT</t>
        </is>
      </c>
      <c r="E5403" s="12" t="inlineStr"/>
      <c r="F5403" s="12" t="inlineStr">
        <is>
          <t>H2 20: 13.8 kV e-house</t>
        </is>
      </c>
      <c r="G5403" s="12" t="inlineStr"/>
      <c r="H5403" s="12" t="inlineStr">
        <is>
          <t>H2 21: rectifier transformer 3 (7 MVA)</t>
        </is>
      </c>
      <c r="I5403" s="12" t="inlineStr">
        <is>
          <t>Control</t>
        </is>
      </c>
      <c r="J5403" s="12" t="inlineStr">
        <is>
          <t>Control cable 600 V Type TC-ER, Cu #10 AWG (CT / VT circuits)</t>
        </is>
      </c>
      <c r="K5403" s="12" t="inlineStr">
        <is>
          <t>CTCT|4/C|10</t>
        </is>
      </c>
      <c r="L5403" s="12" t="inlineStr">
        <is>
          <t>4/C</t>
        </is>
      </c>
      <c r="M5403" s="12" t="inlineStr">
        <is>
          <t>10</t>
        </is>
      </c>
      <c r="N5403" s="12" t="n">
        <v>1</v>
      </c>
      <c r="O5403" s="12" t="n">
        <v>1</v>
      </c>
      <c r="P5403" s="12" t="n"/>
      <c r="Q5403" s="12" t="n"/>
      <c r="R5403" s="12" t="n"/>
      <c r="S5403" s="12" t="inlineStr">
        <is>
          <t>Duct bank</t>
        </is>
      </c>
      <c r="T5403" s="17" t="n">
        <v>334</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K-C-0028</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21: rectifier transformer 4 (7 MVA)</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312</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K-C-0029</t>
        </is>
      </c>
      <c r="B5405" s="12" t="inlineStr">
        <is>
          <t>K</t>
        </is>
      </c>
      <c r="C5405" s="12" t="inlineStr">
        <is>
          <t>Fuel supply (adjacent market)</t>
        </is>
      </c>
      <c r="D5405" s="12" t="inlineStr">
        <is>
          <t>Solenoid to JB JB-H2 21: rectifier t-SOL01: 2 x 2/C (field cables)</t>
        </is>
      </c>
      <c r="E5405" s="12" t="inlineStr"/>
      <c r="F5405" s="12" t="inlineStr">
        <is>
          <t>H2 21: rectifier transformer 4 (7 MVA)</t>
        </is>
      </c>
      <c r="G5405" s="12" t="inlineStr">
        <is>
          <t>JB-H2 21: rectifier t-SOL01</t>
        </is>
      </c>
      <c r="H5405" s="12" t="inlineStr">
        <is>
          <t>H2 21: rectifier transformer 4 (7 MVA)</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41</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K-C-0030</t>
        </is>
      </c>
      <c r="B5406" s="12" t="inlineStr">
        <is>
          <t>K</t>
        </is>
      </c>
      <c r="C5406" s="12" t="inlineStr">
        <is>
          <t>Fuel supply (adjacent market)</t>
        </is>
      </c>
      <c r="D5406" s="12" t="inlineStr">
        <is>
          <t>Home run JB-H2 21: rectifier t-SOL01 to the control / marshalling room</t>
        </is>
      </c>
      <c r="E5406" s="12" t="inlineStr"/>
      <c r="F5406" s="12" t="inlineStr">
        <is>
          <t>H2 20: 13.8 kV e-house</t>
        </is>
      </c>
      <c r="G5406" s="12" t="inlineStr">
        <is>
          <t>JB-H2 21: rectifier t-SOL01</t>
        </is>
      </c>
      <c r="H5406" s="12" t="inlineStr">
        <is>
          <t>H2 21: rectifier transformer 4 (7 MVA)</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312</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K-C-0031</t>
        </is>
      </c>
      <c r="B5407" s="12" t="inlineStr">
        <is>
          <t>K</t>
        </is>
      </c>
      <c r="C5407" s="12" t="inlineStr">
        <is>
          <t>Fuel supply (adjacent market)</t>
        </is>
      </c>
      <c r="D5407" s="12" t="inlineStr">
        <is>
          <t>Control</t>
        </is>
      </c>
      <c r="E5407" s="12" t="inlineStr"/>
      <c r="F5407" s="12" t="inlineStr">
        <is>
          <t>H2 20: 13.8 kV e-house</t>
        </is>
      </c>
      <c r="G5407" s="12" t="inlineStr"/>
      <c r="H5407" s="12" t="inlineStr">
        <is>
          <t>H2 21: rectifier transformer 4 (7 MVA)</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312</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K-C-0032</t>
        </is>
      </c>
      <c r="B5408" s="12" t="inlineStr">
        <is>
          <t>K</t>
        </is>
      </c>
      <c r="C5408" s="12" t="inlineStr">
        <is>
          <t>Fuel supply (adjacent market)</t>
        </is>
      </c>
      <c r="D5408" s="12" t="inlineStr">
        <is>
          <t>Control</t>
        </is>
      </c>
      <c r="E5408" s="12" t="inlineStr"/>
      <c r="F5408" s="12" t="inlineStr">
        <is>
          <t>H2 20: 13.8 kV e-house</t>
        </is>
      </c>
      <c r="G5408" s="12" t="inlineStr"/>
      <c r="H5408" s="12" t="inlineStr">
        <is>
          <t>H2 21: rectifier transformer 4 (7 MVA)</t>
        </is>
      </c>
      <c r="I5408" s="12" t="inlineStr">
        <is>
          <t>Control</t>
        </is>
      </c>
      <c r="J5408" s="12" t="inlineStr">
        <is>
          <t>ARMOR-X MC-HL 600 V control, Cu #14 AWG (Class I Div 2)</t>
        </is>
      </c>
      <c r="K5408" s="12" t="inlineStr">
        <is>
          <t>CTAX|12/C|14</t>
        </is>
      </c>
      <c r="L5408" s="12" t="inlineStr">
        <is>
          <t>12/C</t>
        </is>
      </c>
      <c r="M5408" s="12" t="inlineStr">
        <is>
          <t>14</t>
        </is>
      </c>
      <c r="N5408" s="12" t="n">
        <v>1</v>
      </c>
      <c r="O5408" s="12" t="n">
        <v>1</v>
      </c>
      <c r="P5408" s="12" t="n"/>
      <c r="Q5408" s="12" t="n"/>
      <c r="R5408" s="12" t="n"/>
      <c r="S5408" s="12" t="inlineStr">
        <is>
          <t>Duct bank</t>
        </is>
      </c>
      <c r="T5408" s="17" t="n">
        <v>312</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K-C-0033</t>
        </is>
      </c>
      <c r="B5409" s="12" t="inlineStr">
        <is>
          <t>K</t>
        </is>
      </c>
      <c r="C5409" s="12" t="inlineStr">
        <is>
          <t>Fuel supply (adjacent market)</t>
        </is>
      </c>
      <c r="D5409" s="12" t="inlineStr">
        <is>
          <t>CT / VT</t>
        </is>
      </c>
      <c r="E5409" s="12" t="inlineStr"/>
      <c r="F5409" s="12" t="inlineStr">
        <is>
          <t>H2 20: 13.8 kV e-house</t>
        </is>
      </c>
      <c r="G5409" s="12" t="inlineStr"/>
      <c r="H5409" s="12" t="inlineStr">
        <is>
          <t>H2 21: rectifier transformer 4 (7 MVA)</t>
        </is>
      </c>
      <c r="I5409" s="12" t="inlineStr">
        <is>
          <t>Control</t>
        </is>
      </c>
      <c r="J5409" s="12" t="inlineStr">
        <is>
          <t>Control cable 600 V Type TC-ER, Cu #10 AWG (CT / VT circuits)</t>
        </is>
      </c>
      <c r="K5409" s="12" t="inlineStr">
        <is>
          <t>CTCT|4/C|10</t>
        </is>
      </c>
      <c r="L5409" s="12" t="inlineStr">
        <is>
          <t>4/C</t>
        </is>
      </c>
      <c r="M5409" s="12" t="inlineStr">
        <is>
          <t>10</t>
        </is>
      </c>
      <c r="N5409" s="12" t="n">
        <v>1</v>
      </c>
      <c r="O5409" s="12" t="n">
        <v>1</v>
      </c>
      <c r="P5409" s="12" t="n"/>
      <c r="Q5409" s="12" t="n"/>
      <c r="R5409" s="12" t="n"/>
      <c r="S5409" s="12" t="inlineStr">
        <is>
          <t>Duct bank</t>
        </is>
      </c>
      <c r="T5409" s="17" t="n">
        <v>312</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K-C-0034</t>
        </is>
      </c>
      <c r="B5410" s="12" t="inlineStr">
        <is>
          <t>K</t>
        </is>
      </c>
      <c r="C5410" s="12" t="inlineStr">
        <is>
          <t>Fuel supply (adjacent market)</t>
        </is>
      </c>
      <c r="D5410" s="12" t="inlineStr">
        <is>
          <t>CT / VT</t>
        </is>
      </c>
      <c r="E5410" s="12" t="inlineStr"/>
      <c r="F5410" s="12" t="inlineStr">
        <is>
          <t>H2 20: 13.8 kV e-house</t>
        </is>
      </c>
      <c r="G5410" s="12" t="inlineStr"/>
      <c r="H5410" s="12" t="inlineStr">
        <is>
          <t>H2 21: rectifier transformer 4 (7 MVA)</t>
        </is>
      </c>
      <c r="I5410" s="12" t="inlineStr">
        <is>
          <t>Control</t>
        </is>
      </c>
      <c r="J5410" s="12" t="inlineStr">
        <is>
          <t>Control cable 600 V Type TC-ER, Cu #10 AWG (CT / VT circuits)</t>
        </is>
      </c>
      <c r="K5410" s="12" t="inlineStr">
        <is>
          <t>CTCT|4/C|10</t>
        </is>
      </c>
      <c r="L5410" s="12" t="inlineStr">
        <is>
          <t>4/C</t>
        </is>
      </c>
      <c r="M5410" s="12" t="inlineStr">
        <is>
          <t>10</t>
        </is>
      </c>
      <c r="N5410" s="12" t="n">
        <v>1</v>
      </c>
      <c r="O5410" s="12" t="n">
        <v>1</v>
      </c>
      <c r="P5410" s="12" t="n"/>
      <c r="Q5410" s="12" t="n"/>
      <c r="R5410" s="12" t="n"/>
      <c r="S5410" s="12" t="inlineStr">
        <is>
          <t>Duct bank</t>
        </is>
      </c>
      <c r="T5410" s="17" t="n">
        <v>312</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K-C-0035</t>
        </is>
      </c>
      <c r="B5411" s="12" t="inlineStr">
        <is>
          <t>K</t>
        </is>
      </c>
      <c r="C5411" s="12" t="inlineStr">
        <is>
          <t>Fuel supply (adjacent market)</t>
        </is>
      </c>
      <c r="D5411" s="12" t="inlineStr">
        <is>
          <t>Motor 1 of 1: control / local station</t>
        </is>
      </c>
      <c r="E5411" s="12" t="inlineStr"/>
      <c r="F5411" s="12" t="inlineStr">
        <is>
          <t>H2 20: 13.8 kV e-house</t>
        </is>
      </c>
      <c r="G5411" s="12" t="inlineStr"/>
      <c r="H5411" s="12" t="inlineStr">
        <is>
          <t>H2 21: rectifier transformer 5 (7 MVA)</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7" t="n">
        <v>254</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K-C-0036</t>
        </is>
      </c>
      <c r="B5412" s="12" t="inlineStr">
        <is>
          <t>K</t>
        </is>
      </c>
      <c r="C5412" s="12" t="inlineStr">
        <is>
          <t>Fuel supply (adjacent market)</t>
        </is>
      </c>
      <c r="D5412" s="12" t="inlineStr">
        <is>
          <t>Solenoid to JB JB-H2 21: rectifier t-SOL01: 2 x 2/C (field cables)</t>
        </is>
      </c>
      <c r="E5412" s="12" t="inlineStr"/>
      <c r="F5412" s="12" t="inlineStr">
        <is>
          <t>H2 21: rectifier transformer 5 (7 MVA)</t>
        </is>
      </c>
      <c r="G5412" s="12" t="inlineStr">
        <is>
          <t>JB-H2 21: rectifier t-SOL01</t>
        </is>
      </c>
      <c r="H5412" s="12" t="inlineStr">
        <is>
          <t>H2 21: rectifier transformer 5 (7 MVA)</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7" t="n">
        <v>41</v>
      </c>
      <c r="U5412" s="17" t="n">
        <v>10</v>
      </c>
      <c r="V5412" s="17">
        <f>ROUNDUP((T5412+U5412+2*'Read Me'!$B$13)*(1+'Read Me'!$B$12),-1)</f>
        <v/>
      </c>
      <c r="W5412" s="17">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K-C-0037</t>
        </is>
      </c>
      <c r="B5413" s="12" t="inlineStr">
        <is>
          <t>K</t>
        </is>
      </c>
      <c r="C5413" s="12" t="inlineStr">
        <is>
          <t>Fuel supply (adjacent market)</t>
        </is>
      </c>
      <c r="D5413" s="12" t="inlineStr">
        <is>
          <t>Home run JB-H2 21: rectifier t-SOL01 to the control / marshalling room</t>
        </is>
      </c>
      <c r="E5413" s="12" t="inlineStr"/>
      <c r="F5413" s="12" t="inlineStr">
        <is>
          <t>H2 20: 13.8 kV e-house</t>
        </is>
      </c>
      <c r="G5413" s="12" t="inlineStr">
        <is>
          <t>JB-H2 21: rectifier t-SOL01</t>
        </is>
      </c>
      <c r="H5413" s="12" t="inlineStr">
        <is>
          <t>H2 21: rectifier transformer 5 (7 MVA)</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7" t="n">
        <v>254</v>
      </c>
      <c r="U5413" s="17" t="n">
        <v>32</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K-C-0038</t>
        </is>
      </c>
      <c r="B5414" s="12" t="inlineStr">
        <is>
          <t>K</t>
        </is>
      </c>
      <c r="C5414" s="12" t="inlineStr">
        <is>
          <t>Fuel supply (adjacent market)</t>
        </is>
      </c>
      <c r="D5414" s="12" t="inlineStr">
        <is>
          <t>Control</t>
        </is>
      </c>
      <c r="E5414" s="12" t="inlineStr"/>
      <c r="F5414" s="12" t="inlineStr">
        <is>
          <t>H2 20: 13.8 kV e-house</t>
        </is>
      </c>
      <c r="G5414" s="12" t="inlineStr"/>
      <c r="H5414" s="12" t="inlineStr">
        <is>
          <t>H2 21: rectifier transformer 5 (7 MVA)</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7" t="n">
        <v>254</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K-C-0039</t>
        </is>
      </c>
      <c r="B5415" s="12" t="inlineStr">
        <is>
          <t>K</t>
        </is>
      </c>
      <c r="C5415" s="12" t="inlineStr">
        <is>
          <t>Fuel supply (adjacent market)</t>
        </is>
      </c>
      <c r="D5415" s="12" t="inlineStr">
        <is>
          <t>Control</t>
        </is>
      </c>
      <c r="E5415" s="12" t="inlineStr"/>
      <c r="F5415" s="12" t="inlineStr">
        <is>
          <t>H2 20: 13.8 kV e-house</t>
        </is>
      </c>
      <c r="G5415" s="12" t="inlineStr"/>
      <c r="H5415" s="12" t="inlineStr">
        <is>
          <t>H2 21: rectifier transformer 5 (7 MVA)</t>
        </is>
      </c>
      <c r="I5415" s="12" t="inlineStr">
        <is>
          <t>Control</t>
        </is>
      </c>
      <c r="J5415" s="12" t="inlineStr">
        <is>
          <t>ARMOR-X MC-HL 600 V control, Cu #14 AWG (Class I Div 2)</t>
        </is>
      </c>
      <c r="K5415" s="12" t="inlineStr">
        <is>
          <t>CTAX|12/C|14</t>
        </is>
      </c>
      <c r="L5415" s="12" t="inlineStr">
        <is>
          <t>12/C</t>
        </is>
      </c>
      <c r="M5415" s="12" t="inlineStr">
        <is>
          <t>14</t>
        </is>
      </c>
      <c r="N5415" s="12" t="n">
        <v>1</v>
      </c>
      <c r="O5415" s="12" t="n">
        <v>1</v>
      </c>
      <c r="P5415" s="12" t="n"/>
      <c r="Q5415" s="12" t="n"/>
      <c r="R5415" s="12" t="n"/>
      <c r="S5415" s="12" t="inlineStr">
        <is>
          <t>Duct bank</t>
        </is>
      </c>
      <c r="T5415" s="17" t="n">
        <v>254</v>
      </c>
      <c r="U5415" s="17" t="n">
        <v>32</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K-C-0040</t>
        </is>
      </c>
      <c r="B5416" s="12" t="inlineStr">
        <is>
          <t>K</t>
        </is>
      </c>
      <c r="C5416" s="12" t="inlineStr">
        <is>
          <t>Fuel supply (adjacent market)</t>
        </is>
      </c>
      <c r="D5416" s="12" t="inlineStr">
        <is>
          <t>CT / VT</t>
        </is>
      </c>
      <c r="E5416" s="12" t="inlineStr"/>
      <c r="F5416" s="12" t="inlineStr">
        <is>
          <t>H2 20: 13.8 kV e-house</t>
        </is>
      </c>
      <c r="G5416" s="12" t="inlineStr"/>
      <c r="H5416" s="12" t="inlineStr">
        <is>
          <t>H2 21: rectifier transformer 5 (7 MVA)</t>
        </is>
      </c>
      <c r="I5416" s="12" t="inlineStr">
        <is>
          <t>Control</t>
        </is>
      </c>
      <c r="J5416" s="12" t="inlineStr">
        <is>
          <t>Control cable 600 V Type TC-ER, Cu #10 AWG (CT / VT circuits)</t>
        </is>
      </c>
      <c r="K5416" s="12" t="inlineStr">
        <is>
          <t>CTCT|4/C|10</t>
        </is>
      </c>
      <c r="L5416" s="12" t="inlineStr">
        <is>
          <t>4/C</t>
        </is>
      </c>
      <c r="M5416" s="12" t="inlineStr">
        <is>
          <t>10</t>
        </is>
      </c>
      <c r="N5416" s="12" t="n">
        <v>1</v>
      </c>
      <c r="O5416" s="12" t="n">
        <v>1</v>
      </c>
      <c r="P5416" s="12" t="n"/>
      <c r="Q5416" s="12" t="n"/>
      <c r="R5416" s="12" t="n"/>
      <c r="S5416" s="12" t="inlineStr">
        <is>
          <t>Duct bank</t>
        </is>
      </c>
      <c r="T5416" s="17" t="n">
        <v>254</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K-C-0041</t>
        </is>
      </c>
      <c r="B5417" s="12" t="inlineStr">
        <is>
          <t>K</t>
        </is>
      </c>
      <c r="C5417" s="12" t="inlineStr">
        <is>
          <t>Fuel supply (adjacent market)</t>
        </is>
      </c>
      <c r="D5417" s="12" t="inlineStr">
        <is>
          <t>CT / VT</t>
        </is>
      </c>
      <c r="E5417" s="12" t="inlineStr"/>
      <c r="F5417" s="12" t="inlineStr">
        <is>
          <t>H2 20: 13.8 kV e-house</t>
        </is>
      </c>
      <c r="G5417" s="12" t="inlineStr"/>
      <c r="H5417" s="12" t="inlineStr">
        <is>
          <t>H2 21: rectifier transformer 5 (7 MVA)</t>
        </is>
      </c>
      <c r="I5417" s="12" t="inlineStr">
        <is>
          <t>Control</t>
        </is>
      </c>
      <c r="J5417" s="12" t="inlineStr">
        <is>
          <t>Control cable 600 V Type TC-ER, Cu #10 AWG (CT / VT circuits)</t>
        </is>
      </c>
      <c r="K5417" s="12" t="inlineStr">
        <is>
          <t>CTCT|4/C|10</t>
        </is>
      </c>
      <c r="L5417" s="12" t="inlineStr">
        <is>
          <t>4/C</t>
        </is>
      </c>
      <c r="M5417" s="12" t="inlineStr">
        <is>
          <t>10</t>
        </is>
      </c>
      <c r="N5417" s="12" t="n">
        <v>1</v>
      </c>
      <c r="O5417" s="12" t="n">
        <v>1</v>
      </c>
      <c r="P5417" s="12" t="n"/>
      <c r="Q5417" s="12" t="n"/>
      <c r="R5417" s="12" t="n"/>
      <c r="S5417" s="12" t="inlineStr">
        <is>
          <t>Duct bank</t>
        </is>
      </c>
      <c r="T5417" s="17" t="n">
        <v>254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K-C-0042</t>
        </is>
      </c>
      <c r="B5418" s="12" t="inlineStr">
        <is>
          <t>K</t>
        </is>
      </c>
      <c r="C5418" s="12" t="inlineStr">
        <is>
          <t>Fuel supply (adjacent market)</t>
        </is>
      </c>
      <c r="D5418" s="12" t="inlineStr">
        <is>
          <t>Motor 1 of 1: control / local station</t>
        </is>
      </c>
      <c r="E5418" s="12" t="inlineStr"/>
      <c r="F5418" s="12" t="inlineStr">
        <is>
          <t>H2 20: 13.8 kV e-house</t>
        </is>
      </c>
      <c r="G5418" s="12" t="inlineStr">
        <is>
          <t>H2-EL</t>
        </is>
      </c>
      <c r="H5418" s="12" t="inlineStr">
        <is>
          <t>H2 22: electrolyzer building (5 x HyLYZER-1000 + 5 rectifiers)</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7" t="n">
        <v>346</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K-C-0043</t>
        </is>
      </c>
      <c r="B5419" s="12" t="inlineStr">
        <is>
          <t>K</t>
        </is>
      </c>
      <c r="C5419" s="12" t="inlineStr">
        <is>
          <t>Fuel supply (adjacent market)</t>
        </is>
      </c>
      <c r="D5419" s="12" t="inlineStr">
        <is>
          <t>Solenoid to JB JB-H2-EL-SOL01: 2 x 2/C (field cables)</t>
        </is>
      </c>
      <c r="E5419" s="12" t="inlineStr">
        <is>
          <t>H2-EL</t>
        </is>
      </c>
      <c r="F5419" s="12" t="inlineStr">
        <is>
          <t>H2 22: electrolyzer building (5 x HyLYZER-1000 + 5 rectifiers)</t>
        </is>
      </c>
      <c r="G5419" s="12" t="inlineStr">
        <is>
          <t>JB-H2-EL-SOL01</t>
        </is>
      </c>
      <c r="H5419" s="12" t="inlineStr">
        <is>
          <t>H2 22: electrolyzer building (5 x HyLYZER-1000 + 5 rectifiers)</t>
        </is>
      </c>
      <c r="I5419" s="12" t="inlineStr">
        <is>
          <t>Control</t>
        </is>
      </c>
      <c r="J5419" s="12" t="inlineStr">
        <is>
          <t>ARMOR-X MC-HL 600 V control, Cu #14 AWG (Class I Div 2)</t>
        </is>
      </c>
      <c r="K5419" s="12" t="inlineStr">
        <is>
          <t>CTAX|2/C|14</t>
        </is>
      </c>
      <c r="L5419" s="12" t="inlineStr">
        <is>
          <t>2/C</t>
        </is>
      </c>
      <c r="M5419" s="12" t="inlineStr">
        <is>
          <t>14</t>
        </is>
      </c>
      <c r="N5419" s="12" t="n">
        <v>2</v>
      </c>
      <c r="O5419" s="12" t="n">
        <v>1</v>
      </c>
      <c r="P5419" s="12" t="n"/>
      <c r="Q5419" s="12" t="n"/>
      <c r="R5419" s="12" t="n"/>
      <c r="S5419" s="12" t="inlineStr">
        <is>
          <t>Tray / conduit</t>
        </is>
      </c>
      <c r="T5419" s="17" t="n">
        <v>157</v>
      </c>
      <c r="U5419" s="17" t="n">
        <v>10</v>
      </c>
      <c r="V5419" s="17">
        <f>ROUNDUP((T5419+U5419+2*'Read Me'!$B$13)*(1+'Read Me'!$B$12),-1)</f>
        <v/>
      </c>
      <c r="W5419" s="17">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K-C-0044</t>
        </is>
      </c>
      <c r="B5420" s="12" t="inlineStr">
        <is>
          <t>K</t>
        </is>
      </c>
      <c r="C5420" s="12" t="inlineStr">
        <is>
          <t>Fuel supply (adjacent market)</t>
        </is>
      </c>
      <c r="D5420" s="12" t="inlineStr">
        <is>
          <t>Home run JB-H2-EL-SOL01 to the control / marshalling room</t>
        </is>
      </c>
      <c r="E5420" s="12" t="inlineStr"/>
      <c r="F5420" s="12" t="inlineStr">
        <is>
          <t>H2 20: 13.8 kV e-house</t>
        </is>
      </c>
      <c r="G5420" s="12" t="inlineStr">
        <is>
          <t>JB-H2-EL-SOL01</t>
        </is>
      </c>
      <c r="H5420" s="12" t="inlineStr">
        <is>
          <t>H2 22: electrolyzer building (5 x HyLYZER-1000 + 5 rectifiers)</t>
        </is>
      </c>
      <c r="I5420" s="12" t="inlineStr">
        <is>
          <t>Control</t>
        </is>
      </c>
      <c r="J5420" s="12" t="inlineStr">
        <is>
          <t>ARMOR-X MC-HL 600 V control, Cu #14 AWG (Class I Div 2)</t>
        </is>
      </c>
      <c r="K5420" s="12" t="inlineStr">
        <is>
          <t>CTAX|25/C|14</t>
        </is>
      </c>
      <c r="L5420" s="12" t="inlineStr">
        <is>
          <t>25/C</t>
        </is>
      </c>
      <c r="M5420" s="12" t="inlineStr">
        <is>
          <t>14</t>
        </is>
      </c>
      <c r="N5420" s="12" t="n">
        <v>1</v>
      </c>
      <c r="O5420" s="12" t="n">
        <v>1</v>
      </c>
      <c r="P5420" s="12" t="n"/>
      <c r="Q5420" s="12" t="n"/>
      <c r="R5420" s="12" t="n"/>
      <c r="S5420" s="12" t="inlineStr">
        <is>
          <t>Duct bank</t>
        </is>
      </c>
      <c r="T5420" s="17" t="n">
        <v>346</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K-C-0045</t>
        </is>
      </c>
      <c r="B5421" s="12" t="inlineStr">
        <is>
          <t>K</t>
        </is>
      </c>
      <c r="C5421" s="12" t="inlineStr">
        <is>
          <t>Fuel supply (adjacent market)</t>
        </is>
      </c>
      <c r="D5421" s="12" t="inlineStr">
        <is>
          <t>Motor 1 of 1: control / local station</t>
        </is>
      </c>
      <c r="E5421" s="12" t="inlineStr"/>
      <c r="F5421" s="12" t="inlineStr">
        <is>
          <t>H2 20: 13.8 kV e-house</t>
        </is>
      </c>
      <c r="G5421" s="12" t="inlineStr"/>
      <c r="H5421" s="12" t="inlineStr">
        <is>
          <t>H2 23: dry coolers</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100</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K-C-0046</t>
        </is>
      </c>
      <c r="B5422" s="12" t="inlineStr">
        <is>
          <t>K</t>
        </is>
      </c>
      <c r="C5422" s="12" t="inlineStr">
        <is>
          <t>Fuel supply (adjacent market)</t>
        </is>
      </c>
      <c r="D5422" s="12" t="inlineStr">
        <is>
          <t>Solenoid to JB JB-H2 23: dry coolers-SOL01: 2 x 2/C (field cables)</t>
        </is>
      </c>
      <c r="E5422" s="12" t="inlineStr"/>
      <c r="F5422" s="12" t="inlineStr">
        <is>
          <t>H2 23: dry coolers</t>
        </is>
      </c>
      <c r="G5422" s="12" t="inlineStr">
        <is>
          <t>JB-H2 23: dry coolers-SOL01</t>
        </is>
      </c>
      <c r="H5422" s="12" t="inlineStr">
        <is>
          <t>H2 23: dry coolers</t>
        </is>
      </c>
      <c r="I5422" s="12" t="inlineStr">
        <is>
          <t>Control</t>
        </is>
      </c>
      <c r="J5422" s="12" t="inlineStr">
        <is>
          <t>ARMOR-X MC-HL 600 V control, Cu #14 AWG (Class I Div 2)</t>
        </is>
      </c>
      <c r="K5422" s="12" t="inlineStr">
        <is>
          <t>CTAX|2/C|14</t>
        </is>
      </c>
      <c r="L5422" s="12" t="inlineStr">
        <is>
          <t>2/C</t>
        </is>
      </c>
      <c r="M5422" s="12" t="inlineStr">
        <is>
          <t>14</t>
        </is>
      </c>
      <c r="N5422" s="12" t="n">
        <v>2</v>
      </c>
      <c r="O5422" s="12" t="n">
        <v>1</v>
      </c>
      <c r="P5422" s="12" t="n"/>
      <c r="Q5422" s="12" t="n"/>
      <c r="R5422" s="12" t="n"/>
      <c r="S5422" s="12" t="inlineStr">
        <is>
          <t>Tray / conduit</t>
        </is>
      </c>
      <c r="T5422" s="17" t="n">
        <v>111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K-C-0047</t>
        </is>
      </c>
      <c r="B5423" s="12" t="inlineStr">
        <is>
          <t>K</t>
        </is>
      </c>
      <c r="C5423" s="12" t="inlineStr">
        <is>
          <t>Fuel supply (adjacent market)</t>
        </is>
      </c>
      <c r="D5423" s="12" t="inlineStr">
        <is>
          <t>Home run JB-H2 23: dry coolers-SOL01 to the control / marshalling room</t>
        </is>
      </c>
      <c r="E5423" s="12" t="inlineStr"/>
      <c r="F5423" s="12" t="inlineStr">
        <is>
          <t>H2 20: 13.8 kV e-house</t>
        </is>
      </c>
      <c r="G5423" s="12" t="inlineStr">
        <is>
          <t>JB-H2 23: dry coolers-SOL01</t>
        </is>
      </c>
      <c r="H5423" s="12" t="inlineStr">
        <is>
          <t>H2 23: dry coolers</t>
        </is>
      </c>
      <c r="I5423" s="12" t="inlineStr">
        <is>
          <t>Control</t>
        </is>
      </c>
      <c r="J5423" s="12" t="inlineStr">
        <is>
          <t>ARMOR-X MC-HL 600 V control, Cu #14 AWG (Class I Div 2)</t>
        </is>
      </c>
      <c r="K5423" s="12" t="inlineStr">
        <is>
          <t>CTAX|25/C|14</t>
        </is>
      </c>
      <c r="L5423" s="12" t="inlineStr">
        <is>
          <t>25/C</t>
        </is>
      </c>
      <c r="M5423" s="12" t="inlineStr">
        <is>
          <t>14</t>
        </is>
      </c>
      <c r="N5423" s="12" t="n">
        <v>1</v>
      </c>
      <c r="O5423" s="12" t="n">
        <v>1</v>
      </c>
      <c r="P5423" s="12" t="n"/>
      <c r="Q5423" s="12" t="n"/>
      <c r="R5423" s="12" t="n"/>
      <c r="S5423" s="12" t="inlineStr">
        <is>
          <t>Duct bank</t>
        </is>
      </c>
      <c r="T5423" s="17" t="n">
        <v>100</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K-C-0048</t>
        </is>
      </c>
      <c r="B5424" s="12" t="inlineStr">
        <is>
          <t>K</t>
        </is>
      </c>
      <c r="C5424" s="12" t="inlineStr">
        <is>
          <t>Fuel supply (adjacent market)</t>
        </is>
      </c>
      <c r="D5424" s="12" t="inlineStr">
        <is>
          <t>Motor 1 of 1: control / local station</t>
        </is>
      </c>
      <c r="E5424" s="12" t="inlineStr"/>
      <c r="F5424" s="12" t="inlineStr">
        <is>
          <t>H2 20: 13.8 kV e-house</t>
        </is>
      </c>
      <c r="G5424" s="12" t="inlineStr"/>
      <c r="H5424" s="12" t="inlineStr">
        <is>
          <t>H2 24: water purification (RO / EDI)</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7" t="n">
        <v>146</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K-C-0049</t>
        </is>
      </c>
      <c r="B5425" s="12" t="inlineStr">
        <is>
          <t>K</t>
        </is>
      </c>
      <c r="C5425" s="12" t="inlineStr">
        <is>
          <t>Fuel supply (adjacent market)</t>
        </is>
      </c>
      <c r="D5425" s="12" t="inlineStr">
        <is>
          <t>Solenoid to JB JB-H2 24: water purif-SOL01: 2 x 2/C (field cables)</t>
        </is>
      </c>
      <c r="E5425" s="12" t="inlineStr"/>
      <c r="F5425" s="12" t="inlineStr">
        <is>
          <t>H2 24: water purification (RO / EDI)</t>
        </is>
      </c>
      <c r="G5425" s="12" t="inlineStr">
        <is>
          <t>JB-H2 24: water purif-SOL01</t>
        </is>
      </c>
      <c r="H5425" s="12" t="inlineStr">
        <is>
          <t>H2 24: water purification (RO / EDI)</t>
        </is>
      </c>
      <c r="I5425" s="12" t="inlineStr">
        <is>
          <t>Control</t>
        </is>
      </c>
      <c r="J5425" s="12" t="inlineStr">
        <is>
          <t>ARMOR-X MC-HL 600 V control, Cu #14 AWG (Class I Div 2)</t>
        </is>
      </c>
      <c r="K5425" s="12" t="inlineStr">
        <is>
          <t>CTAX|2/C|14</t>
        </is>
      </c>
      <c r="L5425" s="12" t="inlineStr">
        <is>
          <t>2/C</t>
        </is>
      </c>
      <c r="M5425" s="12" t="inlineStr">
        <is>
          <t>14</t>
        </is>
      </c>
      <c r="N5425" s="12" t="n">
        <v>2</v>
      </c>
      <c r="O5425" s="12" t="n">
        <v>1</v>
      </c>
      <c r="P5425" s="12" t="n"/>
      <c r="Q5425" s="12" t="n"/>
      <c r="R5425" s="12" t="n"/>
      <c r="S5425" s="12" t="inlineStr">
        <is>
          <t>Tray / conduit</t>
        </is>
      </c>
      <c r="T5425" s="17" t="n">
        <v>60</v>
      </c>
      <c r="U5425" s="17" t="n">
        <v>10</v>
      </c>
      <c r="V5425" s="17">
        <f>ROUNDUP((T5425+U5425+2*'Read Me'!$B$13)*(1+'Read Me'!$B$12),-1)</f>
        <v/>
      </c>
      <c r="W5425" s="17">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K-C-0050</t>
        </is>
      </c>
      <c r="B5426" s="12" t="inlineStr">
        <is>
          <t>K</t>
        </is>
      </c>
      <c r="C5426" s="12" t="inlineStr">
        <is>
          <t>Fuel supply (adjacent market)</t>
        </is>
      </c>
      <c r="D5426" s="12" t="inlineStr">
        <is>
          <t>Home run JB-H2 24: water purif-SOL01 to the control / marshalling room</t>
        </is>
      </c>
      <c r="E5426" s="12" t="inlineStr"/>
      <c r="F5426" s="12" t="inlineStr">
        <is>
          <t>H2 20: 13.8 kV e-house</t>
        </is>
      </c>
      <c r="G5426" s="12" t="inlineStr">
        <is>
          <t>JB-H2 24: water purif-SOL01</t>
        </is>
      </c>
      <c r="H5426" s="12" t="inlineStr">
        <is>
          <t>H2 24: water purification (RO / EDI)</t>
        </is>
      </c>
      <c r="I5426" s="12" t="inlineStr">
        <is>
          <t>Control</t>
        </is>
      </c>
      <c r="J5426" s="12" t="inlineStr">
        <is>
          <t>ARMOR-X MC-HL 600 V control, Cu #14 AWG (Class I Div 2)</t>
        </is>
      </c>
      <c r="K5426" s="12" t="inlineStr">
        <is>
          <t>CTAX|25/C|14</t>
        </is>
      </c>
      <c r="L5426" s="12" t="inlineStr">
        <is>
          <t>25/C</t>
        </is>
      </c>
      <c r="M5426" s="12" t="inlineStr">
        <is>
          <t>14</t>
        </is>
      </c>
      <c r="N5426" s="12" t="n">
        <v>1</v>
      </c>
      <c r="O5426" s="12" t="n">
        <v>1</v>
      </c>
      <c r="P5426" s="12" t="n"/>
      <c r="Q5426" s="12" t="n"/>
      <c r="R5426" s="12" t="n"/>
      <c r="S5426" s="12" t="inlineStr">
        <is>
          <t>Duct bank</t>
        </is>
      </c>
      <c r="T5426" s="17" t="n">
        <v>146</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K-C-0051</t>
        </is>
      </c>
      <c r="B5427" s="12" t="inlineStr">
        <is>
          <t>K</t>
        </is>
      </c>
      <c r="C5427" s="12" t="inlineStr">
        <is>
          <t>Fuel supply (adjacent market)</t>
        </is>
      </c>
      <c r="D5427" s="12" t="inlineStr">
        <is>
          <t>Motor 1 of 1: control / local station</t>
        </is>
      </c>
      <c r="E5427" s="12" t="inlineStr"/>
      <c r="F5427" s="12" t="inlineStr">
        <is>
          <t>H2 20: 13.8 kV e-house</t>
        </is>
      </c>
      <c r="G5427" s="12" t="inlineStr"/>
      <c r="H5427" s="12" t="inlineStr">
        <is>
          <t>H2 25: H2 dryer / purification</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7" t="n">
        <v>0</v>
      </c>
      <c r="U5427" s="17" t="n">
        <v>49</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K-C-0052</t>
        </is>
      </c>
      <c r="B5428" s="12" t="inlineStr">
        <is>
          <t>K</t>
        </is>
      </c>
      <c r="C5428" s="12" t="inlineStr">
        <is>
          <t>Fuel supply (adjacent market)</t>
        </is>
      </c>
      <c r="D5428" s="12" t="inlineStr">
        <is>
          <t>Solenoid to JB JB-H2 25: H2 dryer / -SOL01: 2 x 2/C (field cables)</t>
        </is>
      </c>
      <c r="E5428" s="12" t="inlineStr"/>
      <c r="F5428" s="12" t="inlineStr">
        <is>
          <t>H2 25: H2 dryer / purification</t>
        </is>
      </c>
      <c r="G5428" s="12" t="inlineStr">
        <is>
          <t>JB-H2 25: H2 dryer / -SOL01</t>
        </is>
      </c>
      <c r="H5428" s="12" t="inlineStr">
        <is>
          <t>H2 25: H2 dryer / purification</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7" t="n">
        <v>60</v>
      </c>
      <c r="U5428" s="17" t="n">
        <v>10</v>
      </c>
      <c r="V5428" s="17">
        <f>ROUNDUP((T5428+U5428+2*'Read Me'!$B$13)*(1+'Read Me'!$B$12),-1)</f>
        <v/>
      </c>
      <c r="W5428" s="17">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K-C-0053</t>
        </is>
      </c>
      <c r="B5429" s="12" t="inlineStr">
        <is>
          <t>K</t>
        </is>
      </c>
      <c r="C5429" s="12" t="inlineStr">
        <is>
          <t>Fuel supply (adjacent market)</t>
        </is>
      </c>
      <c r="D5429" s="12" t="inlineStr">
        <is>
          <t>Home run JB-H2 25: H2 dryer / -SOL01 to the control / marshalling room</t>
        </is>
      </c>
      <c r="E5429" s="12" t="inlineStr"/>
      <c r="F5429" s="12" t="inlineStr">
        <is>
          <t>H2 20: 13.8 kV e-house</t>
        </is>
      </c>
      <c r="G5429" s="12" t="inlineStr">
        <is>
          <t>JB-H2 25: H2 dryer / -SOL01</t>
        </is>
      </c>
      <c r="H5429" s="12" t="inlineStr">
        <is>
          <t>H2 25: H2 dryer / purification</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7" t="n">
        <v>0</v>
      </c>
      <c r="U5429" s="17" t="n">
        <v>49</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K-C-0054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26: H2 compressor 1 (40 ft ISO)</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7" t="n">
        <v>50</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K-C-0055</t>
        </is>
      </c>
      <c r="B5431" s="12" t="inlineStr">
        <is>
          <t>K</t>
        </is>
      </c>
      <c r="C5431" s="12" t="inlineStr">
        <is>
          <t>Fuel supply (adjacent market)</t>
        </is>
      </c>
      <c r="D5431" s="12" t="inlineStr">
        <is>
          <t>Solenoid to JB JB-H2 26: H2 compress-SOL01: 2 x 2/C (field cables)</t>
        </is>
      </c>
      <c r="E5431" s="12" t="inlineStr"/>
      <c r="F5431" s="12" t="inlineStr">
        <is>
          <t>H2 26: H2 compressor 1 (40 ft ISO)</t>
        </is>
      </c>
      <c r="G5431" s="12" t="inlineStr">
        <is>
          <t>JB-H2 26: H2 compress-SOL01</t>
        </is>
      </c>
      <c r="H5431" s="12" t="inlineStr">
        <is>
          <t>H2 26: H2 compressor 1 (40 ft ISO)</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7" t="n">
        <v>53</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K-C-0056</t>
        </is>
      </c>
      <c r="B5432" s="12" t="inlineStr">
        <is>
          <t>K</t>
        </is>
      </c>
      <c r="C5432" s="12" t="inlineStr">
        <is>
          <t>Fuel supply (adjacent market)</t>
        </is>
      </c>
      <c r="D5432" s="12" t="inlineStr">
        <is>
          <t>Home run JB-H2 26: H2 compress-SOL01 to the control / marshalling room</t>
        </is>
      </c>
      <c r="E5432" s="12" t="inlineStr"/>
      <c r="F5432" s="12" t="inlineStr">
        <is>
          <t>H2 20: 13.8 kV e-house</t>
        </is>
      </c>
      <c r="G5432" s="12" t="inlineStr">
        <is>
          <t>JB-H2 26: H2 compress-SOL01</t>
        </is>
      </c>
      <c r="H5432" s="12" t="inlineStr">
        <is>
          <t>H2 26: H2 compressor 1 (40 ft ISO)</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Duct bank</t>
        </is>
      </c>
      <c r="T5432" s="17" t="n">
        <v>50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K-C-0057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26: H2 compressor 2 (40 ft ISO)</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7" t="n">
        <v>50</v>
      </c>
      <c r="U5433" s="17" t="n">
        <v>47</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K-C-0058</t>
        </is>
      </c>
      <c r="B5434" s="12" t="inlineStr">
        <is>
          <t>K</t>
        </is>
      </c>
      <c r="C5434" s="12" t="inlineStr">
        <is>
          <t>Fuel supply (adjacent market)</t>
        </is>
      </c>
      <c r="D5434" s="12" t="inlineStr">
        <is>
          <t>Solenoid to JB JB-H2 26: H2 compress-SOL01: 2 x 2/C (field cables)</t>
        </is>
      </c>
      <c r="E5434" s="12" t="inlineStr"/>
      <c r="F5434" s="12" t="inlineStr">
        <is>
          <t>H2 26: H2 compressor 2 (40 ft ISO)</t>
        </is>
      </c>
      <c r="G5434" s="12" t="inlineStr">
        <is>
          <t>JB-H2 26: H2 compress-SOL01</t>
        </is>
      </c>
      <c r="H5434" s="12" t="inlineStr">
        <is>
          <t>H2 26: H2 compressor 2 (40 ft ISO)</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7" t="n">
        <v>53</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K-C-0059</t>
        </is>
      </c>
      <c r="B5435" s="12" t="inlineStr">
        <is>
          <t>K</t>
        </is>
      </c>
      <c r="C5435" s="12" t="inlineStr">
        <is>
          <t>Fuel supply (adjacent market)</t>
        </is>
      </c>
      <c r="D5435" s="12" t="inlineStr">
        <is>
          <t>Home run JB-H2 26: H2 compress-SOL01 to the control / marshalling room</t>
        </is>
      </c>
      <c r="E5435" s="12" t="inlineStr"/>
      <c r="F5435" s="12" t="inlineStr">
        <is>
          <t>H2 20: 13.8 kV e-house</t>
        </is>
      </c>
      <c r="G5435" s="12" t="inlineStr">
        <is>
          <t>JB-H2 26: H2 compress-SOL01</t>
        </is>
      </c>
      <c r="H5435" s="12" t="inlineStr">
        <is>
          <t>H2 26: H2 compressor 2 (40 ft ISO)</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7" t="n">
        <v>50</v>
      </c>
      <c r="U5435" s="17" t="n">
        <v>47</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K-C-0060</t>
        </is>
      </c>
      <c r="B5436" s="12" t="inlineStr">
        <is>
          <t>K</t>
        </is>
      </c>
      <c r="C5436" s="12" t="inlineStr">
        <is>
          <t>Fuel supply (adjacent market)</t>
        </is>
      </c>
      <c r="D5436" s="12" t="inlineStr">
        <is>
          <t>Motor 1 of 1: control / local station</t>
        </is>
      </c>
      <c r="E5436" s="12" t="inlineStr"/>
      <c r="F5436" s="12" t="inlineStr">
        <is>
          <t>H2 20: 13.8 kV e-house</t>
        </is>
      </c>
      <c r="G5436" s="12" t="inlineStr"/>
      <c r="H5436" s="12" t="inlineStr">
        <is>
          <t>H2 27: storage tube bank (~40 ft tubes)</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7" t="n">
        <v>50</v>
      </c>
      <c r="U5436" s="17" t="n">
        <v>97</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K-C-0061</t>
        </is>
      </c>
      <c r="B5437" s="12" t="inlineStr">
        <is>
          <t>K</t>
        </is>
      </c>
      <c r="C5437" s="12" t="inlineStr">
        <is>
          <t>Fuel supply (adjacent market)</t>
        </is>
      </c>
      <c r="D5437" s="12" t="inlineStr">
        <is>
          <t>Solenoid to JB JB-H2 27: storage tub-SOL01: 2 x 2/C (field cables)</t>
        </is>
      </c>
      <c r="E5437" s="12" t="inlineStr"/>
      <c r="F5437" s="12" t="inlineStr">
        <is>
          <t>H2 27: storage tube bank (~40 ft tubes)</t>
        </is>
      </c>
      <c r="G5437" s="12" t="inlineStr">
        <is>
          <t>JB-H2 27: storage tub-SOL01</t>
        </is>
      </c>
      <c r="H5437" s="12" t="inlineStr">
        <is>
          <t>H2 27: storage tube bank (~40 ft tubes)</t>
        </is>
      </c>
      <c r="I5437" s="12" t="inlineStr">
        <is>
          <t>Control</t>
        </is>
      </c>
      <c r="J5437" s="12" t="inlineStr">
        <is>
          <t>ARMOR-X MC-HL 600 V control, Cu #14 AWG (Class I Div 2)</t>
        </is>
      </c>
      <c r="K5437" s="12" t="inlineStr">
        <is>
          <t>CTAX|2/C|14</t>
        </is>
      </c>
      <c r="L5437" s="12" t="inlineStr">
        <is>
          <t>2/C</t>
        </is>
      </c>
      <c r="M5437" s="12" t="inlineStr">
        <is>
          <t>14</t>
        </is>
      </c>
      <c r="N5437" s="12" t="n">
        <v>2</v>
      </c>
      <c r="O5437" s="12" t="n">
        <v>1</v>
      </c>
      <c r="P5437" s="12" t="n"/>
      <c r="Q5437" s="12" t="n"/>
      <c r="R5437" s="12" t="n"/>
      <c r="S5437" s="12" t="inlineStr">
        <is>
          <t>Tray / conduit</t>
        </is>
      </c>
      <c r="T5437" s="17" t="n">
        <v>54</v>
      </c>
      <c r="U5437" s="17" t="n">
        <v>10</v>
      </c>
      <c r="V5437" s="17">
        <f>ROUNDUP((T5437+U5437+2*'Read Me'!$B$13)*(1+'Read Me'!$B$12),-1)</f>
        <v/>
      </c>
      <c r="W5437" s="17">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K-C-0062</t>
        </is>
      </c>
      <c r="B5438" s="12" t="inlineStr">
        <is>
          <t>K</t>
        </is>
      </c>
      <c r="C5438" s="12" t="inlineStr">
        <is>
          <t>Fuel supply (adjacent market)</t>
        </is>
      </c>
      <c r="D5438" s="12" t="inlineStr">
        <is>
          <t>Home run JB-H2 27: storage tub-SOL01 to the control / marshalling room</t>
        </is>
      </c>
      <c r="E5438" s="12" t="inlineStr"/>
      <c r="F5438" s="12" t="inlineStr">
        <is>
          <t>H2 20: 13.8 kV e-house</t>
        </is>
      </c>
      <c r="G5438" s="12" t="inlineStr">
        <is>
          <t>JB-H2 27: storage tub-SOL01</t>
        </is>
      </c>
      <c r="H5438" s="12" t="inlineStr">
        <is>
          <t>H2 27: storage tube bank (~40 ft tubes)</t>
        </is>
      </c>
      <c r="I5438" s="12" t="inlineStr">
        <is>
          <t>Control</t>
        </is>
      </c>
      <c r="J5438" s="12" t="inlineStr">
        <is>
          <t>ARMOR-X MC-HL 600 V control, Cu #14 AWG (Class I Div 2)</t>
        </is>
      </c>
      <c r="K5438" s="12" t="inlineStr">
        <is>
          <t>CTAX|25/C|14</t>
        </is>
      </c>
      <c r="L5438" s="12" t="inlineStr">
        <is>
          <t>25/C</t>
        </is>
      </c>
      <c r="M5438" s="12" t="inlineStr">
        <is>
          <t>14</t>
        </is>
      </c>
      <c r="N5438" s="12" t="n">
        <v>1</v>
      </c>
      <c r="O5438" s="12" t="n">
        <v>1</v>
      </c>
      <c r="P5438" s="12" t="n"/>
      <c r="Q5438" s="12" t="n"/>
      <c r="R5438" s="12" t="n"/>
      <c r="S5438" s="12" t="inlineStr">
        <is>
          <t>Duct bank</t>
        </is>
      </c>
      <c r="T5438" s="17" t="n">
        <v>50</v>
      </c>
      <c r="U5438" s="17" t="n">
        <v>97</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K-C-0063</t>
        </is>
      </c>
      <c r="B5439" s="12" t="inlineStr">
        <is>
          <t>K</t>
        </is>
      </c>
      <c r="C5439" s="12" t="inlineStr">
        <is>
          <t>Fuel supply (adjacent market)</t>
        </is>
      </c>
      <c r="D5439" s="12" t="inlineStr">
        <is>
          <t>Motor 1 of 1: control / local station</t>
        </is>
      </c>
      <c r="E5439" s="12" t="inlineStr"/>
      <c r="F5439" s="12" t="inlineStr">
        <is>
          <t>H2 20: 13.8 kV e-house</t>
        </is>
      </c>
      <c r="G5439" s="12" t="inlineStr"/>
      <c r="H5439" s="12" t="inlineStr">
        <is>
          <t>H2 27: storage tube bank (~40 ft tubes)</t>
        </is>
      </c>
      <c r="I5439" s="12" t="inlineStr">
        <is>
          <t>Control</t>
        </is>
      </c>
      <c r="J5439" s="12" t="inlineStr">
        <is>
          <t>ARMOR-X MC-HL 600 V control, Cu #14 AWG (Class I Div 2)</t>
        </is>
      </c>
      <c r="K5439" s="12" t="inlineStr">
        <is>
          <t>CTAX|7/C|14</t>
        </is>
      </c>
      <c r="L5439" s="12" t="inlineStr">
        <is>
          <t>7/C</t>
        </is>
      </c>
      <c r="M5439" s="12" t="inlineStr">
        <is>
          <t>14</t>
        </is>
      </c>
      <c r="N5439" s="12" t="n">
        <v>1</v>
      </c>
      <c r="O5439" s="12" t="n">
        <v>1</v>
      </c>
      <c r="P5439" s="12" t="n"/>
      <c r="Q5439" s="12" t="n"/>
      <c r="R5439" s="12" t="n"/>
      <c r="S5439" s="12" t="inlineStr">
        <is>
          <t>Duct bank</t>
        </is>
      </c>
      <c r="T5439" s="17" t="n">
        <v>50</v>
      </c>
      <c r="U5439" s="17" t="n">
        <v>117</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K-C-0064</t>
        </is>
      </c>
      <c r="B5440" s="12" t="inlineStr">
        <is>
          <t>K</t>
        </is>
      </c>
      <c r="C5440" s="12" t="inlineStr">
        <is>
          <t>Fuel supply (adjacent market)</t>
        </is>
      </c>
      <c r="D5440" s="12" t="inlineStr">
        <is>
          <t>Solenoid to JB JB-H2 27: storage tub-SOL01: 2 x 2/C (field cables)</t>
        </is>
      </c>
      <c r="E5440" s="12" t="inlineStr"/>
      <c r="F5440" s="12" t="inlineStr">
        <is>
          <t>H2 27: storage tube bank (~40 ft tubes)</t>
        </is>
      </c>
      <c r="G5440" s="12" t="inlineStr">
        <is>
          <t>JB-H2 27: storage tub-SOL01</t>
        </is>
      </c>
      <c r="H5440" s="12" t="inlineStr">
        <is>
          <t>H2 27: storage tube bank (~40 ft tubes)</t>
        </is>
      </c>
      <c r="I5440" s="12" t="inlineStr">
        <is>
          <t>Control</t>
        </is>
      </c>
      <c r="J5440" s="12" t="inlineStr">
        <is>
          <t>ARMOR-X MC-HL 600 V control, Cu #14 AWG (Class I Div 2)</t>
        </is>
      </c>
      <c r="K5440" s="12" t="inlineStr">
        <is>
          <t>CTAX|2/C|14</t>
        </is>
      </c>
      <c r="L5440" s="12" t="inlineStr">
        <is>
          <t>2/C</t>
        </is>
      </c>
      <c r="M5440" s="12" t="inlineStr">
        <is>
          <t>14</t>
        </is>
      </c>
      <c r="N5440" s="12" t="n">
        <v>2</v>
      </c>
      <c r="O5440" s="12" t="n">
        <v>1</v>
      </c>
      <c r="P5440" s="12" t="n"/>
      <c r="Q5440" s="12" t="n"/>
      <c r="R5440" s="12" t="n"/>
      <c r="S5440" s="12" t="inlineStr">
        <is>
          <t>Tray / conduit</t>
        </is>
      </c>
      <c r="T5440" s="17" t="n">
        <v>54</v>
      </c>
      <c r="U5440" s="17" t="n">
        <v>10</v>
      </c>
      <c r="V5440" s="17">
        <f>ROUNDUP((T5440+U5440+2*'Read Me'!$B$13)*(1+'Read Me'!$B$12),-1)</f>
        <v/>
      </c>
      <c r="W5440" s="17">
        <f>V5440*N5440*O5440</f>
        <v/>
      </c>
      <c r="X5440" s="12">
        <f>IF(LEFT(I5440,2)="MV",2*N5440*IF(L5440="1/C",O5440,1),0)</f>
        <v/>
      </c>
      <c r="Y5440" s="12">
        <f>IF(OR(LEFT(K5440,4)="LVAX",LEFT(K5440,6)="MV15AX",LEFT(K5440,4)="CTAX",LEFT(K5440,2)="W|"),2*N5440*O5440,0)</f>
        <v/>
      </c>
      <c r="Z5440" s="12" t="inlineStr">
        <is>
          <t>device-to-JB field wiring, one cable per device</t>
        </is>
      </c>
      <c r="AA5440" s="12">
        <f>N5440*O5440</f>
        <v/>
      </c>
    </row>
    <row r="5441">
      <c r="A5441" s="12" t="inlineStr">
        <is>
          <t>K-C-0065</t>
        </is>
      </c>
      <c r="B5441" s="12" t="inlineStr">
        <is>
          <t>K</t>
        </is>
      </c>
      <c r="C5441" s="12" t="inlineStr">
        <is>
          <t>Fuel supply (adjacent market)</t>
        </is>
      </c>
      <c r="D5441" s="12" t="inlineStr">
        <is>
          <t>Home run JB-H2 27: storage tub-SOL01 to the control / marshalling room</t>
        </is>
      </c>
      <c r="E5441" s="12" t="inlineStr"/>
      <c r="F5441" s="12" t="inlineStr">
        <is>
          <t>H2 20: 13.8 kV e-house</t>
        </is>
      </c>
      <c r="G5441" s="12" t="inlineStr">
        <is>
          <t>JB-H2 27: storage tub-SOL01</t>
        </is>
      </c>
      <c r="H5441" s="12" t="inlineStr">
        <is>
          <t>H2 27: storage tube bank (~40 ft tubes)</t>
        </is>
      </c>
      <c r="I5441" s="12" t="inlineStr">
        <is>
          <t>Control</t>
        </is>
      </c>
      <c r="J5441" s="12" t="inlineStr">
        <is>
          <t>ARMOR-X MC-HL 600 V control, Cu #14 AWG (Class I Div 2)</t>
        </is>
      </c>
      <c r="K5441" s="12" t="inlineStr">
        <is>
          <t>CTAX|25/C|14</t>
        </is>
      </c>
      <c r="L5441" s="12" t="inlineStr">
        <is>
          <t>25/C</t>
        </is>
      </c>
      <c r="M5441" s="12" t="inlineStr">
        <is>
          <t>14</t>
        </is>
      </c>
      <c r="N5441" s="12" t="n">
        <v>1</v>
      </c>
      <c r="O5441" s="12" t="n">
        <v>1</v>
      </c>
      <c r="P5441" s="12" t="n"/>
      <c r="Q5441" s="12" t="n"/>
      <c r="R5441" s="12" t="n"/>
      <c r="S5441" s="12" t="inlineStr">
        <is>
          <t>Duct bank</t>
        </is>
      </c>
      <c r="T5441" s="17" t="n">
        <v>50</v>
      </c>
      <c r="U5441" s="17" t="n">
        <v>117</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K-C-0066</t>
        </is>
      </c>
      <c r="B5442" s="12" t="inlineStr">
        <is>
          <t>K</t>
        </is>
      </c>
      <c r="C5442" s="12" t="inlineStr">
        <is>
          <t>Fuel supply (adjacent market)</t>
        </is>
      </c>
      <c r="D5442" s="12" t="inlineStr">
        <is>
          <t>Motor 1 of 1: control / local station</t>
        </is>
      </c>
      <c r="E5442" s="12" t="inlineStr"/>
      <c r="F5442" s="12" t="inlineStr">
        <is>
          <t>H2 20: 13.8 kV e-house</t>
        </is>
      </c>
      <c r="G5442" s="12" t="inlineStr"/>
      <c r="H5442" s="12" t="inlineStr">
        <is>
          <t>H2 27: storage tube bank (~40 ft tubes)</t>
        </is>
      </c>
      <c r="I5442" s="12" t="inlineStr">
        <is>
          <t>Control</t>
        </is>
      </c>
      <c r="J5442" s="12" t="inlineStr">
        <is>
          <t>ARMOR-X MC-HL 600 V control, Cu #14 AWG (Class I Div 2)</t>
        </is>
      </c>
      <c r="K5442" s="12" t="inlineStr">
        <is>
          <t>CTAX|7/C|14</t>
        </is>
      </c>
      <c r="L5442" s="12" t="inlineStr">
        <is>
          <t>7/C</t>
        </is>
      </c>
      <c r="M5442" s="12" t="inlineStr">
        <is>
          <t>14</t>
        </is>
      </c>
      <c r="N5442" s="12" t="n">
        <v>1</v>
      </c>
      <c r="O5442" s="12" t="n">
        <v>1</v>
      </c>
      <c r="P5442" s="12" t="n"/>
      <c r="Q5442" s="12" t="n"/>
      <c r="R5442" s="12" t="n"/>
      <c r="S5442" s="12" t="inlineStr">
        <is>
          <t>Duct bank</t>
        </is>
      </c>
      <c r="T5442" s="17" t="n">
        <v>50</v>
      </c>
      <c r="U5442" s="17" t="n">
        <v>97</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K-C-0067</t>
        </is>
      </c>
      <c r="B5443" s="12" t="inlineStr">
        <is>
          <t>K</t>
        </is>
      </c>
      <c r="C5443" s="12" t="inlineStr">
        <is>
          <t>Fuel supply (adjacent market)</t>
        </is>
      </c>
      <c r="D5443" s="12" t="inlineStr">
        <is>
          <t>Solenoid to JB JB-H2 27: storage tub-SOL01: 2 x 2/C (field cables)</t>
        </is>
      </c>
      <c r="E5443" s="12" t="inlineStr"/>
      <c r="F5443" s="12" t="inlineStr">
        <is>
          <t>H2 27: storage tube bank (~40 ft tubes)</t>
        </is>
      </c>
      <c r="G5443" s="12" t="inlineStr">
        <is>
          <t>JB-H2 27: storage tub-SOL01</t>
        </is>
      </c>
      <c r="H5443" s="12" t="inlineStr">
        <is>
          <t>H2 27: storage tube bank (~40 ft tubes)</t>
        </is>
      </c>
      <c r="I5443" s="12" t="inlineStr">
        <is>
          <t>Control</t>
        </is>
      </c>
      <c r="J5443" s="12" t="inlineStr">
        <is>
          <t>ARMOR-X MC-HL 600 V control, Cu #14 AWG (Class I Div 2)</t>
        </is>
      </c>
      <c r="K5443" s="12" t="inlineStr">
        <is>
          <t>CTAX|2/C|14</t>
        </is>
      </c>
      <c r="L5443" s="12" t="inlineStr">
        <is>
          <t>2/C</t>
        </is>
      </c>
      <c r="M5443" s="12" t="inlineStr">
        <is>
          <t>14</t>
        </is>
      </c>
      <c r="N5443" s="12" t="n">
        <v>2</v>
      </c>
      <c r="O5443" s="12" t="n">
        <v>1</v>
      </c>
      <c r="P5443" s="12" t="n"/>
      <c r="Q5443" s="12" t="n"/>
      <c r="R5443" s="12" t="n"/>
      <c r="S5443" s="12" t="inlineStr">
        <is>
          <t>Tray / conduit</t>
        </is>
      </c>
      <c r="T5443" s="17" t="n">
        <v>54</v>
      </c>
      <c r="U5443" s="17" t="n">
        <v>10</v>
      </c>
      <c r="V5443" s="17">
        <f>ROUNDUP((T5443+U5443+2*'Read Me'!$B$13)*(1+'Read Me'!$B$12),-1)</f>
        <v/>
      </c>
      <c r="W5443" s="17">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K-C-0068</t>
        </is>
      </c>
      <c r="B5444" s="12" t="inlineStr">
        <is>
          <t>K</t>
        </is>
      </c>
      <c r="C5444" s="12" t="inlineStr">
        <is>
          <t>Fuel supply (adjacent market)</t>
        </is>
      </c>
      <c r="D5444" s="12" t="inlineStr">
        <is>
          <t>Home run JB-H2 27: storage tub-SOL01 to the control / marshalling room</t>
        </is>
      </c>
      <c r="E5444" s="12" t="inlineStr"/>
      <c r="F5444" s="12" t="inlineStr">
        <is>
          <t>H2 20: 13.8 kV e-house</t>
        </is>
      </c>
      <c r="G5444" s="12" t="inlineStr">
        <is>
          <t>JB-H2 27: storage tub-SOL01</t>
        </is>
      </c>
      <c r="H5444" s="12" t="inlineStr">
        <is>
          <t>H2 27: storage tube bank (~40 ft tubes)</t>
        </is>
      </c>
      <c r="I5444" s="12" t="inlineStr">
        <is>
          <t>Control</t>
        </is>
      </c>
      <c r="J5444" s="12" t="inlineStr">
        <is>
          <t>ARMOR-X MC-HL 600 V control, Cu #14 AWG (Class I Div 2)</t>
        </is>
      </c>
      <c r="K5444" s="12" t="inlineStr">
        <is>
          <t>CTAX|25/C|14</t>
        </is>
      </c>
      <c r="L5444" s="12" t="inlineStr">
        <is>
          <t>25/C</t>
        </is>
      </c>
      <c r="M5444" s="12" t="inlineStr">
        <is>
          <t>14</t>
        </is>
      </c>
      <c r="N5444" s="12" t="n">
        <v>1</v>
      </c>
      <c r="O5444" s="12" t="n">
        <v>1</v>
      </c>
      <c r="P5444" s="12" t="n"/>
      <c r="Q5444" s="12" t="n"/>
      <c r="R5444" s="12" t="n"/>
      <c r="S5444" s="12" t="inlineStr">
        <is>
          <t>Duct bank</t>
        </is>
      </c>
      <c r="T5444" s="17" t="n">
        <v>50</v>
      </c>
      <c r="U5444" s="17" t="n">
        <v>97</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K-C-0069</t>
        </is>
      </c>
      <c r="B5445" s="12" t="inlineStr">
        <is>
          <t>K</t>
        </is>
      </c>
      <c r="C5445" s="12" t="inlineStr">
        <is>
          <t>Fuel supply (adjacent market)</t>
        </is>
      </c>
      <c r="D5445" s="12" t="inlineStr">
        <is>
          <t>Motor 1 of 1: control / local station</t>
        </is>
      </c>
      <c r="E5445" s="12" t="inlineStr"/>
      <c r="F5445" s="12" t="inlineStr">
        <is>
          <t>H2 20: 13.8 kV e-house</t>
        </is>
      </c>
      <c r="G5445" s="12" t="inlineStr"/>
      <c r="H5445" s="12" t="inlineStr">
        <is>
          <t>H2 27: storage tube bank (~40 ft tubes)</t>
        </is>
      </c>
      <c r="I5445" s="12" t="inlineStr">
        <is>
          <t>Control</t>
        </is>
      </c>
      <c r="J5445" s="12" t="inlineStr">
        <is>
          <t>ARMOR-X MC-HL 600 V control, Cu #14 AWG (Class I Div 2)</t>
        </is>
      </c>
      <c r="K5445" s="12" t="inlineStr">
        <is>
          <t>CTAX|7/C|14</t>
        </is>
      </c>
      <c r="L5445" s="12" t="inlineStr">
        <is>
          <t>7/C</t>
        </is>
      </c>
      <c r="M5445" s="12" t="inlineStr">
        <is>
          <t>14</t>
        </is>
      </c>
      <c r="N5445" s="12" t="n">
        <v>1</v>
      </c>
      <c r="O5445" s="12" t="n">
        <v>1</v>
      </c>
      <c r="P5445" s="12" t="n"/>
      <c r="Q5445" s="12" t="n"/>
      <c r="R5445" s="12" t="n"/>
      <c r="S5445" s="12" t="inlineStr">
        <is>
          <t>Duct bank</t>
        </is>
      </c>
      <c r="T5445" s="17" t="n">
        <v>50</v>
      </c>
      <c r="U5445" s="17" t="n">
        <v>117</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K-C-0070</t>
        </is>
      </c>
      <c r="B5446" s="12" t="inlineStr">
        <is>
          <t>K</t>
        </is>
      </c>
      <c r="C5446" s="12" t="inlineStr">
        <is>
          <t>Fuel supply (adjacent market)</t>
        </is>
      </c>
      <c r="D5446" s="12" t="inlineStr">
        <is>
          <t>Solenoid to JB JB-H2 27: storage tub-SOL01: 2 x 2/C (field cables)</t>
        </is>
      </c>
      <c r="E5446" s="12" t="inlineStr"/>
      <c r="F5446" s="12" t="inlineStr">
        <is>
          <t>H2 27: storage tube bank (~40 ft tubes)</t>
        </is>
      </c>
      <c r="G5446" s="12" t="inlineStr">
        <is>
          <t>JB-H2 27: storage tub-SOL01</t>
        </is>
      </c>
      <c r="H5446" s="12" t="inlineStr">
        <is>
          <t>H2 27: storage tube bank (~40 ft tubes)</t>
        </is>
      </c>
      <c r="I5446" s="12" t="inlineStr">
        <is>
          <t>Control</t>
        </is>
      </c>
      <c r="J5446" s="12" t="inlineStr">
        <is>
          <t>ARMOR-X MC-HL 600 V control, Cu #14 AWG (Class I Div 2)</t>
        </is>
      </c>
      <c r="K5446" s="12" t="inlineStr">
        <is>
          <t>CTAX|2/C|14</t>
        </is>
      </c>
      <c r="L5446" s="12" t="inlineStr">
        <is>
          <t>2/C</t>
        </is>
      </c>
      <c r="M5446" s="12" t="inlineStr">
        <is>
          <t>14</t>
        </is>
      </c>
      <c r="N5446" s="12" t="n">
        <v>2</v>
      </c>
      <c r="O5446" s="12" t="n">
        <v>1</v>
      </c>
      <c r="P5446" s="12" t="n"/>
      <c r="Q5446" s="12" t="n"/>
      <c r="R5446" s="12" t="n"/>
      <c r="S5446" s="12" t="inlineStr">
        <is>
          <t>Tray / conduit</t>
        </is>
      </c>
      <c r="T5446" s="17" t="n">
        <v>54</v>
      </c>
      <c r="U5446" s="17" t="n">
        <v>10</v>
      </c>
      <c r="V5446" s="17">
        <f>ROUNDUP((T5446+U5446+2*'Read Me'!$B$13)*(1+'Read Me'!$B$12),-1)</f>
        <v/>
      </c>
      <c r="W5446" s="17">
        <f>V5446*N5446*O5446</f>
        <v/>
      </c>
      <c r="X5446" s="12">
        <f>IF(LEFT(I5446,2)="MV",2*N5446*IF(L5446="1/C",O5446,1),0)</f>
        <v/>
      </c>
      <c r="Y5446" s="12">
        <f>IF(OR(LEFT(K5446,4)="LVAX",LEFT(K5446,6)="MV15AX",LEFT(K5446,4)="CTAX",LEFT(K5446,2)="W|"),2*N5446*O5446,0)</f>
        <v/>
      </c>
      <c r="Z5446" s="12" t="inlineStr">
        <is>
          <t>device-to-JB field wiring, one cable per device</t>
        </is>
      </c>
      <c r="AA5446" s="12">
        <f>N5446*O5446</f>
        <v/>
      </c>
    </row>
    <row r="5447">
      <c r="A5447" s="12" t="inlineStr">
        <is>
          <t>K-C-0071</t>
        </is>
      </c>
      <c r="B5447" s="12" t="inlineStr">
        <is>
          <t>K</t>
        </is>
      </c>
      <c r="C5447" s="12" t="inlineStr">
        <is>
          <t>Fuel supply (adjacent market)</t>
        </is>
      </c>
      <c r="D5447" s="12" t="inlineStr">
        <is>
          <t>Home run JB-H2 27: storage tub-SOL01 to the control / marshalling room</t>
        </is>
      </c>
      <c r="E5447" s="12" t="inlineStr"/>
      <c r="F5447" s="12" t="inlineStr">
        <is>
          <t>H2 20: 13.8 kV e-house</t>
        </is>
      </c>
      <c r="G5447" s="12" t="inlineStr">
        <is>
          <t>JB-H2 27: storage tub-SOL01</t>
        </is>
      </c>
      <c r="H5447" s="12" t="inlineStr">
        <is>
          <t>H2 27: storage tube bank (~40 ft tubes)</t>
        </is>
      </c>
      <c r="I5447" s="12" t="inlineStr">
        <is>
          <t>Control</t>
        </is>
      </c>
      <c r="J5447" s="12" t="inlineStr">
        <is>
          <t>ARMOR-X MC-HL 600 V control, Cu #14 AWG (Class I Div 2)</t>
        </is>
      </c>
      <c r="K5447" s="12" t="inlineStr">
        <is>
          <t>CTAX|25/C|14</t>
        </is>
      </c>
      <c r="L5447" s="12" t="inlineStr">
        <is>
          <t>25/C</t>
        </is>
      </c>
      <c r="M5447" s="12" t="inlineStr">
        <is>
          <t>14</t>
        </is>
      </c>
      <c r="N5447" s="12" t="n">
        <v>1</v>
      </c>
      <c r="O5447" s="12" t="n">
        <v>1</v>
      </c>
      <c r="P5447" s="12" t="n"/>
      <c r="Q5447" s="12" t="n"/>
      <c r="R5447" s="12" t="n"/>
      <c r="S5447" s="12" t="inlineStr">
        <is>
          <t>Duct bank</t>
        </is>
      </c>
      <c r="T5447" s="17" t="n">
        <v>50</v>
      </c>
      <c r="U5447" s="17" t="n">
        <v>117</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K-C-0072</t>
        </is>
      </c>
      <c r="B5448" s="12" t="inlineStr">
        <is>
          <t>K</t>
        </is>
      </c>
      <c r="C5448" s="12" t="inlineStr">
        <is>
          <t>Fuel supply (adjacent market)</t>
        </is>
      </c>
      <c r="D5448" s="12" t="inlineStr">
        <is>
          <t>Motor 1 of 1: control / local station</t>
        </is>
      </c>
      <c r="E5448" s="12" t="inlineStr"/>
      <c r="F5448" s="12" t="inlineStr">
        <is>
          <t>H2 20: 13.8 kV e-house</t>
        </is>
      </c>
      <c r="G5448" s="12" t="inlineStr"/>
      <c r="H5448" s="12" t="inlineStr">
        <is>
          <t>H2 28: N2 purge supply</t>
        </is>
      </c>
      <c r="I5448" s="12" t="inlineStr">
        <is>
          <t>Control</t>
        </is>
      </c>
      <c r="J5448" s="12" t="inlineStr">
        <is>
          <t>ARMOR-X MC-HL 600 V control, Cu #14 AWG (Class I Div 2)</t>
        </is>
      </c>
      <c r="K5448" s="12" t="inlineStr">
        <is>
          <t>CTAX|7/C|14</t>
        </is>
      </c>
      <c r="L5448" s="12" t="inlineStr">
        <is>
          <t>7/C</t>
        </is>
      </c>
      <c r="M5448" s="12" t="inlineStr">
        <is>
          <t>14</t>
        </is>
      </c>
      <c r="N5448" s="12" t="n">
        <v>1</v>
      </c>
      <c r="O5448" s="12" t="n">
        <v>1</v>
      </c>
      <c r="P5448" s="12" t="n"/>
      <c r="Q5448" s="12" t="n"/>
      <c r="R5448" s="12" t="n"/>
      <c r="S5448" s="12" t="inlineStr">
        <is>
          <t>Duct bank</t>
        </is>
      </c>
      <c r="T5448" s="17" t="n">
        <v>53</v>
      </c>
      <c r="U5448" s="17" t="n">
        <v>36</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K-C-0073</t>
        </is>
      </c>
      <c r="B5449" s="12" t="inlineStr">
        <is>
          <t>K</t>
        </is>
      </c>
      <c r="C5449" s="12" t="inlineStr">
        <is>
          <t>Fuel supply (adjacent market)</t>
        </is>
      </c>
      <c r="D5449" s="12" t="inlineStr">
        <is>
          <t>Solenoid to JB JB-H2 28: N2 purge su-SOL01: 2 x 2/C (field cables)</t>
        </is>
      </c>
      <c r="E5449" s="12" t="inlineStr"/>
      <c r="F5449" s="12" t="inlineStr">
        <is>
          <t>H2 28: N2 purge supply</t>
        </is>
      </c>
      <c r="G5449" s="12" t="inlineStr">
        <is>
          <t>JB-H2 28: N2 purge su-SOL01</t>
        </is>
      </c>
      <c r="H5449" s="12" t="inlineStr">
        <is>
          <t>H2 28: N2 purge supply</t>
        </is>
      </c>
      <c r="I5449" s="12" t="inlineStr">
        <is>
          <t>Control</t>
        </is>
      </c>
      <c r="J5449" s="12" t="inlineStr">
        <is>
          <t>ARMOR-X MC-HL 600 V control, Cu #14 AWG (Class I Div 2)</t>
        </is>
      </c>
      <c r="K5449" s="12" t="inlineStr">
        <is>
          <t>CTAX|2/C|14</t>
        </is>
      </c>
      <c r="L5449" s="12" t="inlineStr">
        <is>
          <t>2/C</t>
        </is>
      </c>
      <c r="M5449" s="12" t="inlineStr">
        <is>
          <t>14</t>
        </is>
      </c>
      <c r="N5449" s="12" t="n">
        <v>2</v>
      </c>
      <c r="O5449" s="12" t="n">
        <v>1</v>
      </c>
      <c r="P5449" s="12" t="n"/>
      <c r="Q5449" s="12" t="n"/>
      <c r="R5449" s="12" t="n"/>
      <c r="S5449" s="12" t="inlineStr">
        <is>
          <t>Tray / conduit</t>
        </is>
      </c>
      <c r="T5449" s="17" t="n">
        <v>56</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K-C-0074</t>
        </is>
      </c>
      <c r="B5450" s="12" t="inlineStr">
        <is>
          <t>K</t>
        </is>
      </c>
      <c r="C5450" s="12" t="inlineStr">
        <is>
          <t>Fuel supply (adjacent market)</t>
        </is>
      </c>
      <c r="D5450" s="12" t="inlineStr">
        <is>
          <t>Home run JB-H2 28: N2 purge su-SOL01 to the control / marshalling room</t>
        </is>
      </c>
      <c r="E5450" s="12" t="inlineStr"/>
      <c r="F5450" s="12" t="inlineStr">
        <is>
          <t>H2 20: 13.8 kV e-house</t>
        </is>
      </c>
      <c r="G5450" s="12" t="inlineStr">
        <is>
          <t>JB-H2 28: N2 purge su-SOL01</t>
        </is>
      </c>
      <c r="H5450" s="12" t="inlineStr">
        <is>
          <t>H2 28: N2 purge supply</t>
        </is>
      </c>
      <c r="I5450" s="12" t="inlineStr">
        <is>
          <t>Control</t>
        </is>
      </c>
      <c r="J5450" s="12" t="inlineStr">
        <is>
          <t>ARMOR-X MC-HL 600 V control, Cu #14 AWG (Class I Div 2)</t>
        </is>
      </c>
      <c r="K5450" s="12" t="inlineStr">
        <is>
          <t>CTAX|25/C|14</t>
        </is>
      </c>
      <c r="L5450" s="12" t="inlineStr">
        <is>
          <t>25/C</t>
        </is>
      </c>
      <c r="M5450" s="12" t="inlineStr">
        <is>
          <t>14</t>
        </is>
      </c>
      <c r="N5450" s="12" t="n">
        <v>1</v>
      </c>
      <c r="O5450" s="12" t="n">
        <v>1</v>
      </c>
      <c r="P5450" s="12" t="n"/>
      <c r="Q5450" s="12" t="n"/>
      <c r="R5450" s="12" t="n"/>
      <c r="S5450" s="12" t="inlineStr">
        <is>
          <t>Duct bank</t>
        </is>
      </c>
      <c r="T5450" s="17" t="n">
        <v>53</v>
      </c>
      <c r="U5450" s="17" t="n">
        <v>36</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K-C-0075</t>
        </is>
      </c>
      <c r="B5451" s="12" t="inlineStr">
        <is>
          <t>K</t>
        </is>
      </c>
      <c r="C5451" s="12" t="inlineStr">
        <is>
          <t>Fuel supply (adjacent market)</t>
        </is>
      </c>
      <c r="D5451" s="12" t="inlineStr">
        <is>
          <t>Motor 1 of 1: control / local station</t>
        </is>
      </c>
      <c r="E5451" s="12" t="inlineStr"/>
      <c r="F5451" s="12" t="inlineStr">
        <is>
          <t>H2 20: 13.8 kV e-house</t>
        </is>
      </c>
      <c r="G5451" s="12" t="inlineStr"/>
      <c r="H5451" s="12" t="inlineStr">
        <is>
          <t>H2 29: vent stack</t>
        </is>
      </c>
      <c r="I5451" s="12" t="inlineStr">
        <is>
          <t>Control</t>
        </is>
      </c>
      <c r="J5451" s="12" t="inlineStr">
        <is>
          <t>ARMOR-X MC-HL 600 V control, Cu #14 AWG (Class I Div 2)</t>
        </is>
      </c>
      <c r="K5451" s="12" t="inlineStr">
        <is>
          <t>CTAX|7/C|14</t>
        </is>
      </c>
      <c r="L5451" s="12" t="inlineStr">
        <is>
          <t>7/C</t>
        </is>
      </c>
      <c r="M5451" s="12" t="inlineStr">
        <is>
          <t>14</t>
        </is>
      </c>
      <c r="N5451" s="12" t="n">
        <v>1</v>
      </c>
      <c r="O5451" s="12" t="n">
        <v>1</v>
      </c>
      <c r="P5451" s="12" t="n"/>
      <c r="Q5451" s="12" t="n"/>
      <c r="R5451" s="12" t="n"/>
      <c r="S5451" s="12" t="inlineStr">
        <is>
          <t>Duct bank</t>
        </is>
      </c>
      <c r="T5451" s="17" t="n">
        <v>55</v>
      </c>
      <c r="U5451" s="17" t="n">
        <v>205</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K-C-0076</t>
        </is>
      </c>
      <c r="B5452" s="12" t="inlineStr">
        <is>
          <t>K</t>
        </is>
      </c>
      <c r="C5452" s="12" t="inlineStr">
        <is>
          <t>Fuel supply (adjacent market)</t>
        </is>
      </c>
      <c r="D5452" s="12" t="inlineStr">
        <is>
          <t>Solenoid to JB JB-H2 29: vent stack-SOL01: 2 x 2/C (field cables)</t>
        </is>
      </c>
      <c r="E5452" s="12" t="inlineStr"/>
      <c r="F5452" s="12" t="inlineStr">
        <is>
          <t>H2 29: vent stack</t>
        </is>
      </c>
      <c r="G5452" s="12" t="inlineStr">
        <is>
          <t>JB-H2 29: vent stack-SOL01</t>
        </is>
      </c>
      <c r="H5452" s="12" t="inlineStr">
        <is>
          <t>H2 29: vent stack</t>
        </is>
      </c>
      <c r="I5452" s="12" t="inlineStr">
        <is>
          <t>Control</t>
        </is>
      </c>
      <c r="J5452" s="12" t="inlineStr">
        <is>
          <t>ARMOR-X MC-HL 600 V control, Cu #14 AWG (Class I Div 2)</t>
        </is>
      </c>
      <c r="K5452" s="12" t="inlineStr">
        <is>
          <t>CTAX|2/C|14</t>
        </is>
      </c>
      <c r="L5452" s="12" t="inlineStr">
        <is>
          <t>2/C</t>
        </is>
      </c>
      <c r="M5452" s="12" t="inlineStr">
        <is>
          <t>14</t>
        </is>
      </c>
      <c r="N5452" s="12" t="n">
        <v>2</v>
      </c>
      <c r="O5452" s="12" t="n">
        <v>1</v>
      </c>
      <c r="P5452" s="12" t="n"/>
      <c r="Q5452" s="12" t="n"/>
      <c r="R5452" s="12" t="n"/>
      <c r="S5452" s="12" t="inlineStr">
        <is>
          <t>Tray / conduit</t>
        </is>
      </c>
      <c r="T5452" s="17" t="n">
        <v>45</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K-C-0077</t>
        </is>
      </c>
      <c r="B5453" s="12" t="inlineStr">
        <is>
          <t>K</t>
        </is>
      </c>
      <c r="C5453" s="12" t="inlineStr">
        <is>
          <t>Fuel supply (adjacent market)</t>
        </is>
      </c>
      <c r="D5453" s="12" t="inlineStr">
        <is>
          <t>Home run JB-H2 29: vent stack-SOL01 to the control / marshalling room</t>
        </is>
      </c>
      <c r="E5453" s="12" t="inlineStr"/>
      <c r="F5453" s="12" t="inlineStr">
        <is>
          <t>H2 20: 13.8 kV e-house</t>
        </is>
      </c>
      <c r="G5453" s="12" t="inlineStr">
        <is>
          <t>JB-H2 29: vent stack-SOL01</t>
        </is>
      </c>
      <c r="H5453" s="12" t="inlineStr">
        <is>
          <t>H2 29: vent stack</t>
        </is>
      </c>
      <c r="I5453" s="12" t="inlineStr">
        <is>
          <t>Control</t>
        </is>
      </c>
      <c r="J5453" s="12" t="inlineStr">
        <is>
          <t>ARMOR-X MC-HL 600 V control, Cu #14 AWG (Class I Div 2)</t>
        </is>
      </c>
      <c r="K5453" s="12" t="inlineStr">
        <is>
          <t>CTAX|25/C|14</t>
        </is>
      </c>
      <c r="L5453" s="12" t="inlineStr">
        <is>
          <t>25/C</t>
        </is>
      </c>
      <c r="M5453" s="12" t="inlineStr">
        <is>
          <t>14</t>
        </is>
      </c>
      <c r="N5453" s="12" t="n">
        <v>1</v>
      </c>
      <c r="O5453" s="12" t="n">
        <v>1</v>
      </c>
      <c r="P5453" s="12" t="n"/>
      <c r="Q5453" s="12" t="n"/>
      <c r="R5453" s="12" t="n"/>
      <c r="S5453" s="12" t="inlineStr">
        <is>
          <t>Duct bank</t>
        </is>
      </c>
      <c r="T5453" s="17" t="n">
        <v>55</v>
      </c>
      <c r="U5453" s="17" t="n">
        <v>205</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K-C-0078</t>
        </is>
      </c>
      <c r="B5454" s="12" t="inlineStr">
        <is>
          <t>K</t>
        </is>
      </c>
      <c r="C5454" s="12" t="inlineStr">
        <is>
          <t>Fuel supply (adjacent market)</t>
        </is>
      </c>
      <c r="D5454" s="12" t="inlineStr">
        <is>
          <t>Motor 1 of 1: control / local station</t>
        </is>
      </c>
      <c r="E5454" s="12" t="inlineStr"/>
      <c r="F5454" s="12" t="inlineStr">
        <is>
          <t>LNG 17: LNG e-house (13.8 kV / 480 V)</t>
        </is>
      </c>
      <c r="G5454" s="12" t="inlineStr"/>
      <c r="H5454" s="12" t="inlineStr">
        <is>
          <t>H2 30: H2 / gas blending station (plant gas yard)</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7" t="n">
        <v>994</v>
      </c>
      <c r="U5454" s="17" t="n">
        <v>114</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K-C-0079</t>
        </is>
      </c>
      <c r="B5455" s="12" t="inlineStr">
        <is>
          <t>K</t>
        </is>
      </c>
      <c r="C5455" s="12" t="inlineStr">
        <is>
          <t>Fuel supply (adjacent market)</t>
        </is>
      </c>
      <c r="D5455" s="12" t="inlineStr">
        <is>
          <t>Solenoid to JB JB-H2 30: H2 / gas bl-SOL01: 2 x 2/C (field cables)</t>
        </is>
      </c>
      <c r="E5455" s="12" t="inlineStr"/>
      <c r="F5455" s="12" t="inlineStr">
        <is>
          <t>H2 30: H2 / gas blending station (plant gas yard)</t>
        </is>
      </c>
      <c r="G5455" s="12" t="inlineStr">
        <is>
          <t>JB-H2 30: H2 / gas bl-SOL01</t>
        </is>
      </c>
      <c r="H5455" s="12" t="inlineStr">
        <is>
          <t>H2 30: H2 / gas blending station (plant gas yard)</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7" t="n">
        <v>129</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K-C-0080</t>
        </is>
      </c>
      <c r="B5456" s="12" t="inlineStr">
        <is>
          <t>K</t>
        </is>
      </c>
      <c r="C5456" s="12" t="inlineStr">
        <is>
          <t>Fuel supply (adjacent market)</t>
        </is>
      </c>
      <c r="D5456" s="12" t="inlineStr">
        <is>
          <t>Home run JB-H2 30: H2 / gas bl-SOL01 to the control / marshalling room</t>
        </is>
      </c>
      <c r="E5456" s="12" t="inlineStr"/>
      <c r="F5456" s="12" t="inlineStr">
        <is>
          <t>LNG 17: LNG e-house (13.8 kV / 480 V)</t>
        </is>
      </c>
      <c r="G5456" s="12" t="inlineStr">
        <is>
          <t>JB-H2 30: H2 / gas bl-SOL01</t>
        </is>
      </c>
      <c r="H5456" s="12" t="inlineStr">
        <is>
          <t>H2 30: H2 / gas blending station (plant gas yard)</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7" t="n">
        <v>994</v>
      </c>
      <c r="U5456" s="17" t="n">
        <v>114</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K-C-0081</t>
        </is>
      </c>
      <c r="B5457" s="12" t="inlineStr">
        <is>
          <t>K</t>
        </is>
      </c>
      <c r="C5457" s="12" t="inlineStr">
        <is>
          <t>Fuel supply (adjacent market)</t>
        </is>
      </c>
      <c r="D5457" s="12" t="inlineStr">
        <is>
          <t>Motor 1 of 2: control / local station</t>
        </is>
      </c>
      <c r="E5457" s="12" t="inlineStr"/>
      <c r="F5457" s="12" t="inlineStr">
        <is>
          <t>H2 20: 13.8 kV e-house</t>
        </is>
      </c>
      <c r="G5457" s="12" t="inlineStr"/>
      <c r="H5457" s="12" t="inlineStr">
        <is>
          <t>H2 pipe track and cable trench, hall -&gt; dryer / compressors (N2, instr</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7" t="n">
        <v>53</v>
      </c>
      <c r="U5457" s="17" t="n">
        <v>62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K-C-0082</t>
        </is>
      </c>
      <c r="B5458" s="12" t="inlineStr">
        <is>
          <t>K</t>
        </is>
      </c>
      <c r="C5458" s="12" t="inlineStr">
        <is>
          <t>Fuel supply (adjacent market)</t>
        </is>
      </c>
      <c r="D5458" s="12" t="inlineStr">
        <is>
          <t>Motor 2 of 2: control / local station</t>
        </is>
      </c>
      <c r="E5458" s="12" t="inlineStr"/>
      <c r="F5458" s="12" t="inlineStr">
        <is>
          <t>H2 20: 13.8 kV e-house</t>
        </is>
      </c>
      <c r="G5458" s="12" t="inlineStr"/>
      <c r="H5458" s="12" t="inlineStr">
        <is>
          <t>H2 pipe track and cable trench, hall -&gt; dryer / compressors (N2, instr</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53</v>
      </c>
      <c r="U5458" s="17" t="n">
        <v>62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K-C-0083</t>
        </is>
      </c>
      <c r="B5459" s="12" t="inlineStr">
        <is>
          <t>K</t>
        </is>
      </c>
      <c r="C5459" s="12" t="inlineStr">
        <is>
          <t>Fuel supply (adjacent market)</t>
        </is>
      </c>
      <c r="D5459" s="12" t="inlineStr">
        <is>
          <t>Control</t>
        </is>
      </c>
      <c r="E5459" s="12" t="inlineStr"/>
      <c r="F5459" s="12" t="inlineStr">
        <is>
          <t>H2 20: 13.8 kV e-house</t>
        </is>
      </c>
      <c r="G5459" s="12" t="inlineStr">
        <is>
          <t>H2-ST</t>
        </is>
      </c>
      <c r="H5459" s="12" t="inlineStr">
        <is>
          <t>H2 storage tube banks x4</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7" t="n">
        <v>50</v>
      </c>
      <c r="U5459" s="17" t="n">
        <v>92</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K-C-0084</t>
        </is>
      </c>
      <c r="B5460" s="12" t="inlineStr">
        <is>
          <t>K</t>
        </is>
      </c>
      <c r="C5460" s="12" t="inlineStr">
        <is>
          <t>Fuel supply (adjacent market)</t>
        </is>
      </c>
      <c r="D5460" s="12" t="inlineStr">
        <is>
          <t>Motor 1 of 1: control / local station</t>
        </is>
      </c>
      <c r="E5460" s="12" t="inlineStr"/>
      <c r="F5460" s="12" t="inlineStr">
        <is>
          <t>LNG 17: LNG e-house (13.8 kV / 480 V)</t>
        </is>
      </c>
      <c r="G5460" s="12" t="inlineStr"/>
      <c r="H5460" s="12" t="inlineStr">
        <is>
          <t>LNG 10: truck unloading bay 1</t>
        </is>
      </c>
      <c r="I5460" s="12" t="inlineStr">
        <is>
          <t>Control</t>
        </is>
      </c>
      <c r="J5460" s="12" t="inlineStr">
        <is>
          <t>ARMOR-X MC-HL 600 V control, Cu #14 AWG (Class I Div 2)</t>
        </is>
      </c>
      <c r="K5460" s="12" t="inlineStr">
        <is>
          <t>CTAX|7/C|14</t>
        </is>
      </c>
      <c r="L5460" s="12" t="inlineStr">
        <is>
          <t>7/C</t>
        </is>
      </c>
      <c r="M5460" s="12" t="inlineStr">
        <is>
          <t>14</t>
        </is>
      </c>
      <c r="N5460" s="12" t="n">
        <v>1</v>
      </c>
      <c r="O5460" s="12" t="n">
        <v>1</v>
      </c>
      <c r="P5460" s="12" t="n"/>
      <c r="Q5460" s="12" t="n"/>
      <c r="R5460" s="12" t="n"/>
      <c r="S5460" s="12" t="inlineStr">
        <is>
          <t>Duct bank</t>
        </is>
      </c>
      <c r="T5460" s="17" t="n">
        <v>237</v>
      </c>
      <c r="U5460" s="17" t="n">
        <v>61</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K-C-0085</t>
        </is>
      </c>
      <c r="B5461" s="12" t="inlineStr">
        <is>
          <t>K</t>
        </is>
      </c>
      <c r="C5461" s="12" t="inlineStr">
        <is>
          <t>Fuel supply (adjacent market)</t>
        </is>
      </c>
      <c r="D5461" s="12" t="inlineStr">
        <is>
          <t>Solenoid to JB JB-LNG 10: truck unlo-SOL01: 2 x 2/C (field cables)</t>
        </is>
      </c>
      <c r="E5461" s="12" t="inlineStr"/>
      <c r="F5461" s="12" t="inlineStr">
        <is>
          <t>LNG 10: truck unloading bay 1</t>
        </is>
      </c>
      <c r="G5461" s="12" t="inlineStr">
        <is>
          <t>JB-LNG 10: truck unlo-SOL01</t>
        </is>
      </c>
      <c r="H5461" s="12" t="inlineStr">
        <is>
          <t>LNG 10: truck unloading bay 1</t>
        </is>
      </c>
      <c r="I5461" s="12" t="inlineStr">
        <is>
          <t>Control</t>
        </is>
      </c>
      <c r="J5461" s="12" t="inlineStr">
        <is>
          <t>ARMOR-X MC-HL 600 V control, Cu #14 AWG (Class I Div 2)</t>
        </is>
      </c>
      <c r="K5461" s="12" t="inlineStr">
        <is>
          <t>CTAX|2/C|14</t>
        </is>
      </c>
      <c r="L5461" s="12" t="inlineStr">
        <is>
          <t>2/C</t>
        </is>
      </c>
      <c r="M5461" s="12" t="inlineStr">
        <is>
          <t>14</t>
        </is>
      </c>
      <c r="N5461" s="12" t="n">
        <v>2</v>
      </c>
      <c r="O5461" s="12" t="n">
        <v>1</v>
      </c>
      <c r="P5461" s="12" t="n"/>
      <c r="Q5461" s="12" t="n"/>
      <c r="R5461" s="12" t="n"/>
      <c r="S5461" s="12" t="inlineStr">
        <is>
          <t>Tray / conduit</t>
        </is>
      </c>
      <c r="T5461" s="17" t="n">
        <v>72</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K-C-0086</t>
        </is>
      </c>
      <c r="B5462" s="12" t="inlineStr">
        <is>
          <t>K</t>
        </is>
      </c>
      <c r="C5462" s="12" t="inlineStr">
        <is>
          <t>Fuel supply (adjacent market)</t>
        </is>
      </c>
      <c r="D5462" s="12" t="inlineStr">
        <is>
          <t>Home run JB-LNG 10: truck unlo-SOL01 to the control / marshalling room</t>
        </is>
      </c>
      <c r="E5462" s="12" t="inlineStr"/>
      <c r="F5462" s="12" t="inlineStr">
        <is>
          <t>LNG 17: LNG e-house (13.8 kV / 480 V)</t>
        </is>
      </c>
      <c r="G5462" s="12" t="inlineStr">
        <is>
          <t>JB-LNG 10: truck unlo-SOL01</t>
        </is>
      </c>
      <c r="H5462" s="12" t="inlineStr">
        <is>
          <t>LNG 10: truck unloading bay 1</t>
        </is>
      </c>
      <c r="I5462" s="12" t="inlineStr">
        <is>
          <t>Control</t>
        </is>
      </c>
      <c r="J5462" s="12" t="inlineStr">
        <is>
          <t>ARMOR-X MC-HL 600 V control, Cu #14 AWG (Class I Div 2)</t>
        </is>
      </c>
      <c r="K5462" s="12" t="inlineStr">
        <is>
          <t>CTAX|25/C|14</t>
        </is>
      </c>
      <c r="L5462" s="12" t="inlineStr">
        <is>
          <t>25/C</t>
        </is>
      </c>
      <c r="M5462" s="12" t="inlineStr">
        <is>
          <t>14</t>
        </is>
      </c>
      <c r="N5462" s="12" t="n">
        <v>1</v>
      </c>
      <c r="O5462" s="12" t="n">
        <v>1</v>
      </c>
      <c r="P5462" s="12" t="n"/>
      <c r="Q5462" s="12" t="n"/>
      <c r="R5462" s="12" t="n"/>
      <c r="S5462" s="12" t="inlineStr">
        <is>
          <t>Duct bank</t>
        </is>
      </c>
      <c r="T5462" s="17" t="n">
        <v>237</v>
      </c>
      <c r="U5462" s="17" t="n">
        <v>61</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K-C-0087</t>
        </is>
      </c>
      <c r="B5463" s="12" t="inlineStr">
        <is>
          <t>K</t>
        </is>
      </c>
      <c r="C5463" s="12" t="inlineStr">
        <is>
          <t>Fuel supply (adjacent market)</t>
        </is>
      </c>
      <c r="D5463" s="12" t="inlineStr">
        <is>
          <t>Motor 1 of 1: control / local station</t>
        </is>
      </c>
      <c r="E5463" s="12" t="inlineStr"/>
      <c r="F5463" s="12" t="inlineStr">
        <is>
          <t>LNG 17: LNG e-house (13.8 kV / 480 V)</t>
        </is>
      </c>
      <c r="G5463" s="12" t="inlineStr"/>
      <c r="H5463" s="12" t="inlineStr">
        <is>
          <t>LNG 10: truck unloading bay 2</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7" t="n">
        <v>147</v>
      </c>
      <c r="U5463" s="17" t="n">
        <v>66</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K-C-0088</t>
        </is>
      </c>
      <c r="B5464" s="12" t="inlineStr">
        <is>
          <t>K</t>
        </is>
      </c>
      <c r="C5464" s="12" t="inlineStr">
        <is>
          <t>Fuel supply (adjacent market)</t>
        </is>
      </c>
      <c r="D5464" s="12" t="inlineStr">
        <is>
          <t>Solenoid to JB JB-LNG 10: truck unlo-SOL01: 2 x 2/C (field cables)</t>
        </is>
      </c>
      <c r="E5464" s="12" t="inlineStr"/>
      <c r="F5464" s="12" t="inlineStr">
        <is>
          <t>LNG 10: truck unloading bay 2</t>
        </is>
      </c>
      <c r="G5464" s="12" t="inlineStr">
        <is>
          <t>JB-LNG 10: truck unlo-SOL01</t>
        </is>
      </c>
      <c r="H5464" s="12" t="inlineStr">
        <is>
          <t>LNG 10: truck unloading bay 2</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7" t="n">
        <v>72</v>
      </c>
      <c r="U5464" s="17" t="n">
        <v>10</v>
      </c>
      <c r="V5464" s="17">
        <f>ROUNDUP((T5464+U5464+2*'Read Me'!$B$13)*(1+'Read Me'!$B$12),-1)</f>
        <v/>
      </c>
      <c r="W5464" s="17">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K-C-0089</t>
        </is>
      </c>
      <c r="B5465" s="12" t="inlineStr">
        <is>
          <t>K</t>
        </is>
      </c>
      <c r="C5465" s="12" t="inlineStr">
        <is>
          <t>Fuel supply (adjacent market)</t>
        </is>
      </c>
      <c r="D5465" s="12" t="inlineStr">
        <is>
          <t>Home run JB-LNG 10: truck unlo-SOL01 to the control / marshalling room</t>
        </is>
      </c>
      <c r="E5465" s="12" t="inlineStr"/>
      <c r="F5465" s="12" t="inlineStr">
        <is>
          <t>LNG 17: LNG e-house (13.8 kV / 480 V)</t>
        </is>
      </c>
      <c r="G5465" s="12" t="inlineStr">
        <is>
          <t>JB-LNG 10: truck unlo-SOL01</t>
        </is>
      </c>
      <c r="H5465" s="12" t="inlineStr">
        <is>
          <t>LNG 10: truck unloading bay 2</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7" t="n">
        <v>147</v>
      </c>
      <c r="U5465" s="17" t="n">
        <v>66</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K-C-0090</t>
        </is>
      </c>
      <c r="B5466" s="12" t="inlineStr">
        <is>
          <t>K</t>
        </is>
      </c>
      <c r="C5466" s="12" t="inlineStr">
        <is>
          <t>Fuel supply (adjacent market)</t>
        </is>
      </c>
      <c r="D5466" s="12" t="inlineStr">
        <is>
          <t>Motor 1 of 1: control / local station</t>
        </is>
      </c>
      <c r="E5466" s="12" t="inlineStr"/>
      <c r="F5466" s="12" t="inlineStr">
        <is>
          <t>LNG 17: LNG e-house (13.8 kV / 480 V)</t>
        </is>
      </c>
      <c r="G5466" s="12" t="inlineStr"/>
      <c r="H5466" s="12" t="inlineStr">
        <is>
          <t>LNG 10: unloading skid</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7" t="n">
        <v>237</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K-C-0091</t>
        </is>
      </c>
      <c r="B5467" s="12" t="inlineStr">
        <is>
          <t>K</t>
        </is>
      </c>
      <c r="C5467" s="12" t="inlineStr">
        <is>
          <t>Fuel supply (adjacent market)</t>
        </is>
      </c>
      <c r="D5467" s="12" t="inlineStr">
        <is>
          <t>Solenoid to JB JB-LNG 10: unloading -SOL01: 2 x 2/C (field cables)</t>
        </is>
      </c>
      <c r="E5467" s="12" t="inlineStr"/>
      <c r="F5467" s="12" t="inlineStr">
        <is>
          <t>LNG 10: unloading skid</t>
        </is>
      </c>
      <c r="G5467" s="12" t="inlineStr">
        <is>
          <t>JB-LNG 10: unloading -SOL01</t>
        </is>
      </c>
      <c r="H5467" s="12" t="inlineStr">
        <is>
          <t>LNG 10: unloading skid</t>
        </is>
      </c>
      <c r="I5467" s="12" t="inlineStr">
        <is>
          <t>Control</t>
        </is>
      </c>
      <c r="J5467" s="12" t="inlineStr">
        <is>
          <t>ARMOR-X MC-HL 600 V control, Cu #14 AWG (Class I Div 2)</t>
        </is>
      </c>
      <c r="K5467" s="12" t="inlineStr">
        <is>
          <t>CTAX|2/C|14</t>
        </is>
      </c>
      <c r="L5467" s="12" t="inlineStr">
        <is>
          <t>2/C</t>
        </is>
      </c>
      <c r="M5467" s="12" t="inlineStr">
        <is>
          <t>14</t>
        </is>
      </c>
      <c r="N5467" s="12" t="n">
        <v>2</v>
      </c>
      <c r="O5467" s="12" t="n">
        <v>1</v>
      </c>
      <c r="P5467" s="12" t="n"/>
      <c r="Q5467" s="12" t="n"/>
      <c r="R5467" s="12" t="n"/>
      <c r="S5467" s="12" t="inlineStr">
        <is>
          <t>Tray / conduit</t>
        </is>
      </c>
      <c r="T5467" s="17" t="n">
        <v>54</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K-C-0092</t>
        </is>
      </c>
      <c r="B5468" s="12" t="inlineStr">
        <is>
          <t>K</t>
        </is>
      </c>
      <c r="C5468" s="12" t="inlineStr">
        <is>
          <t>Fuel supply (adjacent market)</t>
        </is>
      </c>
      <c r="D5468" s="12" t="inlineStr">
        <is>
          <t>Home run JB-LNG 10: unloading -SOL01 to the control / marshalling room</t>
        </is>
      </c>
      <c r="E5468" s="12" t="inlineStr"/>
      <c r="F5468" s="12" t="inlineStr">
        <is>
          <t>LNG 17: LNG e-house (13.8 kV / 480 V)</t>
        </is>
      </c>
      <c r="G5468" s="12" t="inlineStr">
        <is>
          <t>JB-LNG 10: unloading -SOL01</t>
        </is>
      </c>
      <c r="H5468" s="12" t="inlineStr">
        <is>
          <t>LNG 10: unloading skid</t>
        </is>
      </c>
      <c r="I5468" s="12" t="inlineStr">
        <is>
          <t>Control</t>
        </is>
      </c>
      <c r="J5468" s="12" t="inlineStr">
        <is>
          <t>ARMOR-X MC-HL 600 V control, Cu #14 AWG (Class I Div 2)</t>
        </is>
      </c>
      <c r="K5468" s="12" t="inlineStr">
        <is>
          <t>CTAX|25/C|14</t>
        </is>
      </c>
      <c r="L5468" s="12" t="inlineStr">
        <is>
          <t>25/C</t>
        </is>
      </c>
      <c r="M5468" s="12" t="inlineStr">
        <is>
          <t>14</t>
        </is>
      </c>
      <c r="N5468" s="12" t="n">
        <v>1</v>
      </c>
      <c r="O5468" s="12" t="n">
        <v>1</v>
      </c>
      <c r="P5468" s="12" t="n"/>
      <c r="Q5468" s="12" t="n"/>
      <c r="R5468" s="12" t="n"/>
      <c r="S5468" s="12" t="inlineStr">
        <is>
          <t>Duct bank</t>
        </is>
      </c>
      <c r="T5468" s="17" t="n">
        <v>237</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K-C-0093</t>
        </is>
      </c>
      <c r="B5469" s="12" t="inlineStr">
        <is>
          <t>K</t>
        </is>
      </c>
      <c r="C5469" s="12" t="inlineStr">
        <is>
          <t>Fuel supply (adjacent market)</t>
        </is>
      </c>
      <c r="D5469" s="12" t="inlineStr">
        <is>
          <t>Motor 1 of 1: control / local station</t>
        </is>
      </c>
      <c r="E5469" s="12" t="inlineStr"/>
      <c r="F5469" s="12" t="inlineStr">
        <is>
          <t>LNG 17: LNG e-house (13.8 kV / 480 V)</t>
        </is>
      </c>
      <c r="G5469" s="12" t="inlineStr"/>
      <c r="H5469" s="12" t="inlineStr">
        <is>
          <t>LNG 12: spill impoundment (NFPA 59A, to verify)</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7" t="n">
        <v>230</v>
      </c>
      <c r="U5469" s="17" t="n">
        <v>32</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K-C-0094</t>
        </is>
      </c>
      <c r="B5470" s="12" t="inlineStr">
        <is>
          <t>K</t>
        </is>
      </c>
      <c r="C5470" s="12" t="inlineStr">
        <is>
          <t>Fuel supply (adjacent market)</t>
        </is>
      </c>
      <c r="D5470" s="12" t="inlineStr">
        <is>
          <t>Solenoid to JB JB-LNG 12: spill impo-SOL01: 2 x 2/C (field cables)</t>
        </is>
      </c>
      <c r="E5470" s="12" t="inlineStr"/>
      <c r="F5470" s="12" t="inlineStr">
        <is>
          <t>LNG 12: spill impoundment (NFPA 59A, to verify)</t>
        </is>
      </c>
      <c r="G5470" s="12" t="inlineStr">
        <is>
          <t>JB-LNG 12: spill impo-SOL01</t>
        </is>
      </c>
      <c r="H5470" s="12" t="inlineStr">
        <is>
          <t>LNG 12: spill impoundment (NFPA 59A, to verify)</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7" t="n">
        <v>170</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K-C-0095</t>
        </is>
      </c>
      <c r="B5471" s="12" t="inlineStr">
        <is>
          <t>K</t>
        </is>
      </c>
      <c r="C5471" s="12" t="inlineStr">
        <is>
          <t>Fuel supply (adjacent market)</t>
        </is>
      </c>
      <c r="D5471" s="12" t="inlineStr">
        <is>
          <t>Home run JB-LNG 12: spill impo-SOL01 to the control / marshalling room</t>
        </is>
      </c>
      <c r="E5471" s="12" t="inlineStr"/>
      <c r="F5471" s="12" t="inlineStr">
        <is>
          <t>LNG 17: LNG e-house (13.8 kV / 480 V)</t>
        </is>
      </c>
      <c r="G5471" s="12" t="inlineStr">
        <is>
          <t>JB-LNG 12: spill impo-SOL01</t>
        </is>
      </c>
      <c r="H5471" s="12" t="inlineStr">
        <is>
          <t>LNG 12: spill impoundment (NFPA 59A, to verify)</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7" t="n">
        <v>230</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K-C-0096</t>
        </is>
      </c>
      <c r="B5472" s="12" t="inlineStr">
        <is>
          <t>K</t>
        </is>
      </c>
      <c r="C5472" s="12" t="inlineStr">
        <is>
          <t>Fuel supply (adjacent market)</t>
        </is>
      </c>
      <c r="D5472" s="12" t="inlineStr">
        <is>
          <t>Motor 1 of 1: control / local station</t>
        </is>
      </c>
      <c r="E5472" s="12" t="inlineStr"/>
      <c r="F5472" s="12" t="inlineStr">
        <is>
          <t>LNG 17: LNG e-house (13.8 kV / 480 V)</t>
        </is>
      </c>
      <c r="G5472" s="12" t="inlineStr"/>
      <c r="H5472" s="12" t="inlineStr">
        <is>
          <t>LNG 13: send-out pumps 2 x 100%</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7" t="n">
        <v>110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K-C-0097</t>
        </is>
      </c>
      <c r="B5473" s="12" t="inlineStr">
        <is>
          <t>K</t>
        </is>
      </c>
      <c r="C5473" s="12" t="inlineStr">
        <is>
          <t>Fuel supply (adjacent market)</t>
        </is>
      </c>
      <c r="D5473" s="12" t="inlineStr">
        <is>
          <t>Solenoid to JB JB-LNG 13: send-out p-SOL01: 2 x 2/C (field cables)</t>
        </is>
      </c>
      <c r="E5473" s="12" t="inlineStr"/>
      <c r="F5473" s="12" t="inlineStr">
        <is>
          <t>LNG 13: send-out pumps 2 x 100%</t>
        </is>
      </c>
      <c r="G5473" s="12" t="inlineStr">
        <is>
          <t>JB-LNG 13: send-out p-SOL01</t>
        </is>
      </c>
      <c r="H5473" s="12" t="inlineStr">
        <is>
          <t>LNG 13: send-out pumps 2 x 100%</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7" t="n">
        <v>63</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K-C-0098</t>
        </is>
      </c>
      <c r="B5474" s="12" t="inlineStr">
        <is>
          <t>K</t>
        </is>
      </c>
      <c r="C5474" s="12" t="inlineStr">
        <is>
          <t>Fuel supply (adjacent market)</t>
        </is>
      </c>
      <c r="D5474" s="12" t="inlineStr">
        <is>
          <t>Home run JB-LNG 13: send-out p-SOL01 to the control / marshalling room</t>
        </is>
      </c>
      <c r="E5474" s="12" t="inlineStr"/>
      <c r="F5474" s="12" t="inlineStr">
        <is>
          <t>LNG 17: LNG e-house (13.8 kV / 480 V)</t>
        </is>
      </c>
      <c r="G5474" s="12" t="inlineStr">
        <is>
          <t>JB-LNG 13: send-out p-SOL01</t>
        </is>
      </c>
      <c r="H5474" s="12" t="inlineStr">
        <is>
          <t>LNG 13: send-out pumps 2 x 100%</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Duct bank</t>
        </is>
      </c>
      <c r="T5474" s="17" t="n">
        <v>110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K-C-0099</t>
        </is>
      </c>
      <c r="B5475" s="12" t="inlineStr">
        <is>
          <t>K</t>
        </is>
      </c>
      <c r="C5475" s="12" t="inlineStr">
        <is>
          <t>Fuel supply (adjacent market)</t>
        </is>
      </c>
      <c r="D5475" s="12" t="inlineStr">
        <is>
          <t>Motor 1 of 1: control / local station</t>
        </is>
      </c>
      <c r="E5475" s="12" t="inlineStr"/>
      <c r="F5475" s="12" t="inlineStr">
        <is>
          <t>LNG 17: LNG e-house (13.8 kV / 480 V)</t>
        </is>
      </c>
      <c r="G5475" s="12" t="inlineStr"/>
      <c r="H5475" s="12" t="inlineStr">
        <is>
          <t>LNG 14: vaporizers + glycol heater</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259</v>
      </c>
      <c r="U5475" s="17" t="n">
        <v>32</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K-C-0100</t>
        </is>
      </c>
      <c r="B5476" s="12" t="inlineStr">
        <is>
          <t>K</t>
        </is>
      </c>
      <c r="C5476" s="12" t="inlineStr">
        <is>
          <t>Fuel supply (adjacent market)</t>
        </is>
      </c>
      <c r="D5476" s="12" t="inlineStr">
        <is>
          <t>Solenoid to JB JB-LNG 14: vaporizers-SOL01: 2 x 2/C (field cables)</t>
        </is>
      </c>
      <c r="E5476" s="12" t="inlineStr"/>
      <c r="F5476" s="12" t="inlineStr">
        <is>
          <t>LNG 14: vaporizers + glycol heater</t>
        </is>
      </c>
      <c r="G5476" s="12" t="inlineStr">
        <is>
          <t>JB-LNG 14: vaporizers-SOL01</t>
        </is>
      </c>
      <c r="H5476" s="12" t="inlineStr">
        <is>
          <t>LNG 14: vaporizers + glycol heater</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7" t="n">
        <v>122</v>
      </c>
      <c r="U5476" s="17" t="n">
        <v>10</v>
      </c>
      <c r="V5476" s="17">
        <f>ROUNDUP((T5476+U5476+2*'Read Me'!$B$13)*(1+'Read Me'!$B$12),-1)</f>
        <v/>
      </c>
      <c r="W5476" s="17">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K-C-0101</t>
        </is>
      </c>
      <c r="B5477" s="12" t="inlineStr">
        <is>
          <t>K</t>
        </is>
      </c>
      <c r="C5477" s="12" t="inlineStr">
        <is>
          <t>Fuel supply (adjacent market)</t>
        </is>
      </c>
      <c r="D5477" s="12" t="inlineStr">
        <is>
          <t>Home run JB-LNG 14: vaporizers-SOL01 to the control / marshalling room</t>
        </is>
      </c>
      <c r="E5477" s="12" t="inlineStr"/>
      <c r="F5477" s="12" t="inlineStr">
        <is>
          <t>LNG 17: LNG e-house (13.8 kV / 480 V)</t>
        </is>
      </c>
      <c r="G5477" s="12" t="inlineStr">
        <is>
          <t>JB-LNG 14: vaporizers-SOL01</t>
        </is>
      </c>
      <c r="H5477" s="12" t="inlineStr">
        <is>
          <t>LNG 14: vaporizers + glycol heater</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7" t="n">
        <v>259</v>
      </c>
      <c r="U5477" s="17" t="n">
        <v>32</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K-C-0102</t>
        </is>
      </c>
      <c r="B5478" s="12" t="inlineStr">
        <is>
          <t>K</t>
        </is>
      </c>
      <c r="C5478" s="12" t="inlineStr">
        <is>
          <t>Fuel supply (adjacent market)</t>
        </is>
      </c>
      <c r="D5478" s="12" t="inlineStr">
        <is>
          <t>Motor 1 of 1: control / local station</t>
        </is>
      </c>
      <c r="E5478" s="12" t="inlineStr"/>
      <c r="F5478" s="12" t="inlineStr">
        <is>
          <t>LNG 17: LNG e-house (13.8 kV / 480 V)</t>
        </is>
      </c>
      <c r="G5478" s="12" t="inlineStr"/>
      <c r="H5478" s="12" t="inlineStr">
        <is>
          <t>LNG 15: boil-off gas compressor</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7" t="n">
        <v>25</v>
      </c>
      <c r="U5478" s="17" t="n">
        <v>54</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K-C-0103</t>
        </is>
      </c>
      <c r="B5479" s="12" t="inlineStr">
        <is>
          <t>K</t>
        </is>
      </c>
      <c r="C5479" s="12" t="inlineStr">
        <is>
          <t>Fuel supply (adjacent market)</t>
        </is>
      </c>
      <c r="D5479" s="12" t="inlineStr">
        <is>
          <t>Solenoid to JB JB-LNG 15: boil-off g-SOL01: 2 x 2/C (field cables)</t>
        </is>
      </c>
      <c r="E5479" s="12" t="inlineStr"/>
      <c r="F5479" s="12" t="inlineStr">
        <is>
          <t>LNG 15: boil-off gas compressor</t>
        </is>
      </c>
      <c r="G5479" s="12" t="inlineStr">
        <is>
          <t>JB-LNG 15: boil-off g-SOL01</t>
        </is>
      </c>
      <c r="H5479" s="12" t="inlineStr">
        <is>
          <t>LNG 15: boil-off gas compressor</t>
        </is>
      </c>
      <c r="I5479" s="12" t="inlineStr">
        <is>
          <t>Control</t>
        </is>
      </c>
      <c r="J5479" s="12" t="inlineStr">
        <is>
          <t>ARMOR-X MC-HL 600 V control, Cu #14 AWG (Class I Div 2)</t>
        </is>
      </c>
      <c r="K5479" s="12" t="inlineStr">
        <is>
          <t>CTAX|2/C|14</t>
        </is>
      </c>
      <c r="L5479" s="12" t="inlineStr">
        <is>
          <t>2/C</t>
        </is>
      </c>
      <c r="M5479" s="12" t="inlineStr">
        <is>
          <t>14</t>
        </is>
      </c>
      <c r="N5479" s="12" t="n">
        <v>2</v>
      </c>
      <c r="O5479" s="12" t="n">
        <v>1</v>
      </c>
      <c r="P5479" s="12" t="n"/>
      <c r="Q5479" s="12" t="n"/>
      <c r="R5479" s="12" t="n"/>
      <c r="S5479" s="12" t="inlineStr">
        <is>
          <t>Tray / conduit</t>
        </is>
      </c>
      <c r="T5479" s="17" t="n">
        <v>67</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K-C-0104</t>
        </is>
      </c>
      <c r="B5480" s="12" t="inlineStr">
        <is>
          <t>K</t>
        </is>
      </c>
      <c r="C5480" s="12" t="inlineStr">
        <is>
          <t>Fuel supply (adjacent market)</t>
        </is>
      </c>
      <c r="D5480" s="12" t="inlineStr">
        <is>
          <t>Home run JB-LNG 15: boil-off g-SOL01 to the control / marshalling room</t>
        </is>
      </c>
      <c r="E5480" s="12" t="inlineStr"/>
      <c r="F5480" s="12" t="inlineStr">
        <is>
          <t>LNG 17: LNG e-house (13.8 kV / 480 V)</t>
        </is>
      </c>
      <c r="G5480" s="12" t="inlineStr">
        <is>
          <t>JB-LNG 15: boil-off g-SOL01</t>
        </is>
      </c>
      <c r="H5480" s="12" t="inlineStr">
        <is>
          <t>LNG 15: boil-off gas compressor</t>
        </is>
      </c>
      <c r="I5480" s="12" t="inlineStr">
        <is>
          <t>Control</t>
        </is>
      </c>
      <c r="J5480" s="12" t="inlineStr">
        <is>
          <t>ARMOR-X MC-HL 600 V control, Cu #14 AWG (Class I Div 2)</t>
        </is>
      </c>
      <c r="K5480" s="12" t="inlineStr">
        <is>
          <t>CTAX|25/C|14</t>
        </is>
      </c>
      <c r="L5480" s="12" t="inlineStr">
        <is>
          <t>25/C</t>
        </is>
      </c>
      <c r="M5480" s="12" t="inlineStr">
        <is>
          <t>14</t>
        </is>
      </c>
      <c r="N5480" s="12" t="n">
        <v>1</v>
      </c>
      <c r="O5480" s="12" t="n">
        <v>1</v>
      </c>
      <c r="P5480" s="12" t="n"/>
      <c r="Q5480" s="12" t="n"/>
      <c r="R5480" s="12" t="n"/>
      <c r="S5480" s="12" t="inlineStr">
        <is>
          <t>Duct bank</t>
        </is>
      </c>
      <c r="T5480" s="17" t="n">
        <v>25</v>
      </c>
      <c r="U5480" s="17" t="n">
        <v>54</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K-C-0105</t>
        </is>
      </c>
      <c r="B5481" s="12" t="inlineStr">
        <is>
          <t>K</t>
        </is>
      </c>
      <c r="C5481" s="12" t="inlineStr">
        <is>
          <t>Fuel supply (adjacent market)</t>
        </is>
      </c>
      <c r="D5481" s="12" t="inlineStr">
        <is>
          <t>Motor 1 of 1: control / local station</t>
        </is>
      </c>
      <c r="E5481" s="12" t="inlineStr"/>
      <c r="F5481" s="12" t="inlineStr">
        <is>
          <t>LNG 17: LNG e-house (13.8 kV / 480 V)</t>
        </is>
      </c>
      <c r="G5481" s="12" t="inlineStr"/>
      <c r="H5481" s="12" t="inlineStr">
        <is>
          <t>LNG 16: send-out metering + pressure control</t>
        </is>
      </c>
      <c r="I5481" s="12" t="inlineStr">
        <is>
          <t>Control</t>
        </is>
      </c>
      <c r="J5481" s="12" t="inlineStr">
        <is>
          <t>ARMOR-X MC-HL 600 V control, Cu #14 AWG (Class I Div 2)</t>
        </is>
      </c>
      <c r="K5481" s="12" t="inlineStr">
        <is>
          <t>CTAX|7/C|14</t>
        </is>
      </c>
      <c r="L5481" s="12" t="inlineStr">
        <is>
          <t>7/C</t>
        </is>
      </c>
      <c r="M5481" s="12" t="inlineStr">
        <is>
          <t>14</t>
        </is>
      </c>
      <c r="N5481" s="12" t="n">
        <v>1</v>
      </c>
      <c r="O5481" s="12" t="n">
        <v>1</v>
      </c>
      <c r="P5481" s="12" t="n"/>
      <c r="Q5481" s="12" t="n"/>
      <c r="R5481" s="12" t="n"/>
      <c r="S5481" s="12" t="inlineStr">
        <is>
          <t>Duct bank</t>
        </is>
      </c>
      <c r="T5481" s="17" t="n">
        <v>20</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K-C-0106</t>
        </is>
      </c>
      <c r="B5482" s="12" t="inlineStr">
        <is>
          <t>K</t>
        </is>
      </c>
      <c r="C5482" s="12" t="inlineStr">
        <is>
          <t>Fuel supply (adjacent market)</t>
        </is>
      </c>
      <c r="D5482" s="12" t="inlineStr">
        <is>
          <t>Solenoid to JB JB-LNG 16: send-out m-SOL01: 2 x 2/C (field cables)</t>
        </is>
      </c>
      <c r="E5482" s="12" t="inlineStr"/>
      <c r="F5482" s="12" t="inlineStr">
        <is>
          <t>LNG 16: send-out metering + pressure control</t>
        </is>
      </c>
      <c r="G5482" s="12" t="inlineStr">
        <is>
          <t>JB-LNG 16: send-out m-SOL01</t>
        </is>
      </c>
      <c r="H5482" s="12" t="inlineStr">
        <is>
          <t>LNG 16: send-out metering + pressure control</t>
        </is>
      </c>
      <c r="I5482" s="12" t="inlineStr">
        <is>
          <t>Control</t>
        </is>
      </c>
      <c r="J5482" s="12" t="inlineStr">
        <is>
          <t>ARMOR-X MC-HL 600 V control, Cu #14 AWG (Class I Div 2)</t>
        </is>
      </c>
      <c r="K5482" s="12" t="inlineStr">
        <is>
          <t>CTAX|2/C|14</t>
        </is>
      </c>
      <c r="L5482" s="12" t="inlineStr">
        <is>
          <t>2/C</t>
        </is>
      </c>
      <c r="M5482" s="12" t="inlineStr">
        <is>
          <t>14</t>
        </is>
      </c>
      <c r="N5482" s="12" t="n">
        <v>2</v>
      </c>
      <c r="O5482" s="12" t="n">
        <v>1</v>
      </c>
      <c r="P5482" s="12" t="n"/>
      <c r="Q5482" s="12" t="n"/>
      <c r="R5482" s="12" t="n"/>
      <c r="S5482" s="12" t="inlineStr">
        <is>
          <t>Tray / conduit</t>
        </is>
      </c>
      <c r="T5482" s="17" t="n">
        <v>74</v>
      </c>
      <c r="U5482" s="17" t="n">
        <v>10</v>
      </c>
      <c r="V5482" s="17">
        <f>ROUNDUP((T5482+U5482+2*'Read Me'!$B$13)*(1+'Read Me'!$B$12),-1)</f>
        <v/>
      </c>
      <c r="W5482" s="17">
        <f>V5482*N5482*O5482</f>
        <v/>
      </c>
      <c r="X5482" s="12">
        <f>IF(LEFT(I5482,2)="MV",2*N5482*IF(L5482="1/C",O5482,1),0)</f>
        <v/>
      </c>
      <c r="Y5482" s="12">
        <f>IF(OR(LEFT(K5482,4)="LVAX",LEFT(K5482,6)="MV15AX",LEFT(K5482,4)="CTAX",LEFT(K5482,2)="W|"),2*N5482*O5482,0)</f>
        <v/>
      </c>
      <c r="Z5482" s="12" t="inlineStr">
        <is>
          <t>device-to-JB field wiring, one cable per device</t>
        </is>
      </c>
      <c r="AA5482" s="12">
        <f>N5482*O5482</f>
        <v/>
      </c>
    </row>
    <row r="5483">
      <c r="A5483" s="12" t="inlineStr">
        <is>
          <t>K-C-0107</t>
        </is>
      </c>
      <c r="B5483" s="12" t="inlineStr">
        <is>
          <t>K</t>
        </is>
      </c>
      <c r="C5483" s="12" t="inlineStr">
        <is>
          <t>Fuel supply (adjacent market)</t>
        </is>
      </c>
      <c r="D5483" s="12" t="inlineStr">
        <is>
          <t>Home run JB-LNG 16: send-out m-SOL01 to the control / marshalling room</t>
        </is>
      </c>
      <c r="E5483" s="12" t="inlineStr"/>
      <c r="F5483" s="12" t="inlineStr">
        <is>
          <t>LNG 17: LNG e-house (13.8 kV / 480 V)</t>
        </is>
      </c>
      <c r="G5483" s="12" t="inlineStr">
        <is>
          <t>JB-LNG 16: send-out m-SOL01</t>
        </is>
      </c>
      <c r="H5483" s="12" t="inlineStr">
        <is>
          <t>LNG 16: send-out metering + pressure control</t>
        </is>
      </c>
      <c r="I5483" s="12" t="inlineStr">
        <is>
          <t>Control</t>
        </is>
      </c>
      <c r="J5483" s="12" t="inlineStr">
        <is>
          <t>ARMOR-X MC-HL 600 V control, Cu #14 AWG (Class I Div 2)</t>
        </is>
      </c>
      <c r="K5483" s="12" t="inlineStr">
        <is>
          <t>CTAX|25/C|14</t>
        </is>
      </c>
      <c r="L5483" s="12" t="inlineStr">
        <is>
          <t>25/C</t>
        </is>
      </c>
      <c r="M5483" s="12" t="inlineStr">
        <is>
          <t>14</t>
        </is>
      </c>
      <c r="N5483" s="12" t="n">
        <v>1</v>
      </c>
      <c r="O5483" s="12" t="n">
        <v>1</v>
      </c>
      <c r="P5483" s="12" t="n"/>
      <c r="Q5483" s="12" t="n"/>
      <c r="R5483" s="12" t="n"/>
      <c r="S5483" s="12" t="inlineStr">
        <is>
          <t>Duct bank</t>
        </is>
      </c>
      <c r="T5483" s="17" t="n">
        <v>20</v>
      </c>
      <c r="U5483" s="17" t="n">
        <v>32</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K-C-0108</t>
        </is>
      </c>
      <c r="B5484" s="12" t="inlineStr">
        <is>
          <t>K</t>
        </is>
      </c>
      <c r="C5484" s="12" t="inlineStr">
        <is>
          <t>Fuel supply (adjacent market)</t>
        </is>
      </c>
      <c r="D5484" s="12" t="inlineStr">
        <is>
          <t>Motor 1 of 1: control / local station</t>
        </is>
      </c>
      <c r="E5484" s="12" t="inlineStr"/>
      <c r="F5484" s="12" t="inlineStr">
        <is>
          <t>LNG 17: LNG e-house (13.8 kV / 480 V)</t>
        </is>
      </c>
      <c r="G5484" s="12" t="inlineStr"/>
      <c r="H5484" s="12" t="inlineStr">
        <is>
          <t>LNG 17: LNG e-house (13.8 kV / 480 V)</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Tray</t>
        </is>
      </c>
      <c r="T5484" s="17" t="n">
        <v>0</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K-C-0109</t>
        </is>
      </c>
      <c r="B5485" s="12" t="inlineStr">
        <is>
          <t>K</t>
        </is>
      </c>
      <c r="C5485" s="12" t="inlineStr">
        <is>
          <t>Fuel supply (adjacent market)</t>
        </is>
      </c>
      <c r="D5485" s="12" t="inlineStr">
        <is>
          <t>Solenoid to JB JB-LNG 17: LNG e-hous-SOL01: 2 x 2/C (field cables)</t>
        </is>
      </c>
      <c r="E5485" s="12" t="inlineStr"/>
      <c r="F5485" s="12" t="inlineStr">
        <is>
          <t>LNG 17: LNG e-house (13.8 kV / 480 V)</t>
        </is>
      </c>
      <c r="G5485" s="12" t="inlineStr">
        <is>
          <t>JB-LNG 17: LNG e-hous-SOL01</t>
        </is>
      </c>
      <c r="H5485" s="12" t="inlineStr">
        <is>
          <t>LNG 17: LNG e-house (13.8 kV / 480 V)</t>
        </is>
      </c>
      <c r="I5485" s="12" t="inlineStr">
        <is>
          <t>Control</t>
        </is>
      </c>
      <c r="J5485" s="12" t="inlineStr">
        <is>
          <t>ARMOR-X MC-HL 600 V control, Cu #14 AWG (Class I Div 2)</t>
        </is>
      </c>
      <c r="K5485" s="12" t="inlineStr">
        <is>
          <t>CTAX|2/C|14</t>
        </is>
      </c>
      <c r="L5485" s="12" t="inlineStr">
        <is>
          <t>2/C</t>
        </is>
      </c>
      <c r="M5485" s="12" t="inlineStr">
        <is>
          <t>14</t>
        </is>
      </c>
      <c r="N5485" s="12" t="n">
        <v>2</v>
      </c>
      <c r="O5485" s="12" t="n">
        <v>1</v>
      </c>
      <c r="P5485" s="12" t="n"/>
      <c r="Q5485" s="12" t="n"/>
      <c r="R5485" s="12" t="n"/>
      <c r="S5485" s="12" t="inlineStr">
        <is>
          <t>Tray / conduit</t>
        </is>
      </c>
      <c r="T5485" s="17" t="n">
        <v>58</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K-C-0110</t>
        </is>
      </c>
      <c r="B5486" s="12" t="inlineStr">
        <is>
          <t>K</t>
        </is>
      </c>
      <c r="C5486" s="12" t="inlineStr">
        <is>
          <t>Fuel supply (adjacent market)</t>
        </is>
      </c>
      <c r="D5486" s="12" t="inlineStr">
        <is>
          <t>Home run JB-LNG 17: LNG e-hous-SOL01 to the control / marshalling room</t>
        </is>
      </c>
      <c r="E5486" s="12" t="inlineStr"/>
      <c r="F5486" s="12" t="inlineStr">
        <is>
          <t>LNG 17: LNG e-house (13.8 kV / 480 V)</t>
        </is>
      </c>
      <c r="G5486" s="12" t="inlineStr">
        <is>
          <t>JB-LNG 17: LNG e-hous-SOL01</t>
        </is>
      </c>
      <c r="H5486" s="12" t="inlineStr">
        <is>
          <t>LNG 17: LNG e-house (13.8 kV / 480 V)</t>
        </is>
      </c>
      <c r="I5486" s="12" t="inlineStr">
        <is>
          <t>Control</t>
        </is>
      </c>
      <c r="J5486" s="12" t="inlineStr">
        <is>
          <t>ARMOR-X MC-HL 600 V control, Cu #14 AWG (Class I Div 2)</t>
        </is>
      </c>
      <c r="K5486" s="12" t="inlineStr">
        <is>
          <t>CTAX|25/C|14</t>
        </is>
      </c>
      <c r="L5486" s="12" t="inlineStr">
        <is>
          <t>25/C</t>
        </is>
      </c>
      <c r="M5486" s="12" t="inlineStr">
        <is>
          <t>14</t>
        </is>
      </c>
      <c r="N5486" s="12" t="n">
        <v>1</v>
      </c>
      <c r="O5486" s="12" t="n">
        <v>1</v>
      </c>
      <c r="P5486" s="12" t="n"/>
      <c r="Q5486" s="12" t="n"/>
      <c r="R5486" s="12" t="n"/>
      <c r="S5486" s="12" t="inlineStr">
        <is>
          <t>Tray</t>
        </is>
      </c>
      <c r="T5486" s="17" t="n">
        <v>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K-C-0111</t>
        </is>
      </c>
      <c r="B5487" s="12" t="inlineStr">
        <is>
          <t>K</t>
        </is>
      </c>
      <c r="C5487" s="12" t="inlineStr">
        <is>
          <t>Fuel supply (adjacent market)</t>
        </is>
      </c>
      <c r="D5487" s="12" t="inlineStr">
        <is>
          <t>Motor 1 of 1: control / local station</t>
        </is>
      </c>
      <c r="E5487" s="12" t="inlineStr"/>
      <c r="F5487" s="12" t="inlineStr">
        <is>
          <t>LNG 17: LNG e-house (13.8 kV / 480 V)</t>
        </is>
      </c>
      <c r="G5487" s="12" t="inlineStr"/>
      <c r="H5487" s="12" t="inlineStr">
        <is>
          <t>LNG 18: vent stack</t>
        </is>
      </c>
      <c r="I5487" s="12" t="inlineStr">
        <is>
          <t>Control</t>
        </is>
      </c>
      <c r="J5487" s="12" t="inlineStr">
        <is>
          <t>ARMOR-X MC-HL 600 V control, Cu #14 AWG (Class I Div 2)</t>
        </is>
      </c>
      <c r="K5487" s="12" t="inlineStr">
        <is>
          <t>CTAX|7/C|14</t>
        </is>
      </c>
      <c r="L5487" s="12" t="inlineStr">
        <is>
          <t>7/C</t>
        </is>
      </c>
      <c r="M5487" s="12" t="inlineStr">
        <is>
          <t>14</t>
        </is>
      </c>
      <c r="N5487" s="12" t="n">
        <v>1</v>
      </c>
      <c r="O5487" s="12" t="n">
        <v>1</v>
      </c>
      <c r="P5487" s="12" t="n"/>
      <c r="Q5487" s="12" t="n"/>
      <c r="R5487" s="12" t="n"/>
      <c r="S5487" s="12" t="inlineStr">
        <is>
          <t>Duct bank</t>
        </is>
      </c>
      <c r="T5487" s="17" t="n">
        <v>25</v>
      </c>
      <c r="U5487" s="17" t="n">
        <v>117</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K-C-0112</t>
        </is>
      </c>
      <c r="B5488" s="12" t="inlineStr">
        <is>
          <t>K</t>
        </is>
      </c>
      <c r="C5488" s="12" t="inlineStr">
        <is>
          <t>Fuel supply (adjacent market)</t>
        </is>
      </c>
      <c r="D5488" s="12" t="inlineStr">
        <is>
          <t>Solenoid to JB JB-LNG 18: vent stack-SOL01: 2 x 2/C (field cables)</t>
        </is>
      </c>
      <c r="E5488" s="12" t="inlineStr"/>
      <c r="F5488" s="12" t="inlineStr">
        <is>
          <t>LNG 18: vent stack</t>
        </is>
      </c>
      <c r="G5488" s="12" t="inlineStr">
        <is>
          <t>JB-LNG 18: vent stack-SOL01</t>
        </is>
      </c>
      <c r="H5488" s="12" t="inlineStr">
        <is>
          <t>LNG 18: vent stack</t>
        </is>
      </c>
      <c r="I5488" s="12" t="inlineStr">
        <is>
          <t>Control</t>
        </is>
      </c>
      <c r="J5488" s="12" t="inlineStr">
        <is>
          <t>ARMOR-X MC-HL 600 V control, Cu #14 AWG (Class I Div 2)</t>
        </is>
      </c>
      <c r="K5488" s="12" t="inlineStr">
        <is>
          <t>CTAX|2/C|14</t>
        </is>
      </c>
      <c r="L5488" s="12" t="inlineStr">
        <is>
          <t>2/C</t>
        </is>
      </c>
      <c r="M5488" s="12" t="inlineStr">
        <is>
          <t>14</t>
        </is>
      </c>
      <c r="N5488" s="12" t="n">
        <v>2</v>
      </c>
      <c r="O5488" s="12" t="n">
        <v>1</v>
      </c>
      <c r="P5488" s="12" t="n"/>
      <c r="Q5488" s="12" t="n"/>
      <c r="R5488" s="12" t="n"/>
      <c r="S5488" s="12" t="inlineStr">
        <is>
          <t>Tray / conduit</t>
        </is>
      </c>
      <c r="T5488" s="17" t="n">
        <v>55</v>
      </c>
      <c r="U5488" s="17" t="n">
        <v>10</v>
      </c>
      <c r="V5488" s="17">
        <f>ROUNDUP((T5488+U5488+2*'Read Me'!$B$13)*(1+'Read Me'!$B$12),-1)</f>
        <v/>
      </c>
      <c r="W5488" s="17">
        <f>V5488*N5488*O5488</f>
        <v/>
      </c>
      <c r="X5488" s="12">
        <f>IF(LEFT(I5488,2)="MV",2*N5488*IF(L5488="1/C",O5488,1),0)</f>
        <v/>
      </c>
      <c r="Y5488" s="12">
        <f>IF(OR(LEFT(K5488,4)="LVAX",LEFT(K5488,6)="MV15AX",LEFT(K5488,4)="CTAX",LEFT(K5488,2)="W|"),2*N5488*O5488,0)</f>
        <v/>
      </c>
      <c r="Z5488" s="12" t="inlineStr">
        <is>
          <t>device-to-JB field wiring, one cable per device</t>
        </is>
      </c>
      <c r="AA5488" s="12">
        <f>N5488*O5488</f>
        <v/>
      </c>
    </row>
    <row r="5489">
      <c r="A5489" s="12" t="inlineStr">
        <is>
          <t>K-C-0113</t>
        </is>
      </c>
      <c r="B5489" s="12" t="inlineStr">
        <is>
          <t>K</t>
        </is>
      </c>
      <c r="C5489" s="12" t="inlineStr">
        <is>
          <t>Fuel supply (adjacent market)</t>
        </is>
      </c>
      <c r="D5489" s="12" t="inlineStr">
        <is>
          <t>Home run JB-LNG 18: vent stack-SOL01 to the control / marshalling room</t>
        </is>
      </c>
      <c r="E5489" s="12" t="inlineStr"/>
      <c r="F5489" s="12" t="inlineStr">
        <is>
          <t>LNG 17: LNG e-house (13.8 kV / 480 V)</t>
        </is>
      </c>
      <c r="G5489" s="12" t="inlineStr">
        <is>
          <t>JB-LNG 18: vent stack-SOL01</t>
        </is>
      </c>
      <c r="H5489" s="12" t="inlineStr">
        <is>
          <t>LNG 18: vent stack</t>
        </is>
      </c>
      <c r="I5489" s="12" t="inlineStr">
        <is>
          <t>Control</t>
        </is>
      </c>
      <c r="J5489" s="12" t="inlineStr">
        <is>
          <t>ARMOR-X MC-HL 600 V control, Cu #14 AWG (Class I Div 2)</t>
        </is>
      </c>
      <c r="K5489" s="12" t="inlineStr">
        <is>
          <t>CTAX|25/C|14</t>
        </is>
      </c>
      <c r="L5489" s="12" t="inlineStr">
        <is>
          <t>25/C</t>
        </is>
      </c>
      <c r="M5489" s="12" t="inlineStr">
        <is>
          <t>14</t>
        </is>
      </c>
      <c r="N5489" s="12" t="n">
        <v>1</v>
      </c>
      <c r="O5489" s="12" t="n">
        <v>1</v>
      </c>
      <c r="P5489" s="12" t="n"/>
      <c r="Q5489" s="12" t="n"/>
      <c r="R5489" s="12" t="n"/>
      <c r="S5489" s="12" t="inlineStr">
        <is>
          <t>Duct bank</t>
        </is>
      </c>
      <c r="T5489" s="17" t="n">
        <v>25</v>
      </c>
      <c r="U5489" s="17" t="n">
        <v>117</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K-C-0114</t>
        </is>
      </c>
      <c r="B5490" s="12" t="inlineStr">
        <is>
          <t>K</t>
        </is>
      </c>
      <c r="C5490" s="12" t="inlineStr">
        <is>
          <t>Fuel supply (adjacent market)</t>
        </is>
      </c>
      <c r="D5490" s="12" t="inlineStr">
        <is>
          <t>Solenoid to JB JB-M&amp;R 2: insulating -SOL01: 4 x 2/C (field cables)</t>
        </is>
      </c>
      <c r="E5490" s="12" t="inlineStr"/>
      <c r="F5490" s="12" t="inlineStr">
        <is>
          <t>M&amp;R 2: insulating joint + ESD valve</t>
        </is>
      </c>
      <c r="G5490" s="12" t="inlineStr">
        <is>
          <t>JB-M&amp;R 2: insulating -SOL01</t>
        </is>
      </c>
      <c r="H5490" s="12" t="inlineStr">
        <is>
          <t>M&amp;R 2: insulating joint + ESD valve</t>
        </is>
      </c>
      <c r="I5490" s="12" t="inlineStr">
        <is>
          <t>Control</t>
        </is>
      </c>
      <c r="J5490" s="12" t="inlineStr">
        <is>
          <t>ARMOR-X MC-HL 600 V control, Cu #14 AWG (Class I Div 2)</t>
        </is>
      </c>
      <c r="K5490" s="12" t="inlineStr">
        <is>
          <t>CTAX|2/C|14</t>
        </is>
      </c>
      <c r="L5490" s="12" t="inlineStr">
        <is>
          <t>2/C</t>
        </is>
      </c>
      <c r="M5490" s="12" t="inlineStr">
        <is>
          <t>14</t>
        </is>
      </c>
      <c r="N5490" s="12" t="n">
        <v>4</v>
      </c>
      <c r="O5490" s="12" t="n">
        <v>1</v>
      </c>
      <c r="P5490" s="12" t="n"/>
      <c r="Q5490" s="12" t="n"/>
      <c r="R5490" s="12" t="n"/>
      <c r="S5490" s="12" t="inlineStr">
        <is>
          <t>Tray / conduit</t>
        </is>
      </c>
      <c r="T5490" s="17" t="n">
        <v>40</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K-C-0115</t>
        </is>
      </c>
      <c r="B5491" s="12" t="inlineStr">
        <is>
          <t>K</t>
        </is>
      </c>
      <c r="C5491" s="12" t="inlineStr">
        <is>
          <t>Fuel supply (adjacent market)</t>
        </is>
      </c>
      <c r="D5491" s="12" t="inlineStr">
        <is>
          <t>Home run JB-M&amp;R 2: insulating -SOL01 to the control / marshalling room</t>
        </is>
      </c>
      <c r="E5491" s="12" t="inlineStr"/>
      <c r="F5491" s="12" t="inlineStr">
        <is>
          <t>LNG 17: LNG e-house (13.8 kV / 480 V)</t>
        </is>
      </c>
      <c r="G5491" s="12" t="inlineStr">
        <is>
          <t>JB-M&amp;R 2: insulating -SOL01</t>
        </is>
      </c>
      <c r="H5491" s="12" t="inlineStr">
        <is>
          <t>M&amp;R 2: insulating joint + ESD valve</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7" t="n">
        <v>758</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K-C-0116</t>
        </is>
      </c>
      <c r="B5492" s="12" t="inlineStr">
        <is>
          <t>K</t>
        </is>
      </c>
      <c r="C5492" s="12" t="inlineStr">
        <is>
          <t>Fuel supply (adjacent market)</t>
        </is>
      </c>
      <c r="D5492" s="12" t="inlineStr">
        <is>
          <t>Solenoid to JB JB-M&amp;R 3: horizontal -SOL01: 4 x 2/C (field cables)</t>
        </is>
      </c>
      <c r="E5492" s="12" t="inlineStr"/>
      <c r="F5492" s="12" t="inlineStr">
        <is>
          <t>M&amp;R 3: horizontal filter-separator</t>
        </is>
      </c>
      <c r="G5492" s="12" t="inlineStr">
        <is>
          <t>JB-M&amp;R 3: horizontal -SOL01</t>
        </is>
      </c>
      <c r="H5492" s="12" t="inlineStr">
        <is>
          <t>M&amp;R 3: horizontal filter-separator</t>
        </is>
      </c>
      <c r="I5492" s="12" t="inlineStr">
        <is>
          <t>Control</t>
        </is>
      </c>
      <c r="J5492" s="12" t="inlineStr">
        <is>
          <t>ARMOR-X MC-HL 600 V control, Cu #14 AWG (Class I Div 2)</t>
        </is>
      </c>
      <c r="K5492" s="12" t="inlineStr">
        <is>
          <t>CTAX|2/C|14</t>
        </is>
      </c>
      <c r="L5492" s="12" t="inlineStr">
        <is>
          <t>2/C</t>
        </is>
      </c>
      <c r="M5492" s="12" t="inlineStr">
        <is>
          <t>14</t>
        </is>
      </c>
      <c r="N5492" s="12" t="n">
        <v>4</v>
      </c>
      <c r="O5492" s="12" t="n">
        <v>1</v>
      </c>
      <c r="P5492" s="12" t="n"/>
      <c r="Q5492" s="12" t="n"/>
      <c r="R5492" s="12" t="n"/>
      <c r="S5492" s="12" t="inlineStr">
        <is>
          <t>Tray / conduit</t>
        </is>
      </c>
      <c r="T5492" s="17" t="n">
        <v>53</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K-C-0117</t>
        </is>
      </c>
      <c r="B5493" s="12" t="inlineStr">
        <is>
          <t>K</t>
        </is>
      </c>
      <c r="C5493" s="12" t="inlineStr">
        <is>
          <t>Fuel supply (adjacent market)</t>
        </is>
      </c>
      <c r="D5493" s="12" t="inlineStr">
        <is>
          <t>Home run JB-M&amp;R 3: horizontal -SOL01 to the control / marshalling room</t>
        </is>
      </c>
      <c r="E5493" s="12" t="inlineStr"/>
      <c r="F5493" s="12" t="inlineStr">
        <is>
          <t>LNG 17: LNG e-house (13.8 kV / 480 V)</t>
        </is>
      </c>
      <c r="G5493" s="12" t="inlineStr">
        <is>
          <t>JB-M&amp;R 3: horizontal -SOL01</t>
        </is>
      </c>
      <c r="H5493" s="12" t="inlineStr">
        <is>
          <t>M&amp;R 3: horizontal filter-separator</t>
        </is>
      </c>
      <c r="I5493" s="12" t="inlineStr">
        <is>
          <t>Control</t>
        </is>
      </c>
      <c r="J5493" s="12" t="inlineStr">
        <is>
          <t>ARMOR-X MC-HL 600 V control, Cu #14 AWG (Class I Div 2)</t>
        </is>
      </c>
      <c r="K5493" s="12" t="inlineStr">
        <is>
          <t>CTAX|25/C|14</t>
        </is>
      </c>
      <c r="L5493" s="12" t="inlineStr">
        <is>
          <t>25/C</t>
        </is>
      </c>
      <c r="M5493" s="12" t="inlineStr">
        <is>
          <t>14</t>
        </is>
      </c>
      <c r="N5493" s="12" t="n">
        <v>1</v>
      </c>
      <c r="O5493" s="12" t="n">
        <v>1</v>
      </c>
      <c r="P5493" s="12" t="n"/>
      <c r="Q5493" s="12" t="n"/>
      <c r="R5493" s="12" t="n"/>
      <c r="S5493" s="12" t="inlineStr">
        <is>
          <t>Duct bank</t>
        </is>
      </c>
      <c r="T5493" s="17" t="n">
        <v>797</v>
      </c>
      <c r="U5493" s="17" t="n">
        <v>32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K-C-0118</t>
        </is>
      </c>
      <c r="B5494" s="12" t="inlineStr">
        <is>
          <t>K</t>
        </is>
      </c>
      <c r="C5494" s="12" t="inlineStr">
        <is>
          <t>Fuel supply (adjacent market)</t>
        </is>
      </c>
      <c r="D5494" s="12" t="inlineStr">
        <is>
          <t>Control</t>
        </is>
      </c>
      <c r="E5494" s="12" t="inlineStr"/>
      <c r="F5494" s="12" t="inlineStr">
        <is>
          <t>LNG 17: LNG e-house (13.8 kV / 480 V)</t>
        </is>
      </c>
      <c r="G5494" s="12" t="inlineStr"/>
      <c r="H5494" s="12" t="inlineStr">
        <is>
          <t>M&amp;R 4: line heater 1 (water bath)</t>
        </is>
      </c>
      <c r="I5494" s="12" t="inlineStr">
        <is>
          <t>Control</t>
        </is>
      </c>
      <c r="J5494" s="12" t="inlineStr">
        <is>
          <t>ARMOR-X MC-HL 600 V control, Cu #14 AWG (Class I Div 2)</t>
        </is>
      </c>
      <c r="K5494" s="12" t="inlineStr">
        <is>
          <t>CTAX|7/C|14</t>
        </is>
      </c>
      <c r="L5494" s="12" t="inlineStr">
        <is>
          <t>7/C</t>
        </is>
      </c>
      <c r="M5494" s="12" t="inlineStr">
        <is>
          <t>14</t>
        </is>
      </c>
      <c r="N5494" s="12" t="n">
        <v>1</v>
      </c>
      <c r="O5494" s="12" t="n">
        <v>1</v>
      </c>
      <c r="P5494" s="12" t="n"/>
      <c r="Q5494" s="12" t="n"/>
      <c r="R5494" s="12" t="n"/>
      <c r="S5494" s="12" t="inlineStr">
        <is>
          <t>Duct bank</t>
        </is>
      </c>
      <c r="T5494" s="17" t="n">
        <v>593</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K-C-0119</t>
        </is>
      </c>
      <c r="B5495" s="12" t="inlineStr">
        <is>
          <t>K</t>
        </is>
      </c>
      <c r="C5495" s="12" t="inlineStr">
        <is>
          <t>Fuel supply (adjacent market)</t>
        </is>
      </c>
      <c r="D5495" s="12" t="inlineStr">
        <is>
          <t>Control</t>
        </is>
      </c>
      <c r="E5495" s="12" t="inlineStr"/>
      <c r="F5495" s="12" t="inlineStr">
        <is>
          <t>LNG 17: LNG e-house (13.8 kV / 480 V)</t>
        </is>
      </c>
      <c r="G5495" s="12" t="inlineStr"/>
      <c r="H5495" s="12" t="inlineStr">
        <is>
          <t>M&amp;R 4: line heater 2 (water bath)</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7" t="n">
        <v>593</v>
      </c>
      <c r="U5495" s="17" t="n">
        <v>50</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K-C-0120</t>
        </is>
      </c>
      <c r="B5496" s="12" t="inlineStr">
        <is>
          <t>K</t>
        </is>
      </c>
      <c r="C5496" s="12" t="inlineStr">
        <is>
          <t>Fuel supply (adjacent market)</t>
        </is>
      </c>
      <c r="D5496" s="12" t="inlineStr">
        <is>
          <t>Control</t>
        </is>
      </c>
      <c r="E5496" s="12" t="inlineStr"/>
      <c r="F5496" s="12" t="inlineStr">
        <is>
          <t>LNG 17: LNG e-house (13.8 kV / 480 V)</t>
        </is>
      </c>
      <c r="G5496" s="12" t="inlineStr"/>
      <c r="H5496" s="12" t="inlineStr">
        <is>
          <t>M&amp;R 4: line heater 3 (water bath)</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7" t="n">
        <v>593</v>
      </c>
      <c r="U5496" s="17" t="n">
        <v>68</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K-C-0121</t>
        </is>
      </c>
      <c r="B5497" s="12" t="inlineStr">
        <is>
          <t>K</t>
        </is>
      </c>
      <c r="C5497" s="12" t="inlineStr">
        <is>
          <t>Fuel supply (adjacent market)</t>
        </is>
      </c>
      <c r="D5497" s="12" t="inlineStr">
        <is>
          <t>Solenoid to JB JB-M&amp;R 6: regulation -SOL01: 6 x 2/C (field cables)</t>
        </is>
      </c>
      <c r="E5497" s="12" t="inlineStr"/>
      <c r="F5497" s="12" t="inlineStr">
        <is>
          <t>M&amp;R 6: regulation / flow control building</t>
        </is>
      </c>
      <c r="G5497" s="12" t="inlineStr">
        <is>
          <t>JB-M&amp;R 6: regulation -SOL01</t>
        </is>
      </c>
      <c r="H5497" s="12" t="inlineStr">
        <is>
          <t>M&amp;R 6: regulation / flow control building</t>
        </is>
      </c>
      <c r="I5497" s="12" t="inlineStr">
        <is>
          <t>Control</t>
        </is>
      </c>
      <c r="J5497" s="12" t="inlineStr">
        <is>
          <t>ARMOR-X MC-HL 600 V control, Cu #14 AWG (Class I Div 2)</t>
        </is>
      </c>
      <c r="K5497" s="12" t="inlineStr">
        <is>
          <t>CTAX|2/C|14</t>
        </is>
      </c>
      <c r="L5497" s="12" t="inlineStr">
        <is>
          <t>2/C</t>
        </is>
      </c>
      <c r="M5497" s="12" t="inlineStr">
        <is>
          <t>14</t>
        </is>
      </c>
      <c r="N5497" s="12" t="n">
        <v>6</v>
      </c>
      <c r="O5497" s="12" t="n">
        <v>1</v>
      </c>
      <c r="P5497" s="12" t="n"/>
      <c r="Q5497" s="12" t="n"/>
      <c r="R5497" s="12" t="n"/>
      <c r="S5497" s="12" t="inlineStr">
        <is>
          <t>Tray / conduit</t>
        </is>
      </c>
      <c r="T5497" s="17" t="n">
        <v>61</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K-C-0122</t>
        </is>
      </c>
      <c r="B5498" s="12" t="inlineStr">
        <is>
          <t>K</t>
        </is>
      </c>
      <c r="C5498" s="12" t="inlineStr">
        <is>
          <t>Fuel supply (adjacent market)</t>
        </is>
      </c>
      <c r="D5498" s="12" t="inlineStr">
        <is>
          <t>Home run JB-M&amp;R 6: regulation -SOL01 to the control / marshalling room</t>
        </is>
      </c>
      <c r="E5498" s="12" t="inlineStr"/>
      <c r="F5498" s="12" t="inlineStr">
        <is>
          <t>LNG 17: LNG e-house (13.8 kV / 480 V)</t>
        </is>
      </c>
      <c r="G5498" s="12" t="inlineStr">
        <is>
          <t>JB-M&amp;R 6: regulation -SOL01</t>
        </is>
      </c>
      <c r="H5498" s="12" t="inlineStr">
        <is>
          <t>M&amp;R 6: regulation / flow control building</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7" t="n">
        <v>470</v>
      </c>
      <c r="U5498" s="17" t="n">
        <v>70</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K-C-0123</t>
        </is>
      </c>
      <c r="B5499" s="12" t="inlineStr">
        <is>
          <t>K</t>
        </is>
      </c>
      <c r="C5499" s="12" t="inlineStr">
        <is>
          <t>Fuel supply (adjacent market)</t>
        </is>
      </c>
      <c r="D5499" s="12" t="inlineStr">
        <is>
          <t>Control</t>
        </is>
      </c>
      <c r="E5499" s="12" t="inlineStr"/>
      <c r="F5499" s="12" t="inlineStr">
        <is>
          <t>LNG 17: LNG e-house (13.8 kV / 480 V)</t>
        </is>
      </c>
      <c r="G5499" s="12" t="inlineStr"/>
      <c r="H5499" s="12" t="inlineStr">
        <is>
          <t>M&amp;R 9: service panel + UPS, SCADA RTU, CP</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7" t="n">
        <v>466</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K-C-0124</t>
        </is>
      </c>
      <c r="B5500" s="12" t="inlineStr">
        <is>
          <t>K</t>
        </is>
      </c>
      <c r="C5500" s="12" t="inlineStr">
        <is>
          <t>Fuel supply (adjacent market)</t>
        </is>
      </c>
      <c r="D5500" s="12" t="inlineStr">
        <is>
          <t>Control</t>
        </is>
      </c>
      <c r="E5500" s="12" t="inlineStr"/>
      <c r="F5500" s="12" t="inlineStr">
        <is>
          <t>LNG 17: LNG e-house (13.8 kV / 480 V)</t>
        </is>
      </c>
      <c r="G5500" s="12" t="inlineStr"/>
      <c r="H5500" s="12" t="inlineStr">
        <is>
          <t>M&amp;R CP test station (as drawn)</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7" t="n">
        <v>441</v>
      </c>
      <c r="U5500" s="17" t="n">
        <v>42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K-C-0125</t>
        </is>
      </c>
      <c r="B5501" s="12" t="inlineStr">
        <is>
          <t>K</t>
        </is>
      </c>
      <c r="C5501" s="12" t="inlineStr">
        <is>
          <t>Fuel supply (adjacent market)</t>
        </is>
      </c>
      <c r="D5501" s="12" t="inlineStr">
        <is>
          <t>Control</t>
        </is>
      </c>
      <c r="E5501" s="12" t="inlineStr"/>
      <c r="F5501" s="12" t="inlineStr">
        <is>
          <t>LNG 17: LNG e-house (13.8 kV / 480 V)</t>
        </is>
      </c>
      <c r="G5501" s="12" t="inlineStr"/>
      <c r="H5501" s="12" t="inlineStr">
        <is>
          <t>M&amp;R SCADA antenna mast base (as drawn)</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7" t="n">
        <v>433</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K-C-0126</t>
        </is>
      </c>
      <c r="B5502" s="12" t="inlineStr">
        <is>
          <t>K</t>
        </is>
      </c>
      <c r="C5502" s="12" t="inlineStr">
        <is>
          <t>Fuel supply (adjacent market)</t>
        </is>
      </c>
      <c r="D5502" s="12" t="inlineStr">
        <is>
          <t>Control</t>
        </is>
      </c>
      <c r="E5502" s="12" t="inlineStr"/>
      <c r="F5502" s="12" t="inlineStr">
        <is>
          <t>H2 20: 13.8 kV e-house</t>
        </is>
      </c>
      <c r="G5502" s="12" t="inlineStr"/>
      <c r="H5502" s="12" t="inlineStr">
        <is>
          <t>PEM electrolyzer 1 (HyLYZER-1000)</t>
        </is>
      </c>
      <c r="I5502" s="12" t="inlineStr">
        <is>
          <t>Control</t>
        </is>
      </c>
      <c r="J5502" s="12" t="inlineStr">
        <is>
          <t>ARMOR-X MC-HL 600 V control, Cu #14 AWG (Class I Div 2)</t>
        </is>
      </c>
      <c r="K5502" s="12" t="inlineStr">
        <is>
          <t>CTAX|7/C|14</t>
        </is>
      </c>
      <c r="L5502" s="12" t="inlineStr">
        <is>
          <t>7/C</t>
        </is>
      </c>
      <c r="M5502" s="12" t="inlineStr">
        <is>
          <t>14</t>
        </is>
      </c>
      <c r="N5502" s="12" t="n">
        <v>1</v>
      </c>
      <c r="O5502" s="12" t="n">
        <v>1</v>
      </c>
      <c r="P5502" s="12" t="n"/>
      <c r="Q5502" s="12" t="n"/>
      <c r="R5502" s="12" t="n"/>
      <c r="S5502" s="12" t="inlineStr">
        <is>
          <t>Duct bank</t>
        </is>
      </c>
      <c r="T5502" s="17" t="n">
        <v>358</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K-C-0127</t>
        </is>
      </c>
      <c r="B5503" s="12" t="inlineStr">
        <is>
          <t>K</t>
        </is>
      </c>
      <c r="C5503" s="12" t="inlineStr">
        <is>
          <t>Fuel supply (adjacent market)</t>
        </is>
      </c>
      <c r="D5503" s="12" t="inlineStr">
        <is>
          <t>Control</t>
        </is>
      </c>
      <c r="E5503" s="12" t="inlineStr"/>
      <c r="F5503" s="12" t="inlineStr">
        <is>
          <t>H2 20: 13.8 kV e-house</t>
        </is>
      </c>
      <c r="G5503" s="12" t="inlineStr"/>
      <c r="H5503" s="12" t="inlineStr">
        <is>
          <t>PEM electrolyzer 2 (HyLYZER-1000)</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7" t="n">
        <v>358</v>
      </c>
      <c r="U5503" s="17" t="n">
        <v>48</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K-C-0128</t>
        </is>
      </c>
      <c r="B5504" s="12" t="inlineStr">
        <is>
          <t>K</t>
        </is>
      </c>
      <c r="C5504" s="12" t="inlineStr">
        <is>
          <t>Fuel supply (adjacent market)</t>
        </is>
      </c>
      <c r="D5504" s="12" t="inlineStr">
        <is>
          <t>Control</t>
        </is>
      </c>
      <c r="E5504" s="12" t="inlineStr"/>
      <c r="F5504" s="12" t="inlineStr">
        <is>
          <t>H2 20: 13.8 kV e-house</t>
        </is>
      </c>
      <c r="G5504" s="12" t="inlineStr"/>
      <c r="H5504" s="12" t="inlineStr">
        <is>
          <t>PEM electrolyzer 3 (HyLYZER-1000)</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348</v>
      </c>
      <c r="U5504" s="17" t="n">
        <v>49</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K-C-0129</t>
        </is>
      </c>
      <c r="B5505" s="12" t="inlineStr">
        <is>
          <t>K</t>
        </is>
      </c>
      <c r="C5505" s="12" t="inlineStr">
        <is>
          <t>Fuel supply (adjacent market)</t>
        </is>
      </c>
      <c r="D5505" s="12" t="inlineStr">
        <is>
          <t>Control</t>
        </is>
      </c>
      <c r="E5505" s="12" t="inlineStr"/>
      <c r="F5505" s="12" t="inlineStr">
        <is>
          <t>H2 20: 13.8 kV e-house</t>
        </is>
      </c>
      <c r="G5505" s="12" t="inlineStr"/>
      <c r="H5505" s="12" t="inlineStr">
        <is>
          <t>PEM electrolyzer 4 (HyLYZER-1000)</t>
        </is>
      </c>
      <c r="I5505" s="12" t="inlineStr">
        <is>
          <t>Control</t>
        </is>
      </c>
      <c r="J5505" s="12" t="inlineStr">
        <is>
          <t>ARMOR-X MC-HL 600 V control, Cu #14 AWG (Class I Div 2)</t>
        </is>
      </c>
      <c r="K5505" s="12" t="inlineStr">
        <is>
          <t>CTAX|7/C|14</t>
        </is>
      </c>
      <c r="L5505" s="12" t="inlineStr">
        <is>
          <t>7/C</t>
        </is>
      </c>
      <c r="M5505" s="12" t="inlineStr">
        <is>
          <t>14</t>
        </is>
      </c>
      <c r="N5505" s="12" t="n">
        <v>1</v>
      </c>
      <c r="O5505" s="12" t="n">
        <v>1</v>
      </c>
      <c r="P5505" s="12" t="n"/>
      <c r="Q5505" s="12" t="n"/>
      <c r="R5505" s="12" t="n"/>
      <c r="S5505" s="12" t="inlineStr">
        <is>
          <t>Duct bank</t>
        </is>
      </c>
      <c r="T5505" s="17" t="n">
        <v>328</v>
      </c>
      <c r="U5505" s="17" t="n">
        <v>49</v>
      </c>
      <c r="V5505" s="17">
        <f>ROUNDUP((T5505+U5505+2*'Read Me'!$B$13)*(1+'Read Me'!$B$12),-1)</f>
        <v/>
      </c>
      <c r="W5505" s="17">
        <f>V5505*N5505*O5505</f>
        <v/>
      </c>
      <c r="X5505" s="12">
        <f>IF(LEFT(I5505,2)="MV",2*N5505*IF(L5505="1/C",O5505,1),0)</f>
        <v/>
      </c>
      <c r="Y5505" s="12">
        <f>IF(OR(LEFT(K5505,4)="LVAX",LEFT(K5505,6)="MV15AX",LEFT(K5505,4)="CTAX",LEFT(K5505,2)="W|"),2*N5505*O5505,0)</f>
        <v/>
      </c>
      <c r="Z5505" s="12" t="inlineStr"/>
      <c r="AA5505" s="12">
        <f>N5505*O5505</f>
        <v/>
      </c>
    </row>
    <row r="5506">
      <c r="A5506" s="12" t="inlineStr">
        <is>
          <t>K-C-0130</t>
        </is>
      </c>
      <c r="B5506" s="12" t="inlineStr">
        <is>
          <t>K</t>
        </is>
      </c>
      <c r="C5506" s="12" t="inlineStr">
        <is>
          <t>Fuel supply (adjacent market)</t>
        </is>
      </c>
      <c r="D5506" s="12" t="inlineStr">
        <is>
          <t>Control</t>
        </is>
      </c>
      <c r="E5506" s="12" t="inlineStr"/>
      <c r="F5506" s="12" t="inlineStr">
        <is>
          <t>H2 20: 13.8 kV e-house</t>
        </is>
      </c>
      <c r="G5506" s="12" t="inlineStr"/>
      <c r="H5506" s="12" t="inlineStr">
        <is>
          <t>PEM electrolyzer 5 (HyLYZER-1000)</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7" t="n">
        <v>328</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K-C-0131</t>
        </is>
      </c>
      <c r="B5507" s="12" t="inlineStr">
        <is>
          <t>K</t>
        </is>
      </c>
      <c r="C5507" s="12" t="inlineStr">
        <is>
          <t>Fuel supply (adjacent market)</t>
        </is>
      </c>
      <c r="D5507" s="12" t="inlineStr">
        <is>
          <t>Control</t>
        </is>
      </c>
      <c r="E5507" s="12" t="inlineStr"/>
      <c r="F5507" s="12" t="inlineStr">
        <is>
          <t>H2 20: 13.8 kV e-house</t>
        </is>
      </c>
      <c r="G5507" s="12" t="inlineStr"/>
      <c r="H5507" s="12" t="inlineStr">
        <is>
          <t>Rectifier 1 (7 MVA)</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7" t="n">
        <v>346</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K-C-0132</t>
        </is>
      </c>
      <c r="B5508" s="12" t="inlineStr">
        <is>
          <t>K</t>
        </is>
      </c>
      <c r="C5508" s="12" t="inlineStr">
        <is>
          <t>Fuel supply (adjacent market)</t>
        </is>
      </c>
      <c r="D5508" s="12" t="inlineStr">
        <is>
          <t>Control</t>
        </is>
      </c>
      <c r="E5508" s="12" t="inlineStr"/>
      <c r="F5508" s="12" t="inlineStr">
        <is>
          <t>H2 20: 13.8 kV e-house</t>
        </is>
      </c>
      <c r="G5508" s="12" t="inlineStr"/>
      <c r="H5508" s="12" t="inlineStr">
        <is>
          <t>Rectifier 2 (7 MVA)</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7" t="n">
        <v>361</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K-C-0133</t>
        </is>
      </c>
      <c r="B5509" s="12" t="inlineStr">
        <is>
          <t>K</t>
        </is>
      </c>
      <c r="C5509" s="12" t="inlineStr">
        <is>
          <t>Fuel supply (adjacent market)</t>
        </is>
      </c>
      <c r="D5509" s="12" t="inlineStr">
        <is>
          <t>Control</t>
        </is>
      </c>
      <c r="E5509" s="12" t="inlineStr"/>
      <c r="F5509" s="12" t="inlineStr">
        <is>
          <t>H2 20: 13.8 kV e-house</t>
        </is>
      </c>
      <c r="G5509" s="12" t="inlineStr"/>
      <c r="H5509" s="12" t="inlineStr">
        <is>
          <t>Rectifier 3 (7 MVA)</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7" t="n">
        <v>341</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K-C-0134</t>
        </is>
      </c>
      <c r="B5510" s="12" t="inlineStr">
        <is>
          <t>K</t>
        </is>
      </c>
      <c r="C5510" s="12" t="inlineStr">
        <is>
          <t>Fuel supply (adjacent market)</t>
        </is>
      </c>
      <c r="D5510" s="12" t="inlineStr">
        <is>
          <t>Control</t>
        </is>
      </c>
      <c r="E5510" s="12" t="inlineStr"/>
      <c r="F5510" s="12" t="inlineStr">
        <is>
          <t>H2 20: 13.8 kV e-house</t>
        </is>
      </c>
      <c r="G5510" s="12" t="inlineStr"/>
      <c r="H5510" s="12" t="inlineStr">
        <is>
          <t>Rectifier 4 (7 MVA)</t>
        </is>
      </c>
      <c r="I5510" s="12" t="inlineStr">
        <is>
          <t>Control</t>
        </is>
      </c>
      <c r="J5510" s="12" t="inlineStr">
        <is>
          <t>Control cable 600 V Type TC-ER, Cu #14 AWG, PVC jacket</t>
        </is>
      </c>
      <c r="K5510" s="12" t="inlineStr">
        <is>
          <t>CT|7/C|14</t>
        </is>
      </c>
      <c r="L5510" s="12" t="inlineStr">
        <is>
          <t>7/C</t>
        </is>
      </c>
      <c r="M5510" s="12" t="inlineStr">
        <is>
          <t>14</t>
        </is>
      </c>
      <c r="N5510" s="12" t="n">
        <v>1</v>
      </c>
      <c r="O5510" s="12" t="n">
        <v>1</v>
      </c>
      <c r="P5510" s="12" t="n"/>
      <c r="Q5510" s="12" t="n"/>
      <c r="R5510" s="12" t="n"/>
      <c r="S5510" s="12" t="inlineStr">
        <is>
          <t>Duct bank</t>
        </is>
      </c>
      <c r="T5510" s="17" t="n">
        <v>321</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K-C-0135</t>
        </is>
      </c>
      <c r="B5511" s="12" t="inlineStr">
        <is>
          <t>K</t>
        </is>
      </c>
      <c r="C5511" s="12" t="inlineStr">
        <is>
          <t>Fuel supply (adjacent market)</t>
        </is>
      </c>
      <c r="D5511" s="12" t="inlineStr">
        <is>
          <t>Control</t>
        </is>
      </c>
      <c r="E5511" s="12" t="inlineStr"/>
      <c r="F5511" s="12" t="inlineStr">
        <is>
          <t>H2 20: 13.8 kV e-house</t>
        </is>
      </c>
      <c r="G5511" s="12" t="inlineStr"/>
      <c r="H5511" s="12" t="inlineStr">
        <is>
          <t>Rectifier 5 (7 MVA)</t>
        </is>
      </c>
      <c r="I5511" s="12" t="inlineStr">
        <is>
          <t>Control</t>
        </is>
      </c>
      <c r="J5511" s="12" t="inlineStr">
        <is>
          <t>Control cable 600 V Type TC-ER, Cu #14 AWG, PVC jacket</t>
        </is>
      </c>
      <c r="K5511" s="12" t="inlineStr">
        <is>
          <t>CT|7/C|14</t>
        </is>
      </c>
      <c r="L5511" s="12" t="inlineStr">
        <is>
          <t>7/C</t>
        </is>
      </c>
      <c r="M5511" s="12" t="inlineStr">
        <is>
          <t>14</t>
        </is>
      </c>
      <c r="N5511" s="12" t="n">
        <v>1</v>
      </c>
      <c r="O5511" s="12" t="n">
        <v>1</v>
      </c>
      <c r="P5511" s="12" t="n"/>
      <c r="Q5511" s="12" t="n"/>
      <c r="R5511" s="12" t="n"/>
      <c r="S5511" s="12" t="inlineStr">
        <is>
          <t>Duct bank</t>
        </is>
      </c>
      <c r="T5511" s="17" t="n">
        <v>301</v>
      </c>
      <c r="U5511" s="17" t="n">
        <v>32</v>
      </c>
      <c r="V5511" s="17">
        <f>ROUNDUP((T5511+U5511+2*'Read Me'!$B$13)*(1+'Read Me'!$B$12),-1)</f>
        <v/>
      </c>
      <c r="W5511" s="17">
        <f>V5511*N5511*O5511</f>
        <v/>
      </c>
      <c r="X5511" s="12">
        <f>IF(LEFT(I5511,2)="MV",2*N5511*IF(L5511="1/C",O5511,1),0)</f>
        <v/>
      </c>
      <c r="Y5511" s="12">
        <f>IF(OR(LEFT(K5511,4)="LVAX",LEFT(K5511,6)="MV15AX",LEFT(K5511,4)="CTAX",LEFT(K5511,2)="W|"),2*N5511*O5511,0)</f>
        <v/>
      </c>
      <c r="Z5511" s="12" t="inlineStr"/>
      <c r="AA5511" s="12">
        <f>N5511*O5511</f>
        <v/>
      </c>
    </row>
    <row r="5512">
      <c r="A5512" s="12" t="inlineStr">
        <is>
          <t>K-F-0001</t>
        </is>
      </c>
      <c r="B5512" s="12" t="inlineStr">
        <is>
          <t>K</t>
        </is>
      </c>
      <c r="C5512" s="12" t="inlineStr">
        <is>
          <t>Fuel supply (adjacent market)</t>
        </is>
      </c>
      <c r="D5512" s="12" t="inlineStr">
        <is>
          <t>Plant network / DCS fibre</t>
        </is>
      </c>
      <c r="E5512" s="12" t="inlineStr">
        <is>
          <t>CR</t>
        </is>
      </c>
      <c r="F5512" s="12" t="inlineStr">
        <is>
          <t>Control / admin building (main control room)</t>
        </is>
      </c>
      <c r="G5512" s="12" t="inlineStr"/>
      <c r="H5512" s="12" t="inlineStr">
        <is>
          <t>H2 20: 13.8 kV e-house</t>
        </is>
      </c>
      <c r="I5512" s="12" t="inlineStr">
        <is>
          <t>Fibre / data</t>
        </is>
      </c>
      <c r="J5512" s="12" t="inlineStr">
        <is>
          <t>Fibre optic, single-mode, 12-fibre, armored, orange jacket</t>
        </is>
      </c>
      <c r="K5512" s="12" t="inlineStr">
        <is>
          <t>FO|12 SM|-</t>
        </is>
      </c>
      <c r="L5512" s="12" t="inlineStr">
        <is>
          <t>12 SM</t>
        </is>
      </c>
      <c r="M5512" s="12" t="inlineStr">
        <is>
          <t>-</t>
        </is>
      </c>
      <c r="N5512" s="12" t="n">
        <v>1</v>
      </c>
      <c r="O5512" s="12" t="n">
        <v>1</v>
      </c>
      <c r="P5512" s="12" t="n"/>
      <c r="Q5512" s="12" t="n"/>
      <c r="R5512" s="12" t="n"/>
      <c r="S5512" s="12" t="inlineStr">
        <is>
          <t>Trench</t>
        </is>
      </c>
      <c r="T5512" s="17" t="n">
        <v>4293</v>
      </c>
      <c r="U5512" s="17" t="n">
        <v>36</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K-F-0002</t>
        </is>
      </c>
      <c r="B5513" s="12" t="inlineStr">
        <is>
          <t>K</t>
        </is>
      </c>
      <c r="C5513" s="12" t="inlineStr">
        <is>
          <t>Fuel supply (adjacent market)</t>
        </is>
      </c>
      <c r="D5513" s="12" t="inlineStr">
        <is>
          <t>Plant network / DCS fibre</t>
        </is>
      </c>
      <c r="E5513" s="12" t="inlineStr">
        <is>
          <t>CR</t>
        </is>
      </c>
      <c r="F5513" s="12" t="inlineStr">
        <is>
          <t>Control / admin building (main control room)</t>
        </is>
      </c>
      <c r="G5513" s="12" t="inlineStr"/>
      <c r="H5513" s="12" t="inlineStr">
        <is>
          <t>LNG 17: LNG e-house (13.8 kV / 480 V)</t>
        </is>
      </c>
      <c r="I5513" s="12" t="inlineStr">
        <is>
          <t>Fibre / data</t>
        </is>
      </c>
      <c r="J5513" s="12" t="inlineStr">
        <is>
          <t>Fibre optic, single-mode, 12-fibre, armored, orange jacket</t>
        </is>
      </c>
      <c r="K5513" s="12" t="inlineStr">
        <is>
          <t>FO|12 SM|-</t>
        </is>
      </c>
      <c r="L5513" s="12" t="inlineStr">
        <is>
          <t>12 SM</t>
        </is>
      </c>
      <c r="M5513" s="12" t="inlineStr">
        <is>
          <t>-</t>
        </is>
      </c>
      <c r="N5513" s="12" t="n">
        <v>1</v>
      </c>
      <c r="O5513" s="12" t="n">
        <v>1</v>
      </c>
      <c r="P5513" s="12" t="n"/>
      <c r="Q5513" s="12" t="n"/>
      <c r="R5513" s="12" t="n"/>
      <c r="S5513" s="12" t="inlineStr">
        <is>
          <t>Duct bank</t>
        </is>
      </c>
      <c r="T5513" s="17" t="n">
        <v>3499</v>
      </c>
      <c r="U5513" s="17" t="n">
        <v>359</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K-F-0003</t>
        </is>
      </c>
      <c r="B5514" s="12" t="inlineStr">
        <is>
          <t>K</t>
        </is>
      </c>
      <c r="C5514" s="12" t="inlineStr">
        <is>
          <t>Fuel supply (adjacent market)</t>
        </is>
      </c>
      <c r="D5514" s="12" t="inlineStr">
        <is>
          <t>Plant network / DCS fibre</t>
        </is>
      </c>
      <c r="E5514" s="12" t="inlineStr">
        <is>
          <t>CR</t>
        </is>
      </c>
      <c r="F5514" s="12" t="inlineStr">
        <is>
          <t>Control / admin building (main control room)</t>
        </is>
      </c>
      <c r="G5514" s="12" t="inlineStr"/>
      <c r="H5514" s="12" t="inlineStr">
        <is>
          <t>M&amp;R 6: regulation / flow control building</t>
        </is>
      </c>
      <c r="I5514" s="12" t="inlineStr">
        <is>
          <t>Fibre / data</t>
        </is>
      </c>
      <c r="J5514" s="12" t="inlineStr">
        <is>
          <t>Fibre optic, single-mode, 12-fibre, armored, orange jacket</t>
        </is>
      </c>
      <c r="K5514" s="12" t="inlineStr">
        <is>
          <t>FO|12 SM|-</t>
        </is>
      </c>
      <c r="L5514" s="12" t="inlineStr">
        <is>
          <t>12 SM</t>
        </is>
      </c>
      <c r="M5514" s="12" t="inlineStr">
        <is>
          <t>-</t>
        </is>
      </c>
      <c r="N5514" s="12" t="n">
        <v>1</v>
      </c>
      <c r="O5514" s="12" t="n">
        <v>1</v>
      </c>
      <c r="P5514" s="12" t="n"/>
      <c r="Q5514" s="12" t="n"/>
      <c r="R5514" s="12" t="n"/>
      <c r="S5514" s="12" t="inlineStr">
        <is>
          <t>Duct bank</t>
        </is>
      </c>
      <c r="T5514" s="17" t="n">
        <v>3128</v>
      </c>
      <c r="U5514" s="17" t="n">
        <v>302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K-F-0004</t>
        </is>
      </c>
      <c r="B5515" s="12" t="inlineStr">
        <is>
          <t>K</t>
        </is>
      </c>
      <c r="C5515" s="12" t="inlineStr">
        <is>
          <t>Fuel supply (adjacent market)</t>
        </is>
      </c>
      <c r="D5515" s="12" t="inlineStr">
        <is>
          <t>Plant network / DCS fibre</t>
        </is>
      </c>
      <c r="E5515" s="12" t="inlineStr">
        <is>
          <t>CR</t>
        </is>
      </c>
      <c r="F5515" s="12" t="inlineStr">
        <is>
          <t>Control / admin building (main control room)</t>
        </is>
      </c>
      <c r="G5515" s="12" t="inlineStr"/>
      <c r="H5515" s="12" t="inlineStr">
        <is>
          <t>M&amp;R 7: gas quality + measurement building</t>
        </is>
      </c>
      <c r="I5515" s="12" t="inlineStr">
        <is>
          <t>Fibre / data</t>
        </is>
      </c>
      <c r="J5515" s="12" t="inlineStr">
        <is>
          <t>Fibre optic, single-mode, 12-fibre, armored, orange jacket</t>
        </is>
      </c>
      <c r="K5515" s="12" t="inlineStr">
        <is>
          <t>FO|12 SM|-</t>
        </is>
      </c>
      <c r="L5515" s="12" t="inlineStr">
        <is>
          <t>12 SM</t>
        </is>
      </c>
      <c r="M5515" s="12" t="inlineStr">
        <is>
          <t>-</t>
        </is>
      </c>
      <c r="N5515" s="12" t="n">
        <v>1</v>
      </c>
      <c r="O5515" s="12" t="n">
        <v>1</v>
      </c>
      <c r="P5515" s="12" t="n"/>
      <c r="Q5515" s="12" t="n"/>
      <c r="R5515" s="12" t="n"/>
      <c r="S5515" s="12" t="inlineStr">
        <is>
          <t>Duct bank</t>
        </is>
      </c>
      <c r="T5515" s="17" t="n">
        <v>2978</v>
      </c>
      <c r="U5515" s="17" t="n">
        <v>284</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K-FA-0001</t>
        </is>
      </c>
      <c r="B5516" s="12" t="inlineStr">
        <is>
          <t>K</t>
        </is>
      </c>
      <c r="C5516" s="12" t="inlineStr">
        <is>
          <t>Fuel supply (adjacent market)</t>
        </is>
      </c>
      <c r="D5516" s="12" t="inlineStr">
        <is>
          <t>Fire alarm / F&amp;G loop (to the local FACP / F&amp;G node)</t>
        </is>
      </c>
      <c r="E5516" s="12" t="inlineStr"/>
      <c r="F5516" s="12" t="inlineStr">
        <is>
          <t>H2 20: 13.8 kV e-house</t>
        </is>
      </c>
      <c r="G5516" s="12" t="inlineStr"/>
      <c r="H5516" s="12" t="inlineStr">
        <is>
          <t>H2 20: 13.8 kV e-house</t>
        </is>
      </c>
      <c r="I5516" s="12" t="inlineStr">
        <is>
          <t>Fire alarm</t>
        </is>
      </c>
      <c r="J5516" s="12" t="inlineStr">
        <is>
          <t>Fire alarm FPLR 2/C #14 shielded, red jacket (NEC 760)</t>
        </is>
      </c>
      <c r="K5516" s="12" t="inlineStr">
        <is>
          <t>FA|2/C|14</t>
        </is>
      </c>
      <c r="L5516" s="12" t="inlineStr">
        <is>
          <t>2/C</t>
        </is>
      </c>
      <c r="M5516" s="12" t="inlineStr">
        <is>
          <t>14</t>
        </is>
      </c>
      <c r="N5516" s="12" t="n">
        <v>1</v>
      </c>
      <c r="O5516" s="12" t="n">
        <v>1</v>
      </c>
      <c r="P5516" s="12" t="n"/>
      <c r="Q5516" s="12" t="n"/>
      <c r="R5516" s="12" t="n"/>
      <c r="S5516" s="12" t="inlineStr">
        <is>
          <t>Tray</t>
        </is>
      </c>
      <c r="T5516" s="17" t="n">
        <v>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K-FA-0002</t>
        </is>
      </c>
      <c r="B5517" s="12" t="inlineStr">
        <is>
          <t>K</t>
        </is>
      </c>
      <c r="C5517" s="12" t="inlineStr">
        <is>
          <t>Fuel supply (adjacent market)</t>
        </is>
      </c>
      <c r="D5517" s="12" t="inlineStr">
        <is>
          <t>Fire alarm / F&amp;G loop (to the local FACP / F&amp;G node)</t>
        </is>
      </c>
      <c r="E5517" s="12" t="inlineStr"/>
      <c r="F5517" s="12" t="inlineStr">
        <is>
          <t>LNG 17: LNG e-house (13.8 kV / 480 V)</t>
        </is>
      </c>
      <c r="G5517" s="12" t="inlineStr"/>
      <c r="H5517" s="12" t="inlineStr">
        <is>
          <t>LNG 17: LNG e-house (13.8 kV / 480 V)</t>
        </is>
      </c>
      <c r="I5517" s="12" t="inlineStr">
        <is>
          <t>Fire alarm</t>
        </is>
      </c>
      <c r="J5517" s="12" t="inlineStr">
        <is>
          <t>Fire alarm FPLR 2/C #14 shielded, red jacket (NEC 760)</t>
        </is>
      </c>
      <c r="K5517" s="12" t="inlineStr">
        <is>
          <t>FA|2/C|14</t>
        </is>
      </c>
      <c r="L5517" s="12" t="inlineStr">
        <is>
          <t>2/C</t>
        </is>
      </c>
      <c r="M5517" s="12" t="inlineStr">
        <is>
          <t>14</t>
        </is>
      </c>
      <c r="N5517" s="12" t="n">
        <v>1</v>
      </c>
      <c r="O5517" s="12" t="n">
        <v>1</v>
      </c>
      <c r="P5517" s="12" t="n"/>
      <c r="Q5517" s="12" t="n"/>
      <c r="R5517" s="12" t="n"/>
      <c r="S5517" s="12" t="inlineStr">
        <is>
          <t>Tray</t>
        </is>
      </c>
      <c r="T5517" s="17" t="n">
        <v>0</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K-FA-0003</t>
        </is>
      </c>
      <c r="B5518" s="12" t="inlineStr">
        <is>
          <t>K</t>
        </is>
      </c>
      <c r="C5518" s="12" t="inlineStr">
        <is>
          <t>Fuel supply (adjacent market)</t>
        </is>
      </c>
      <c r="D5518" s="12" t="inlineStr">
        <is>
          <t>Fire alarm / F&amp;G loop (to the local FACP / F&amp;G node)</t>
        </is>
      </c>
      <c r="E5518" s="12" t="inlineStr"/>
      <c r="F5518" s="12" t="inlineStr">
        <is>
          <t>LNG 17: LNG e-house (13.8 kV / 480 V)</t>
        </is>
      </c>
      <c r="G5518" s="12" t="inlineStr"/>
      <c r="H5518" s="12" t="inlineStr">
        <is>
          <t>M&amp;R 6: regulation / flow control building</t>
        </is>
      </c>
      <c r="I5518" s="12" t="inlineStr">
        <is>
          <t>Fire alarm</t>
        </is>
      </c>
      <c r="J5518" s="12" t="inlineStr">
        <is>
          <t>Fire alarm FPLR 2/C #14 shielded, red jacket (NEC 760)</t>
        </is>
      </c>
      <c r="K5518" s="12" t="inlineStr">
        <is>
          <t>FA|2/C|14</t>
        </is>
      </c>
      <c r="L5518" s="12" t="inlineStr">
        <is>
          <t>2/C</t>
        </is>
      </c>
      <c r="M5518" s="12" t="inlineStr">
        <is>
          <t>14</t>
        </is>
      </c>
      <c r="N5518" s="12" t="n">
        <v>1</v>
      </c>
      <c r="O5518" s="12" t="n">
        <v>1</v>
      </c>
      <c r="P5518" s="12" t="n"/>
      <c r="Q5518" s="12" t="n"/>
      <c r="R5518" s="12" t="n"/>
      <c r="S5518" s="12" t="inlineStr">
        <is>
          <t>Duct bank</t>
        </is>
      </c>
      <c r="T5518" s="17" t="n">
        <v>470</v>
      </c>
      <c r="U5518" s="17" t="n">
        <v>70</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K-FA-0004</t>
        </is>
      </c>
      <c r="B5519" s="12" t="inlineStr">
        <is>
          <t>K</t>
        </is>
      </c>
      <c r="C5519" s="12" t="inlineStr">
        <is>
          <t>Fuel supply (adjacent market)</t>
        </is>
      </c>
      <c r="D5519" s="12" t="inlineStr">
        <is>
          <t>Fire alarm / F&amp;G loop (to the local FACP / F&amp;G node)</t>
        </is>
      </c>
      <c r="E5519" s="12" t="inlineStr"/>
      <c r="F5519" s="12" t="inlineStr">
        <is>
          <t>LNG 17: LNG e-house (13.8 kV / 480 V)</t>
        </is>
      </c>
      <c r="G5519" s="12" t="inlineStr"/>
      <c r="H5519" s="12" t="inlineStr">
        <is>
          <t>M&amp;R 9: service panel + UPS, SCADA RTU, CP</t>
        </is>
      </c>
      <c r="I5519" s="12" t="inlineStr">
        <is>
          <t>Fire alarm</t>
        </is>
      </c>
      <c r="J5519" s="12" t="inlineStr">
        <is>
          <t>Fire alarm FPLR 2/C #14 shielded, red jacket (NEC 760)</t>
        </is>
      </c>
      <c r="K5519" s="12" t="inlineStr">
        <is>
          <t>FA|2/C|14</t>
        </is>
      </c>
      <c r="L5519" s="12" t="inlineStr">
        <is>
          <t>2/C</t>
        </is>
      </c>
      <c r="M5519" s="12" t="inlineStr">
        <is>
          <t>14</t>
        </is>
      </c>
      <c r="N5519" s="12" t="n">
        <v>1</v>
      </c>
      <c r="O5519" s="12" t="n">
        <v>1</v>
      </c>
      <c r="P5519" s="12" t="n"/>
      <c r="Q5519" s="12" t="n"/>
      <c r="R5519" s="12" t="n"/>
      <c r="S5519" s="12" t="inlineStr">
        <is>
          <t>Duct bank</t>
        </is>
      </c>
      <c r="T5519" s="17" t="n">
        <v>466</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K-FA-0005</t>
        </is>
      </c>
      <c r="B5520" s="12" t="inlineStr">
        <is>
          <t>K</t>
        </is>
      </c>
      <c r="C5520" s="12" t="inlineStr">
        <is>
          <t>Fuel supply (adjacent market)</t>
        </is>
      </c>
      <c r="D5520" s="12" t="inlineStr">
        <is>
          <t>Fire alarm / F&amp;G loop (to the local FACP / F&amp;G node)</t>
        </is>
      </c>
      <c r="E5520" s="12" t="inlineStr"/>
      <c r="F5520" s="12" t="inlineStr">
        <is>
          <t>LNG 17: LNG e-house (13.8 kV / 480 V)</t>
        </is>
      </c>
      <c r="G5520" s="12" t="inlineStr"/>
      <c r="H5520" s="12" t="inlineStr">
        <is>
          <t>M&amp;R SCADA antenna mast base (as drawn)</t>
        </is>
      </c>
      <c r="I5520" s="12" t="inlineStr">
        <is>
          <t>Fire alarm</t>
        </is>
      </c>
      <c r="J5520" s="12" t="inlineStr">
        <is>
          <t>Fire alarm FPLR 2/C #14 shielded, red jacket (NEC 760)</t>
        </is>
      </c>
      <c r="K5520" s="12" t="inlineStr">
        <is>
          <t>FA|2/C|14</t>
        </is>
      </c>
      <c r="L5520" s="12" t="inlineStr">
        <is>
          <t>2/C</t>
        </is>
      </c>
      <c r="M5520" s="12" t="inlineStr">
        <is>
          <t>14</t>
        </is>
      </c>
      <c r="N5520" s="12" t="n">
        <v>1</v>
      </c>
      <c r="O5520" s="12" t="n">
        <v>1</v>
      </c>
      <c r="P5520" s="12" t="n"/>
      <c r="Q5520" s="12" t="n"/>
      <c r="R5520" s="12" t="n"/>
      <c r="S5520" s="12" t="inlineStr">
        <is>
          <t>Duct bank</t>
        </is>
      </c>
      <c r="T5520" s="17" t="n">
        <v>433</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K-I-0001</t>
        </is>
      </c>
      <c r="B5521" s="12" t="inlineStr">
        <is>
          <t>K</t>
        </is>
      </c>
      <c r="C5521" s="12" t="inlineStr">
        <is>
          <t>Fuel supply (adjacent market)</t>
        </is>
      </c>
      <c r="D5521" s="12" t="inlineStr">
        <is>
          <t>Analog instrument to JB JB-T-H2-AI01: 12 x 1 pr (field cables)</t>
        </is>
      </c>
      <c r="E5521" s="12" t="inlineStr">
        <is>
          <t>T-H2</t>
        </is>
      </c>
      <c r="F5521" s="12" t="inlineStr">
        <is>
          <t>H2 19: T-H2 230/13.8 kV (about 40 MVA)</t>
        </is>
      </c>
      <c r="G5521" s="12" t="inlineStr">
        <is>
          <t>JB-T-H2-AI01</t>
        </is>
      </c>
      <c r="H5521" s="12" t="inlineStr">
        <is>
          <t>H2 19: T-H2 230/13.8 kV (about 40 MVA)</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80</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K-I-0002</t>
        </is>
      </c>
      <c r="B5522" s="12" t="inlineStr">
        <is>
          <t>K</t>
        </is>
      </c>
      <c r="C5522" s="12" t="inlineStr">
        <is>
          <t>Fuel supply (adjacent market)</t>
        </is>
      </c>
      <c r="D5522" s="12" t="inlineStr">
        <is>
          <t>Home run JB-T-H2-AI01 to the control / marshalling room</t>
        </is>
      </c>
      <c r="E5522" s="12" t="inlineStr"/>
      <c r="F5522" s="12" t="inlineStr">
        <is>
          <t>H2 20: 13.8 kV e-house</t>
        </is>
      </c>
      <c r="G5522" s="12" t="inlineStr">
        <is>
          <t>JB-T-H2-AI01</t>
        </is>
      </c>
      <c r="H5522" s="12" t="inlineStr">
        <is>
          <t>H2 19: T-H2 230/13.8 kV (about 40 MVA)</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35</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K-I-0003</t>
        </is>
      </c>
      <c r="B5523" s="12" t="inlineStr">
        <is>
          <t>K</t>
        </is>
      </c>
      <c r="C5523" s="12" t="inlineStr">
        <is>
          <t>Fuel supply (adjacent market)</t>
        </is>
      </c>
      <c r="D5523" s="12" t="inlineStr">
        <is>
          <t>Discrete device to JB JB-T-H2-DI01: 12 x 1 pr (field cables)</t>
        </is>
      </c>
      <c r="E5523" s="12" t="inlineStr">
        <is>
          <t>T-H2</t>
        </is>
      </c>
      <c r="F5523" s="12" t="inlineStr">
        <is>
          <t>H2 19: T-H2 230/13.8 kV (about 40 MVA)</t>
        </is>
      </c>
      <c r="G5523" s="12" t="inlineStr">
        <is>
          <t>JB-T-H2-DI01</t>
        </is>
      </c>
      <c r="H5523" s="12" t="inlineStr">
        <is>
          <t>H2 19: T-H2 230/13.8 kV (about 40 MVA)</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80</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K-I-0004</t>
        </is>
      </c>
      <c r="B5524" s="12" t="inlineStr">
        <is>
          <t>K</t>
        </is>
      </c>
      <c r="C5524" s="12" t="inlineStr">
        <is>
          <t>Fuel supply (adjacent market)</t>
        </is>
      </c>
      <c r="D5524" s="12" t="inlineStr">
        <is>
          <t>Home run JB-T-H2-DI01 to the control / marshalling room</t>
        </is>
      </c>
      <c r="E5524" s="12" t="inlineStr"/>
      <c r="F5524" s="12" t="inlineStr">
        <is>
          <t>H2 20: 13.8 kV e-house</t>
        </is>
      </c>
      <c r="G5524" s="12" t="inlineStr">
        <is>
          <t>JB-T-H2-DI01</t>
        </is>
      </c>
      <c r="H5524" s="12" t="inlineStr">
        <is>
          <t>H2 19: T-H2 230/13.8 kV (about 40 MVA)</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35</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K-I-0005</t>
        </is>
      </c>
      <c r="B5525" s="12" t="inlineStr">
        <is>
          <t>K</t>
        </is>
      </c>
      <c r="C5525" s="12" t="inlineStr">
        <is>
          <t>Fuel supply (adjacent market)</t>
        </is>
      </c>
      <c r="D5525" s="12" t="inlineStr">
        <is>
          <t>Analog instrument to JB JB-H2 20: 13.8 kV e-h-AI01: 12 x 1 pr (field cables)</t>
        </is>
      </c>
      <c r="E5525" s="12" t="inlineStr"/>
      <c r="F5525" s="12" t="inlineStr">
        <is>
          <t>H2 20: 13.8 kV e-house</t>
        </is>
      </c>
      <c r="G5525" s="12" t="inlineStr">
        <is>
          <t>JB-H2 20: 13.8 kV e-h-AI01</t>
        </is>
      </c>
      <c r="H5525" s="12" t="inlineStr">
        <is>
          <t>H2 20: 13.8 kV e-house</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69</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K-I-0006</t>
        </is>
      </c>
      <c r="B5526" s="12" t="inlineStr">
        <is>
          <t>K</t>
        </is>
      </c>
      <c r="C5526" s="12" t="inlineStr">
        <is>
          <t>Fuel supply (adjacent market)</t>
        </is>
      </c>
      <c r="D5526" s="12" t="inlineStr">
        <is>
          <t>Home run JB-H2 20: 13.8 kV e-h-AI01 to the control / marshalling room</t>
        </is>
      </c>
      <c r="E5526" s="12" t="inlineStr"/>
      <c r="F5526" s="12" t="inlineStr">
        <is>
          <t>H2 20: 13.8 kV e-house</t>
        </is>
      </c>
      <c r="G5526" s="12" t="inlineStr">
        <is>
          <t>JB-H2 20: 13.8 kV e-h-AI01</t>
        </is>
      </c>
      <c r="H5526" s="12" t="inlineStr">
        <is>
          <t>H2 20: 13.8 kV e-house</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Tray</t>
        </is>
      </c>
      <c r="T5526" s="17" t="n">
        <v>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K-I-0007</t>
        </is>
      </c>
      <c r="B5527" s="12" t="inlineStr">
        <is>
          <t>K</t>
        </is>
      </c>
      <c r="C5527" s="12" t="inlineStr">
        <is>
          <t>Fuel supply (adjacent market)</t>
        </is>
      </c>
      <c r="D5527" s="12" t="inlineStr">
        <is>
          <t>Discrete device to JB JB-H2 20: 13.8 kV e-h-DI01: 12 x 1 pr (field cables)</t>
        </is>
      </c>
      <c r="E5527" s="12" t="inlineStr"/>
      <c r="F5527" s="12" t="inlineStr">
        <is>
          <t>H2 20: 13.8 kV e-house</t>
        </is>
      </c>
      <c r="G5527" s="12" t="inlineStr">
        <is>
          <t>JB-H2 20: 13.8 kV e-h-DI01</t>
        </is>
      </c>
      <c r="H5527" s="12" t="inlineStr">
        <is>
          <t>H2 20: 13.8 kV e-house</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69</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K-I-0008</t>
        </is>
      </c>
      <c r="B5528" s="12" t="inlineStr">
        <is>
          <t>K</t>
        </is>
      </c>
      <c r="C5528" s="12" t="inlineStr">
        <is>
          <t>Fuel supply (adjacent market)</t>
        </is>
      </c>
      <c r="D5528" s="12" t="inlineStr">
        <is>
          <t>Home run JB-H2 20: 13.8 kV e-h-DI01 to the control / marshalling room</t>
        </is>
      </c>
      <c r="E5528" s="12" t="inlineStr"/>
      <c r="F5528" s="12" t="inlineStr">
        <is>
          <t>H2 20: 13.8 kV e-house</t>
        </is>
      </c>
      <c r="G5528" s="12" t="inlineStr">
        <is>
          <t>JB-H2 20: 13.8 kV e-h-DI01</t>
        </is>
      </c>
      <c r="H5528" s="12" t="inlineStr">
        <is>
          <t>H2 20: 13.8 kV e-house</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Tray</t>
        </is>
      </c>
      <c r="T5528" s="17" t="n">
        <v>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K-I-0009</t>
        </is>
      </c>
      <c r="B5529" s="12" t="inlineStr">
        <is>
          <t>K</t>
        </is>
      </c>
      <c r="C5529" s="12" t="inlineStr">
        <is>
          <t>Fuel supply (adjacent market)</t>
        </is>
      </c>
      <c r="D5529" s="12" t="inlineStr">
        <is>
          <t>Analog instrument to JB JB-H2 21: rectifier t-AI01: 12 x 1 pr (field cables)</t>
        </is>
      </c>
      <c r="E5529" s="12" t="inlineStr"/>
      <c r="F5529" s="12" t="inlineStr">
        <is>
          <t>H2 21: rectifier transformer 1 (7 MVA)</t>
        </is>
      </c>
      <c r="G5529" s="12" t="inlineStr">
        <is>
          <t>JB-H2 21: rectifier t-AI01</t>
        </is>
      </c>
      <c r="H5529" s="12" t="inlineStr">
        <is>
          <t>H2 21: rectifier transformer 1 (7 MVA)</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41</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K-I-0010</t>
        </is>
      </c>
      <c r="B5530" s="12" t="inlineStr">
        <is>
          <t>K</t>
        </is>
      </c>
      <c r="C5530" s="12" t="inlineStr">
        <is>
          <t>Fuel supply (adjacent market)</t>
        </is>
      </c>
      <c r="D5530" s="12" t="inlineStr">
        <is>
          <t>Home run JB-H2 21: rectifier t-AI01 to the control / marshalling room</t>
        </is>
      </c>
      <c r="E5530" s="12" t="inlineStr"/>
      <c r="F5530" s="12" t="inlineStr">
        <is>
          <t>H2 20: 13.8 kV e-house</t>
        </is>
      </c>
      <c r="G5530" s="12" t="inlineStr">
        <is>
          <t>JB-H2 21: rectifier t-AI01</t>
        </is>
      </c>
      <c r="H5530" s="12" t="inlineStr">
        <is>
          <t>H2 21: rectifier transformer 1 (7 MVA)</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356</v>
      </c>
      <c r="U5530" s="17" t="n">
        <v>48</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K-I-0011</t>
        </is>
      </c>
      <c r="B5531" s="12" t="inlineStr">
        <is>
          <t>K</t>
        </is>
      </c>
      <c r="C5531" s="12" t="inlineStr">
        <is>
          <t>Fuel supply (adjacent market)</t>
        </is>
      </c>
      <c r="D5531" s="12" t="inlineStr">
        <is>
          <t>Discrete device to JB JB-H2 21: rectifier t-DI01: 12 x 1 pr (field cables)</t>
        </is>
      </c>
      <c r="E5531" s="12" t="inlineStr"/>
      <c r="F5531" s="12" t="inlineStr">
        <is>
          <t>H2 21: rectifier transformer 1 (7 MVA)</t>
        </is>
      </c>
      <c r="G5531" s="12" t="inlineStr">
        <is>
          <t>JB-H2 21: rectifier t-DI01</t>
        </is>
      </c>
      <c r="H5531" s="12" t="inlineStr">
        <is>
          <t>H2 21: rectifier transformer 1 (7 MVA)</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41</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K-I-0012</t>
        </is>
      </c>
      <c r="B5532" s="12" t="inlineStr">
        <is>
          <t>K</t>
        </is>
      </c>
      <c r="C5532" s="12" t="inlineStr">
        <is>
          <t>Fuel supply (adjacent market)</t>
        </is>
      </c>
      <c r="D5532" s="12" t="inlineStr">
        <is>
          <t>Home run JB-H2 21: rectifier t-DI01 to the control / marshalling room</t>
        </is>
      </c>
      <c r="E5532" s="12" t="inlineStr"/>
      <c r="F5532" s="12" t="inlineStr">
        <is>
          <t>H2 20: 13.8 kV e-house</t>
        </is>
      </c>
      <c r="G5532" s="12" t="inlineStr">
        <is>
          <t>JB-H2 21: rectifier t-DI01</t>
        </is>
      </c>
      <c r="H5532" s="12" t="inlineStr">
        <is>
          <t>H2 21: rectifier transformer 1 (7 MVA)</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356</v>
      </c>
      <c r="U5532" s="17" t="n">
        <v>48</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K-I-0013</t>
        </is>
      </c>
      <c r="B5533" s="12" t="inlineStr">
        <is>
          <t>K</t>
        </is>
      </c>
      <c r="C5533" s="12" t="inlineStr">
        <is>
          <t>Fuel supply (adjacent market)</t>
        </is>
      </c>
      <c r="D5533" s="12" t="inlineStr">
        <is>
          <t>Analog instrument to JB JB-H2 21: rectifier t-AI01: 12 x 1 pr (field cables)</t>
        </is>
      </c>
      <c r="E5533" s="12" t="inlineStr"/>
      <c r="F5533" s="12" t="inlineStr">
        <is>
          <t>H2 21: rectifier transformer 2 (7 MVA)</t>
        </is>
      </c>
      <c r="G5533" s="12" t="inlineStr">
        <is>
          <t>JB-H2 21: rectifier t-AI01</t>
        </is>
      </c>
      <c r="H5533" s="12" t="inlineStr">
        <is>
          <t>H2 21: rectifier transformer 2 (7 MVA)</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41</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K-I-0014</t>
        </is>
      </c>
      <c r="B5534" s="12" t="inlineStr">
        <is>
          <t>K</t>
        </is>
      </c>
      <c r="C5534" s="12" t="inlineStr">
        <is>
          <t>Fuel supply (adjacent market)</t>
        </is>
      </c>
      <c r="D5534" s="12" t="inlineStr">
        <is>
          <t>Home run JB-H2 21: rectifier t-AI01 to the control / marshalling room</t>
        </is>
      </c>
      <c r="E5534" s="12" t="inlineStr"/>
      <c r="F5534" s="12" t="inlineStr">
        <is>
          <t>H2 20: 13.8 kV e-house</t>
        </is>
      </c>
      <c r="G5534" s="12" t="inlineStr">
        <is>
          <t>JB-H2 21: rectifier t-AI01</t>
        </is>
      </c>
      <c r="H5534" s="12" t="inlineStr">
        <is>
          <t>H2 21: rectifier transformer 2 (7 MVA)</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356</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K-I-0015</t>
        </is>
      </c>
      <c r="B5535" s="12" t="inlineStr">
        <is>
          <t>K</t>
        </is>
      </c>
      <c r="C5535" s="12" t="inlineStr">
        <is>
          <t>Fuel supply (adjacent market)</t>
        </is>
      </c>
      <c r="D5535" s="12" t="inlineStr">
        <is>
          <t>Discrete device to JB JB-H2 21: rectifier t-DI01: 12 x 1 pr (field cables)</t>
        </is>
      </c>
      <c r="E5535" s="12" t="inlineStr"/>
      <c r="F5535" s="12" t="inlineStr">
        <is>
          <t>H2 21: rectifier transformer 2 (7 MVA)</t>
        </is>
      </c>
      <c r="G5535" s="12" t="inlineStr">
        <is>
          <t>JB-H2 21: rectifier t-DI01</t>
        </is>
      </c>
      <c r="H5535" s="12" t="inlineStr">
        <is>
          <t>H2 21: rectifier transformer 2 (7 MVA)</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41</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K-I-0016</t>
        </is>
      </c>
      <c r="B5536" s="12" t="inlineStr">
        <is>
          <t>K</t>
        </is>
      </c>
      <c r="C5536" s="12" t="inlineStr">
        <is>
          <t>Fuel supply (adjacent market)</t>
        </is>
      </c>
      <c r="D5536" s="12" t="inlineStr">
        <is>
          <t>Home run JB-H2 21: rectifier t-DI01 to the control / marshalling room</t>
        </is>
      </c>
      <c r="E5536" s="12" t="inlineStr"/>
      <c r="F5536" s="12" t="inlineStr">
        <is>
          <t>H2 20: 13.8 kV e-house</t>
        </is>
      </c>
      <c r="G5536" s="12" t="inlineStr">
        <is>
          <t>JB-H2 21: rectifier t-DI01</t>
        </is>
      </c>
      <c r="H5536" s="12" t="inlineStr">
        <is>
          <t>H2 21: rectifier transformer 2 (7 MVA)</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356</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K-I-0017</t>
        </is>
      </c>
      <c r="B5537" s="12" t="inlineStr">
        <is>
          <t>K</t>
        </is>
      </c>
      <c r="C5537" s="12" t="inlineStr">
        <is>
          <t>Fuel supply (adjacent market)</t>
        </is>
      </c>
      <c r="D5537" s="12" t="inlineStr">
        <is>
          <t>Analog instrument to JB JB-H2 21: rectifier t-AI01: 12 x 1 pr (field cables)</t>
        </is>
      </c>
      <c r="E5537" s="12" t="inlineStr"/>
      <c r="F5537" s="12" t="inlineStr">
        <is>
          <t>H2 21: rectifier transformer 3 (7 MVA)</t>
        </is>
      </c>
      <c r="G5537" s="12" t="inlineStr">
        <is>
          <t>JB-H2 21: rectifier t-AI01</t>
        </is>
      </c>
      <c r="H5537" s="12" t="inlineStr">
        <is>
          <t>H2 21: rectifier transformer 3 (7 MVA)</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41</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K-I-0018</t>
        </is>
      </c>
      <c r="B5538" s="12" t="inlineStr">
        <is>
          <t>K</t>
        </is>
      </c>
      <c r="C5538" s="12" t="inlineStr">
        <is>
          <t>Fuel supply (adjacent market)</t>
        </is>
      </c>
      <c r="D5538" s="12" t="inlineStr">
        <is>
          <t>Home run JB-H2 21: rectifier t-AI01 to the control / marshalling room</t>
        </is>
      </c>
      <c r="E5538" s="12" t="inlineStr"/>
      <c r="F5538" s="12" t="inlineStr">
        <is>
          <t>H2 20: 13.8 kV e-house</t>
        </is>
      </c>
      <c r="G5538" s="12" t="inlineStr">
        <is>
          <t>JB-H2 21: rectifier t-AI01</t>
        </is>
      </c>
      <c r="H5538" s="12" t="inlineStr">
        <is>
          <t>H2 21: rectifier transformer 3 (7 MVA)</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334</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K-I-0019</t>
        </is>
      </c>
      <c r="B5539" s="12" t="inlineStr">
        <is>
          <t>K</t>
        </is>
      </c>
      <c r="C5539" s="12" t="inlineStr">
        <is>
          <t>Fuel supply (adjacent market)</t>
        </is>
      </c>
      <c r="D5539" s="12" t="inlineStr">
        <is>
          <t>Discrete device to JB JB-H2 21: rectifier t-DI01: 12 x 1 pr (field cables)</t>
        </is>
      </c>
      <c r="E5539" s="12" t="inlineStr"/>
      <c r="F5539" s="12" t="inlineStr">
        <is>
          <t>H2 21: rectifier transformer 3 (7 MVA)</t>
        </is>
      </c>
      <c r="G5539" s="12" t="inlineStr">
        <is>
          <t>JB-H2 21: rectifier t-DI01</t>
        </is>
      </c>
      <c r="H5539" s="12" t="inlineStr">
        <is>
          <t>H2 21: rectifier transformer 3 (7 MVA)</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41</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K-I-0020</t>
        </is>
      </c>
      <c r="B5540" s="12" t="inlineStr">
        <is>
          <t>K</t>
        </is>
      </c>
      <c r="C5540" s="12" t="inlineStr">
        <is>
          <t>Fuel supply (adjacent market)</t>
        </is>
      </c>
      <c r="D5540" s="12" t="inlineStr">
        <is>
          <t>Home run JB-H2 21: rectifier t-DI01 to the control / marshalling room</t>
        </is>
      </c>
      <c r="E5540" s="12" t="inlineStr"/>
      <c r="F5540" s="12" t="inlineStr">
        <is>
          <t>H2 20: 13.8 kV e-house</t>
        </is>
      </c>
      <c r="G5540" s="12" t="inlineStr">
        <is>
          <t>JB-H2 21: rectifier t-DI01</t>
        </is>
      </c>
      <c r="H5540" s="12" t="inlineStr">
        <is>
          <t>H2 21: rectifier transformer 3 (7 MVA)</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334</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K-I-0021</t>
        </is>
      </c>
      <c r="B5541" s="12" t="inlineStr">
        <is>
          <t>K</t>
        </is>
      </c>
      <c r="C5541" s="12" t="inlineStr">
        <is>
          <t>Fuel supply (adjacent market)</t>
        </is>
      </c>
      <c r="D5541" s="12" t="inlineStr">
        <is>
          <t>Analog instrument to JB JB-H2 21: rectifier t-AI01: 12 x 1 pr (field cables)</t>
        </is>
      </c>
      <c r="E5541" s="12" t="inlineStr"/>
      <c r="F5541" s="12" t="inlineStr">
        <is>
          <t>H2 21: rectifier transformer 4 (7 MVA)</t>
        </is>
      </c>
      <c r="G5541" s="12" t="inlineStr">
        <is>
          <t>JB-H2 21: rectifier t-AI01</t>
        </is>
      </c>
      <c r="H5541" s="12" t="inlineStr">
        <is>
          <t>H2 21: rectifier transformer 4 (7 MVA)</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41</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K-I-0022</t>
        </is>
      </c>
      <c r="B5542" s="12" t="inlineStr">
        <is>
          <t>K</t>
        </is>
      </c>
      <c r="C5542" s="12" t="inlineStr">
        <is>
          <t>Fuel supply (adjacent market)</t>
        </is>
      </c>
      <c r="D5542" s="12" t="inlineStr">
        <is>
          <t>Home run JB-H2 21: rectifier t-AI01 to the control / marshalling room</t>
        </is>
      </c>
      <c r="E5542" s="12" t="inlineStr"/>
      <c r="F5542" s="12" t="inlineStr">
        <is>
          <t>H2 20: 13.8 kV e-house</t>
        </is>
      </c>
      <c r="G5542" s="12" t="inlineStr">
        <is>
          <t>JB-H2 21: rectifier t-AI01</t>
        </is>
      </c>
      <c r="H5542" s="12" t="inlineStr">
        <is>
          <t>H2 21: rectifier transformer 4 (7 MVA)</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312</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K-I-0023</t>
        </is>
      </c>
      <c r="B5543" s="12" t="inlineStr">
        <is>
          <t>K</t>
        </is>
      </c>
      <c r="C5543" s="12" t="inlineStr">
        <is>
          <t>Fuel supply (adjacent market)</t>
        </is>
      </c>
      <c r="D5543" s="12" t="inlineStr">
        <is>
          <t>Discrete device to JB JB-H2 21: rectifier t-DI01: 12 x 1 pr (field cables)</t>
        </is>
      </c>
      <c r="E5543" s="12" t="inlineStr"/>
      <c r="F5543" s="12" t="inlineStr">
        <is>
          <t>H2 21: rectifier transformer 4 (7 MVA)</t>
        </is>
      </c>
      <c r="G5543" s="12" t="inlineStr">
        <is>
          <t>JB-H2 21: rectifier t-DI01</t>
        </is>
      </c>
      <c r="H5543" s="12" t="inlineStr">
        <is>
          <t>H2 21: rectifier transformer 4 (7 MVA)</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41</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K-I-0024</t>
        </is>
      </c>
      <c r="B5544" s="12" t="inlineStr">
        <is>
          <t>K</t>
        </is>
      </c>
      <c r="C5544" s="12" t="inlineStr">
        <is>
          <t>Fuel supply (adjacent market)</t>
        </is>
      </c>
      <c r="D5544" s="12" t="inlineStr">
        <is>
          <t>Home run JB-H2 21: rectifier t-DI01 to the control / marshalling room</t>
        </is>
      </c>
      <c r="E5544" s="12" t="inlineStr"/>
      <c r="F5544" s="12" t="inlineStr">
        <is>
          <t>H2 20: 13.8 kV e-house</t>
        </is>
      </c>
      <c r="G5544" s="12" t="inlineStr">
        <is>
          <t>JB-H2 21: rectifier t-DI01</t>
        </is>
      </c>
      <c r="H5544" s="12" t="inlineStr">
        <is>
          <t>H2 21: rectifier transformer 4 (7 MVA)</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312</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K-I-0025</t>
        </is>
      </c>
      <c r="B5545" s="12" t="inlineStr">
        <is>
          <t>K</t>
        </is>
      </c>
      <c r="C5545" s="12" t="inlineStr">
        <is>
          <t>Fuel supply (adjacent market)</t>
        </is>
      </c>
      <c r="D5545" s="12" t="inlineStr">
        <is>
          <t>Analog instrument to JB JB-H2 21: rectifier t-AI01: 12 x 1 pr (field cables)</t>
        </is>
      </c>
      <c r="E5545" s="12" t="inlineStr"/>
      <c r="F5545" s="12" t="inlineStr">
        <is>
          <t>H2 21: rectifier transformer 5 (7 MVA)</t>
        </is>
      </c>
      <c r="G5545" s="12" t="inlineStr">
        <is>
          <t>JB-H2 21: rectifier t-AI01</t>
        </is>
      </c>
      <c r="H5545" s="12" t="inlineStr">
        <is>
          <t>H2 21: rectifier transformer 5 (7 MVA)</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41</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K-I-0026</t>
        </is>
      </c>
      <c r="B5546" s="12" t="inlineStr">
        <is>
          <t>K</t>
        </is>
      </c>
      <c r="C5546" s="12" t="inlineStr">
        <is>
          <t>Fuel supply (adjacent market)</t>
        </is>
      </c>
      <c r="D5546" s="12" t="inlineStr">
        <is>
          <t>Home run JB-H2 21: rectifier t-AI01 to the control / marshalling room</t>
        </is>
      </c>
      <c r="E5546" s="12" t="inlineStr"/>
      <c r="F5546" s="12" t="inlineStr">
        <is>
          <t>H2 20: 13.8 kV e-house</t>
        </is>
      </c>
      <c r="G5546" s="12" t="inlineStr">
        <is>
          <t>JB-H2 21: rectifier t-AI01</t>
        </is>
      </c>
      <c r="H5546" s="12" t="inlineStr">
        <is>
          <t>H2 21: rectifier transformer 5 (7 MVA)</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254</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K-I-0027</t>
        </is>
      </c>
      <c r="B5547" s="12" t="inlineStr">
        <is>
          <t>K</t>
        </is>
      </c>
      <c r="C5547" s="12" t="inlineStr">
        <is>
          <t>Fuel supply (adjacent market)</t>
        </is>
      </c>
      <c r="D5547" s="12" t="inlineStr">
        <is>
          <t>Discrete device to JB JB-H2 21: rectifier t-DI01: 12 x 1 pr (field cables)</t>
        </is>
      </c>
      <c r="E5547" s="12" t="inlineStr"/>
      <c r="F5547" s="12" t="inlineStr">
        <is>
          <t>H2 21: rectifier transformer 5 (7 MVA)</t>
        </is>
      </c>
      <c r="G5547" s="12" t="inlineStr">
        <is>
          <t>JB-H2 21: rectifier t-DI01</t>
        </is>
      </c>
      <c r="H5547" s="12" t="inlineStr">
        <is>
          <t>H2 21: rectifier transformer 5 (7 MVA)</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41</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K-I-0028</t>
        </is>
      </c>
      <c r="B5548" s="12" t="inlineStr">
        <is>
          <t>K</t>
        </is>
      </c>
      <c r="C5548" s="12" t="inlineStr">
        <is>
          <t>Fuel supply (adjacent market)</t>
        </is>
      </c>
      <c r="D5548" s="12" t="inlineStr">
        <is>
          <t>Home run JB-H2 21: rectifier t-DI01 to the control / marshalling room</t>
        </is>
      </c>
      <c r="E5548" s="12" t="inlineStr"/>
      <c r="F5548" s="12" t="inlineStr">
        <is>
          <t>H2 20: 13.8 kV e-house</t>
        </is>
      </c>
      <c r="G5548" s="12" t="inlineStr">
        <is>
          <t>JB-H2 21: rectifier t-DI01</t>
        </is>
      </c>
      <c r="H5548" s="12" t="inlineStr">
        <is>
          <t>H2 21: rectifier transformer 5 (7 MVA)</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254</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K-I-0029</t>
        </is>
      </c>
      <c r="B5549" s="12" t="inlineStr">
        <is>
          <t>K</t>
        </is>
      </c>
      <c r="C5549" s="12" t="inlineStr">
        <is>
          <t>Fuel supply (adjacent market)</t>
        </is>
      </c>
      <c r="D5549" s="12" t="inlineStr">
        <is>
          <t>Analog instrument to JB JB-H2-EL-AI01: 12 x 1 pr (field cables)</t>
        </is>
      </c>
      <c r="E5549" s="12" t="inlineStr">
        <is>
          <t>H2-EL</t>
        </is>
      </c>
      <c r="F5549" s="12" t="inlineStr">
        <is>
          <t>H2 22: electrolyzer building (5 x HyLYZER-1000 + 5 rectifiers)</t>
        </is>
      </c>
      <c r="G5549" s="12" t="inlineStr">
        <is>
          <t>JB-H2-EL-AI01</t>
        </is>
      </c>
      <c r="H5549" s="12" t="inlineStr">
        <is>
          <t>H2 22: electrolyzer building (5 x HyLYZER-1000 + 5 rectifiers)</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157</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K-I-0030</t>
        </is>
      </c>
      <c r="B5550" s="12" t="inlineStr">
        <is>
          <t>K</t>
        </is>
      </c>
      <c r="C5550" s="12" t="inlineStr">
        <is>
          <t>Fuel supply (adjacent market)</t>
        </is>
      </c>
      <c r="D5550" s="12" t="inlineStr">
        <is>
          <t>Home run JB-H2-EL-AI01 to the control / marshalling room</t>
        </is>
      </c>
      <c r="E5550" s="12" t="inlineStr"/>
      <c r="F5550" s="12" t="inlineStr">
        <is>
          <t>H2 20: 13.8 kV e-house</t>
        </is>
      </c>
      <c r="G5550" s="12" t="inlineStr">
        <is>
          <t>JB-H2-EL-AI01</t>
        </is>
      </c>
      <c r="H5550" s="12" t="inlineStr">
        <is>
          <t>H2 22: electrolyzer building (5 x HyLYZER-1000 + 5 rectifiers)</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346</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K-I-0031</t>
        </is>
      </c>
      <c r="B5551" s="12" t="inlineStr">
        <is>
          <t>K</t>
        </is>
      </c>
      <c r="C5551" s="12" t="inlineStr">
        <is>
          <t>Fuel supply (adjacent market)</t>
        </is>
      </c>
      <c r="D5551" s="12" t="inlineStr">
        <is>
          <t>Discrete device to JB JB-H2-EL-DI01: 12 x 1 pr (field cables)</t>
        </is>
      </c>
      <c r="E5551" s="12" t="inlineStr">
        <is>
          <t>H2-EL</t>
        </is>
      </c>
      <c r="F5551" s="12" t="inlineStr">
        <is>
          <t>H2 22: electrolyzer building (5 x HyLYZER-1000 + 5 rectifiers)</t>
        </is>
      </c>
      <c r="G5551" s="12" t="inlineStr">
        <is>
          <t>JB-H2-EL-DI01</t>
        </is>
      </c>
      <c r="H5551" s="12" t="inlineStr">
        <is>
          <t>H2 22: electrolyzer building (5 x HyLYZER-1000 + 5 rectifiers)</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157</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K-I-0032</t>
        </is>
      </c>
      <c r="B5552" s="12" t="inlineStr">
        <is>
          <t>K</t>
        </is>
      </c>
      <c r="C5552" s="12" t="inlineStr">
        <is>
          <t>Fuel supply (adjacent market)</t>
        </is>
      </c>
      <c r="D5552" s="12" t="inlineStr">
        <is>
          <t>Home run JB-H2-EL-DI01 to the control / marshalling room</t>
        </is>
      </c>
      <c r="E5552" s="12" t="inlineStr"/>
      <c r="F5552" s="12" t="inlineStr">
        <is>
          <t>H2 20: 13.8 kV e-house</t>
        </is>
      </c>
      <c r="G5552" s="12" t="inlineStr">
        <is>
          <t>JB-H2-EL-DI01</t>
        </is>
      </c>
      <c r="H5552" s="12" t="inlineStr">
        <is>
          <t>H2 22: electrolyzer building (5 x HyLYZER-1000 + 5 rectifiers)</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346</v>
      </c>
      <c r="U5552" s="17" t="n">
        <v>32</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K-I-0033</t>
        </is>
      </c>
      <c r="B5553" s="12" t="inlineStr">
        <is>
          <t>K</t>
        </is>
      </c>
      <c r="C5553" s="12" t="inlineStr">
        <is>
          <t>Fuel supply (adjacent market)</t>
        </is>
      </c>
      <c r="D5553" s="12" t="inlineStr">
        <is>
          <t>Analog instrument to JB JB-H2 23: dry coolers-AI01: 12 x 1 pr (field cables)</t>
        </is>
      </c>
      <c r="E5553" s="12" t="inlineStr"/>
      <c r="F5553" s="12" t="inlineStr">
        <is>
          <t>H2 23: dry coolers</t>
        </is>
      </c>
      <c r="G5553" s="12" t="inlineStr">
        <is>
          <t>JB-H2 23: dry coolers-AI01</t>
        </is>
      </c>
      <c r="H5553" s="12" t="inlineStr">
        <is>
          <t>H2 23: dry coolers</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111</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K-I-0034</t>
        </is>
      </c>
      <c r="B5554" s="12" t="inlineStr">
        <is>
          <t>K</t>
        </is>
      </c>
      <c r="C5554" s="12" t="inlineStr">
        <is>
          <t>Fuel supply (adjacent market)</t>
        </is>
      </c>
      <c r="D5554" s="12" t="inlineStr">
        <is>
          <t>Home run JB-H2 23: dry coolers-AI01 to the control / marshalling room</t>
        </is>
      </c>
      <c r="E5554" s="12" t="inlineStr"/>
      <c r="F5554" s="12" t="inlineStr">
        <is>
          <t>H2 20: 13.8 kV e-house</t>
        </is>
      </c>
      <c r="G5554" s="12" t="inlineStr">
        <is>
          <t>JB-H2 23: dry coolers-AI01</t>
        </is>
      </c>
      <c r="H5554" s="12" t="inlineStr">
        <is>
          <t>H2 23: dry coolers</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100</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K-I-0035</t>
        </is>
      </c>
      <c r="B5555" s="12" t="inlineStr">
        <is>
          <t>K</t>
        </is>
      </c>
      <c r="C5555" s="12" t="inlineStr">
        <is>
          <t>Fuel supply (adjacent market)</t>
        </is>
      </c>
      <c r="D5555" s="12" t="inlineStr">
        <is>
          <t>Discrete device to JB JB-H2 23: dry coolers-DI01: 12 x 1 pr (field cables)</t>
        </is>
      </c>
      <c r="E5555" s="12" t="inlineStr"/>
      <c r="F5555" s="12" t="inlineStr">
        <is>
          <t>H2 23: dry coolers</t>
        </is>
      </c>
      <c r="G5555" s="12" t="inlineStr">
        <is>
          <t>JB-H2 23: dry coolers-DI01</t>
        </is>
      </c>
      <c r="H5555" s="12" t="inlineStr">
        <is>
          <t>H2 23: dry coolers</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111</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K-I-0036</t>
        </is>
      </c>
      <c r="B5556" s="12" t="inlineStr">
        <is>
          <t>K</t>
        </is>
      </c>
      <c r="C5556" s="12" t="inlineStr">
        <is>
          <t>Fuel supply (adjacent market)</t>
        </is>
      </c>
      <c r="D5556" s="12" t="inlineStr">
        <is>
          <t>Home run JB-H2 23: dry coolers-DI01 to the control / marshalling room</t>
        </is>
      </c>
      <c r="E5556" s="12" t="inlineStr"/>
      <c r="F5556" s="12" t="inlineStr">
        <is>
          <t>H2 20: 13.8 kV e-house</t>
        </is>
      </c>
      <c r="G5556" s="12" t="inlineStr">
        <is>
          <t>JB-H2 23: dry coolers-DI01</t>
        </is>
      </c>
      <c r="H5556" s="12" t="inlineStr">
        <is>
          <t>H2 23: dry coolers</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100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K-I-0037</t>
        </is>
      </c>
      <c r="B5557" s="12" t="inlineStr">
        <is>
          <t>K</t>
        </is>
      </c>
      <c r="C5557" s="12" t="inlineStr">
        <is>
          <t>Fuel supply (adjacent market)</t>
        </is>
      </c>
      <c r="D5557" s="12" t="inlineStr">
        <is>
          <t>Analog instrument to JB JB-H2 24: water purif-AI01: 12 x 1 pr (field cables)</t>
        </is>
      </c>
      <c r="E5557" s="12" t="inlineStr"/>
      <c r="F5557" s="12" t="inlineStr">
        <is>
          <t>H2 24: water purification (RO / EDI)</t>
        </is>
      </c>
      <c r="G5557" s="12" t="inlineStr">
        <is>
          <t>JB-H2 24: water purif-AI01</t>
        </is>
      </c>
      <c r="H5557" s="12" t="inlineStr">
        <is>
          <t>H2 24: water purification (RO / EDI)</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60</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K-I-0038</t>
        </is>
      </c>
      <c r="B5558" s="12" t="inlineStr">
        <is>
          <t>K</t>
        </is>
      </c>
      <c r="C5558" s="12" t="inlineStr">
        <is>
          <t>Fuel supply (adjacent market)</t>
        </is>
      </c>
      <c r="D5558" s="12" t="inlineStr">
        <is>
          <t>Home run JB-H2 24: water purif-AI01 to the control / marshalling room</t>
        </is>
      </c>
      <c r="E5558" s="12" t="inlineStr"/>
      <c r="F5558" s="12" t="inlineStr">
        <is>
          <t>H2 20: 13.8 kV e-house</t>
        </is>
      </c>
      <c r="G5558" s="12" t="inlineStr">
        <is>
          <t>JB-H2 24: water purif-AI01</t>
        </is>
      </c>
      <c r="H5558" s="12" t="inlineStr">
        <is>
          <t>H2 24: water purification (RO / EDI)</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146</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K-I-0039</t>
        </is>
      </c>
      <c r="B5559" s="12" t="inlineStr">
        <is>
          <t>K</t>
        </is>
      </c>
      <c r="C5559" s="12" t="inlineStr">
        <is>
          <t>Fuel supply (adjacent market)</t>
        </is>
      </c>
      <c r="D5559" s="12" t="inlineStr">
        <is>
          <t>Discrete device to JB JB-H2 24: water purif-DI01: 12 x 1 pr (field cables)</t>
        </is>
      </c>
      <c r="E5559" s="12" t="inlineStr"/>
      <c r="F5559" s="12" t="inlineStr">
        <is>
          <t>H2 24: water purification (RO / EDI)</t>
        </is>
      </c>
      <c r="G5559" s="12" t="inlineStr">
        <is>
          <t>JB-H2 24: water purif-DI01</t>
        </is>
      </c>
      <c r="H5559" s="12" t="inlineStr">
        <is>
          <t>H2 24: water purification (RO / EDI)</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60</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K-I-0040</t>
        </is>
      </c>
      <c r="B5560" s="12" t="inlineStr">
        <is>
          <t>K</t>
        </is>
      </c>
      <c r="C5560" s="12" t="inlineStr">
        <is>
          <t>Fuel supply (adjacent market)</t>
        </is>
      </c>
      <c r="D5560" s="12" t="inlineStr">
        <is>
          <t>Home run JB-H2 24: water purif-DI01 to the control / marshalling room</t>
        </is>
      </c>
      <c r="E5560" s="12" t="inlineStr"/>
      <c r="F5560" s="12" t="inlineStr">
        <is>
          <t>H2 20: 13.8 kV e-house</t>
        </is>
      </c>
      <c r="G5560" s="12" t="inlineStr">
        <is>
          <t>JB-H2 24: water purif-DI01</t>
        </is>
      </c>
      <c r="H5560" s="12" t="inlineStr">
        <is>
          <t>H2 24: water purification (RO / EDI)</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146</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K-I-0041</t>
        </is>
      </c>
      <c r="B5561" s="12" t="inlineStr">
        <is>
          <t>K</t>
        </is>
      </c>
      <c r="C5561" s="12" t="inlineStr">
        <is>
          <t>Fuel supply (adjacent market)</t>
        </is>
      </c>
      <c r="D5561" s="12" t="inlineStr">
        <is>
          <t>Analog instrument to JB JB-H2 25: H2 dryer / -AI01: 12 x 1 pr (field cables)</t>
        </is>
      </c>
      <c r="E5561" s="12" t="inlineStr"/>
      <c r="F5561" s="12" t="inlineStr">
        <is>
          <t>H2 25: H2 dryer / purification</t>
        </is>
      </c>
      <c r="G5561" s="12" t="inlineStr">
        <is>
          <t>JB-H2 25: H2 dryer / -AI01</t>
        </is>
      </c>
      <c r="H5561" s="12" t="inlineStr">
        <is>
          <t>H2 25: H2 dryer / purification</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60</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K-I-0042</t>
        </is>
      </c>
      <c r="B5562" s="12" t="inlineStr">
        <is>
          <t>K</t>
        </is>
      </c>
      <c r="C5562" s="12" t="inlineStr">
        <is>
          <t>Fuel supply (adjacent market)</t>
        </is>
      </c>
      <c r="D5562" s="12" t="inlineStr">
        <is>
          <t>Home run JB-H2 25: H2 dryer / -AI01 to the control / marshalling room</t>
        </is>
      </c>
      <c r="E5562" s="12" t="inlineStr"/>
      <c r="F5562" s="12" t="inlineStr">
        <is>
          <t>H2 20: 13.8 kV e-house</t>
        </is>
      </c>
      <c r="G5562" s="12" t="inlineStr">
        <is>
          <t>JB-H2 25: H2 dryer / -AI01</t>
        </is>
      </c>
      <c r="H5562" s="12" t="inlineStr">
        <is>
          <t>H2 25: H2 dryer / purification</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0</v>
      </c>
      <c r="U5562" s="17" t="n">
        <v>49</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K-I-0043</t>
        </is>
      </c>
      <c r="B5563" s="12" t="inlineStr">
        <is>
          <t>K</t>
        </is>
      </c>
      <c r="C5563" s="12" t="inlineStr">
        <is>
          <t>Fuel supply (adjacent market)</t>
        </is>
      </c>
      <c r="D5563" s="12" t="inlineStr">
        <is>
          <t>Discrete device to JB JB-H2 25: H2 dryer / -DI01: 12 x 1 pr (field cables)</t>
        </is>
      </c>
      <c r="E5563" s="12" t="inlineStr"/>
      <c r="F5563" s="12" t="inlineStr">
        <is>
          <t>H2 25: H2 dryer / purification</t>
        </is>
      </c>
      <c r="G5563" s="12" t="inlineStr">
        <is>
          <t>JB-H2 25: H2 dryer / -DI01</t>
        </is>
      </c>
      <c r="H5563" s="12" t="inlineStr">
        <is>
          <t>H2 25: H2 dryer / purification</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60</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K-I-0044</t>
        </is>
      </c>
      <c r="B5564" s="12" t="inlineStr">
        <is>
          <t>K</t>
        </is>
      </c>
      <c r="C5564" s="12" t="inlineStr">
        <is>
          <t>Fuel supply (adjacent market)</t>
        </is>
      </c>
      <c r="D5564" s="12" t="inlineStr">
        <is>
          <t>Home run JB-H2 25: H2 dryer / -DI01 to the control / marshalling room</t>
        </is>
      </c>
      <c r="E5564" s="12" t="inlineStr"/>
      <c r="F5564" s="12" t="inlineStr">
        <is>
          <t>H2 20: 13.8 kV e-house</t>
        </is>
      </c>
      <c r="G5564" s="12" t="inlineStr">
        <is>
          <t>JB-H2 25: H2 dryer / -DI01</t>
        </is>
      </c>
      <c r="H5564" s="12" t="inlineStr">
        <is>
          <t>H2 25: H2 dryer / purification</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0</v>
      </c>
      <c r="U5564" s="17" t="n">
        <v>49</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K-I-0045</t>
        </is>
      </c>
      <c r="B5565" s="12" t="inlineStr">
        <is>
          <t>K</t>
        </is>
      </c>
      <c r="C5565" s="12" t="inlineStr">
        <is>
          <t>Fuel supply (adjacent market)</t>
        </is>
      </c>
      <c r="D5565" s="12" t="inlineStr">
        <is>
          <t>Analog instrument to JB JB-H2 26: H2 compress-AI01: 12 x 1 pr (field cables)</t>
        </is>
      </c>
      <c r="E5565" s="12" t="inlineStr"/>
      <c r="F5565" s="12" t="inlineStr">
        <is>
          <t>H2 26: H2 compressor 1 (40 ft ISO)</t>
        </is>
      </c>
      <c r="G5565" s="12" t="inlineStr">
        <is>
          <t>JB-H2 26: H2 compress-AI01</t>
        </is>
      </c>
      <c r="H5565" s="12" t="inlineStr">
        <is>
          <t>H2 26: H2 compressor 1 (40 ft ISO)</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53</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K-I-0046</t>
        </is>
      </c>
      <c r="B5566" s="12" t="inlineStr">
        <is>
          <t>K</t>
        </is>
      </c>
      <c r="C5566" s="12" t="inlineStr">
        <is>
          <t>Fuel supply (adjacent market)</t>
        </is>
      </c>
      <c r="D5566" s="12" t="inlineStr">
        <is>
          <t>Home run JB-H2 26: H2 compress-AI01 to the control / marshalling room</t>
        </is>
      </c>
      <c r="E5566" s="12" t="inlineStr"/>
      <c r="F5566" s="12" t="inlineStr">
        <is>
          <t>H2 20: 13.8 kV e-house</t>
        </is>
      </c>
      <c r="G5566" s="12" t="inlineStr">
        <is>
          <t>JB-H2 26: H2 compress-AI01</t>
        </is>
      </c>
      <c r="H5566" s="12" t="inlineStr">
        <is>
          <t>H2 26: H2 compressor 1 (40 ft ISO)</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50</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K-I-0047</t>
        </is>
      </c>
      <c r="B5567" s="12" t="inlineStr">
        <is>
          <t>K</t>
        </is>
      </c>
      <c r="C5567" s="12" t="inlineStr">
        <is>
          <t>Fuel supply (adjacent market)</t>
        </is>
      </c>
      <c r="D5567" s="12" t="inlineStr">
        <is>
          <t>Discrete device to JB JB-H2 26: H2 compress-DI01: 12 x 1 pr (field cables)</t>
        </is>
      </c>
      <c r="E5567" s="12" t="inlineStr"/>
      <c r="F5567" s="12" t="inlineStr">
        <is>
          <t>H2 26: H2 compressor 1 (40 ft ISO)</t>
        </is>
      </c>
      <c r="G5567" s="12" t="inlineStr">
        <is>
          <t>JB-H2 26: H2 compress-DI01</t>
        </is>
      </c>
      <c r="H5567" s="12" t="inlineStr">
        <is>
          <t>H2 26: H2 compressor 1 (40 ft ISO)</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12</v>
      </c>
      <c r="O5567" s="12" t="n">
        <v>1</v>
      </c>
      <c r="P5567" s="12" t="n"/>
      <c r="Q5567" s="12" t="n"/>
      <c r="R5567" s="12" t="n"/>
      <c r="S5567" s="12" t="inlineStr">
        <is>
          <t>Tray / conduit</t>
        </is>
      </c>
      <c r="T5567" s="17" t="n">
        <v>53</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K-I-0048</t>
        </is>
      </c>
      <c r="B5568" s="12" t="inlineStr">
        <is>
          <t>K</t>
        </is>
      </c>
      <c r="C5568" s="12" t="inlineStr">
        <is>
          <t>Fuel supply (adjacent market)</t>
        </is>
      </c>
      <c r="D5568" s="12" t="inlineStr">
        <is>
          <t>Home run JB-H2 26: H2 compress-DI01 to the control / marshalling room</t>
        </is>
      </c>
      <c r="E5568" s="12" t="inlineStr"/>
      <c r="F5568" s="12" t="inlineStr">
        <is>
          <t>H2 20: 13.8 kV e-house</t>
        </is>
      </c>
      <c r="G5568" s="12" t="inlineStr">
        <is>
          <t>JB-H2 26: H2 compress-DI01</t>
        </is>
      </c>
      <c r="H5568" s="12" t="inlineStr">
        <is>
          <t>H2 26: H2 compressor 1 (40 ft ISO)</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7" t="n">
        <v>50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K-I-0049</t>
        </is>
      </c>
      <c r="B5569" s="12" t="inlineStr">
        <is>
          <t>K</t>
        </is>
      </c>
      <c r="C5569" s="12" t="inlineStr">
        <is>
          <t>Fuel supply (adjacent market)</t>
        </is>
      </c>
      <c r="D5569" s="12" t="inlineStr">
        <is>
          <t>Analog instrument to JB JB-H2 26: H2 compress-AI01: 12 x 1 pr (field cables)</t>
        </is>
      </c>
      <c r="E5569" s="12" t="inlineStr"/>
      <c r="F5569" s="12" t="inlineStr">
        <is>
          <t>H2 26: H2 compressor 2 (40 ft ISO)</t>
        </is>
      </c>
      <c r="G5569" s="12" t="inlineStr">
        <is>
          <t>JB-H2 26: H2 compress-AI01</t>
        </is>
      </c>
      <c r="H5569" s="12" t="inlineStr">
        <is>
          <t>H2 26: H2 compressor 2 (40 ft ISO)</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53</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K-I-0050</t>
        </is>
      </c>
      <c r="B5570" s="12" t="inlineStr">
        <is>
          <t>K</t>
        </is>
      </c>
      <c r="C5570" s="12" t="inlineStr">
        <is>
          <t>Fuel supply (adjacent market)</t>
        </is>
      </c>
      <c r="D5570" s="12" t="inlineStr">
        <is>
          <t>Home run JB-H2 26: H2 compress-AI01 to the control / marshalling room</t>
        </is>
      </c>
      <c r="E5570" s="12" t="inlineStr"/>
      <c r="F5570" s="12" t="inlineStr">
        <is>
          <t>H2 20: 13.8 kV e-house</t>
        </is>
      </c>
      <c r="G5570" s="12" t="inlineStr">
        <is>
          <t>JB-H2 26: H2 compress-AI01</t>
        </is>
      </c>
      <c r="H5570" s="12" t="inlineStr">
        <is>
          <t>H2 26: H2 compressor 2 (40 ft ISO)</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50</v>
      </c>
      <c r="U5570" s="17" t="n">
        <v>47</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K-I-0051</t>
        </is>
      </c>
      <c r="B5571" s="12" t="inlineStr">
        <is>
          <t>K</t>
        </is>
      </c>
      <c r="C5571" s="12" t="inlineStr">
        <is>
          <t>Fuel supply (adjacent market)</t>
        </is>
      </c>
      <c r="D5571" s="12" t="inlineStr">
        <is>
          <t>Discrete device to JB JB-H2 26: H2 compress-DI01: 12 x 1 pr (field cables)</t>
        </is>
      </c>
      <c r="E5571" s="12" t="inlineStr"/>
      <c r="F5571" s="12" t="inlineStr">
        <is>
          <t>H2 26: H2 compressor 2 (40 ft ISO)</t>
        </is>
      </c>
      <c r="G5571" s="12" t="inlineStr">
        <is>
          <t>JB-H2 26: H2 compress-DI01</t>
        </is>
      </c>
      <c r="H5571" s="12" t="inlineStr">
        <is>
          <t>H2 26: H2 compressor 2 (40 ft ISO)</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53</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K-I-0052</t>
        </is>
      </c>
      <c r="B5572" s="12" t="inlineStr">
        <is>
          <t>K</t>
        </is>
      </c>
      <c r="C5572" s="12" t="inlineStr">
        <is>
          <t>Fuel supply (adjacent market)</t>
        </is>
      </c>
      <c r="D5572" s="12" t="inlineStr">
        <is>
          <t>Home run JB-H2 26: H2 compress-DI01 to the control / marshalling room</t>
        </is>
      </c>
      <c r="E5572" s="12" t="inlineStr"/>
      <c r="F5572" s="12" t="inlineStr">
        <is>
          <t>H2 20: 13.8 kV e-house</t>
        </is>
      </c>
      <c r="G5572" s="12" t="inlineStr">
        <is>
          <t>JB-H2 26: H2 compress-DI01</t>
        </is>
      </c>
      <c r="H5572" s="12" t="inlineStr">
        <is>
          <t>H2 26: H2 compressor 2 (40 ft ISO)</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50</v>
      </c>
      <c r="U5572" s="17" t="n">
        <v>47</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K-I-0053</t>
        </is>
      </c>
      <c r="B5573" s="12" t="inlineStr">
        <is>
          <t>K</t>
        </is>
      </c>
      <c r="C5573" s="12" t="inlineStr">
        <is>
          <t>Fuel supply (adjacent market)</t>
        </is>
      </c>
      <c r="D5573" s="12" t="inlineStr">
        <is>
          <t>Analog instrument to JB JB-H2 27: storage tub-AI01: 12 x 1 pr (field cables)</t>
        </is>
      </c>
      <c r="E5573" s="12" t="inlineStr"/>
      <c r="F5573" s="12" t="inlineStr">
        <is>
          <t>H2 27: storage tube bank (~40 ft tubes)</t>
        </is>
      </c>
      <c r="G5573" s="12" t="inlineStr">
        <is>
          <t>JB-H2 27: storage tub-AI01</t>
        </is>
      </c>
      <c r="H5573" s="12" t="inlineStr">
        <is>
          <t>H2 27: storage tube bank (~40 ft tubes)</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54</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K-I-0054</t>
        </is>
      </c>
      <c r="B5574" s="12" t="inlineStr">
        <is>
          <t>K</t>
        </is>
      </c>
      <c r="C5574" s="12" t="inlineStr">
        <is>
          <t>Fuel supply (adjacent market)</t>
        </is>
      </c>
      <c r="D5574" s="12" t="inlineStr">
        <is>
          <t>Home run JB-H2 27: storage tub-AI01 to the control / marshalling room</t>
        </is>
      </c>
      <c r="E5574" s="12" t="inlineStr"/>
      <c r="F5574" s="12" t="inlineStr">
        <is>
          <t>H2 20: 13.8 kV e-house</t>
        </is>
      </c>
      <c r="G5574" s="12" t="inlineStr">
        <is>
          <t>JB-H2 27: storage tub-AI01</t>
        </is>
      </c>
      <c r="H5574" s="12" t="inlineStr">
        <is>
          <t>H2 27: storage tube bank (~40 ft tubes)</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50</v>
      </c>
      <c r="U5574" s="17" t="n">
        <v>97</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K-I-0055</t>
        </is>
      </c>
      <c r="B5575" s="12" t="inlineStr">
        <is>
          <t>K</t>
        </is>
      </c>
      <c r="C5575" s="12" t="inlineStr">
        <is>
          <t>Fuel supply (adjacent market)</t>
        </is>
      </c>
      <c r="D5575" s="12" t="inlineStr">
        <is>
          <t>Discrete device to JB JB-H2 27: storage tub-DI01: 12 x 1 pr (field cables)</t>
        </is>
      </c>
      <c r="E5575" s="12" t="inlineStr"/>
      <c r="F5575" s="12" t="inlineStr">
        <is>
          <t>H2 27: storage tube bank (~40 ft tubes)</t>
        </is>
      </c>
      <c r="G5575" s="12" t="inlineStr">
        <is>
          <t>JB-H2 27: storage tub-DI01</t>
        </is>
      </c>
      <c r="H5575" s="12" t="inlineStr">
        <is>
          <t>H2 27: storage tube bank (~40 ft tubes)</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54</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K-I-0056</t>
        </is>
      </c>
      <c r="B5576" s="12" t="inlineStr">
        <is>
          <t>K</t>
        </is>
      </c>
      <c r="C5576" s="12" t="inlineStr">
        <is>
          <t>Fuel supply (adjacent market)</t>
        </is>
      </c>
      <c r="D5576" s="12" t="inlineStr">
        <is>
          <t>Home run JB-H2 27: storage tub-DI01 to the control / marshalling room</t>
        </is>
      </c>
      <c r="E5576" s="12" t="inlineStr"/>
      <c r="F5576" s="12" t="inlineStr">
        <is>
          <t>H2 20: 13.8 kV e-house</t>
        </is>
      </c>
      <c r="G5576" s="12" t="inlineStr">
        <is>
          <t>JB-H2 27: storage tub-DI01</t>
        </is>
      </c>
      <c r="H5576" s="12" t="inlineStr">
        <is>
          <t>H2 27: storage tube bank (~40 ft tubes)</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50</v>
      </c>
      <c r="U5576" s="17" t="n">
        <v>97</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K-I-0057</t>
        </is>
      </c>
      <c r="B5577" s="12" t="inlineStr">
        <is>
          <t>K</t>
        </is>
      </c>
      <c r="C5577" s="12" t="inlineStr">
        <is>
          <t>Fuel supply (adjacent market)</t>
        </is>
      </c>
      <c r="D5577" s="12" t="inlineStr">
        <is>
          <t>Analog instrument to JB JB-H2 27: storage tub-AI01: 12 x 1 pr (field cables)</t>
        </is>
      </c>
      <c r="E5577" s="12" t="inlineStr"/>
      <c r="F5577" s="12" t="inlineStr">
        <is>
          <t>H2 27: storage tube bank (~40 ft tubes)</t>
        </is>
      </c>
      <c r="G5577" s="12" t="inlineStr">
        <is>
          <t>JB-H2 27: storage tub-AI01</t>
        </is>
      </c>
      <c r="H5577" s="12" t="inlineStr">
        <is>
          <t>H2 27: storage tube bank (~40 ft tubes)</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54</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K-I-0058</t>
        </is>
      </c>
      <c r="B5578" s="12" t="inlineStr">
        <is>
          <t>K</t>
        </is>
      </c>
      <c r="C5578" s="12" t="inlineStr">
        <is>
          <t>Fuel supply (adjacent market)</t>
        </is>
      </c>
      <c r="D5578" s="12" t="inlineStr">
        <is>
          <t>Home run JB-H2 27: storage tub-AI01 to the control / marshalling room</t>
        </is>
      </c>
      <c r="E5578" s="12" t="inlineStr"/>
      <c r="F5578" s="12" t="inlineStr">
        <is>
          <t>H2 20: 13.8 kV e-house</t>
        </is>
      </c>
      <c r="G5578" s="12" t="inlineStr">
        <is>
          <t>JB-H2 27: storage tub-AI01</t>
        </is>
      </c>
      <c r="H5578" s="12" t="inlineStr">
        <is>
          <t>H2 27: storage tube bank (~40 ft tubes)</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50</v>
      </c>
      <c r="U5578" s="17" t="n">
        <v>117</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K-I-0059</t>
        </is>
      </c>
      <c r="B5579" s="12" t="inlineStr">
        <is>
          <t>K</t>
        </is>
      </c>
      <c r="C5579" s="12" t="inlineStr">
        <is>
          <t>Fuel supply (adjacent market)</t>
        </is>
      </c>
      <c r="D5579" s="12" t="inlineStr">
        <is>
          <t>Discrete device to JB JB-H2 27: storage tub-DI01: 12 x 1 pr (field cables)</t>
        </is>
      </c>
      <c r="E5579" s="12" t="inlineStr"/>
      <c r="F5579" s="12" t="inlineStr">
        <is>
          <t>H2 27: storage tube bank (~40 ft tubes)</t>
        </is>
      </c>
      <c r="G5579" s="12" t="inlineStr">
        <is>
          <t>JB-H2 27: storage tub-DI01</t>
        </is>
      </c>
      <c r="H5579" s="12" t="inlineStr">
        <is>
          <t>H2 27: storage tube bank (~40 ft tubes)</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54</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K-I-0060</t>
        </is>
      </c>
      <c r="B5580" s="12" t="inlineStr">
        <is>
          <t>K</t>
        </is>
      </c>
      <c r="C5580" s="12" t="inlineStr">
        <is>
          <t>Fuel supply (adjacent market)</t>
        </is>
      </c>
      <c r="D5580" s="12" t="inlineStr">
        <is>
          <t>Home run JB-H2 27: storage tub-DI01 to the control / marshalling room</t>
        </is>
      </c>
      <c r="E5580" s="12" t="inlineStr"/>
      <c r="F5580" s="12" t="inlineStr">
        <is>
          <t>H2 20: 13.8 kV e-house</t>
        </is>
      </c>
      <c r="G5580" s="12" t="inlineStr">
        <is>
          <t>JB-H2 27: storage tub-DI01</t>
        </is>
      </c>
      <c r="H5580" s="12" t="inlineStr">
        <is>
          <t>H2 27: storage tube bank (~40 ft tubes)</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50</v>
      </c>
      <c r="U5580" s="17" t="n">
        <v>117</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K-I-0061</t>
        </is>
      </c>
      <c r="B5581" s="12" t="inlineStr">
        <is>
          <t>K</t>
        </is>
      </c>
      <c r="C5581" s="12" t="inlineStr">
        <is>
          <t>Fuel supply (adjacent market)</t>
        </is>
      </c>
      <c r="D5581" s="12" t="inlineStr">
        <is>
          <t>Analog instrument to JB JB-H2 27: storage tub-AI01: 12 x 1 pr (field cables)</t>
        </is>
      </c>
      <c r="E5581" s="12" t="inlineStr"/>
      <c r="F5581" s="12" t="inlineStr">
        <is>
          <t>H2 27: storage tube bank (~40 ft tubes)</t>
        </is>
      </c>
      <c r="G5581" s="12" t="inlineStr">
        <is>
          <t>JB-H2 27: storage tub-AI01</t>
        </is>
      </c>
      <c r="H5581" s="12" t="inlineStr">
        <is>
          <t>H2 27: storage tube bank (~40 ft tubes)</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7" t="n">
        <v>54</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K-I-0062</t>
        </is>
      </c>
      <c r="B5582" s="12" t="inlineStr">
        <is>
          <t>K</t>
        </is>
      </c>
      <c r="C5582" s="12" t="inlineStr">
        <is>
          <t>Fuel supply (adjacent market)</t>
        </is>
      </c>
      <c r="D5582" s="12" t="inlineStr">
        <is>
          <t>Home run JB-H2 27: storage tub-AI01 to the control / marshalling room</t>
        </is>
      </c>
      <c r="E5582" s="12" t="inlineStr"/>
      <c r="F5582" s="12" t="inlineStr">
        <is>
          <t>H2 20: 13.8 kV e-house</t>
        </is>
      </c>
      <c r="G5582" s="12" t="inlineStr">
        <is>
          <t>JB-H2 27: storage tub-AI01</t>
        </is>
      </c>
      <c r="H5582" s="12" t="inlineStr">
        <is>
          <t>H2 27: storage tube bank (~40 ft tubes)</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50</v>
      </c>
      <c r="U5582" s="17" t="n">
        <v>97</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K-I-0063</t>
        </is>
      </c>
      <c r="B5583" s="12" t="inlineStr">
        <is>
          <t>K</t>
        </is>
      </c>
      <c r="C5583" s="12" t="inlineStr">
        <is>
          <t>Fuel supply (adjacent market)</t>
        </is>
      </c>
      <c r="D5583" s="12" t="inlineStr">
        <is>
          <t>Discrete device to JB JB-H2 27: storage tub-DI01: 12 x 1 pr (field cables)</t>
        </is>
      </c>
      <c r="E5583" s="12" t="inlineStr"/>
      <c r="F5583" s="12" t="inlineStr">
        <is>
          <t>H2 27: storage tube bank (~40 ft tubes)</t>
        </is>
      </c>
      <c r="G5583" s="12" t="inlineStr">
        <is>
          <t>JB-H2 27: storage tub-DI01</t>
        </is>
      </c>
      <c r="H5583" s="12" t="inlineStr">
        <is>
          <t>H2 27: storage tube bank (~40 ft tubes)</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7" t="n">
        <v>54</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K-I-0064</t>
        </is>
      </c>
      <c r="B5584" s="12" t="inlineStr">
        <is>
          <t>K</t>
        </is>
      </c>
      <c r="C5584" s="12" t="inlineStr">
        <is>
          <t>Fuel supply (adjacent market)</t>
        </is>
      </c>
      <c r="D5584" s="12" t="inlineStr">
        <is>
          <t>Home run JB-H2 27: storage tub-DI01 to the control / marshalling room</t>
        </is>
      </c>
      <c r="E5584" s="12" t="inlineStr"/>
      <c r="F5584" s="12" t="inlineStr">
        <is>
          <t>H2 20: 13.8 kV e-house</t>
        </is>
      </c>
      <c r="G5584" s="12" t="inlineStr">
        <is>
          <t>JB-H2 27: storage tub-DI01</t>
        </is>
      </c>
      <c r="H5584" s="12" t="inlineStr">
        <is>
          <t>H2 27: storage tube bank (~40 ft tubes)</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50</v>
      </c>
      <c r="U5584" s="17" t="n">
        <v>97</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K-I-0065</t>
        </is>
      </c>
      <c r="B5585" s="12" t="inlineStr">
        <is>
          <t>K</t>
        </is>
      </c>
      <c r="C5585" s="12" t="inlineStr">
        <is>
          <t>Fuel supply (adjacent market)</t>
        </is>
      </c>
      <c r="D5585" s="12" t="inlineStr">
        <is>
          <t>Analog instrument to JB JB-H2 27: storage tub-AI01: 12 x 1 pr (field cables)</t>
        </is>
      </c>
      <c r="E5585" s="12" t="inlineStr"/>
      <c r="F5585" s="12" t="inlineStr">
        <is>
          <t>H2 27: storage tube bank (~40 ft tubes)</t>
        </is>
      </c>
      <c r="G5585" s="12" t="inlineStr">
        <is>
          <t>JB-H2 27: storage tub-AI01</t>
        </is>
      </c>
      <c r="H5585" s="12" t="inlineStr">
        <is>
          <t>H2 27: storage tube bank (~40 ft tubes)</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7" t="n">
        <v>54</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K-I-0066</t>
        </is>
      </c>
      <c r="B5586" s="12" t="inlineStr">
        <is>
          <t>K</t>
        </is>
      </c>
      <c r="C5586" s="12" t="inlineStr">
        <is>
          <t>Fuel supply (adjacent market)</t>
        </is>
      </c>
      <c r="D5586" s="12" t="inlineStr">
        <is>
          <t>Home run JB-H2 27: storage tub-AI01 to the control / marshalling room</t>
        </is>
      </c>
      <c r="E5586" s="12" t="inlineStr"/>
      <c r="F5586" s="12" t="inlineStr">
        <is>
          <t>H2 20: 13.8 kV e-house</t>
        </is>
      </c>
      <c r="G5586" s="12" t="inlineStr">
        <is>
          <t>JB-H2 27: storage tub-AI01</t>
        </is>
      </c>
      <c r="H5586" s="12" t="inlineStr">
        <is>
          <t>H2 27: storage tube bank (~40 ft tubes)</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50</v>
      </c>
      <c r="U5586" s="17" t="n">
        <v>117</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K-I-0067</t>
        </is>
      </c>
      <c r="B5587" s="12" t="inlineStr">
        <is>
          <t>K</t>
        </is>
      </c>
      <c r="C5587" s="12" t="inlineStr">
        <is>
          <t>Fuel supply (adjacent market)</t>
        </is>
      </c>
      <c r="D5587" s="12" t="inlineStr">
        <is>
          <t>Discrete device to JB JB-H2 27: storage tub-DI01: 12 x 1 pr (field cables)</t>
        </is>
      </c>
      <c r="E5587" s="12" t="inlineStr"/>
      <c r="F5587" s="12" t="inlineStr">
        <is>
          <t>H2 27: storage tube bank (~40 ft tubes)</t>
        </is>
      </c>
      <c r="G5587" s="12" t="inlineStr">
        <is>
          <t>JB-H2 27: storage tub-DI01</t>
        </is>
      </c>
      <c r="H5587" s="12" t="inlineStr">
        <is>
          <t>H2 27: storage tube bank (~40 ft tubes)</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54</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K-I-0068</t>
        </is>
      </c>
      <c r="B5588" s="12" t="inlineStr">
        <is>
          <t>K</t>
        </is>
      </c>
      <c r="C5588" s="12" t="inlineStr">
        <is>
          <t>Fuel supply (adjacent market)</t>
        </is>
      </c>
      <c r="D5588" s="12" t="inlineStr">
        <is>
          <t>Home run JB-H2 27: storage tub-DI01 to the control / marshalling room</t>
        </is>
      </c>
      <c r="E5588" s="12" t="inlineStr"/>
      <c r="F5588" s="12" t="inlineStr">
        <is>
          <t>H2 20: 13.8 kV e-house</t>
        </is>
      </c>
      <c r="G5588" s="12" t="inlineStr">
        <is>
          <t>JB-H2 27: storage tub-DI01</t>
        </is>
      </c>
      <c r="H5588" s="12" t="inlineStr">
        <is>
          <t>H2 27: storage tube bank (~40 ft tubes)</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50</v>
      </c>
      <c r="U5588" s="17" t="n">
        <v>117</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K-I-0069</t>
        </is>
      </c>
      <c r="B5589" s="12" t="inlineStr">
        <is>
          <t>K</t>
        </is>
      </c>
      <c r="C5589" s="12" t="inlineStr">
        <is>
          <t>Fuel supply (adjacent market)</t>
        </is>
      </c>
      <c r="D5589" s="12" t="inlineStr">
        <is>
          <t>Analog instrument to JB JB-H2 28: N2 purge su-AI01: 12 x 1 pr (field cables)</t>
        </is>
      </c>
      <c r="E5589" s="12" t="inlineStr"/>
      <c r="F5589" s="12" t="inlineStr">
        <is>
          <t>H2 28: N2 purge supply</t>
        </is>
      </c>
      <c r="G5589" s="12" t="inlineStr">
        <is>
          <t>JB-H2 28: N2 purge su-AI01</t>
        </is>
      </c>
      <c r="H5589" s="12" t="inlineStr">
        <is>
          <t>H2 28: N2 purge supply</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7" t="n">
        <v>56</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K-I-0070</t>
        </is>
      </c>
      <c r="B5590" s="12" t="inlineStr">
        <is>
          <t>K</t>
        </is>
      </c>
      <c r="C5590" s="12" t="inlineStr">
        <is>
          <t>Fuel supply (adjacent market)</t>
        </is>
      </c>
      <c r="D5590" s="12" t="inlineStr">
        <is>
          <t>Home run JB-H2 28: N2 purge su-AI01 to the control / marshalling room</t>
        </is>
      </c>
      <c r="E5590" s="12" t="inlineStr"/>
      <c r="F5590" s="12" t="inlineStr">
        <is>
          <t>H2 20: 13.8 kV e-house</t>
        </is>
      </c>
      <c r="G5590" s="12" t="inlineStr">
        <is>
          <t>JB-H2 28: N2 purge su-AI01</t>
        </is>
      </c>
      <c r="H5590" s="12" t="inlineStr">
        <is>
          <t>H2 28: N2 purge supply</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53</v>
      </c>
      <c r="U5590" s="17" t="n">
        <v>36</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K-I-0071</t>
        </is>
      </c>
      <c r="B5591" s="12" t="inlineStr">
        <is>
          <t>K</t>
        </is>
      </c>
      <c r="C5591" s="12" t="inlineStr">
        <is>
          <t>Fuel supply (adjacent market)</t>
        </is>
      </c>
      <c r="D5591" s="12" t="inlineStr">
        <is>
          <t>Discrete device to JB JB-H2 28: N2 purge su-DI01: 12 x 1 pr (field cables)</t>
        </is>
      </c>
      <c r="E5591" s="12" t="inlineStr"/>
      <c r="F5591" s="12" t="inlineStr">
        <is>
          <t>H2 28: N2 purge supply</t>
        </is>
      </c>
      <c r="G5591" s="12" t="inlineStr">
        <is>
          <t>JB-H2 28: N2 purge su-DI01</t>
        </is>
      </c>
      <c r="H5591" s="12" t="inlineStr">
        <is>
          <t>H2 28: N2 purge supply</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7" t="n">
        <v>56</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K-I-0072</t>
        </is>
      </c>
      <c r="B5592" s="12" t="inlineStr">
        <is>
          <t>K</t>
        </is>
      </c>
      <c r="C5592" s="12" t="inlineStr">
        <is>
          <t>Fuel supply (adjacent market)</t>
        </is>
      </c>
      <c r="D5592" s="12" t="inlineStr">
        <is>
          <t>Home run JB-H2 28: N2 purge su-DI01 to the control / marshalling room</t>
        </is>
      </c>
      <c r="E5592" s="12" t="inlineStr"/>
      <c r="F5592" s="12" t="inlineStr">
        <is>
          <t>H2 20: 13.8 kV e-house</t>
        </is>
      </c>
      <c r="G5592" s="12" t="inlineStr">
        <is>
          <t>JB-H2 28: N2 purge su-DI01</t>
        </is>
      </c>
      <c r="H5592" s="12" t="inlineStr">
        <is>
          <t>H2 28: N2 purge supply</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53</v>
      </c>
      <c r="U5592" s="17" t="n">
        <v>36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K-I-0073</t>
        </is>
      </c>
      <c r="B5593" s="12" t="inlineStr">
        <is>
          <t>K</t>
        </is>
      </c>
      <c r="C5593" s="12" t="inlineStr">
        <is>
          <t>Fuel supply (adjacent market)</t>
        </is>
      </c>
      <c r="D5593" s="12" t="inlineStr">
        <is>
          <t>Analog instrument to JB JB-H2 29: vent stack-AI01: 12 x 1 pr (field cables)</t>
        </is>
      </c>
      <c r="E5593" s="12" t="inlineStr"/>
      <c r="F5593" s="12" t="inlineStr">
        <is>
          <t>H2 29: vent stack</t>
        </is>
      </c>
      <c r="G5593" s="12" t="inlineStr">
        <is>
          <t>JB-H2 29: vent stack-AI01</t>
        </is>
      </c>
      <c r="H5593" s="12" t="inlineStr">
        <is>
          <t>H2 29: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7" t="n">
        <v>45</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K-I-0074</t>
        </is>
      </c>
      <c r="B5594" s="12" t="inlineStr">
        <is>
          <t>K</t>
        </is>
      </c>
      <c r="C5594" s="12" t="inlineStr">
        <is>
          <t>Fuel supply (adjacent market)</t>
        </is>
      </c>
      <c r="D5594" s="12" t="inlineStr">
        <is>
          <t>Home run JB-H2 29: vent stack-AI01 to the control / marshalling room</t>
        </is>
      </c>
      <c r="E5594" s="12" t="inlineStr"/>
      <c r="F5594" s="12" t="inlineStr">
        <is>
          <t>H2 20: 13.8 kV e-house</t>
        </is>
      </c>
      <c r="G5594" s="12" t="inlineStr">
        <is>
          <t>JB-H2 29: vent stack-AI01</t>
        </is>
      </c>
      <c r="H5594" s="12" t="inlineStr">
        <is>
          <t>H2 29: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55</v>
      </c>
      <c r="U5594" s="17" t="n">
        <v>205</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K-I-0075</t>
        </is>
      </c>
      <c r="B5595" s="12" t="inlineStr">
        <is>
          <t>K</t>
        </is>
      </c>
      <c r="C5595" s="12" t="inlineStr">
        <is>
          <t>Fuel supply (adjacent market)</t>
        </is>
      </c>
      <c r="D5595" s="12" t="inlineStr">
        <is>
          <t>Discrete device to JB JB-H2 29: vent stack-DI01: 12 x 1 pr (field cables)</t>
        </is>
      </c>
      <c r="E5595" s="12" t="inlineStr"/>
      <c r="F5595" s="12" t="inlineStr">
        <is>
          <t>H2 29: vent stack</t>
        </is>
      </c>
      <c r="G5595" s="12" t="inlineStr">
        <is>
          <t>JB-H2 29: vent stack-DI01</t>
        </is>
      </c>
      <c r="H5595" s="12" t="inlineStr">
        <is>
          <t>H2 29: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7" t="n">
        <v>45</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K-I-0076</t>
        </is>
      </c>
      <c r="B5596" s="12" t="inlineStr">
        <is>
          <t>K</t>
        </is>
      </c>
      <c r="C5596" s="12" t="inlineStr">
        <is>
          <t>Fuel supply (adjacent market)</t>
        </is>
      </c>
      <c r="D5596" s="12" t="inlineStr">
        <is>
          <t>Home run JB-H2 29: vent stack-DI01 to the control / marshalling room</t>
        </is>
      </c>
      <c r="E5596" s="12" t="inlineStr"/>
      <c r="F5596" s="12" t="inlineStr">
        <is>
          <t>H2 20: 13.8 kV e-house</t>
        </is>
      </c>
      <c r="G5596" s="12" t="inlineStr">
        <is>
          <t>JB-H2 29: vent stack-DI01</t>
        </is>
      </c>
      <c r="H5596" s="12" t="inlineStr">
        <is>
          <t>H2 29: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55</v>
      </c>
      <c r="U5596" s="17" t="n">
        <v>205</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K-I-0077</t>
        </is>
      </c>
      <c r="B5597" s="12" t="inlineStr">
        <is>
          <t>K</t>
        </is>
      </c>
      <c r="C5597" s="12" t="inlineStr">
        <is>
          <t>Fuel supply (adjacent market)</t>
        </is>
      </c>
      <c r="D5597" s="12" t="inlineStr">
        <is>
          <t>Analog instrument to JB JB-H2 30: H2 / gas bl-AI01: 12 x 1 pr (field cables)</t>
        </is>
      </c>
      <c r="E5597" s="12" t="inlineStr"/>
      <c r="F5597" s="12" t="inlineStr">
        <is>
          <t>H2 30: H2 / gas blending station (plant gas yard)</t>
        </is>
      </c>
      <c r="G5597" s="12" t="inlineStr">
        <is>
          <t>JB-H2 30: H2 / gas bl-AI01</t>
        </is>
      </c>
      <c r="H5597" s="12" t="inlineStr">
        <is>
          <t>H2 30: H2 / gas blending station (plant gas yard)</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7" t="n">
        <v>129</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K-I-0078</t>
        </is>
      </c>
      <c r="B5598" s="12" t="inlineStr">
        <is>
          <t>K</t>
        </is>
      </c>
      <c r="C5598" s="12" t="inlineStr">
        <is>
          <t>Fuel supply (adjacent market)</t>
        </is>
      </c>
      <c r="D5598" s="12" t="inlineStr">
        <is>
          <t>Home run JB-H2 30: H2 / gas bl-AI01 to the control / marshalling room</t>
        </is>
      </c>
      <c r="E5598" s="12" t="inlineStr"/>
      <c r="F5598" s="12" t="inlineStr">
        <is>
          <t>LNG 17: LNG e-house (13.8 kV / 480 V)</t>
        </is>
      </c>
      <c r="G5598" s="12" t="inlineStr">
        <is>
          <t>JB-H2 30: H2 / gas bl-AI01</t>
        </is>
      </c>
      <c r="H5598" s="12" t="inlineStr">
        <is>
          <t>H2 30: H2 / gas blending station (plant gas yard)</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994</v>
      </c>
      <c r="U5598" s="17" t="n">
        <v>114</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K-I-0079</t>
        </is>
      </c>
      <c r="B5599" s="12" t="inlineStr">
        <is>
          <t>K</t>
        </is>
      </c>
      <c r="C5599" s="12" t="inlineStr">
        <is>
          <t>Fuel supply (adjacent market)</t>
        </is>
      </c>
      <c r="D5599" s="12" t="inlineStr">
        <is>
          <t>Discrete device to JB JB-H2 30: H2 / gas bl-DI01: 12 x 1 pr (field cables)</t>
        </is>
      </c>
      <c r="E5599" s="12" t="inlineStr"/>
      <c r="F5599" s="12" t="inlineStr">
        <is>
          <t>H2 30: H2 / gas blending station (plant gas yard)</t>
        </is>
      </c>
      <c r="G5599" s="12" t="inlineStr">
        <is>
          <t>JB-H2 30: H2 / gas bl-DI01</t>
        </is>
      </c>
      <c r="H5599" s="12" t="inlineStr">
        <is>
          <t>H2 30: H2 / gas blending station (plant gas yard)</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7" t="n">
        <v>129</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K-I-0080</t>
        </is>
      </c>
      <c r="B5600" s="12" t="inlineStr">
        <is>
          <t>K</t>
        </is>
      </c>
      <c r="C5600" s="12" t="inlineStr">
        <is>
          <t>Fuel supply (adjacent market)</t>
        </is>
      </c>
      <c r="D5600" s="12" t="inlineStr">
        <is>
          <t>Home run JB-H2 30: H2 / gas bl-DI01 to the control / marshalling room</t>
        </is>
      </c>
      <c r="E5600" s="12" t="inlineStr"/>
      <c r="F5600" s="12" t="inlineStr">
        <is>
          <t>LNG 17: LNG e-house (13.8 kV / 480 V)</t>
        </is>
      </c>
      <c r="G5600" s="12" t="inlineStr">
        <is>
          <t>JB-H2 30: H2 / gas bl-DI01</t>
        </is>
      </c>
      <c r="H5600" s="12" t="inlineStr">
        <is>
          <t>H2 30: H2 / gas blending station (plant gas yard)</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994</v>
      </c>
      <c r="U5600" s="17" t="n">
        <v>114</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K-I-0081</t>
        </is>
      </c>
      <c r="B5601" s="12" t="inlineStr">
        <is>
          <t>K</t>
        </is>
      </c>
      <c r="C5601" s="12" t="inlineStr">
        <is>
          <t>Fuel supply (adjacent market)</t>
        </is>
      </c>
      <c r="D5601" s="12" t="inlineStr">
        <is>
          <t>Analog instrument to JB JB-H2 pipe track and -AI01: 10 x 1 pr (field cables)</t>
        </is>
      </c>
      <c r="E5601" s="12" t="inlineStr"/>
      <c r="F5601" s="12" t="inlineStr">
        <is>
          <t>H2 pipe track and cable trench, hall -&gt; dryer / compressors (N2, instr</t>
        </is>
      </c>
      <c r="G5601" s="12" t="inlineStr">
        <is>
          <t>JB-H2 pipe track and -AI01</t>
        </is>
      </c>
      <c r="H5601" s="12" t="inlineStr">
        <is>
          <t>H2 pipe track and cable trench, hall -&gt; dryer / compressors (N2, instr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10</v>
      </c>
      <c r="O5601" s="12" t="n">
        <v>1</v>
      </c>
      <c r="P5601" s="12" t="n"/>
      <c r="Q5601" s="12" t="n"/>
      <c r="R5601" s="12" t="n"/>
      <c r="S5601" s="12" t="inlineStr">
        <is>
          <t>Tray / conduit</t>
        </is>
      </c>
      <c r="T5601" s="17" t="n">
        <v>70</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K-I-0082</t>
        </is>
      </c>
      <c r="B5602" s="12" t="inlineStr">
        <is>
          <t>K</t>
        </is>
      </c>
      <c r="C5602" s="12" t="inlineStr">
        <is>
          <t>Fuel supply (adjacent market)</t>
        </is>
      </c>
      <c r="D5602" s="12" t="inlineStr">
        <is>
          <t>Home run JB-H2 pipe track and -AI01 to the control / marshalling room</t>
        </is>
      </c>
      <c r="E5602" s="12" t="inlineStr"/>
      <c r="F5602" s="12" t="inlineStr">
        <is>
          <t>H2 20: 13.8 kV e-house</t>
        </is>
      </c>
      <c r="G5602" s="12" t="inlineStr">
        <is>
          <t>JB-H2 pipe track and -AI01</t>
        </is>
      </c>
      <c r="H5602" s="12" t="inlineStr">
        <is>
          <t>H2 pipe track and cable trench, hall -&gt; dryer / compressors (N2, instr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53</v>
      </c>
      <c r="U5602" s="17" t="n">
        <v>62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K-I-0083</t>
        </is>
      </c>
      <c r="B5603" s="12" t="inlineStr">
        <is>
          <t>K</t>
        </is>
      </c>
      <c r="C5603" s="12" t="inlineStr">
        <is>
          <t>Fuel supply (adjacent market)</t>
        </is>
      </c>
      <c r="D5603" s="12" t="inlineStr">
        <is>
          <t>Discrete device to JB JB-H2 pipe track and -DI01: 10 x 1 pr (field cables)</t>
        </is>
      </c>
      <c r="E5603" s="12" t="inlineStr"/>
      <c r="F5603" s="12" t="inlineStr">
        <is>
          <t>H2 pipe track and cable trench, hall -&gt; dryer / compressors (N2, instr</t>
        </is>
      </c>
      <c r="G5603" s="12" t="inlineStr">
        <is>
          <t>JB-H2 pipe track and -DI01</t>
        </is>
      </c>
      <c r="H5603" s="12" t="inlineStr">
        <is>
          <t>H2 pipe track and cable trench, hall -&gt; dryer / compressors (N2, instr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10</v>
      </c>
      <c r="O5603" s="12" t="n">
        <v>1</v>
      </c>
      <c r="P5603" s="12" t="n"/>
      <c r="Q5603" s="12" t="n"/>
      <c r="R5603" s="12" t="n"/>
      <c r="S5603" s="12" t="inlineStr">
        <is>
          <t>Tray / conduit</t>
        </is>
      </c>
      <c r="T5603" s="17" t="n">
        <v>70</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K-I-0084</t>
        </is>
      </c>
      <c r="B5604" s="12" t="inlineStr">
        <is>
          <t>K</t>
        </is>
      </c>
      <c r="C5604" s="12" t="inlineStr">
        <is>
          <t>Fuel supply (adjacent market)</t>
        </is>
      </c>
      <c r="D5604" s="12" t="inlineStr">
        <is>
          <t>Home run JB-H2 pipe track and -DI01 to the control / marshalling room</t>
        </is>
      </c>
      <c r="E5604" s="12" t="inlineStr"/>
      <c r="F5604" s="12" t="inlineStr">
        <is>
          <t>H2 20: 13.8 kV e-house</t>
        </is>
      </c>
      <c r="G5604" s="12" t="inlineStr">
        <is>
          <t>JB-H2 pipe track and -DI01</t>
        </is>
      </c>
      <c r="H5604" s="12" t="inlineStr">
        <is>
          <t>H2 pipe track and cable trench, hall -&gt; dryer / compressors (N2, instr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53</v>
      </c>
      <c r="U5604" s="17" t="n">
        <v>62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K-I-0085</t>
        </is>
      </c>
      <c r="B5605" s="12" t="inlineStr">
        <is>
          <t>K</t>
        </is>
      </c>
      <c r="C5605" s="12" t="inlineStr">
        <is>
          <t>Fuel supply (adjacent market)</t>
        </is>
      </c>
      <c r="D5605" s="12" t="inlineStr">
        <is>
          <t>Instrumentation</t>
        </is>
      </c>
      <c r="E5605" s="12" t="inlineStr"/>
      <c r="F5605" s="12" t="inlineStr">
        <is>
          <t>H2 20: 13.8 kV e-house</t>
        </is>
      </c>
      <c r="G5605" s="12" t="inlineStr">
        <is>
          <t>H2-ST</t>
        </is>
      </c>
      <c r="H5605" s="12" t="inlineStr">
        <is>
          <t>H2 storage tube banks x4</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7" t="n">
        <v>50</v>
      </c>
      <c r="U5605" s="17" t="n">
        <v>92</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K-I-0086</t>
        </is>
      </c>
      <c r="B5606" s="12" t="inlineStr">
        <is>
          <t>K</t>
        </is>
      </c>
      <c r="C5606" s="12" t="inlineStr">
        <is>
          <t>Fuel supply (adjacent market)</t>
        </is>
      </c>
      <c r="D5606" s="12" t="inlineStr">
        <is>
          <t>Instrumentation</t>
        </is>
      </c>
      <c r="E5606" s="12" t="inlineStr"/>
      <c r="F5606" s="12" t="inlineStr">
        <is>
          <t>H2 20: 13.8 kV e-house</t>
        </is>
      </c>
      <c r="G5606" s="12" t="inlineStr">
        <is>
          <t>H2R</t>
        </is>
      </c>
      <c r="H5606" s="12" t="inlineStr">
        <is>
          <t>H2R: hydrogen pipeline receiving station (pig receiver, filters, meter</t>
        </is>
      </c>
      <c r="I5606" s="12" t="inlineStr">
        <is>
          <t>Instrumentation</t>
        </is>
      </c>
      <c r="J5606" s="12" t="inlineStr">
        <is>
          <t>Instrumentation ITC / PLTC, IS, #18 shielded pairs, blue jacket</t>
        </is>
      </c>
      <c r="K5606" s="12" t="inlineStr">
        <is>
          <t>ITC|4 pr|18</t>
        </is>
      </c>
      <c r="L5606" s="12" t="inlineStr">
        <is>
          <t>4 pr</t>
        </is>
      </c>
      <c r="M5606" s="12" t="inlineStr">
        <is>
          <t>18</t>
        </is>
      </c>
      <c r="N5606" s="12" t="n">
        <v>1</v>
      </c>
      <c r="O5606" s="12" t="n">
        <v>1</v>
      </c>
      <c r="P5606" s="12" t="n"/>
      <c r="Q5606" s="12" t="n"/>
      <c r="R5606" s="12" t="n"/>
      <c r="S5606" s="12" t="inlineStr">
        <is>
          <t>Duct bank</t>
        </is>
      </c>
      <c r="T5606" s="17" t="n">
        <v>40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K-I-0087</t>
        </is>
      </c>
      <c r="B5607" s="12" t="inlineStr">
        <is>
          <t>K</t>
        </is>
      </c>
      <c r="C5607" s="12" t="inlineStr">
        <is>
          <t>Fuel supply (adjacent market)</t>
        </is>
      </c>
      <c r="D5607" s="12" t="inlineStr">
        <is>
          <t>Analog instrument to JB JB-LNG 10: truck unlo-AI01: 12 x 1 pr (field cables)</t>
        </is>
      </c>
      <c r="E5607" s="12" t="inlineStr"/>
      <c r="F5607" s="12" t="inlineStr">
        <is>
          <t>LNG 10: truck unloading bay 1</t>
        </is>
      </c>
      <c r="G5607" s="12" t="inlineStr">
        <is>
          <t>JB-LNG 10: truck unlo-AI01</t>
        </is>
      </c>
      <c r="H5607" s="12" t="inlineStr">
        <is>
          <t>LNG 10: truck unloading bay 1</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7" t="n">
        <v>72</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K-I-0088</t>
        </is>
      </c>
      <c r="B5608" s="12" t="inlineStr">
        <is>
          <t>K</t>
        </is>
      </c>
      <c r="C5608" s="12" t="inlineStr">
        <is>
          <t>Fuel supply (adjacent market)</t>
        </is>
      </c>
      <c r="D5608" s="12" t="inlineStr">
        <is>
          <t>Home run JB-LNG 10: truck unlo-AI01 to the control / marshalling room</t>
        </is>
      </c>
      <c r="E5608" s="12" t="inlineStr"/>
      <c r="F5608" s="12" t="inlineStr">
        <is>
          <t>LNG 17: LNG e-house (13.8 kV / 480 V)</t>
        </is>
      </c>
      <c r="G5608" s="12" t="inlineStr">
        <is>
          <t>JB-LNG 10: truck unlo-AI01</t>
        </is>
      </c>
      <c r="H5608" s="12" t="inlineStr">
        <is>
          <t>LNG 10: truck unloading bay 1</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237</v>
      </c>
      <c r="U5608" s="17" t="n">
        <v>61</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K-I-0089</t>
        </is>
      </c>
      <c r="B5609" s="12" t="inlineStr">
        <is>
          <t>K</t>
        </is>
      </c>
      <c r="C5609" s="12" t="inlineStr">
        <is>
          <t>Fuel supply (adjacent market)</t>
        </is>
      </c>
      <c r="D5609" s="12" t="inlineStr">
        <is>
          <t>Discrete device to JB JB-LNG 10: truck unlo-DI01: 12 x 1 pr (field cables)</t>
        </is>
      </c>
      <c r="E5609" s="12" t="inlineStr"/>
      <c r="F5609" s="12" t="inlineStr">
        <is>
          <t>LNG 10: truck unloading bay 1</t>
        </is>
      </c>
      <c r="G5609" s="12" t="inlineStr">
        <is>
          <t>JB-LNG 10: truck unlo-DI01</t>
        </is>
      </c>
      <c r="H5609" s="12" t="inlineStr">
        <is>
          <t>LNG 10: truck unloading bay 1</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7" t="n">
        <v>72</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K-I-0090</t>
        </is>
      </c>
      <c r="B5610" s="12" t="inlineStr">
        <is>
          <t>K</t>
        </is>
      </c>
      <c r="C5610" s="12" t="inlineStr">
        <is>
          <t>Fuel supply (adjacent market)</t>
        </is>
      </c>
      <c r="D5610" s="12" t="inlineStr">
        <is>
          <t>Home run JB-LNG 10: truck unlo-DI01 to the control / marshalling room</t>
        </is>
      </c>
      <c r="E5610" s="12" t="inlineStr"/>
      <c r="F5610" s="12" t="inlineStr">
        <is>
          <t>LNG 17: LNG e-house (13.8 kV / 480 V)</t>
        </is>
      </c>
      <c r="G5610" s="12" t="inlineStr">
        <is>
          <t>JB-LNG 10: truck unlo-DI01</t>
        </is>
      </c>
      <c r="H5610" s="12" t="inlineStr">
        <is>
          <t>LNG 10: truck unloading bay 1</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237</v>
      </c>
      <c r="U5610" s="17" t="n">
        <v>61</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K-I-0091</t>
        </is>
      </c>
      <c r="B5611" s="12" t="inlineStr">
        <is>
          <t>K</t>
        </is>
      </c>
      <c r="C5611" s="12" t="inlineStr">
        <is>
          <t>Fuel supply (adjacent market)</t>
        </is>
      </c>
      <c r="D5611" s="12" t="inlineStr">
        <is>
          <t>Analog instrument to JB JB-LNG 10: truck unlo-AI01: 12 x 1 pr (field cables)</t>
        </is>
      </c>
      <c r="E5611" s="12" t="inlineStr"/>
      <c r="F5611" s="12" t="inlineStr">
        <is>
          <t>LNG 10: truck unloading bay 2</t>
        </is>
      </c>
      <c r="G5611" s="12" t="inlineStr">
        <is>
          <t>JB-LNG 10: truck unlo-AI01</t>
        </is>
      </c>
      <c r="H5611" s="12" t="inlineStr">
        <is>
          <t>LNG 10: truck unloading bay 2</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7" t="n">
        <v>72</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K-I-0092</t>
        </is>
      </c>
      <c r="B5612" s="12" t="inlineStr">
        <is>
          <t>K</t>
        </is>
      </c>
      <c r="C5612" s="12" t="inlineStr">
        <is>
          <t>Fuel supply (adjacent market)</t>
        </is>
      </c>
      <c r="D5612" s="12" t="inlineStr">
        <is>
          <t>Home run JB-LNG 10: truck unlo-AI01 to the control / marshalling room</t>
        </is>
      </c>
      <c r="E5612" s="12" t="inlineStr"/>
      <c r="F5612" s="12" t="inlineStr">
        <is>
          <t>LNG 17: LNG e-house (13.8 kV / 480 V)</t>
        </is>
      </c>
      <c r="G5612" s="12" t="inlineStr">
        <is>
          <t>JB-LNG 10: truck unlo-AI01</t>
        </is>
      </c>
      <c r="H5612" s="12" t="inlineStr">
        <is>
          <t>LNG 10: truck unloading bay 2</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147</v>
      </c>
      <c r="U5612" s="17" t="n">
        <v>66</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K-I-0093</t>
        </is>
      </c>
      <c r="B5613" s="12" t="inlineStr">
        <is>
          <t>K</t>
        </is>
      </c>
      <c r="C5613" s="12" t="inlineStr">
        <is>
          <t>Fuel supply (adjacent market)</t>
        </is>
      </c>
      <c r="D5613" s="12" t="inlineStr">
        <is>
          <t>Discrete device to JB JB-LNG 10: truck unlo-DI01: 12 x 1 pr (field cables)</t>
        </is>
      </c>
      <c r="E5613" s="12" t="inlineStr"/>
      <c r="F5613" s="12" t="inlineStr">
        <is>
          <t>LNG 10: truck unloading bay 2</t>
        </is>
      </c>
      <c r="G5613" s="12" t="inlineStr">
        <is>
          <t>JB-LNG 10: truck unlo-DI01</t>
        </is>
      </c>
      <c r="H5613" s="12" t="inlineStr">
        <is>
          <t>LNG 10: truck unloading bay 2</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7" t="n">
        <v>72</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K-I-0094</t>
        </is>
      </c>
      <c r="B5614" s="12" t="inlineStr">
        <is>
          <t>K</t>
        </is>
      </c>
      <c r="C5614" s="12" t="inlineStr">
        <is>
          <t>Fuel supply (adjacent market)</t>
        </is>
      </c>
      <c r="D5614" s="12" t="inlineStr">
        <is>
          <t>Home run JB-LNG 10: truck unlo-DI01 to the control / marshalling room</t>
        </is>
      </c>
      <c r="E5614" s="12" t="inlineStr"/>
      <c r="F5614" s="12" t="inlineStr">
        <is>
          <t>LNG 17: LNG e-house (13.8 kV / 480 V)</t>
        </is>
      </c>
      <c r="G5614" s="12" t="inlineStr">
        <is>
          <t>JB-LNG 10: truck unlo-DI01</t>
        </is>
      </c>
      <c r="H5614" s="12" t="inlineStr">
        <is>
          <t>LNG 10: truck unloading bay 2</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147</v>
      </c>
      <c r="U5614" s="17" t="n">
        <v>66</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K-I-0095</t>
        </is>
      </c>
      <c r="B5615" s="12" t="inlineStr">
        <is>
          <t>K</t>
        </is>
      </c>
      <c r="C5615" s="12" t="inlineStr">
        <is>
          <t>Fuel supply (adjacent market)</t>
        </is>
      </c>
      <c r="D5615" s="12" t="inlineStr">
        <is>
          <t>Analog instrument to JB JB-LNG 10: unloading -AI01: 12 x 1 pr (field cables)</t>
        </is>
      </c>
      <c r="E5615" s="12" t="inlineStr"/>
      <c r="F5615" s="12" t="inlineStr">
        <is>
          <t>LNG 10: unloading skid</t>
        </is>
      </c>
      <c r="G5615" s="12" t="inlineStr">
        <is>
          <t>JB-LNG 10: unloading -AI01</t>
        </is>
      </c>
      <c r="H5615" s="12" t="inlineStr">
        <is>
          <t>LNG 10: unloading skid</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7" t="n">
        <v>54</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K-I-0096</t>
        </is>
      </c>
      <c r="B5616" s="12" t="inlineStr">
        <is>
          <t>K</t>
        </is>
      </c>
      <c r="C5616" s="12" t="inlineStr">
        <is>
          <t>Fuel supply (adjacent market)</t>
        </is>
      </c>
      <c r="D5616" s="12" t="inlineStr">
        <is>
          <t>Home run JB-LNG 10: unloading -AI01 to the control / marshalling room</t>
        </is>
      </c>
      <c r="E5616" s="12" t="inlineStr"/>
      <c r="F5616" s="12" t="inlineStr">
        <is>
          <t>LNG 17: LNG e-house (13.8 kV / 480 V)</t>
        </is>
      </c>
      <c r="G5616" s="12" t="inlineStr">
        <is>
          <t>JB-LNG 10: unloading -AI01</t>
        </is>
      </c>
      <c r="H5616" s="12" t="inlineStr">
        <is>
          <t>LNG 10: unloading skid</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237</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K-I-0097</t>
        </is>
      </c>
      <c r="B5617" s="12" t="inlineStr">
        <is>
          <t>K</t>
        </is>
      </c>
      <c r="C5617" s="12" t="inlineStr">
        <is>
          <t>Fuel supply (adjacent market)</t>
        </is>
      </c>
      <c r="D5617" s="12" t="inlineStr">
        <is>
          <t>Discrete device to JB JB-LNG 10: unloading -DI01: 12 x 1 pr (field cables)</t>
        </is>
      </c>
      <c r="E5617" s="12" t="inlineStr"/>
      <c r="F5617" s="12" t="inlineStr">
        <is>
          <t>LNG 10: unloading skid</t>
        </is>
      </c>
      <c r="G5617" s="12" t="inlineStr">
        <is>
          <t>JB-LNG 10: unloading -DI01</t>
        </is>
      </c>
      <c r="H5617" s="12" t="inlineStr">
        <is>
          <t>LNG 10: unloading skid</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7" t="n">
        <v>54</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K-I-0098</t>
        </is>
      </c>
      <c r="B5618" s="12" t="inlineStr">
        <is>
          <t>K</t>
        </is>
      </c>
      <c r="C5618" s="12" t="inlineStr">
        <is>
          <t>Fuel supply (adjacent market)</t>
        </is>
      </c>
      <c r="D5618" s="12" t="inlineStr">
        <is>
          <t>Home run JB-LNG 10: unloading -DI01 to the control / marshalling room</t>
        </is>
      </c>
      <c r="E5618" s="12" t="inlineStr"/>
      <c r="F5618" s="12" t="inlineStr">
        <is>
          <t>LNG 17: LNG e-house (13.8 kV / 480 V)</t>
        </is>
      </c>
      <c r="G5618" s="12" t="inlineStr">
        <is>
          <t>JB-LNG 10: unloading -DI01</t>
        </is>
      </c>
      <c r="H5618" s="12" t="inlineStr">
        <is>
          <t>LNG 10: unloading skid</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237</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K-I-0099</t>
        </is>
      </c>
      <c r="B5619" s="12" t="inlineStr">
        <is>
          <t>K</t>
        </is>
      </c>
      <c r="C5619" s="12" t="inlineStr">
        <is>
          <t>Fuel supply (adjacent market)</t>
        </is>
      </c>
      <c r="D5619" s="12" t="inlineStr">
        <is>
          <t>Analog instrument to JB JB-LNG-T1-AI01: 4 x 1 pr (field cables)</t>
        </is>
      </c>
      <c r="E5619" s="12" t="inlineStr">
        <is>
          <t>LNG-T1</t>
        </is>
      </c>
      <c r="F5619" s="12" t="inlineStr">
        <is>
          <t>LNG 11: tank 1, Chart HS 50000 (51,780 gal)</t>
        </is>
      </c>
      <c r="G5619" s="12" t="inlineStr">
        <is>
          <t>JB-LNG-T1-AI01</t>
        </is>
      </c>
      <c r="H5619" s="12" t="inlineStr">
        <is>
          <t>LNG 11: tank 1, Chart HS 50000 (51,780 gal)</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4</v>
      </c>
      <c r="O5619" s="12" t="n">
        <v>1</v>
      </c>
      <c r="P5619" s="12" t="n"/>
      <c r="Q5619" s="12" t="n"/>
      <c r="R5619" s="12" t="n"/>
      <c r="S5619" s="12" t="inlineStr">
        <is>
          <t>Tray / conduit</t>
        </is>
      </c>
      <c r="T5619" s="17" t="n">
        <v>77</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K-I-0100</t>
        </is>
      </c>
      <c r="B5620" s="12" t="inlineStr">
        <is>
          <t>K</t>
        </is>
      </c>
      <c r="C5620" s="12" t="inlineStr">
        <is>
          <t>Fuel supply (adjacent market)</t>
        </is>
      </c>
      <c r="D5620" s="12" t="inlineStr">
        <is>
          <t>Home run JB-LNG-T1-AI01 to the control / marshalling room</t>
        </is>
      </c>
      <c r="E5620" s="12" t="inlineStr"/>
      <c r="F5620" s="12" t="inlineStr">
        <is>
          <t>LNG 17: LNG e-house (13.8 kV / 480 V)</t>
        </is>
      </c>
      <c r="G5620" s="12" t="inlineStr">
        <is>
          <t>JB-LNG-T1-AI01</t>
        </is>
      </c>
      <c r="H5620" s="12" t="inlineStr">
        <is>
          <t>LNG 11: tank 1, Chart HS 50000 (51,780 gal)</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210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K-I-0101</t>
        </is>
      </c>
      <c r="B5621" s="12" t="inlineStr">
        <is>
          <t>K</t>
        </is>
      </c>
      <c r="C5621" s="12" t="inlineStr">
        <is>
          <t>Fuel supply (adjacent market)</t>
        </is>
      </c>
      <c r="D5621" s="12" t="inlineStr">
        <is>
          <t>Discrete device to JB JB-LNG-T1-DI01: 4 x 1 pr (field cables)</t>
        </is>
      </c>
      <c r="E5621" s="12" t="inlineStr">
        <is>
          <t>LNG-T1</t>
        </is>
      </c>
      <c r="F5621" s="12" t="inlineStr">
        <is>
          <t>LNG 11: tank 1, Chart HS 50000 (51,780 gal)</t>
        </is>
      </c>
      <c r="G5621" s="12" t="inlineStr">
        <is>
          <t>JB-LNG-T1-DI01</t>
        </is>
      </c>
      <c r="H5621" s="12" t="inlineStr">
        <is>
          <t>LNG 11: tank 1, Chart HS 50000 (51,780 gal)</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4</v>
      </c>
      <c r="O5621" s="12" t="n">
        <v>1</v>
      </c>
      <c r="P5621" s="12" t="n"/>
      <c r="Q5621" s="12" t="n"/>
      <c r="R5621" s="12" t="n"/>
      <c r="S5621" s="12" t="inlineStr">
        <is>
          <t>Tray / conduit</t>
        </is>
      </c>
      <c r="T5621" s="17" t="n">
        <v>77</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K-I-0102</t>
        </is>
      </c>
      <c r="B5622" s="12" t="inlineStr">
        <is>
          <t>K</t>
        </is>
      </c>
      <c r="C5622" s="12" t="inlineStr">
        <is>
          <t>Fuel supply (adjacent market)</t>
        </is>
      </c>
      <c r="D5622" s="12" t="inlineStr">
        <is>
          <t>Home run JB-LNG-T1-DI01 to the control / marshalling room</t>
        </is>
      </c>
      <c r="E5622" s="12" t="inlineStr"/>
      <c r="F5622" s="12" t="inlineStr">
        <is>
          <t>LNG 17: LNG e-house (13.8 kV / 480 V)</t>
        </is>
      </c>
      <c r="G5622" s="12" t="inlineStr">
        <is>
          <t>JB-LNG-T1-DI01</t>
        </is>
      </c>
      <c r="H5622" s="12" t="inlineStr">
        <is>
          <t>LNG 11: tank 1, Chart HS 50000 (51,780 gal)</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210</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K-I-0103</t>
        </is>
      </c>
      <c r="B5623" s="12" t="inlineStr">
        <is>
          <t>K</t>
        </is>
      </c>
      <c r="C5623" s="12" t="inlineStr">
        <is>
          <t>Fuel supply (adjacent market)</t>
        </is>
      </c>
      <c r="D5623" s="12" t="inlineStr">
        <is>
          <t>Analog instrument to JB JB-LNG-T2-AI01: 4 x 1 pr (field cables)</t>
        </is>
      </c>
      <c r="E5623" s="12" t="inlineStr">
        <is>
          <t>LNG-T2</t>
        </is>
      </c>
      <c r="F5623" s="12" t="inlineStr">
        <is>
          <t>LNG 11: tank 2, Chart HS 50000 (51,780 gal)</t>
        </is>
      </c>
      <c r="G5623" s="12" t="inlineStr">
        <is>
          <t>JB-LNG-T2-AI01</t>
        </is>
      </c>
      <c r="H5623" s="12" t="inlineStr">
        <is>
          <t>LNG 11: tank 2, Chart HS 50000 (51,780 gal)</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7" t="n">
        <v>77</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K-I-0104</t>
        </is>
      </c>
      <c r="B5624" s="12" t="inlineStr">
        <is>
          <t>K</t>
        </is>
      </c>
      <c r="C5624" s="12" t="inlineStr">
        <is>
          <t>Fuel supply (adjacent market)</t>
        </is>
      </c>
      <c r="D5624" s="12" t="inlineStr">
        <is>
          <t>Home run JB-LNG-T2-AI01 to the control / marshalling room</t>
        </is>
      </c>
      <c r="E5624" s="12" t="inlineStr"/>
      <c r="F5624" s="12" t="inlineStr">
        <is>
          <t>LNG 17: LNG e-house (13.8 kV / 480 V)</t>
        </is>
      </c>
      <c r="G5624" s="12" t="inlineStr">
        <is>
          <t>JB-LNG-T2-AI01</t>
        </is>
      </c>
      <c r="H5624" s="12" t="inlineStr">
        <is>
          <t>LNG 11: tank 2, Chart HS 50000 (51,780 gal)</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230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K-I-0105</t>
        </is>
      </c>
      <c r="B5625" s="12" t="inlineStr">
        <is>
          <t>K</t>
        </is>
      </c>
      <c r="C5625" s="12" t="inlineStr">
        <is>
          <t>Fuel supply (adjacent market)</t>
        </is>
      </c>
      <c r="D5625" s="12" t="inlineStr">
        <is>
          <t>Discrete device to JB JB-LNG-T2-DI01: 4 x 1 pr (field cables)</t>
        </is>
      </c>
      <c r="E5625" s="12" t="inlineStr">
        <is>
          <t>LNG-T2</t>
        </is>
      </c>
      <c r="F5625" s="12" t="inlineStr">
        <is>
          <t>LNG 11: tank 2, Chart HS 50000 (51,780 gal)</t>
        </is>
      </c>
      <c r="G5625" s="12" t="inlineStr">
        <is>
          <t>JB-LNG-T2-DI01</t>
        </is>
      </c>
      <c r="H5625" s="12" t="inlineStr">
        <is>
          <t>LNG 11: tank 2, Chart HS 50000 (51,780 gal)</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7" t="n">
        <v>77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K-I-0106</t>
        </is>
      </c>
      <c r="B5626" s="12" t="inlineStr">
        <is>
          <t>K</t>
        </is>
      </c>
      <c r="C5626" s="12" t="inlineStr">
        <is>
          <t>Fuel supply (adjacent market)</t>
        </is>
      </c>
      <c r="D5626" s="12" t="inlineStr">
        <is>
          <t>Home run JB-LNG-T2-DI01 to the control / marshalling room</t>
        </is>
      </c>
      <c r="E5626" s="12" t="inlineStr"/>
      <c r="F5626" s="12" t="inlineStr">
        <is>
          <t>LNG 17: LNG e-house (13.8 kV / 480 V)</t>
        </is>
      </c>
      <c r="G5626" s="12" t="inlineStr">
        <is>
          <t>JB-LNG-T2-DI01</t>
        </is>
      </c>
      <c r="H5626" s="12" t="inlineStr">
        <is>
          <t>LNG 11: tank 2, Chart HS 50000 (51,780 gal)</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230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K-I-0107</t>
        </is>
      </c>
      <c r="B5627" s="12" t="inlineStr">
        <is>
          <t>K</t>
        </is>
      </c>
      <c r="C5627" s="12" t="inlineStr">
        <is>
          <t>Fuel supply (adjacent market)</t>
        </is>
      </c>
      <c r="D5627" s="12" t="inlineStr">
        <is>
          <t>Analog instrument to JB JB-LNG-T3-AI01: 4 x 1 pr (field cables)</t>
        </is>
      </c>
      <c r="E5627" s="12" t="inlineStr">
        <is>
          <t>LNG-T3</t>
        </is>
      </c>
      <c r="F5627" s="12" t="inlineStr">
        <is>
          <t>LNG 11: tank 3, Chart HS 50000 (51,780 gal)</t>
        </is>
      </c>
      <c r="G5627" s="12" t="inlineStr">
        <is>
          <t>JB-LNG-T3-AI01</t>
        </is>
      </c>
      <c r="H5627" s="12" t="inlineStr">
        <is>
          <t>LNG 11: tank 3, Chart HS 50000 (51,780 gal)</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4</v>
      </c>
      <c r="O5627" s="12" t="n">
        <v>1</v>
      </c>
      <c r="P5627" s="12" t="n"/>
      <c r="Q5627" s="12" t="n"/>
      <c r="R5627" s="12" t="n"/>
      <c r="S5627" s="12" t="inlineStr">
        <is>
          <t>Tray / conduit</t>
        </is>
      </c>
      <c r="T5627" s="17" t="n">
        <v>77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K-I-0108</t>
        </is>
      </c>
      <c r="B5628" s="12" t="inlineStr">
        <is>
          <t>K</t>
        </is>
      </c>
      <c r="C5628" s="12" t="inlineStr">
        <is>
          <t>Fuel supply (adjacent market)</t>
        </is>
      </c>
      <c r="D5628" s="12" t="inlineStr">
        <is>
          <t>Home run JB-LNG-T3-AI01 to the control / marshalling room</t>
        </is>
      </c>
      <c r="E5628" s="12" t="inlineStr"/>
      <c r="F5628" s="12" t="inlineStr">
        <is>
          <t>LNG 17: LNG e-house (13.8 kV / 480 V)</t>
        </is>
      </c>
      <c r="G5628" s="12" t="inlineStr">
        <is>
          <t>JB-LNG-T3-AI01</t>
        </is>
      </c>
      <c r="H5628" s="12" t="inlineStr">
        <is>
          <t>LNG 11: tank 3, Chart HS 50000 (51,780 gal)</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250</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K-I-0109</t>
        </is>
      </c>
      <c r="B5629" s="12" t="inlineStr">
        <is>
          <t>K</t>
        </is>
      </c>
      <c r="C5629" s="12" t="inlineStr">
        <is>
          <t>Fuel supply (adjacent market)</t>
        </is>
      </c>
      <c r="D5629" s="12" t="inlineStr">
        <is>
          <t>Discrete device to JB JB-LNG-T3-DI01: 4 x 1 pr (field cables)</t>
        </is>
      </c>
      <c r="E5629" s="12" t="inlineStr">
        <is>
          <t>LNG-T3</t>
        </is>
      </c>
      <c r="F5629" s="12" t="inlineStr">
        <is>
          <t>LNG 11: tank 3, Chart HS 50000 (51,780 gal)</t>
        </is>
      </c>
      <c r="G5629" s="12" t="inlineStr">
        <is>
          <t>JB-LNG-T3-DI01</t>
        </is>
      </c>
      <c r="H5629" s="12" t="inlineStr">
        <is>
          <t>LNG 11: tank 3, Chart HS 50000 (51,780 gal)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7" t="n">
        <v>77</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K-I-0110</t>
        </is>
      </c>
      <c r="B5630" s="12" t="inlineStr">
        <is>
          <t>K</t>
        </is>
      </c>
      <c r="C5630" s="12" t="inlineStr">
        <is>
          <t>Fuel supply (adjacent market)</t>
        </is>
      </c>
      <c r="D5630" s="12" t="inlineStr">
        <is>
          <t>Home run JB-LNG-T3-DI01 to the control / marshalling room</t>
        </is>
      </c>
      <c r="E5630" s="12" t="inlineStr"/>
      <c r="F5630" s="12" t="inlineStr">
        <is>
          <t>LNG 17: LNG e-house (13.8 kV / 480 V)</t>
        </is>
      </c>
      <c r="G5630" s="12" t="inlineStr">
        <is>
          <t>JB-LNG-T3-DI01</t>
        </is>
      </c>
      <c r="H5630" s="12" t="inlineStr">
        <is>
          <t>LNG 11: tank 3, Chart HS 50000 (51,780 gal)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250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K-I-0111</t>
        </is>
      </c>
      <c r="B5631" s="12" t="inlineStr">
        <is>
          <t>K</t>
        </is>
      </c>
      <c r="C5631" s="12" t="inlineStr">
        <is>
          <t>Fuel supply (adjacent market)</t>
        </is>
      </c>
      <c r="D5631" s="12" t="inlineStr">
        <is>
          <t>Analog instrument to JB JB-LNG-T4-AI01: 4 x 1 pr (field cables)</t>
        </is>
      </c>
      <c r="E5631" s="12" t="inlineStr">
        <is>
          <t>LNG-T4</t>
        </is>
      </c>
      <c r="F5631" s="12" t="inlineStr">
        <is>
          <t>LNG 11: tank 4, Chart HS 50000 (51,780 gal)</t>
        </is>
      </c>
      <c r="G5631" s="12" t="inlineStr">
        <is>
          <t>JB-LNG-T4-AI01</t>
        </is>
      </c>
      <c r="H5631" s="12" t="inlineStr">
        <is>
          <t>LNG 11: tank 4, Chart HS 50000 (51,780 gal)</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7" t="n">
        <v>77</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K-I-0112</t>
        </is>
      </c>
      <c r="B5632" s="12" t="inlineStr">
        <is>
          <t>K</t>
        </is>
      </c>
      <c r="C5632" s="12" t="inlineStr">
        <is>
          <t>Fuel supply (adjacent market)</t>
        </is>
      </c>
      <c r="D5632" s="12" t="inlineStr">
        <is>
          <t>Home run JB-LNG-T4-AI01 to the control / marshalling room</t>
        </is>
      </c>
      <c r="E5632" s="12" t="inlineStr"/>
      <c r="F5632" s="12" t="inlineStr">
        <is>
          <t>LNG 17: LNG e-house (13.8 kV / 480 V)</t>
        </is>
      </c>
      <c r="G5632" s="12" t="inlineStr">
        <is>
          <t>JB-LNG-T4-AI01</t>
        </is>
      </c>
      <c r="H5632" s="12" t="inlineStr">
        <is>
          <t>LNG 11: tank 4, Chart HS 50000 (51,780 gal)</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270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K-I-0113</t>
        </is>
      </c>
      <c r="B5633" s="12" t="inlineStr">
        <is>
          <t>K</t>
        </is>
      </c>
      <c r="C5633" s="12" t="inlineStr">
        <is>
          <t>Fuel supply (adjacent market)</t>
        </is>
      </c>
      <c r="D5633" s="12" t="inlineStr">
        <is>
          <t>Discrete device to JB JB-LNG-T4-DI01: 4 x 1 pr (field cables)</t>
        </is>
      </c>
      <c r="E5633" s="12" t="inlineStr">
        <is>
          <t>LNG-T4</t>
        </is>
      </c>
      <c r="F5633" s="12" t="inlineStr">
        <is>
          <t>LNG 11: tank 4, Chart HS 50000 (51,780 gal)</t>
        </is>
      </c>
      <c r="G5633" s="12" t="inlineStr">
        <is>
          <t>JB-LNG-T4-DI01</t>
        </is>
      </c>
      <c r="H5633" s="12" t="inlineStr">
        <is>
          <t>LNG 11: tank 4, Chart HS 50000 (51,780 gal)</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4</v>
      </c>
      <c r="O5633" s="12" t="n">
        <v>1</v>
      </c>
      <c r="P5633" s="12" t="n"/>
      <c r="Q5633" s="12" t="n"/>
      <c r="R5633" s="12" t="n"/>
      <c r="S5633" s="12" t="inlineStr">
        <is>
          <t>Tray / conduit</t>
        </is>
      </c>
      <c r="T5633" s="17" t="n">
        <v>77</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K-I-0114</t>
        </is>
      </c>
      <c r="B5634" s="12" t="inlineStr">
        <is>
          <t>K</t>
        </is>
      </c>
      <c r="C5634" s="12" t="inlineStr">
        <is>
          <t>Fuel supply (adjacent market)</t>
        </is>
      </c>
      <c r="D5634" s="12" t="inlineStr">
        <is>
          <t>Home run JB-LNG-T4-DI01 to the control / marshalling room</t>
        </is>
      </c>
      <c r="E5634" s="12" t="inlineStr"/>
      <c r="F5634" s="12" t="inlineStr">
        <is>
          <t>LNG 17: LNG e-house (13.8 kV / 480 V)</t>
        </is>
      </c>
      <c r="G5634" s="12" t="inlineStr">
        <is>
          <t>JB-LNG-T4-DI01</t>
        </is>
      </c>
      <c r="H5634" s="12" t="inlineStr">
        <is>
          <t>LNG 11: tank 4, Chart HS 50000 (51,780 gal)</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7" t="n">
        <v>270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K-I-0115</t>
        </is>
      </c>
      <c r="B5635" s="12" t="inlineStr">
        <is>
          <t>K</t>
        </is>
      </c>
      <c r="C5635" s="12" t="inlineStr">
        <is>
          <t>Fuel supply (adjacent market)</t>
        </is>
      </c>
      <c r="D5635" s="12" t="inlineStr">
        <is>
          <t>Analog instrument to JB JB-LNG-T5-AI01: 4 x 1 pr (field cables)</t>
        </is>
      </c>
      <c r="E5635" s="12" t="inlineStr">
        <is>
          <t>LNG-T5</t>
        </is>
      </c>
      <c r="F5635" s="12" t="inlineStr">
        <is>
          <t>LNG 11: tank 5, Chart HS 50000 (51,780 gal)</t>
        </is>
      </c>
      <c r="G5635" s="12" t="inlineStr">
        <is>
          <t>JB-LNG-T5-AI01</t>
        </is>
      </c>
      <c r="H5635" s="12" t="inlineStr">
        <is>
          <t>LNG 11: tank 5, Chart HS 50000 (51,780 gal)</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4</v>
      </c>
      <c r="O5635" s="12" t="n">
        <v>1</v>
      </c>
      <c r="P5635" s="12" t="n"/>
      <c r="Q5635" s="12" t="n"/>
      <c r="R5635" s="12" t="n"/>
      <c r="S5635" s="12" t="inlineStr">
        <is>
          <t>Tray / conduit</t>
        </is>
      </c>
      <c r="T5635" s="17" t="n">
        <v>77</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K-I-0116</t>
        </is>
      </c>
      <c r="B5636" s="12" t="inlineStr">
        <is>
          <t>K</t>
        </is>
      </c>
      <c r="C5636" s="12" t="inlineStr">
        <is>
          <t>Fuel supply (adjacent market)</t>
        </is>
      </c>
      <c r="D5636" s="12" t="inlineStr">
        <is>
          <t>Home run JB-LNG-T5-AI01 to the control / marshalling room</t>
        </is>
      </c>
      <c r="E5636" s="12" t="inlineStr"/>
      <c r="F5636" s="12" t="inlineStr">
        <is>
          <t>LNG 17: LNG e-house (13.8 kV / 480 V)</t>
        </is>
      </c>
      <c r="G5636" s="12" t="inlineStr">
        <is>
          <t>JB-LNG-T5-AI01</t>
        </is>
      </c>
      <c r="H5636" s="12" t="inlineStr">
        <is>
          <t>LNG 11: tank 5, Chart HS 50000 (51,780 gal)</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7" t="n">
        <v>290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K-I-0117</t>
        </is>
      </c>
      <c r="B5637" s="12" t="inlineStr">
        <is>
          <t>K</t>
        </is>
      </c>
      <c r="C5637" s="12" t="inlineStr">
        <is>
          <t>Fuel supply (adjacent market)</t>
        </is>
      </c>
      <c r="D5637" s="12" t="inlineStr">
        <is>
          <t>Discrete device to JB JB-LNG-T5-DI01: 4 x 1 pr (field cables)</t>
        </is>
      </c>
      <c r="E5637" s="12" t="inlineStr">
        <is>
          <t>LNG-T5</t>
        </is>
      </c>
      <c r="F5637" s="12" t="inlineStr">
        <is>
          <t>LNG 11: tank 5, Chart HS 50000 (51,780 gal)</t>
        </is>
      </c>
      <c r="G5637" s="12" t="inlineStr">
        <is>
          <t>JB-LNG-T5-DI01</t>
        </is>
      </c>
      <c r="H5637" s="12" t="inlineStr">
        <is>
          <t>LNG 11: tank 5, Chart HS 50000 (51,780 gal)</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4</v>
      </c>
      <c r="O5637" s="12" t="n">
        <v>1</v>
      </c>
      <c r="P5637" s="12" t="n"/>
      <c r="Q5637" s="12" t="n"/>
      <c r="R5637" s="12" t="n"/>
      <c r="S5637" s="12" t="inlineStr">
        <is>
          <t>Tray / conduit</t>
        </is>
      </c>
      <c r="T5637" s="17" t="n">
        <v>77</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K-I-0118</t>
        </is>
      </c>
      <c r="B5638" s="12" t="inlineStr">
        <is>
          <t>K</t>
        </is>
      </c>
      <c r="C5638" s="12" t="inlineStr">
        <is>
          <t>Fuel supply (adjacent market)</t>
        </is>
      </c>
      <c r="D5638" s="12" t="inlineStr">
        <is>
          <t>Home run JB-LNG-T5-DI01 to the control / marshalling room</t>
        </is>
      </c>
      <c r="E5638" s="12" t="inlineStr"/>
      <c r="F5638" s="12" t="inlineStr">
        <is>
          <t>LNG 17: LNG e-house (13.8 kV / 480 V)</t>
        </is>
      </c>
      <c r="G5638" s="12" t="inlineStr">
        <is>
          <t>JB-LNG-T5-DI01</t>
        </is>
      </c>
      <c r="H5638" s="12" t="inlineStr">
        <is>
          <t>LNG 11: tank 5, Chart HS 50000 (51,780 gal)</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290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K-I-0119</t>
        </is>
      </c>
      <c r="B5639" s="12" t="inlineStr">
        <is>
          <t>K</t>
        </is>
      </c>
      <c r="C5639" s="12" t="inlineStr">
        <is>
          <t>Fuel supply (adjacent market)</t>
        </is>
      </c>
      <c r="D5639" s="12" t="inlineStr">
        <is>
          <t>Analog instrument to JB JB-LNG-T6-AI01: 4 x 1 pr (field cables)</t>
        </is>
      </c>
      <c r="E5639" s="12" t="inlineStr">
        <is>
          <t>LNG-T6</t>
        </is>
      </c>
      <c r="F5639" s="12" t="inlineStr">
        <is>
          <t>LNG 11: tank 6, Chart HS 50000 (51,780 gal)</t>
        </is>
      </c>
      <c r="G5639" s="12" t="inlineStr">
        <is>
          <t>JB-LNG-T6-AI01</t>
        </is>
      </c>
      <c r="H5639" s="12" t="inlineStr">
        <is>
          <t>LNG 11: tank 6, Chart HS 50000 (51,780 gal)</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4</v>
      </c>
      <c r="O5639" s="12" t="n">
        <v>1</v>
      </c>
      <c r="P5639" s="12" t="n"/>
      <c r="Q5639" s="12" t="n"/>
      <c r="R5639" s="12" t="n"/>
      <c r="S5639" s="12" t="inlineStr">
        <is>
          <t>Tray / conduit</t>
        </is>
      </c>
      <c r="T5639" s="17" t="n">
        <v>77</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K-I-0120</t>
        </is>
      </c>
      <c r="B5640" s="12" t="inlineStr">
        <is>
          <t>K</t>
        </is>
      </c>
      <c r="C5640" s="12" t="inlineStr">
        <is>
          <t>Fuel supply (adjacent market)</t>
        </is>
      </c>
      <c r="D5640" s="12" t="inlineStr">
        <is>
          <t>Home run JB-LNG-T6-AI01 to the control / marshalling room</t>
        </is>
      </c>
      <c r="E5640" s="12" t="inlineStr"/>
      <c r="F5640" s="12" t="inlineStr">
        <is>
          <t>LNG 17: LNG e-house (13.8 kV / 480 V)</t>
        </is>
      </c>
      <c r="G5640" s="12" t="inlineStr">
        <is>
          <t>JB-LNG-T6-AI01</t>
        </is>
      </c>
      <c r="H5640" s="12" t="inlineStr">
        <is>
          <t>LNG 11: tank 6, Chart HS 50000 (51,780 gal)</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310</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K-I-0121</t>
        </is>
      </c>
      <c r="B5641" s="12" t="inlineStr">
        <is>
          <t>K</t>
        </is>
      </c>
      <c r="C5641" s="12" t="inlineStr">
        <is>
          <t>Fuel supply (adjacent market)</t>
        </is>
      </c>
      <c r="D5641" s="12" t="inlineStr">
        <is>
          <t>Discrete device to JB JB-LNG-T6-DI01: 4 x 1 pr (field cables)</t>
        </is>
      </c>
      <c r="E5641" s="12" t="inlineStr">
        <is>
          <t>LNG-T6</t>
        </is>
      </c>
      <c r="F5641" s="12" t="inlineStr">
        <is>
          <t>LNG 11: tank 6, Chart HS 50000 (51,780 gal)</t>
        </is>
      </c>
      <c r="G5641" s="12" t="inlineStr">
        <is>
          <t>JB-LNG-T6-DI01</t>
        </is>
      </c>
      <c r="H5641" s="12" t="inlineStr">
        <is>
          <t>LNG 11: tank 6, Chart HS 50000 (51,780 gal)</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4</v>
      </c>
      <c r="O5641" s="12" t="n">
        <v>1</v>
      </c>
      <c r="P5641" s="12" t="n"/>
      <c r="Q5641" s="12" t="n"/>
      <c r="R5641" s="12" t="n"/>
      <c r="S5641" s="12" t="inlineStr">
        <is>
          <t>Tray / conduit</t>
        </is>
      </c>
      <c r="T5641" s="17" t="n">
        <v>77</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K-I-0122</t>
        </is>
      </c>
      <c r="B5642" s="12" t="inlineStr">
        <is>
          <t>K</t>
        </is>
      </c>
      <c r="C5642" s="12" t="inlineStr">
        <is>
          <t>Fuel supply (adjacent market)</t>
        </is>
      </c>
      <c r="D5642" s="12" t="inlineStr">
        <is>
          <t>Home run JB-LNG-T6-DI01 to the control / marshalling room</t>
        </is>
      </c>
      <c r="E5642" s="12" t="inlineStr"/>
      <c r="F5642" s="12" t="inlineStr">
        <is>
          <t>LNG 17: LNG e-house (13.8 kV / 480 V)</t>
        </is>
      </c>
      <c r="G5642" s="12" t="inlineStr">
        <is>
          <t>JB-LNG-T6-DI01</t>
        </is>
      </c>
      <c r="H5642" s="12" t="inlineStr">
        <is>
          <t>LNG 11: tank 6, Chart HS 50000 (51,780 gal)</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7" t="n">
        <v>310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K-I-0123</t>
        </is>
      </c>
      <c r="B5643" s="12" t="inlineStr">
        <is>
          <t>K</t>
        </is>
      </c>
      <c r="C5643" s="12" t="inlineStr">
        <is>
          <t>Fuel supply (adjacent market)</t>
        </is>
      </c>
      <c r="D5643" s="12" t="inlineStr">
        <is>
          <t>Analog instrument to JB JB-LNG-T7-AI01: 4 x 1 pr (field cables)</t>
        </is>
      </c>
      <c r="E5643" s="12" t="inlineStr">
        <is>
          <t>LNG-T7</t>
        </is>
      </c>
      <c r="F5643" s="12" t="inlineStr">
        <is>
          <t>LNG 11: tank 7, Chart HS 50000 (51,780 gal)</t>
        </is>
      </c>
      <c r="G5643" s="12" t="inlineStr">
        <is>
          <t>JB-LNG-T7-AI01</t>
        </is>
      </c>
      <c r="H5643" s="12" t="inlineStr">
        <is>
          <t>LNG 11: tank 7, Chart HS 50000 (51,780 gal)</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4</v>
      </c>
      <c r="O5643" s="12" t="n">
        <v>1</v>
      </c>
      <c r="P5643" s="12" t="n"/>
      <c r="Q5643" s="12" t="n"/>
      <c r="R5643" s="12" t="n"/>
      <c r="S5643" s="12" t="inlineStr">
        <is>
          <t>Tray / conduit</t>
        </is>
      </c>
      <c r="T5643" s="17" t="n">
        <v>77</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K-I-0124</t>
        </is>
      </c>
      <c r="B5644" s="12" t="inlineStr">
        <is>
          <t>K</t>
        </is>
      </c>
      <c r="C5644" s="12" t="inlineStr">
        <is>
          <t>Fuel supply (adjacent market)</t>
        </is>
      </c>
      <c r="D5644" s="12" t="inlineStr">
        <is>
          <t>Home run JB-LNG-T7-AI01 to the control / marshalling room</t>
        </is>
      </c>
      <c r="E5644" s="12" t="inlineStr"/>
      <c r="F5644" s="12" t="inlineStr">
        <is>
          <t>LNG 17: LNG e-house (13.8 kV / 480 V)</t>
        </is>
      </c>
      <c r="G5644" s="12" t="inlineStr">
        <is>
          <t>JB-LNG-T7-AI01</t>
        </is>
      </c>
      <c r="H5644" s="12" t="inlineStr">
        <is>
          <t>LNG 11: tank 7, Chart HS 50000 (51,780 gal)</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330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K-I-0125</t>
        </is>
      </c>
      <c r="B5645" s="12" t="inlineStr">
        <is>
          <t>K</t>
        </is>
      </c>
      <c r="C5645" s="12" t="inlineStr">
        <is>
          <t>Fuel supply (adjacent market)</t>
        </is>
      </c>
      <c r="D5645" s="12" t="inlineStr">
        <is>
          <t>Discrete device to JB JB-LNG-T7-DI01: 4 x 1 pr (field cables)</t>
        </is>
      </c>
      <c r="E5645" s="12" t="inlineStr">
        <is>
          <t>LNG-T7</t>
        </is>
      </c>
      <c r="F5645" s="12" t="inlineStr">
        <is>
          <t>LNG 11: tank 7, Chart HS 50000 (51,780 gal)</t>
        </is>
      </c>
      <c r="G5645" s="12" t="inlineStr">
        <is>
          <t>JB-LNG-T7-DI01</t>
        </is>
      </c>
      <c r="H5645" s="12" t="inlineStr">
        <is>
          <t>LNG 11: tank 7, Chart HS 50000 (51,780 gal)</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4</v>
      </c>
      <c r="O5645" s="12" t="n">
        <v>1</v>
      </c>
      <c r="P5645" s="12" t="n"/>
      <c r="Q5645" s="12" t="n"/>
      <c r="R5645" s="12" t="n"/>
      <c r="S5645" s="12" t="inlineStr">
        <is>
          <t>Tray / conduit</t>
        </is>
      </c>
      <c r="T5645" s="17" t="n">
        <v>77</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K-I-0126</t>
        </is>
      </c>
      <c r="B5646" s="12" t="inlineStr">
        <is>
          <t>K</t>
        </is>
      </c>
      <c r="C5646" s="12" t="inlineStr">
        <is>
          <t>Fuel supply (adjacent market)</t>
        </is>
      </c>
      <c r="D5646" s="12" t="inlineStr">
        <is>
          <t>Home run JB-LNG-T7-DI01 to the control / marshalling room</t>
        </is>
      </c>
      <c r="E5646" s="12" t="inlineStr"/>
      <c r="F5646" s="12" t="inlineStr">
        <is>
          <t>LNG 17: LNG e-house (13.8 kV / 480 V)</t>
        </is>
      </c>
      <c r="G5646" s="12" t="inlineStr">
        <is>
          <t>JB-LNG-T7-DI01</t>
        </is>
      </c>
      <c r="H5646" s="12" t="inlineStr">
        <is>
          <t>LNG 11: tank 7, Chart HS 50000 (51,780 gal)</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330</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K-I-0127</t>
        </is>
      </c>
      <c r="B5647" s="12" t="inlineStr">
        <is>
          <t>K</t>
        </is>
      </c>
      <c r="C5647" s="12" t="inlineStr">
        <is>
          <t>Fuel supply (adjacent market)</t>
        </is>
      </c>
      <c r="D5647" s="12" t="inlineStr">
        <is>
          <t>Analog instrument to JB JB-LNG-T8-AI01: 4 x 1 pr (field cables)</t>
        </is>
      </c>
      <c r="E5647" s="12" t="inlineStr">
        <is>
          <t>LNG-T8</t>
        </is>
      </c>
      <c r="F5647" s="12" t="inlineStr">
        <is>
          <t>LNG 11: tank 8, Chart HS 50000 (51,780 gal)</t>
        </is>
      </c>
      <c r="G5647" s="12" t="inlineStr">
        <is>
          <t>JB-LNG-T8-AI01</t>
        </is>
      </c>
      <c r="H5647" s="12" t="inlineStr">
        <is>
          <t>LNG 11: tank 8, Chart HS 50000 (51,780 gal)</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4</v>
      </c>
      <c r="O5647" s="12" t="n">
        <v>1</v>
      </c>
      <c r="P5647" s="12" t="n"/>
      <c r="Q5647" s="12" t="n"/>
      <c r="R5647" s="12" t="n"/>
      <c r="S5647" s="12" t="inlineStr">
        <is>
          <t>Tray / conduit</t>
        </is>
      </c>
      <c r="T5647" s="17" t="n">
        <v>77</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K-I-0128</t>
        </is>
      </c>
      <c r="B5648" s="12" t="inlineStr">
        <is>
          <t>K</t>
        </is>
      </c>
      <c r="C5648" s="12" t="inlineStr">
        <is>
          <t>Fuel supply (adjacent market)</t>
        </is>
      </c>
      <c r="D5648" s="12" t="inlineStr">
        <is>
          <t>Home run JB-LNG-T8-AI01 to the control / marshalling room</t>
        </is>
      </c>
      <c r="E5648" s="12" t="inlineStr"/>
      <c r="F5648" s="12" t="inlineStr">
        <is>
          <t>LNG 17: LNG e-house (13.8 kV / 480 V)</t>
        </is>
      </c>
      <c r="G5648" s="12" t="inlineStr">
        <is>
          <t>JB-LNG-T8-AI01</t>
        </is>
      </c>
      <c r="H5648" s="12" t="inlineStr">
        <is>
          <t>LNG 11: tank 8, Chart HS 50000 (51,780 gal)</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350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K-I-0129</t>
        </is>
      </c>
      <c r="B5649" s="12" t="inlineStr">
        <is>
          <t>K</t>
        </is>
      </c>
      <c r="C5649" s="12" t="inlineStr">
        <is>
          <t>Fuel supply (adjacent market)</t>
        </is>
      </c>
      <c r="D5649" s="12" t="inlineStr">
        <is>
          <t>Discrete device to JB JB-LNG-T8-DI01: 4 x 1 pr (field cables)</t>
        </is>
      </c>
      <c r="E5649" s="12" t="inlineStr">
        <is>
          <t>LNG-T8</t>
        </is>
      </c>
      <c r="F5649" s="12" t="inlineStr">
        <is>
          <t>LNG 11: tank 8, Chart HS 50000 (51,780 gal)</t>
        </is>
      </c>
      <c r="G5649" s="12" t="inlineStr">
        <is>
          <t>JB-LNG-T8-DI01</t>
        </is>
      </c>
      <c r="H5649" s="12" t="inlineStr">
        <is>
          <t>LNG 11: tank 8, Chart HS 50000 (51,780 gal)</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4</v>
      </c>
      <c r="O5649" s="12" t="n">
        <v>1</v>
      </c>
      <c r="P5649" s="12" t="n"/>
      <c r="Q5649" s="12" t="n"/>
      <c r="R5649" s="12" t="n"/>
      <c r="S5649" s="12" t="inlineStr">
        <is>
          <t>Tray / conduit</t>
        </is>
      </c>
      <c r="T5649" s="17" t="n">
        <v>77</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K-I-0130</t>
        </is>
      </c>
      <c r="B5650" s="12" t="inlineStr">
        <is>
          <t>K</t>
        </is>
      </c>
      <c r="C5650" s="12" t="inlineStr">
        <is>
          <t>Fuel supply (adjacent market)</t>
        </is>
      </c>
      <c r="D5650" s="12" t="inlineStr">
        <is>
          <t>Home run JB-LNG-T8-DI01 to the control / marshalling room</t>
        </is>
      </c>
      <c r="E5650" s="12" t="inlineStr"/>
      <c r="F5650" s="12" t="inlineStr">
        <is>
          <t>LNG 17: LNG e-house (13.8 kV / 480 V)</t>
        </is>
      </c>
      <c r="G5650" s="12" t="inlineStr">
        <is>
          <t>JB-LNG-T8-DI01</t>
        </is>
      </c>
      <c r="H5650" s="12" t="inlineStr">
        <is>
          <t>LNG 11: tank 8, Chart HS 50000 (51,780 gal)</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7" t="n">
        <v>350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K-I-0131</t>
        </is>
      </c>
      <c r="B5651" s="12" t="inlineStr">
        <is>
          <t>K</t>
        </is>
      </c>
      <c r="C5651" s="12" t="inlineStr">
        <is>
          <t>Fuel supply (adjacent market)</t>
        </is>
      </c>
      <c r="D5651" s="12" t="inlineStr">
        <is>
          <t>Analog instrument to JB JB-LNG 12: spill impo-AI01: 12 x 1 pr (field cables)</t>
        </is>
      </c>
      <c r="E5651" s="12" t="inlineStr"/>
      <c r="F5651" s="12" t="inlineStr">
        <is>
          <t>LNG 12: spill impoundment (NFPA 59A, to verify)</t>
        </is>
      </c>
      <c r="G5651" s="12" t="inlineStr">
        <is>
          <t>JB-LNG 12: spill impo-AI01</t>
        </is>
      </c>
      <c r="H5651" s="12" t="inlineStr">
        <is>
          <t>LNG 12: spill impoundment (NFPA 59A, to verify)</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7" t="n">
        <v>170</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K-I-0132</t>
        </is>
      </c>
      <c r="B5652" s="12" t="inlineStr">
        <is>
          <t>K</t>
        </is>
      </c>
      <c r="C5652" s="12" t="inlineStr">
        <is>
          <t>Fuel supply (adjacent market)</t>
        </is>
      </c>
      <c r="D5652" s="12" t="inlineStr">
        <is>
          <t>Home run JB-LNG 12: spill impo-AI01 to the control / marshalling room</t>
        </is>
      </c>
      <c r="E5652" s="12" t="inlineStr"/>
      <c r="F5652" s="12" t="inlineStr">
        <is>
          <t>LNG 17: LNG e-house (13.8 kV / 480 V)</t>
        </is>
      </c>
      <c r="G5652" s="12" t="inlineStr">
        <is>
          <t>JB-LNG 12: spill impo-AI01</t>
        </is>
      </c>
      <c r="H5652" s="12" t="inlineStr">
        <is>
          <t>LNG 12: spill impoundment (NFPA 59A, to verify)</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7" t="n">
        <v>230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K-I-0133</t>
        </is>
      </c>
      <c r="B5653" s="12" t="inlineStr">
        <is>
          <t>K</t>
        </is>
      </c>
      <c r="C5653" s="12" t="inlineStr">
        <is>
          <t>Fuel supply (adjacent market)</t>
        </is>
      </c>
      <c r="D5653" s="12" t="inlineStr">
        <is>
          <t>Discrete device to JB JB-LNG 12: spill impo-DI01: 12 x 1 pr (field cables)</t>
        </is>
      </c>
      <c r="E5653" s="12" t="inlineStr"/>
      <c r="F5653" s="12" t="inlineStr">
        <is>
          <t>LNG 12: spill impoundment (NFPA 59A, to verify)</t>
        </is>
      </c>
      <c r="G5653" s="12" t="inlineStr">
        <is>
          <t>JB-LNG 12: spill impo-DI01</t>
        </is>
      </c>
      <c r="H5653" s="12" t="inlineStr">
        <is>
          <t>LNG 12: spill impoundment (NFPA 59A, to verify)</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7" t="n">
        <v>170</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K-I-0134</t>
        </is>
      </c>
      <c r="B5654" s="12" t="inlineStr">
        <is>
          <t>K</t>
        </is>
      </c>
      <c r="C5654" s="12" t="inlineStr">
        <is>
          <t>Fuel supply (adjacent market)</t>
        </is>
      </c>
      <c r="D5654" s="12" t="inlineStr">
        <is>
          <t>Home run JB-LNG 12: spill impo-DI01 to the control / marshalling room</t>
        </is>
      </c>
      <c r="E5654" s="12" t="inlineStr"/>
      <c r="F5654" s="12" t="inlineStr">
        <is>
          <t>LNG 17: LNG e-house (13.8 kV / 480 V)</t>
        </is>
      </c>
      <c r="G5654" s="12" t="inlineStr">
        <is>
          <t>JB-LNG 12: spill impo-DI01</t>
        </is>
      </c>
      <c r="H5654" s="12" t="inlineStr">
        <is>
          <t>LNG 12: spill impoundment (NFPA 59A, to verify)</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7" t="n">
        <v>230</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K-I-0135</t>
        </is>
      </c>
      <c r="B5655" s="12" t="inlineStr">
        <is>
          <t>K</t>
        </is>
      </c>
      <c r="C5655" s="12" t="inlineStr">
        <is>
          <t>Fuel supply (adjacent market)</t>
        </is>
      </c>
      <c r="D5655" s="12" t="inlineStr">
        <is>
          <t>Analog instrument to JB JB-LNG 13: send-out p-AI01: 12 x 1 pr (field cables)</t>
        </is>
      </c>
      <c r="E5655" s="12" t="inlineStr"/>
      <c r="F5655" s="12" t="inlineStr">
        <is>
          <t>LNG 13: send-out pumps 2 x 100%</t>
        </is>
      </c>
      <c r="G5655" s="12" t="inlineStr">
        <is>
          <t>JB-LNG 13: send-out p-AI01</t>
        </is>
      </c>
      <c r="H5655" s="12" t="inlineStr">
        <is>
          <t>LNG 13: send-out pumps 2 x 100%</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7" t="n">
        <v>63</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K-I-0136</t>
        </is>
      </c>
      <c r="B5656" s="12" t="inlineStr">
        <is>
          <t>K</t>
        </is>
      </c>
      <c r="C5656" s="12" t="inlineStr">
        <is>
          <t>Fuel supply (adjacent market)</t>
        </is>
      </c>
      <c r="D5656" s="12" t="inlineStr">
        <is>
          <t>Home run JB-LNG 13: send-out p-AI01 to the control / marshalling room</t>
        </is>
      </c>
      <c r="E5656" s="12" t="inlineStr"/>
      <c r="F5656" s="12" t="inlineStr">
        <is>
          <t>LNG 17: LNG e-house (13.8 kV / 480 V)</t>
        </is>
      </c>
      <c r="G5656" s="12" t="inlineStr">
        <is>
          <t>JB-LNG 13: send-out p-AI01</t>
        </is>
      </c>
      <c r="H5656" s="12" t="inlineStr">
        <is>
          <t>LNG 13: send-out pumps 2 x 100%</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110</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K-I-0137</t>
        </is>
      </c>
      <c r="B5657" s="12" t="inlineStr">
        <is>
          <t>K</t>
        </is>
      </c>
      <c r="C5657" s="12" t="inlineStr">
        <is>
          <t>Fuel supply (adjacent market)</t>
        </is>
      </c>
      <c r="D5657" s="12" t="inlineStr">
        <is>
          <t>Discrete device to JB JB-LNG 13: send-out p-DI01: 12 x 1 pr (field cables)</t>
        </is>
      </c>
      <c r="E5657" s="12" t="inlineStr"/>
      <c r="F5657" s="12" t="inlineStr">
        <is>
          <t>LNG 13: send-out pumps 2 x 100%</t>
        </is>
      </c>
      <c r="G5657" s="12" t="inlineStr">
        <is>
          <t>JB-LNG 13: send-out p-DI01</t>
        </is>
      </c>
      <c r="H5657" s="12" t="inlineStr">
        <is>
          <t>LNG 13: send-out pumps 2 x 100%</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7" t="n">
        <v>63</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K-I-0138</t>
        </is>
      </c>
      <c r="B5658" s="12" t="inlineStr">
        <is>
          <t>K</t>
        </is>
      </c>
      <c r="C5658" s="12" t="inlineStr">
        <is>
          <t>Fuel supply (adjacent market)</t>
        </is>
      </c>
      <c r="D5658" s="12" t="inlineStr">
        <is>
          <t>Home run JB-LNG 13: send-out p-DI01 to the control / marshalling room</t>
        </is>
      </c>
      <c r="E5658" s="12" t="inlineStr"/>
      <c r="F5658" s="12" t="inlineStr">
        <is>
          <t>LNG 17: LNG e-house (13.8 kV / 480 V)</t>
        </is>
      </c>
      <c r="G5658" s="12" t="inlineStr">
        <is>
          <t>JB-LNG 13: send-out p-DI01</t>
        </is>
      </c>
      <c r="H5658" s="12" t="inlineStr">
        <is>
          <t>LNG 13: send-out pumps 2 x 100%</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110</v>
      </c>
      <c r="U5658" s="17" t="n">
        <v>32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K-I-0139</t>
        </is>
      </c>
      <c r="B5659" s="12" t="inlineStr">
        <is>
          <t>K</t>
        </is>
      </c>
      <c r="C5659" s="12" t="inlineStr">
        <is>
          <t>Fuel supply (adjacent market)</t>
        </is>
      </c>
      <c r="D5659" s="12" t="inlineStr">
        <is>
          <t>Analog instrument to JB JB-LNG 14: vaporizers-AI01: 12 x 1 pr (field cables)</t>
        </is>
      </c>
      <c r="E5659" s="12" t="inlineStr"/>
      <c r="F5659" s="12" t="inlineStr">
        <is>
          <t>LNG 14: vaporizers + glycol heater</t>
        </is>
      </c>
      <c r="G5659" s="12" t="inlineStr">
        <is>
          <t>JB-LNG 14: vaporizers-AI01</t>
        </is>
      </c>
      <c r="H5659" s="12" t="inlineStr">
        <is>
          <t>LNG 14: vaporizers + glycol heater</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7" t="n">
        <v>122</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K-I-0140</t>
        </is>
      </c>
      <c r="B5660" s="12" t="inlineStr">
        <is>
          <t>K</t>
        </is>
      </c>
      <c r="C5660" s="12" t="inlineStr">
        <is>
          <t>Fuel supply (adjacent market)</t>
        </is>
      </c>
      <c r="D5660" s="12" t="inlineStr">
        <is>
          <t>Home run JB-LNG 14: vaporizers-AI01 to the control / marshalling room</t>
        </is>
      </c>
      <c r="E5660" s="12" t="inlineStr"/>
      <c r="F5660" s="12" t="inlineStr">
        <is>
          <t>LNG 17: LNG e-house (13.8 kV / 480 V)</t>
        </is>
      </c>
      <c r="G5660" s="12" t="inlineStr">
        <is>
          <t>JB-LNG 14: vaporizers-AI01</t>
        </is>
      </c>
      <c r="H5660" s="12" t="inlineStr">
        <is>
          <t>LNG 14: vaporizers + glycol heater</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7" t="n">
        <v>259</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K-I-0141</t>
        </is>
      </c>
      <c r="B5661" s="12" t="inlineStr">
        <is>
          <t>K</t>
        </is>
      </c>
      <c r="C5661" s="12" t="inlineStr">
        <is>
          <t>Fuel supply (adjacent market)</t>
        </is>
      </c>
      <c r="D5661" s="12" t="inlineStr">
        <is>
          <t>Discrete device to JB JB-LNG 14: vaporizers-DI01: 12 x 1 pr (field cables)</t>
        </is>
      </c>
      <c r="E5661" s="12" t="inlineStr"/>
      <c r="F5661" s="12" t="inlineStr">
        <is>
          <t>LNG 14: vaporizers + glycol heater</t>
        </is>
      </c>
      <c r="G5661" s="12" t="inlineStr">
        <is>
          <t>JB-LNG 14: vaporizers-DI01</t>
        </is>
      </c>
      <c r="H5661" s="12" t="inlineStr">
        <is>
          <t>LNG 14: vaporizers + glycol heater</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7" t="n">
        <v>122</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K-I-0142</t>
        </is>
      </c>
      <c r="B5662" s="12" t="inlineStr">
        <is>
          <t>K</t>
        </is>
      </c>
      <c r="C5662" s="12" t="inlineStr">
        <is>
          <t>Fuel supply (adjacent market)</t>
        </is>
      </c>
      <c r="D5662" s="12" t="inlineStr">
        <is>
          <t>Home run JB-LNG 14: vaporizers-DI01 to the control / marshalling room</t>
        </is>
      </c>
      <c r="E5662" s="12" t="inlineStr"/>
      <c r="F5662" s="12" t="inlineStr">
        <is>
          <t>LNG 17: LNG e-house (13.8 kV / 480 V)</t>
        </is>
      </c>
      <c r="G5662" s="12" t="inlineStr">
        <is>
          <t>JB-LNG 14: vaporizers-DI01</t>
        </is>
      </c>
      <c r="H5662" s="12" t="inlineStr">
        <is>
          <t>LNG 14: vaporizers + glycol heater</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259</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K-I-0143</t>
        </is>
      </c>
      <c r="B5663" s="12" t="inlineStr">
        <is>
          <t>K</t>
        </is>
      </c>
      <c r="C5663" s="12" t="inlineStr">
        <is>
          <t>Fuel supply (adjacent market)</t>
        </is>
      </c>
      <c r="D5663" s="12" t="inlineStr">
        <is>
          <t>Analog instrument to JB JB-LNG 15: boil-off g-AI01: 12 x 1 pr (field cables)</t>
        </is>
      </c>
      <c r="E5663" s="12" t="inlineStr"/>
      <c r="F5663" s="12" t="inlineStr">
        <is>
          <t>LNG 15: boil-off gas compressor</t>
        </is>
      </c>
      <c r="G5663" s="12" t="inlineStr">
        <is>
          <t>JB-LNG 15: boil-off g-AI01</t>
        </is>
      </c>
      <c r="H5663" s="12" t="inlineStr">
        <is>
          <t>LNG 15: boil-off gas compressor</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7" t="n">
        <v>67</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K-I-0144</t>
        </is>
      </c>
      <c r="B5664" s="12" t="inlineStr">
        <is>
          <t>K</t>
        </is>
      </c>
      <c r="C5664" s="12" t="inlineStr">
        <is>
          <t>Fuel supply (adjacent market)</t>
        </is>
      </c>
      <c r="D5664" s="12" t="inlineStr">
        <is>
          <t>Home run JB-LNG 15: boil-off g-AI01 to the control / marshalling room</t>
        </is>
      </c>
      <c r="E5664" s="12" t="inlineStr"/>
      <c r="F5664" s="12" t="inlineStr">
        <is>
          <t>LNG 17: LNG e-house (13.8 kV / 480 V)</t>
        </is>
      </c>
      <c r="G5664" s="12" t="inlineStr">
        <is>
          <t>JB-LNG 15: boil-off g-AI01</t>
        </is>
      </c>
      <c r="H5664" s="12" t="inlineStr">
        <is>
          <t>LNG 15: boil-off gas compressor</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25</v>
      </c>
      <c r="U5664" s="17" t="n">
        <v>54</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K-I-0145</t>
        </is>
      </c>
      <c r="B5665" s="12" t="inlineStr">
        <is>
          <t>K</t>
        </is>
      </c>
      <c r="C5665" s="12" t="inlineStr">
        <is>
          <t>Fuel supply (adjacent market)</t>
        </is>
      </c>
      <c r="D5665" s="12" t="inlineStr">
        <is>
          <t>Discrete device to JB JB-LNG 15: boil-off g-DI01: 12 x 1 pr (field cables)</t>
        </is>
      </c>
      <c r="E5665" s="12" t="inlineStr"/>
      <c r="F5665" s="12" t="inlineStr">
        <is>
          <t>LNG 15: boil-off gas compressor</t>
        </is>
      </c>
      <c r="G5665" s="12" t="inlineStr">
        <is>
          <t>JB-LNG 15: boil-off g-DI01</t>
        </is>
      </c>
      <c r="H5665" s="12" t="inlineStr">
        <is>
          <t>LNG 15: boil-off gas compressor</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7" t="n">
        <v>67</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K-I-0146</t>
        </is>
      </c>
      <c r="B5666" s="12" t="inlineStr">
        <is>
          <t>K</t>
        </is>
      </c>
      <c r="C5666" s="12" t="inlineStr">
        <is>
          <t>Fuel supply (adjacent market)</t>
        </is>
      </c>
      <c r="D5666" s="12" t="inlineStr">
        <is>
          <t>Home run JB-LNG 15: boil-off g-DI01 to the control / marshalling room</t>
        </is>
      </c>
      <c r="E5666" s="12" t="inlineStr"/>
      <c r="F5666" s="12" t="inlineStr">
        <is>
          <t>LNG 17: LNG e-house (13.8 kV / 480 V)</t>
        </is>
      </c>
      <c r="G5666" s="12" t="inlineStr">
        <is>
          <t>JB-LNG 15: boil-off g-DI01</t>
        </is>
      </c>
      <c r="H5666" s="12" t="inlineStr">
        <is>
          <t>LNG 15: boil-off gas compressor</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25</v>
      </c>
      <c r="U5666" s="17" t="n">
        <v>54</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K-I-0147</t>
        </is>
      </c>
      <c r="B5667" s="12" t="inlineStr">
        <is>
          <t>K</t>
        </is>
      </c>
      <c r="C5667" s="12" t="inlineStr">
        <is>
          <t>Fuel supply (adjacent market)</t>
        </is>
      </c>
      <c r="D5667" s="12" t="inlineStr">
        <is>
          <t>Analog instrument to JB JB-LNG 16: send-out m-AI01: 12 x 1 pr (field cables)</t>
        </is>
      </c>
      <c r="E5667" s="12" t="inlineStr"/>
      <c r="F5667" s="12" t="inlineStr">
        <is>
          <t>LNG 16: send-out metering + pressure control</t>
        </is>
      </c>
      <c r="G5667" s="12" t="inlineStr">
        <is>
          <t>JB-LNG 16: send-out m-AI01</t>
        </is>
      </c>
      <c r="H5667" s="12" t="inlineStr">
        <is>
          <t>LNG 16: send-out metering + pressure control</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7" t="n">
        <v>74</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K-I-0148</t>
        </is>
      </c>
      <c r="B5668" s="12" t="inlineStr">
        <is>
          <t>K</t>
        </is>
      </c>
      <c r="C5668" s="12" t="inlineStr">
        <is>
          <t>Fuel supply (adjacent market)</t>
        </is>
      </c>
      <c r="D5668" s="12" t="inlineStr">
        <is>
          <t>Home run JB-LNG 16: send-out m-AI01 to the control / marshalling room</t>
        </is>
      </c>
      <c r="E5668" s="12" t="inlineStr"/>
      <c r="F5668" s="12" t="inlineStr">
        <is>
          <t>LNG 17: LNG e-house (13.8 kV / 480 V)</t>
        </is>
      </c>
      <c r="G5668" s="12" t="inlineStr">
        <is>
          <t>JB-LNG 16: send-out m-AI01</t>
        </is>
      </c>
      <c r="H5668" s="12" t="inlineStr">
        <is>
          <t>LNG 16: send-out metering + pressure control</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7" t="n">
        <v>20</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K-I-0149</t>
        </is>
      </c>
      <c r="B5669" s="12" t="inlineStr">
        <is>
          <t>K</t>
        </is>
      </c>
      <c r="C5669" s="12" t="inlineStr">
        <is>
          <t>Fuel supply (adjacent market)</t>
        </is>
      </c>
      <c r="D5669" s="12" t="inlineStr">
        <is>
          <t>Discrete device to JB JB-LNG 16: send-out m-DI01: 12 x 1 pr (field cables)</t>
        </is>
      </c>
      <c r="E5669" s="12" t="inlineStr"/>
      <c r="F5669" s="12" t="inlineStr">
        <is>
          <t>LNG 16: send-out metering + pressure control</t>
        </is>
      </c>
      <c r="G5669" s="12" t="inlineStr">
        <is>
          <t>JB-LNG 16: send-out m-DI01</t>
        </is>
      </c>
      <c r="H5669" s="12" t="inlineStr">
        <is>
          <t>LNG 16: send-out metering + pressure control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7" t="n">
        <v>74</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K-I-0150</t>
        </is>
      </c>
      <c r="B5670" s="12" t="inlineStr">
        <is>
          <t>K</t>
        </is>
      </c>
      <c r="C5670" s="12" t="inlineStr">
        <is>
          <t>Fuel supply (adjacent market)</t>
        </is>
      </c>
      <c r="D5670" s="12" t="inlineStr">
        <is>
          <t>Home run JB-LNG 16: send-out m-DI01 to the control / marshalling room</t>
        </is>
      </c>
      <c r="E5670" s="12" t="inlineStr"/>
      <c r="F5670" s="12" t="inlineStr">
        <is>
          <t>LNG 17: LNG e-house (13.8 kV / 480 V)</t>
        </is>
      </c>
      <c r="G5670" s="12" t="inlineStr">
        <is>
          <t>JB-LNG 16: send-out m-DI01</t>
        </is>
      </c>
      <c r="H5670" s="12" t="inlineStr">
        <is>
          <t>LNG 16: send-out metering + pressure control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7" t="n">
        <v>20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K-I-0151</t>
        </is>
      </c>
      <c r="B5671" s="12" t="inlineStr">
        <is>
          <t>K</t>
        </is>
      </c>
      <c r="C5671" s="12" t="inlineStr">
        <is>
          <t>Fuel supply (adjacent market)</t>
        </is>
      </c>
      <c r="D5671" s="12" t="inlineStr">
        <is>
          <t>Analog instrument to JB JB-LNG 17: LNG e-hous-AI01: 12 x 1 pr (field cables)</t>
        </is>
      </c>
      <c r="E5671" s="12" t="inlineStr"/>
      <c r="F5671" s="12" t="inlineStr">
        <is>
          <t>LNG 17: LNG e-house (13.8 kV / 480 V)</t>
        </is>
      </c>
      <c r="G5671" s="12" t="inlineStr">
        <is>
          <t>JB-LNG 17: LNG e-hous-AI01</t>
        </is>
      </c>
      <c r="H5671" s="12" t="inlineStr">
        <is>
          <t>LNG 17: LNG e-house (13.8 kV / 480 V)</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7" t="n">
        <v>58</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K-I-0152</t>
        </is>
      </c>
      <c r="B5672" s="12" t="inlineStr">
        <is>
          <t>K</t>
        </is>
      </c>
      <c r="C5672" s="12" t="inlineStr">
        <is>
          <t>Fuel supply (adjacent market)</t>
        </is>
      </c>
      <c r="D5672" s="12" t="inlineStr">
        <is>
          <t>Home run JB-LNG 17: LNG e-hous-AI01 to the control / marshalling room</t>
        </is>
      </c>
      <c r="E5672" s="12" t="inlineStr"/>
      <c r="F5672" s="12" t="inlineStr">
        <is>
          <t>LNG 17: LNG e-house (13.8 kV / 480 V)</t>
        </is>
      </c>
      <c r="G5672" s="12" t="inlineStr">
        <is>
          <t>JB-LNG 17: LNG e-hous-AI01</t>
        </is>
      </c>
      <c r="H5672" s="12" t="inlineStr">
        <is>
          <t>LNG 17: LNG e-house (13.8 kV / 480 V)</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K-I-0153</t>
        </is>
      </c>
      <c r="B5673" s="12" t="inlineStr">
        <is>
          <t>K</t>
        </is>
      </c>
      <c r="C5673" s="12" t="inlineStr">
        <is>
          <t>Fuel supply (adjacent market)</t>
        </is>
      </c>
      <c r="D5673" s="12" t="inlineStr">
        <is>
          <t>Discrete device to JB JB-LNG 17: LNG e-hous-DI01: 12 x 1 pr (field cables)</t>
        </is>
      </c>
      <c r="E5673" s="12" t="inlineStr"/>
      <c r="F5673" s="12" t="inlineStr">
        <is>
          <t>LNG 17: LNG e-house (13.8 kV / 480 V)</t>
        </is>
      </c>
      <c r="G5673" s="12" t="inlineStr">
        <is>
          <t>JB-LNG 17: LNG e-hous-DI01</t>
        </is>
      </c>
      <c r="H5673" s="12" t="inlineStr">
        <is>
          <t>LNG 17: LNG e-house (13.8 kV / 480 V)</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7" t="n">
        <v>58</v>
      </c>
      <c r="U5673" s="17" t="n">
        <v>10</v>
      </c>
      <c r="V5673" s="17">
        <f>ROUNDUP((T5673+U5673+2*'Read Me'!$B$13)*(1+'Read Me'!$B$12),-1)</f>
        <v/>
      </c>
      <c r="W5673" s="17">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K-I-0154</t>
        </is>
      </c>
      <c r="B5674" s="12" t="inlineStr">
        <is>
          <t>K</t>
        </is>
      </c>
      <c r="C5674" s="12" t="inlineStr">
        <is>
          <t>Fuel supply (adjacent market)</t>
        </is>
      </c>
      <c r="D5674" s="12" t="inlineStr">
        <is>
          <t>Home run JB-LNG 17: LNG e-hous-DI01 to the control / marshalling room</t>
        </is>
      </c>
      <c r="E5674" s="12" t="inlineStr"/>
      <c r="F5674" s="12" t="inlineStr">
        <is>
          <t>LNG 17: LNG e-house (13.8 kV / 480 V)</t>
        </is>
      </c>
      <c r="G5674" s="12" t="inlineStr">
        <is>
          <t>JB-LNG 17: LNG e-hous-DI01</t>
        </is>
      </c>
      <c r="H5674" s="12" t="inlineStr">
        <is>
          <t>LNG 17: LNG e-house (13.8 kV / 480 V)</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K-I-0155</t>
        </is>
      </c>
      <c r="B5675" s="12" t="inlineStr">
        <is>
          <t>K</t>
        </is>
      </c>
      <c r="C5675" s="12" t="inlineStr">
        <is>
          <t>Fuel supply (adjacent market)</t>
        </is>
      </c>
      <c r="D5675" s="12" t="inlineStr">
        <is>
          <t>Analog instrument to JB JB-LNG 18: vent stack-AI01: 12 x 1 pr (field cables)</t>
        </is>
      </c>
      <c r="E5675" s="12" t="inlineStr"/>
      <c r="F5675" s="12" t="inlineStr">
        <is>
          <t>LNG 18: vent stack</t>
        </is>
      </c>
      <c r="G5675" s="12" t="inlineStr">
        <is>
          <t>JB-LNG 18: vent stack-AI01</t>
        </is>
      </c>
      <c r="H5675" s="12" t="inlineStr">
        <is>
          <t>LNG 18: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7" t="n">
        <v>55</v>
      </c>
      <c r="U5675" s="17" t="n">
        <v>10</v>
      </c>
      <c r="V5675" s="17">
        <f>ROUNDUP((T5675+U5675+2*'Read Me'!$B$13)*(1+'Read Me'!$B$12),-1)</f>
        <v/>
      </c>
      <c r="W5675" s="17">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K-I-0156</t>
        </is>
      </c>
      <c r="B5676" s="12" t="inlineStr">
        <is>
          <t>K</t>
        </is>
      </c>
      <c r="C5676" s="12" t="inlineStr">
        <is>
          <t>Fuel supply (adjacent market)</t>
        </is>
      </c>
      <c r="D5676" s="12" t="inlineStr">
        <is>
          <t>Home run JB-LNG 18: vent stack-AI01 to the control / marshalling room</t>
        </is>
      </c>
      <c r="E5676" s="12" t="inlineStr"/>
      <c r="F5676" s="12" t="inlineStr">
        <is>
          <t>LNG 17: LNG e-house (13.8 kV / 480 V)</t>
        </is>
      </c>
      <c r="G5676" s="12" t="inlineStr">
        <is>
          <t>JB-LNG 18: vent stack-AI01</t>
        </is>
      </c>
      <c r="H5676" s="12" t="inlineStr">
        <is>
          <t>LNG 18: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7" t="n">
        <v>25</v>
      </c>
      <c r="U5676" s="17" t="n">
        <v>117</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K-I-0157</t>
        </is>
      </c>
      <c r="B5677" s="12" t="inlineStr">
        <is>
          <t>K</t>
        </is>
      </c>
      <c r="C5677" s="12" t="inlineStr">
        <is>
          <t>Fuel supply (adjacent market)</t>
        </is>
      </c>
      <c r="D5677" s="12" t="inlineStr">
        <is>
          <t>Discrete device to JB JB-LNG 18: vent stack-DI01: 12 x 1 pr (field cables)</t>
        </is>
      </c>
      <c r="E5677" s="12" t="inlineStr"/>
      <c r="F5677" s="12" t="inlineStr">
        <is>
          <t>LNG 18: vent stack</t>
        </is>
      </c>
      <c r="G5677" s="12" t="inlineStr">
        <is>
          <t>JB-LNG 18: vent stack-DI01</t>
        </is>
      </c>
      <c r="H5677" s="12" t="inlineStr">
        <is>
          <t>LNG 18: vent stack</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7" t="n">
        <v>55</v>
      </c>
      <c r="U5677" s="17" t="n">
        <v>10</v>
      </c>
      <c r="V5677" s="17">
        <f>ROUNDUP((T5677+U5677+2*'Read Me'!$B$13)*(1+'Read Me'!$B$12),-1)</f>
        <v/>
      </c>
      <c r="W5677" s="17">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K-I-0158</t>
        </is>
      </c>
      <c r="B5678" s="12" t="inlineStr">
        <is>
          <t>K</t>
        </is>
      </c>
      <c r="C5678" s="12" t="inlineStr">
        <is>
          <t>Fuel supply (adjacent market)</t>
        </is>
      </c>
      <c r="D5678" s="12" t="inlineStr">
        <is>
          <t>Home run JB-LNG 18: vent stack-DI01 to the control / marshalling room</t>
        </is>
      </c>
      <c r="E5678" s="12" t="inlineStr"/>
      <c r="F5678" s="12" t="inlineStr">
        <is>
          <t>LNG 17: LNG e-house (13.8 kV / 480 V)</t>
        </is>
      </c>
      <c r="G5678" s="12" t="inlineStr">
        <is>
          <t>JB-LNG 18: vent stack-DI01</t>
        </is>
      </c>
      <c r="H5678" s="12" t="inlineStr">
        <is>
          <t>LNG 18: vent stack</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7" t="n">
        <v>25</v>
      </c>
      <c r="U5678" s="17" t="n">
        <v>117</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K-I-0159</t>
        </is>
      </c>
      <c r="B5679" s="12" t="inlineStr">
        <is>
          <t>K</t>
        </is>
      </c>
      <c r="C5679" s="12" t="inlineStr">
        <is>
          <t>Fuel supply (adjacent market)</t>
        </is>
      </c>
      <c r="D5679" s="12" t="inlineStr">
        <is>
          <t>Instrumentation</t>
        </is>
      </c>
      <c r="E5679" s="12" t="inlineStr"/>
      <c r="F5679" s="12" t="inlineStr">
        <is>
          <t>LNG 17: LNG e-house (13.8 kV / 480 V)</t>
        </is>
      </c>
      <c r="G5679" s="12" t="inlineStr"/>
      <c r="H5679" s="12" t="inlineStr">
        <is>
          <t>LNG impoundment sump pump</t>
        </is>
      </c>
      <c r="I5679" s="12" t="inlineStr">
        <is>
          <t>Instrumentation</t>
        </is>
      </c>
      <c r="J5679" s="12" t="inlineStr">
        <is>
          <t>Instrumentation ITC / PLTC, IS, #18 shielded pairs, blue jacket</t>
        </is>
      </c>
      <c r="K5679" s="12" t="inlineStr">
        <is>
          <t>ITC|4 pr|18</t>
        </is>
      </c>
      <c r="L5679" s="12" t="inlineStr">
        <is>
          <t>4 pr</t>
        </is>
      </c>
      <c r="M5679" s="12" t="inlineStr">
        <is>
          <t>18</t>
        </is>
      </c>
      <c r="N5679" s="12" t="n">
        <v>1</v>
      </c>
      <c r="O5679" s="12" t="n">
        <v>1</v>
      </c>
      <c r="P5679" s="12" t="n"/>
      <c r="Q5679" s="12" t="n"/>
      <c r="R5679" s="12" t="n"/>
      <c r="S5679" s="12" t="inlineStr">
        <is>
          <t>Duct bank</t>
        </is>
      </c>
      <c r="T5679" s="17" t="n">
        <v>334</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K-I-0160</t>
        </is>
      </c>
      <c r="B5680" s="12" t="inlineStr">
        <is>
          <t>K</t>
        </is>
      </c>
      <c r="C5680" s="12" t="inlineStr">
        <is>
          <t>Fuel supply (adjacent market)</t>
        </is>
      </c>
      <c r="D5680" s="12" t="inlineStr">
        <is>
          <t>Instrumentation</t>
        </is>
      </c>
      <c r="E5680" s="12" t="inlineStr"/>
      <c r="F5680" s="12" t="inlineStr">
        <is>
          <t>LNG 17: LNG e-house (13.8 kV / 480 V)</t>
        </is>
      </c>
      <c r="G5680" s="12" t="inlineStr"/>
      <c r="H5680" s="12" t="inlineStr">
        <is>
          <t>M&amp;R 1: pig receiver, lateral terminus</t>
        </is>
      </c>
      <c r="I5680" s="12" t="inlineStr">
        <is>
          <t>Instrumentation</t>
        </is>
      </c>
      <c r="J5680" s="12" t="inlineStr">
        <is>
          <t>Instrumentation ITC / PLTC, IS, #18 shielded pairs, blue jacket</t>
        </is>
      </c>
      <c r="K5680" s="12" t="inlineStr">
        <is>
          <t>ITC|4 pr|18</t>
        </is>
      </c>
      <c r="L5680" s="12" t="inlineStr">
        <is>
          <t>4 pr</t>
        </is>
      </c>
      <c r="M5680" s="12" t="inlineStr">
        <is>
          <t>18</t>
        </is>
      </c>
      <c r="N5680" s="12" t="n">
        <v>1</v>
      </c>
      <c r="O5680" s="12" t="n">
        <v>1</v>
      </c>
      <c r="P5680" s="12" t="n"/>
      <c r="Q5680" s="12" t="n"/>
      <c r="R5680" s="12" t="n"/>
      <c r="S5680" s="12" t="inlineStr">
        <is>
          <t>Duct bank</t>
        </is>
      </c>
      <c r="T5680" s="17" t="n">
        <v>773</v>
      </c>
      <c r="U5680" s="17" t="n">
        <v>37</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K-I-0161</t>
        </is>
      </c>
      <c r="B5681" s="12" t="inlineStr">
        <is>
          <t>K</t>
        </is>
      </c>
      <c r="C5681" s="12" t="inlineStr">
        <is>
          <t>Fuel supply (adjacent market)</t>
        </is>
      </c>
      <c r="D5681" s="12" t="inlineStr">
        <is>
          <t>Discrete device to JB JB-M&amp;R 2: insulating -DI01: 8 x 1 pr (field cables)</t>
        </is>
      </c>
      <c r="E5681" s="12" t="inlineStr"/>
      <c r="F5681" s="12" t="inlineStr">
        <is>
          <t>M&amp;R 2: insulating joint + ESD valve</t>
        </is>
      </c>
      <c r="G5681" s="12" t="inlineStr">
        <is>
          <t>JB-M&amp;R 2: insulating -DI01</t>
        </is>
      </c>
      <c r="H5681" s="12" t="inlineStr">
        <is>
          <t>M&amp;R 2: insulating joint + ESD valve</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8</v>
      </c>
      <c r="O5681" s="12" t="n">
        <v>1</v>
      </c>
      <c r="P5681" s="12" t="n"/>
      <c r="Q5681" s="12" t="n"/>
      <c r="R5681" s="12" t="n"/>
      <c r="S5681" s="12" t="inlineStr">
        <is>
          <t>Tray / conduit</t>
        </is>
      </c>
      <c r="T5681" s="17" t="n">
        <v>40</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K-I-0162</t>
        </is>
      </c>
      <c r="B5682" s="12" t="inlineStr">
        <is>
          <t>K</t>
        </is>
      </c>
      <c r="C5682" s="12" t="inlineStr">
        <is>
          <t>Fuel supply (adjacent market)</t>
        </is>
      </c>
      <c r="D5682" s="12" t="inlineStr">
        <is>
          <t>Home run JB-M&amp;R 2: insulating -DI01 to the control / marshalling room</t>
        </is>
      </c>
      <c r="E5682" s="12" t="inlineStr"/>
      <c r="F5682" s="12" t="inlineStr">
        <is>
          <t>LNG 17: LNG e-house (13.8 kV / 480 V)</t>
        </is>
      </c>
      <c r="G5682" s="12" t="inlineStr">
        <is>
          <t>JB-M&amp;R 2: insulating -DI01</t>
        </is>
      </c>
      <c r="H5682" s="12" t="inlineStr">
        <is>
          <t>M&amp;R 2: insulating joint + ESD valve</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758</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K-I-0163</t>
        </is>
      </c>
      <c r="B5683" s="12" t="inlineStr">
        <is>
          <t>K</t>
        </is>
      </c>
      <c r="C5683" s="12" t="inlineStr">
        <is>
          <t>Fuel supply (adjacent market)</t>
        </is>
      </c>
      <c r="D5683" s="12" t="inlineStr">
        <is>
          <t>Analog instrument to JB JB-M&amp;R 3: horizontal -AI01: 8 x 1 pr (field cables)</t>
        </is>
      </c>
      <c r="E5683" s="12" t="inlineStr"/>
      <c r="F5683" s="12" t="inlineStr">
        <is>
          <t>M&amp;R 3: horizontal filter-separator</t>
        </is>
      </c>
      <c r="G5683" s="12" t="inlineStr">
        <is>
          <t>JB-M&amp;R 3: horizontal -AI01</t>
        </is>
      </c>
      <c r="H5683" s="12" t="inlineStr">
        <is>
          <t>M&amp;R 3: horizontal filter-separator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8</v>
      </c>
      <c r="O5683" s="12" t="n">
        <v>1</v>
      </c>
      <c r="P5683" s="12" t="n"/>
      <c r="Q5683" s="12" t="n"/>
      <c r="R5683" s="12" t="n"/>
      <c r="S5683" s="12" t="inlineStr">
        <is>
          <t>Tray / conduit</t>
        </is>
      </c>
      <c r="T5683" s="17" t="n">
        <v>53</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K-I-0164</t>
        </is>
      </c>
      <c r="B5684" s="12" t="inlineStr">
        <is>
          <t>K</t>
        </is>
      </c>
      <c r="C5684" s="12" t="inlineStr">
        <is>
          <t>Fuel supply (adjacent market)</t>
        </is>
      </c>
      <c r="D5684" s="12" t="inlineStr">
        <is>
          <t>Home run JB-M&amp;R 3: horizontal -AI01 to the control / marshalling room</t>
        </is>
      </c>
      <c r="E5684" s="12" t="inlineStr"/>
      <c r="F5684" s="12" t="inlineStr">
        <is>
          <t>LNG 17: LNG e-house (13.8 kV / 480 V)</t>
        </is>
      </c>
      <c r="G5684" s="12" t="inlineStr">
        <is>
          <t>JB-M&amp;R 3: horizontal -AI01</t>
        </is>
      </c>
      <c r="H5684" s="12" t="inlineStr">
        <is>
          <t>M&amp;R 3: horizontal filter-separator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7" t="n">
        <v>797</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K-I-0165</t>
        </is>
      </c>
      <c r="B5685" s="12" t="inlineStr">
        <is>
          <t>K</t>
        </is>
      </c>
      <c r="C5685" s="12" t="inlineStr">
        <is>
          <t>Fuel supply (adjacent market)</t>
        </is>
      </c>
      <c r="D5685" s="12" t="inlineStr">
        <is>
          <t>Discrete device to JB JB-M&amp;R 3: horizontal -DI01: 12 x 1 pr (field cables)</t>
        </is>
      </c>
      <c r="E5685" s="12" t="inlineStr"/>
      <c r="F5685" s="12" t="inlineStr">
        <is>
          <t>M&amp;R 3: horizontal filter-separator</t>
        </is>
      </c>
      <c r="G5685" s="12" t="inlineStr">
        <is>
          <t>JB-M&amp;R 3: horizontal -DI01</t>
        </is>
      </c>
      <c r="H5685" s="12" t="inlineStr">
        <is>
          <t>M&amp;R 3: horizontal filter-separator</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7" t="n">
        <v>53</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K-I-0166</t>
        </is>
      </c>
      <c r="B5686" s="12" t="inlineStr">
        <is>
          <t>K</t>
        </is>
      </c>
      <c r="C5686" s="12" t="inlineStr">
        <is>
          <t>Fuel supply (adjacent market)</t>
        </is>
      </c>
      <c r="D5686" s="12" t="inlineStr">
        <is>
          <t>Home run JB-M&amp;R 3: horizontal -DI01 to the control / marshalling room</t>
        </is>
      </c>
      <c r="E5686" s="12" t="inlineStr"/>
      <c r="F5686" s="12" t="inlineStr">
        <is>
          <t>LNG 17: LNG e-house (13.8 kV / 480 V)</t>
        </is>
      </c>
      <c r="G5686" s="12" t="inlineStr">
        <is>
          <t>JB-M&amp;R 3: horizontal -DI01</t>
        </is>
      </c>
      <c r="H5686" s="12" t="inlineStr">
        <is>
          <t>M&amp;R 3: horizontal filter-separator</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7" t="n">
        <v>797</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K-I-0167</t>
        </is>
      </c>
      <c r="B5687" s="12" t="inlineStr">
        <is>
          <t>K</t>
        </is>
      </c>
      <c r="C5687" s="12" t="inlineStr">
        <is>
          <t>Fuel supply (adjacent market)</t>
        </is>
      </c>
      <c r="D5687" s="12" t="inlineStr">
        <is>
          <t>Instrumentation</t>
        </is>
      </c>
      <c r="E5687" s="12" t="inlineStr"/>
      <c r="F5687" s="12" t="inlineStr">
        <is>
          <t>LNG 17: LNG e-house (13.8 kV / 480 V)</t>
        </is>
      </c>
      <c r="G5687" s="12" t="inlineStr"/>
      <c r="H5687" s="12" t="inlineStr">
        <is>
          <t>M&amp;R 4: line heater 1 (water bath)</t>
        </is>
      </c>
      <c r="I5687" s="12" t="inlineStr">
        <is>
          <t>Instrumentation</t>
        </is>
      </c>
      <c r="J5687" s="12" t="inlineStr">
        <is>
          <t>Instrumentation ITC / PLTC, IS, #18 shielded pairs, blue jacket</t>
        </is>
      </c>
      <c r="K5687" s="12" t="inlineStr">
        <is>
          <t>ITC|4 pr|18</t>
        </is>
      </c>
      <c r="L5687" s="12" t="inlineStr">
        <is>
          <t>4 pr</t>
        </is>
      </c>
      <c r="M5687" s="12" t="inlineStr">
        <is>
          <t>18</t>
        </is>
      </c>
      <c r="N5687" s="12" t="n">
        <v>1</v>
      </c>
      <c r="O5687" s="12" t="n">
        <v>1</v>
      </c>
      <c r="P5687" s="12" t="n"/>
      <c r="Q5687" s="12" t="n"/>
      <c r="R5687" s="12" t="n"/>
      <c r="S5687" s="12" t="inlineStr">
        <is>
          <t>Duct bank</t>
        </is>
      </c>
      <c r="T5687" s="17" t="n">
        <v>593</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K-I-0168</t>
        </is>
      </c>
      <c r="B5688" s="12" t="inlineStr">
        <is>
          <t>K</t>
        </is>
      </c>
      <c r="C5688" s="12" t="inlineStr">
        <is>
          <t>Fuel supply (adjacent market)</t>
        </is>
      </c>
      <c r="D5688" s="12" t="inlineStr">
        <is>
          <t>Instrumentation</t>
        </is>
      </c>
      <c r="E5688" s="12" t="inlineStr"/>
      <c r="F5688" s="12" t="inlineStr">
        <is>
          <t>LNG 17: LNG e-house (13.8 kV / 480 V)</t>
        </is>
      </c>
      <c r="G5688" s="12" t="inlineStr"/>
      <c r="H5688" s="12" t="inlineStr">
        <is>
          <t>M&amp;R 4: line heater 1 (water bath)</t>
        </is>
      </c>
      <c r="I5688" s="12" t="inlineStr">
        <is>
          <t>Instrumentation</t>
        </is>
      </c>
      <c r="J5688" s="12" t="inlineStr">
        <is>
          <t>Instrumentation ITC / PLTC, IS, #18 shielded pairs, blue jacket</t>
        </is>
      </c>
      <c r="K5688" s="12" t="inlineStr">
        <is>
          <t>ITC|12 pr|18</t>
        </is>
      </c>
      <c r="L5688" s="12" t="inlineStr">
        <is>
          <t>12 pr</t>
        </is>
      </c>
      <c r="M5688" s="12" t="inlineStr">
        <is>
          <t>18</t>
        </is>
      </c>
      <c r="N5688" s="12" t="n">
        <v>1</v>
      </c>
      <c r="O5688" s="12" t="n">
        <v>1</v>
      </c>
      <c r="P5688" s="12" t="n"/>
      <c r="Q5688" s="12" t="n"/>
      <c r="R5688" s="12" t="n"/>
      <c r="S5688" s="12" t="inlineStr">
        <is>
          <t>Duct bank</t>
        </is>
      </c>
      <c r="T5688" s="17" t="n">
        <v>593</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K-I-0169</t>
        </is>
      </c>
      <c r="B5689" s="12" t="inlineStr">
        <is>
          <t>K</t>
        </is>
      </c>
      <c r="C5689" s="12" t="inlineStr">
        <is>
          <t>Fuel supply (adjacent market)</t>
        </is>
      </c>
      <c r="D5689" s="12" t="inlineStr">
        <is>
          <t>Instrumentation</t>
        </is>
      </c>
      <c r="E5689" s="12" t="inlineStr"/>
      <c r="F5689" s="12" t="inlineStr">
        <is>
          <t>LNG 17: LNG e-house (13.8 kV / 480 V)</t>
        </is>
      </c>
      <c r="G5689" s="12" t="inlineStr"/>
      <c r="H5689" s="12" t="inlineStr">
        <is>
          <t>M&amp;R 4: line heater 2 (water bath)</t>
        </is>
      </c>
      <c r="I5689" s="12" t="inlineStr">
        <is>
          <t>Instrumentation</t>
        </is>
      </c>
      <c r="J5689" s="12" t="inlineStr">
        <is>
          <t>Instrumentation ITC / PLTC, IS, #18 shielded pairs, blue jacket</t>
        </is>
      </c>
      <c r="K5689" s="12" t="inlineStr">
        <is>
          <t>ITC|4 pr|18</t>
        </is>
      </c>
      <c r="L5689" s="12" t="inlineStr">
        <is>
          <t>4 pr</t>
        </is>
      </c>
      <c r="M5689" s="12" t="inlineStr">
        <is>
          <t>18</t>
        </is>
      </c>
      <c r="N5689" s="12" t="n">
        <v>1</v>
      </c>
      <c r="O5689" s="12" t="n">
        <v>1</v>
      </c>
      <c r="P5689" s="12" t="n"/>
      <c r="Q5689" s="12" t="n"/>
      <c r="R5689" s="12" t="n"/>
      <c r="S5689" s="12" t="inlineStr">
        <is>
          <t>Duct bank</t>
        </is>
      </c>
      <c r="T5689" s="17" t="n">
        <v>593</v>
      </c>
      <c r="U5689" s="17" t="n">
        <v>50</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K-I-0170</t>
        </is>
      </c>
      <c r="B5690" s="12" t="inlineStr">
        <is>
          <t>K</t>
        </is>
      </c>
      <c r="C5690" s="12" t="inlineStr">
        <is>
          <t>Fuel supply (adjacent market)</t>
        </is>
      </c>
      <c r="D5690" s="12" t="inlineStr">
        <is>
          <t>Instrumentation</t>
        </is>
      </c>
      <c r="E5690" s="12" t="inlineStr"/>
      <c r="F5690" s="12" t="inlineStr">
        <is>
          <t>LNG 17: LNG e-house (13.8 kV / 480 V)</t>
        </is>
      </c>
      <c r="G5690" s="12" t="inlineStr"/>
      <c r="H5690" s="12" t="inlineStr">
        <is>
          <t>M&amp;R 4: line heater 2 (water bath)</t>
        </is>
      </c>
      <c r="I5690" s="12" t="inlineStr">
        <is>
          <t>Instrumentation</t>
        </is>
      </c>
      <c r="J5690" s="12" t="inlineStr">
        <is>
          <t>Instrumentation ITC / PLTC, IS, #18 shielded pairs, blue jacket</t>
        </is>
      </c>
      <c r="K5690" s="12" t="inlineStr">
        <is>
          <t>ITC|12 pr|18</t>
        </is>
      </c>
      <c r="L5690" s="12" t="inlineStr">
        <is>
          <t>12 pr</t>
        </is>
      </c>
      <c r="M5690" s="12" t="inlineStr">
        <is>
          <t>18</t>
        </is>
      </c>
      <c r="N5690" s="12" t="n">
        <v>1</v>
      </c>
      <c r="O5690" s="12" t="n">
        <v>1</v>
      </c>
      <c r="P5690" s="12" t="n"/>
      <c r="Q5690" s="12" t="n"/>
      <c r="R5690" s="12" t="n"/>
      <c r="S5690" s="12" t="inlineStr">
        <is>
          <t>Duct bank</t>
        </is>
      </c>
      <c r="T5690" s="17" t="n">
        <v>593</v>
      </c>
      <c r="U5690" s="17" t="n">
        <v>50</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K-I-0171</t>
        </is>
      </c>
      <c r="B5691" s="12" t="inlineStr">
        <is>
          <t>K</t>
        </is>
      </c>
      <c r="C5691" s="12" t="inlineStr">
        <is>
          <t>Fuel supply (adjacent market)</t>
        </is>
      </c>
      <c r="D5691" s="12" t="inlineStr">
        <is>
          <t>Instrumentation</t>
        </is>
      </c>
      <c r="E5691" s="12" t="inlineStr"/>
      <c r="F5691" s="12" t="inlineStr">
        <is>
          <t>LNG 17: LNG e-house (13.8 kV / 480 V)</t>
        </is>
      </c>
      <c r="G5691" s="12" t="inlineStr"/>
      <c r="H5691" s="12" t="inlineStr">
        <is>
          <t>M&amp;R 4: line heater 3 (water bath)</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7" t="n">
        <v>593</v>
      </c>
      <c r="U5691" s="17" t="n">
        <v>68</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K-I-0172</t>
        </is>
      </c>
      <c r="B5692" s="12" t="inlineStr">
        <is>
          <t>K</t>
        </is>
      </c>
      <c r="C5692" s="12" t="inlineStr">
        <is>
          <t>Fuel supply (adjacent market)</t>
        </is>
      </c>
      <c r="D5692" s="12" t="inlineStr">
        <is>
          <t>Instrumentation</t>
        </is>
      </c>
      <c r="E5692" s="12" t="inlineStr"/>
      <c r="F5692" s="12" t="inlineStr">
        <is>
          <t>LNG 17: LNG e-house (13.8 kV / 480 V)</t>
        </is>
      </c>
      <c r="G5692" s="12" t="inlineStr"/>
      <c r="H5692" s="12" t="inlineStr">
        <is>
          <t>M&amp;R 4: line heater 3 (water bath)</t>
        </is>
      </c>
      <c r="I5692" s="12" t="inlineStr">
        <is>
          <t>Instrumentation</t>
        </is>
      </c>
      <c r="J5692" s="12" t="inlineStr">
        <is>
          <t>Instrumentation ITC / PLTC, IS, #18 shielded pairs, blue jacket</t>
        </is>
      </c>
      <c r="K5692" s="12" t="inlineStr">
        <is>
          <t>ITC|12 pr|18</t>
        </is>
      </c>
      <c r="L5692" s="12" t="inlineStr">
        <is>
          <t>12 pr</t>
        </is>
      </c>
      <c r="M5692" s="12" t="inlineStr">
        <is>
          <t>18</t>
        </is>
      </c>
      <c r="N5692" s="12" t="n">
        <v>1</v>
      </c>
      <c r="O5692" s="12" t="n">
        <v>1</v>
      </c>
      <c r="P5692" s="12" t="n"/>
      <c r="Q5692" s="12" t="n"/>
      <c r="R5692" s="12" t="n"/>
      <c r="S5692" s="12" t="inlineStr">
        <is>
          <t>Duct bank</t>
        </is>
      </c>
      <c r="T5692" s="17" t="n">
        <v>593</v>
      </c>
      <c r="U5692" s="17" t="n">
        <v>68</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K-I-0173</t>
        </is>
      </c>
      <c r="B5693" s="12" t="inlineStr">
        <is>
          <t>K</t>
        </is>
      </c>
      <c r="C5693" s="12" t="inlineStr">
        <is>
          <t>Fuel supply (adjacent market)</t>
        </is>
      </c>
      <c r="D5693" s="12" t="inlineStr">
        <is>
          <t>Analog instrument to JB JB-M&amp;R 5: ultrasonic -AI01: 20 x 1 pr (field cables)</t>
        </is>
      </c>
      <c r="E5693" s="12" t="inlineStr"/>
      <c r="F5693" s="12" t="inlineStr">
        <is>
          <t>M&amp;R 5: ultrasonic meters, 2 runs (custody transfer)</t>
        </is>
      </c>
      <c r="G5693" s="12" t="inlineStr">
        <is>
          <t>JB-M&amp;R 5: ultrasonic -AI01</t>
        </is>
      </c>
      <c r="H5693" s="12" t="inlineStr">
        <is>
          <t>M&amp;R 5: ultrasonic meters, 2 runs (custody transfer)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20</v>
      </c>
      <c r="O5693" s="12" t="n">
        <v>1</v>
      </c>
      <c r="P5693" s="12" t="n"/>
      <c r="Q5693" s="12" t="n"/>
      <c r="R5693" s="12" t="n"/>
      <c r="S5693" s="12" t="inlineStr">
        <is>
          <t>Tray / conduit</t>
        </is>
      </c>
      <c r="T5693" s="17" t="n">
        <v>60</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K-I-0174</t>
        </is>
      </c>
      <c r="B5694" s="12" t="inlineStr">
        <is>
          <t>K</t>
        </is>
      </c>
      <c r="C5694" s="12" t="inlineStr">
        <is>
          <t>Fuel supply (adjacent market)</t>
        </is>
      </c>
      <c r="D5694" s="12" t="inlineStr">
        <is>
          <t>Home run JB-M&amp;R 5: ultrasonic -AI01 to the control / marshalling room</t>
        </is>
      </c>
      <c r="E5694" s="12" t="inlineStr"/>
      <c r="F5694" s="12" t="inlineStr">
        <is>
          <t>LNG 17: LNG e-house (13.8 kV / 480 V)</t>
        </is>
      </c>
      <c r="G5694" s="12" t="inlineStr">
        <is>
          <t>JB-M&amp;R 5: ultrasonic -AI01</t>
        </is>
      </c>
      <c r="H5694" s="12" t="inlineStr">
        <is>
          <t>M&amp;R 5: ultrasonic meters, 2 runs (custody transfer)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7" t="n">
        <v>651</v>
      </c>
      <c r="U5694" s="17" t="n">
        <v>57</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K-I-0175</t>
        </is>
      </c>
      <c r="B5695" s="12" t="inlineStr">
        <is>
          <t>K</t>
        </is>
      </c>
      <c r="C5695" s="12" t="inlineStr">
        <is>
          <t>Fuel supply (adjacent market)</t>
        </is>
      </c>
      <c r="D5695" s="12" t="inlineStr">
        <is>
          <t>Discrete device to JB JB-M&amp;R 5: ultrasonic -DI01: 8 x 1 pr (field cables)</t>
        </is>
      </c>
      <c r="E5695" s="12" t="inlineStr"/>
      <c r="F5695" s="12" t="inlineStr">
        <is>
          <t>M&amp;R 5: ultrasonic meters, 2 runs (custody transfer)</t>
        </is>
      </c>
      <c r="G5695" s="12" t="inlineStr">
        <is>
          <t>JB-M&amp;R 5: ultrasonic -DI01</t>
        </is>
      </c>
      <c r="H5695" s="12" t="inlineStr">
        <is>
          <t>M&amp;R 5: ultrasonic meters, 2 runs (custody transfer)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8</v>
      </c>
      <c r="O5695" s="12" t="n">
        <v>1</v>
      </c>
      <c r="P5695" s="12" t="n"/>
      <c r="Q5695" s="12" t="n"/>
      <c r="R5695" s="12" t="n"/>
      <c r="S5695" s="12" t="inlineStr">
        <is>
          <t>Tray / conduit</t>
        </is>
      </c>
      <c r="T5695" s="17" t="n">
        <v>60</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K-I-0176</t>
        </is>
      </c>
      <c r="B5696" s="12" t="inlineStr">
        <is>
          <t>K</t>
        </is>
      </c>
      <c r="C5696" s="12" t="inlineStr">
        <is>
          <t>Fuel supply (adjacent market)</t>
        </is>
      </c>
      <c r="D5696" s="12" t="inlineStr">
        <is>
          <t>Home run JB-M&amp;R 5: ultrasonic -DI01 to the control / marshalling room</t>
        </is>
      </c>
      <c r="E5696" s="12" t="inlineStr"/>
      <c r="F5696" s="12" t="inlineStr">
        <is>
          <t>LNG 17: LNG e-house (13.8 kV / 480 V)</t>
        </is>
      </c>
      <c r="G5696" s="12" t="inlineStr">
        <is>
          <t>JB-M&amp;R 5: ultrasonic -DI01</t>
        </is>
      </c>
      <c r="H5696" s="12" t="inlineStr">
        <is>
          <t>M&amp;R 5: ultrasonic meters, 2 runs (custody transfer)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7" t="n">
        <v>651</v>
      </c>
      <c r="U5696" s="17" t="n">
        <v>57</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K-I-0177</t>
        </is>
      </c>
      <c r="B5697" s="12" t="inlineStr">
        <is>
          <t>K</t>
        </is>
      </c>
      <c r="C5697" s="12" t="inlineStr">
        <is>
          <t>Fuel supply (adjacent market)</t>
        </is>
      </c>
      <c r="D5697" s="12" t="inlineStr">
        <is>
          <t>Analog instrument to JB JB-M&amp;R 6: regulation -AI01: 12 x 1 pr (field cables)</t>
        </is>
      </c>
      <c r="E5697" s="12" t="inlineStr"/>
      <c r="F5697" s="12" t="inlineStr">
        <is>
          <t>M&amp;R 6: regulation / flow control building</t>
        </is>
      </c>
      <c r="G5697" s="12" t="inlineStr">
        <is>
          <t>JB-M&amp;R 6: regulation -AI01</t>
        </is>
      </c>
      <c r="H5697" s="12" t="inlineStr">
        <is>
          <t>M&amp;R 6: regulation / flow control building</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7" t="n">
        <v>61</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K-I-0178</t>
        </is>
      </c>
      <c r="B5698" s="12" t="inlineStr">
        <is>
          <t>K</t>
        </is>
      </c>
      <c r="C5698" s="12" t="inlineStr">
        <is>
          <t>Fuel supply (adjacent market)</t>
        </is>
      </c>
      <c r="D5698" s="12" t="inlineStr">
        <is>
          <t>Home run JB-M&amp;R 6: regulation -AI01 to the control / marshalling room</t>
        </is>
      </c>
      <c r="E5698" s="12" t="inlineStr"/>
      <c r="F5698" s="12" t="inlineStr">
        <is>
          <t>LNG 17: LNG e-house (13.8 kV / 480 V)</t>
        </is>
      </c>
      <c r="G5698" s="12" t="inlineStr">
        <is>
          <t>JB-M&amp;R 6: regulation -AI01</t>
        </is>
      </c>
      <c r="H5698" s="12" t="inlineStr">
        <is>
          <t>M&amp;R 6: regulation / flow control building</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7" t="n">
        <v>470</v>
      </c>
      <c r="U5698" s="17" t="n">
        <v>70</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K-I-0179</t>
        </is>
      </c>
      <c r="B5699" s="12" t="inlineStr">
        <is>
          <t>K</t>
        </is>
      </c>
      <c r="C5699" s="12" t="inlineStr">
        <is>
          <t>Fuel supply (adjacent market)</t>
        </is>
      </c>
      <c r="D5699" s="12" t="inlineStr">
        <is>
          <t>Discrete device to JB JB-M&amp;R 6: regulation -DI01: 12 x 1 pr (field cables)</t>
        </is>
      </c>
      <c r="E5699" s="12" t="inlineStr"/>
      <c r="F5699" s="12" t="inlineStr">
        <is>
          <t>M&amp;R 6: regulation / flow control building</t>
        </is>
      </c>
      <c r="G5699" s="12" t="inlineStr">
        <is>
          <t>JB-M&amp;R 6: regulation -DI01</t>
        </is>
      </c>
      <c r="H5699" s="12" t="inlineStr">
        <is>
          <t>M&amp;R 6: regulation / flow control building</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7" t="n">
        <v>61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K-I-0180</t>
        </is>
      </c>
      <c r="B5700" s="12" t="inlineStr">
        <is>
          <t>K</t>
        </is>
      </c>
      <c r="C5700" s="12" t="inlineStr">
        <is>
          <t>Fuel supply (adjacent market)</t>
        </is>
      </c>
      <c r="D5700" s="12" t="inlineStr">
        <is>
          <t>Home run JB-M&amp;R 6: regulation -DI01 to the control / marshalling room</t>
        </is>
      </c>
      <c r="E5700" s="12" t="inlineStr"/>
      <c r="F5700" s="12" t="inlineStr">
        <is>
          <t>LNG 17: LNG e-house (13.8 kV / 480 V)</t>
        </is>
      </c>
      <c r="G5700" s="12" t="inlineStr">
        <is>
          <t>JB-M&amp;R 6: regulation -DI01</t>
        </is>
      </c>
      <c r="H5700" s="12" t="inlineStr">
        <is>
          <t>M&amp;R 6: regulation / flow control building</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7" t="n">
        <v>470</v>
      </c>
      <c r="U5700" s="17" t="n">
        <v>70</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K-I-0181</t>
        </is>
      </c>
      <c r="B5701" s="12" t="inlineStr">
        <is>
          <t>K</t>
        </is>
      </c>
      <c r="C5701" s="12" t="inlineStr">
        <is>
          <t>Fuel supply (adjacent market)</t>
        </is>
      </c>
      <c r="D5701" s="12" t="inlineStr">
        <is>
          <t>Analog instrument to JB JB-M&amp;R 7: gas quality-AI01: 20 x 1 pr (field cables)</t>
        </is>
      </c>
      <c r="E5701" s="12" t="inlineStr"/>
      <c r="F5701" s="12" t="inlineStr">
        <is>
          <t>M&amp;R 7: gas quality + measurement building</t>
        </is>
      </c>
      <c r="G5701" s="12" t="inlineStr">
        <is>
          <t>JB-M&amp;R 7: gas quality-AI01</t>
        </is>
      </c>
      <c r="H5701" s="12" t="inlineStr">
        <is>
          <t>M&amp;R 7: gas quality + measurement building</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20</v>
      </c>
      <c r="O5701" s="12" t="n">
        <v>1</v>
      </c>
      <c r="P5701" s="12" t="n"/>
      <c r="Q5701" s="12" t="n"/>
      <c r="R5701" s="12" t="n"/>
      <c r="S5701" s="12" t="inlineStr">
        <is>
          <t>Tray / conduit</t>
        </is>
      </c>
      <c r="T5701" s="17" t="n">
        <v>41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K-I-0182</t>
        </is>
      </c>
      <c r="B5702" s="12" t="inlineStr">
        <is>
          <t>K</t>
        </is>
      </c>
      <c r="C5702" s="12" t="inlineStr">
        <is>
          <t>Fuel supply (adjacent market)</t>
        </is>
      </c>
      <c r="D5702" s="12" t="inlineStr">
        <is>
          <t>Home run JB-M&amp;R 7: gas quality-AI01 to the control / marshalling room</t>
        </is>
      </c>
      <c r="E5702" s="12" t="inlineStr"/>
      <c r="F5702" s="12" t="inlineStr">
        <is>
          <t>LNG 17: LNG e-house (13.8 kV / 480 V)</t>
        </is>
      </c>
      <c r="G5702" s="12" t="inlineStr">
        <is>
          <t>JB-M&amp;R 7: gas quality-AI01</t>
        </is>
      </c>
      <c r="H5702" s="12" t="inlineStr">
        <is>
          <t>M&amp;R 7: gas quality + measurement building</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7" t="n">
        <v>616</v>
      </c>
      <c r="U5702" s="17" t="n">
        <v>52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K-I-0183</t>
        </is>
      </c>
      <c r="B5703" s="12" t="inlineStr">
        <is>
          <t>K</t>
        </is>
      </c>
      <c r="C5703" s="12" t="inlineStr">
        <is>
          <t>Fuel supply (adjacent market)</t>
        </is>
      </c>
      <c r="D5703" s="12" t="inlineStr">
        <is>
          <t>Discrete device to JB JB-M&amp;R 7: gas quality-DI01: 8 x 1 pr (field cables)</t>
        </is>
      </c>
      <c r="E5703" s="12" t="inlineStr"/>
      <c r="F5703" s="12" t="inlineStr">
        <is>
          <t>M&amp;R 7: gas quality + measurement building</t>
        </is>
      </c>
      <c r="G5703" s="12" t="inlineStr">
        <is>
          <t>JB-M&amp;R 7: gas quality-DI01</t>
        </is>
      </c>
      <c r="H5703" s="12" t="inlineStr">
        <is>
          <t>M&amp;R 7: gas quality + measurement building</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8</v>
      </c>
      <c r="O5703" s="12" t="n">
        <v>1</v>
      </c>
      <c r="P5703" s="12" t="n"/>
      <c r="Q5703" s="12" t="n"/>
      <c r="R5703" s="12" t="n"/>
      <c r="S5703" s="12" t="inlineStr">
        <is>
          <t>Tray / conduit</t>
        </is>
      </c>
      <c r="T5703" s="17" t="n">
        <v>41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K-I-0184</t>
        </is>
      </c>
      <c r="B5704" s="12" t="inlineStr">
        <is>
          <t>K</t>
        </is>
      </c>
      <c r="C5704" s="12" t="inlineStr">
        <is>
          <t>Fuel supply (adjacent market)</t>
        </is>
      </c>
      <c r="D5704" s="12" t="inlineStr">
        <is>
          <t>Home run JB-M&amp;R 7: gas quality-DI01 to the control / marshalling room</t>
        </is>
      </c>
      <c r="E5704" s="12" t="inlineStr"/>
      <c r="F5704" s="12" t="inlineStr">
        <is>
          <t>LNG 17: LNG e-house (13.8 kV / 480 V)</t>
        </is>
      </c>
      <c r="G5704" s="12" t="inlineStr">
        <is>
          <t>JB-M&amp;R 7: gas quality-DI01</t>
        </is>
      </c>
      <c r="H5704" s="12" t="inlineStr">
        <is>
          <t>M&amp;R 7: gas quality + measurement building</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7" t="n">
        <v>616</v>
      </c>
      <c r="U5704" s="17" t="n">
        <v>52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K-I-0185</t>
        </is>
      </c>
      <c r="B5705" s="12" t="inlineStr">
        <is>
          <t>K</t>
        </is>
      </c>
      <c r="C5705" s="12" t="inlineStr">
        <is>
          <t>Fuel supply (adjacent market)</t>
        </is>
      </c>
      <c r="D5705" s="12" t="inlineStr">
        <is>
          <t>Analog instrument to JB JB-M&amp;R 8: condensate -AI01: 4 x 1 pr (field cables)</t>
        </is>
      </c>
      <c r="E5705" s="12" t="inlineStr"/>
      <c r="F5705" s="12" t="inlineStr">
        <is>
          <t>M&amp;R 8: condensate tank</t>
        </is>
      </c>
      <c r="G5705" s="12" t="inlineStr">
        <is>
          <t>JB-M&amp;R 8: condensate -AI01</t>
        </is>
      </c>
      <c r="H5705" s="12" t="inlineStr">
        <is>
          <t>M&amp;R 8: condensate tank</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7" t="n">
        <v>41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K-I-0186</t>
        </is>
      </c>
      <c r="B5706" s="12" t="inlineStr">
        <is>
          <t>K</t>
        </is>
      </c>
      <c r="C5706" s="12" t="inlineStr">
        <is>
          <t>Fuel supply (adjacent market)</t>
        </is>
      </c>
      <c r="D5706" s="12" t="inlineStr">
        <is>
          <t>Home run JB-M&amp;R 8: condensate -AI01 to the control / marshalling room</t>
        </is>
      </c>
      <c r="E5706" s="12" t="inlineStr"/>
      <c r="F5706" s="12" t="inlineStr">
        <is>
          <t>LNG 17: LNG e-house (13.8 kV / 480 V)</t>
        </is>
      </c>
      <c r="G5706" s="12" t="inlineStr">
        <is>
          <t>JB-M&amp;R 8: condensate -AI01</t>
        </is>
      </c>
      <c r="H5706" s="12" t="inlineStr">
        <is>
          <t>M&amp;R 8: condensate tank</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7" t="n">
        <v>530</v>
      </c>
      <c r="U5706" s="17" t="n">
        <v>87</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K-I-0187</t>
        </is>
      </c>
      <c r="B5707" s="12" t="inlineStr">
        <is>
          <t>K</t>
        </is>
      </c>
      <c r="C5707" s="12" t="inlineStr">
        <is>
          <t>Fuel supply (adjacent market)</t>
        </is>
      </c>
      <c r="D5707" s="12" t="inlineStr">
        <is>
          <t>Discrete device to JB JB-M&amp;R 8: condensate -DI01: 4 x 1 pr (field cables)</t>
        </is>
      </c>
      <c r="E5707" s="12" t="inlineStr"/>
      <c r="F5707" s="12" t="inlineStr">
        <is>
          <t>M&amp;R 8: condensate tank</t>
        </is>
      </c>
      <c r="G5707" s="12" t="inlineStr">
        <is>
          <t>JB-M&amp;R 8: condensate -DI01</t>
        </is>
      </c>
      <c r="H5707" s="12" t="inlineStr">
        <is>
          <t>M&amp;R 8: condensate tank</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7" t="n">
        <v>41</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K-I-0188</t>
        </is>
      </c>
      <c r="B5708" s="12" t="inlineStr">
        <is>
          <t>K</t>
        </is>
      </c>
      <c r="C5708" s="12" t="inlineStr">
        <is>
          <t>Fuel supply (adjacent market)</t>
        </is>
      </c>
      <c r="D5708" s="12" t="inlineStr">
        <is>
          <t>Home run JB-M&amp;R 8: condensate -DI01 to the control / marshalling room</t>
        </is>
      </c>
      <c r="E5708" s="12" t="inlineStr"/>
      <c r="F5708" s="12" t="inlineStr">
        <is>
          <t>LNG 17: LNG e-house (13.8 kV / 480 V)</t>
        </is>
      </c>
      <c r="G5708" s="12" t="inlineStr">
        <is>
          <t>JB-M&amp;R 8: condensate -DI01</t>
        </is>
      </c>
      <c r="H5708" s="12" t="inlineStr">
        <is>
          <t>M&amp;R 8: condensate tank</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530</v>
      </c>
      <c r="U5708" s="17" t="n">
        <v>87</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K-I-0189</t>
        </is>
      </c>
      <c r="B5709" s="12" t="inlineStr">
        <is>
          <t>K</t>
        </is>
      </c>
      <c r="C5709" s="12" t="inlineStr">
        <is>
          <t>Fuel supply (adjacent market)</t>
        </is>
      </c>
      <c r="D5709" s="12" t="inlineStr">
        <is>
          <t>Instrumentation</t>
        </is>
      </c>
      <c r="E5709" s="12" t="inlineStr"/>
      <c r="F5709" s="12" t="inlineStr">
        <is>
          <t>LNG 17: LNG e-house (13.8 kV / 480 V)</t>
        </is>
      </c>
      <c r="G5709" s="12" t="inlineStr"/>
      <c r="H5709" s="12" t="inlineStr">
        <is>
          <t>M&amp;R CP test station (as drawn)</t>
        </is>
      </c>
      <c r="I5709" s="12" t="inlineStr">
        <is>
          <t>Instrumentation</t>
        </is>
      </c>
      <c r="J5709" s="12" t="inlineStr">
        <is>
          <t>Instrumentation ITC / PLTC, IS, #18 shielded pairs, blue jacket</t>
        </is>
      </c>
      <c r="K5709" s="12" t="inlineStr">
        <is>
          <t>ITC|4 pr|18</t>
        </is>
      </c>
      <c r="L5709" s="12" t="inlineStr">
        <is>
          <t>4 pr</t>
        </is>
      </c>
      <c r="M5709" s="12" t="inlineStr">
        <is>
          <t>18</t>
        </is>
      </c>
      <c r="N5709" s="12" t="n">
        <v>1</v>
      </c>
      <c r="O5709" s="12" t="n">
        <v>1</v>
      </c>
      <c r="P5709" s="12" t="n"/>
      <c r="Q5709" s="12" t="n"/>
      <c r="R5709" s="12" t="n"/>
      <c r="S5709" s="12" t="inlineStr">
        <is>
          <t>Duct bank</t>
        </is>
      </c>
      <c r="T5709" s="17" t="n">
        <v>441</v>
      </c>
      <c r="U5709" s="17" t="n">
        <v>42</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K-I-0190</t>
        </is>
      </c>
      <c r="B5710" s="12" t="inlineStr">
        <is>
          <t>K</t>
        </is>
      </c>
      <c r="C5710" s="12" t="inlineStr">
        <is>
          <t>Fuel supply (adjacent market)</t>
        </is>
      </c>
      <c r="D5710" s="12" t="inlineStr">
        <is>
          <t>Instrumentation</t>
        </is>
      </c>
      <c r="E5710" s="12" t="inlineStr"/>
      <c r="F5710" s="12" t="inlineStr">
        <is>
          <t>H2 20: 13.8 kV e-house</t>
        </is>
      </c>
      <c r="G5710" s="12" t="inlineStr"/>
      <c r="H5710" s="12" t="inlineStr">
        <is>
          <t>PEM electrolyzer 1 (HyLYZER-1000)</t>
        </is>
      </c>
      <c r="I5710" s="12" t="inlineStr">
        <is>
          <t>Instrumentation</t>
        </is>
      </c>
      <c r="J5710" s="12" t="inlineStr">
        <is>
          <t>Instrumentation ITC / PLTC, IS, #18 shielded pairs, blue jacket</t>
        </is>
      </c>
      <c r="K5710" s="12" t="inlineStr">
        <is>
          <t>ITC|4 pr|18</t>
        </is>
      </c>
      <c r="L5710" s="12" t="inlineStr">
        <is>
          <t>4 pr</t>
        </is>
      </c>
      <c r="M5710" s="12" t="inlineStr">
        <is>
          <t>18</t>
        </is>
      </c>
      <c r="N5710" s="12" t="n">
        <v>1</v>
      </c>
      <c r="O5710" s="12" t="n">
        <v>1</v>
      </c>
      <c r="P5710" s="12" t="n"/>
      <c r="Q5710" s="12" t="n"/>
      <c r="R5710" s="12" t="n"/>
      <c r="S5710" s="12" t="inlineStr">
        <is>
          <t>Duct bank</t>
        </is>
      </c>
      <c r="T5710" s="17" t="n">
        <v>358</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K-I-0191</t>
        </is>
      </c>
      <c r="B5711" s="12" t="inlineStr">
        <is>
          <t>K</t>
        </is>
      </c>
      <c r="C5711" s="12" t="inlineStr">
        <is>
          <t>Fuel supply (adjacent market)</t>
        </is>
      </c>
      <c r="D5711" s="12" t="inlineStr">
        <is>
          <t>Instrumentation</t>
        </is>
      </c>
      <c r="E5711" s="12" t="inlineStr"/>
      <c r="F5711" s="12" t="inlineStr">
        <is>
          <t>H2 20: 13.8 kV e-house</t>
        </is>
      </c>
      <c r="G5711" s="12" t="inlineStr"/>
      <c r="H5711" s="12" t="inlineStr">
        <is>
          <t>PEM electrolyzer 2 (HyLYZER-1000)</t>
        </is>
      </c>
      <c r="I5711" s="12" t="inlineStr">
        <is>
          <t>Instrumentation</t>
        </is>
      </c>
      <c r="J5711" s="12" t="inlineStr">
        <is>
          <t>Instrumentation ITC / PLTC, IS, #18 shielded pairs, blue jacket</t>
        </is>
      </c>
      <c r="K5711" s="12" t="inlineStr">
        <is>
          <t>ITC|4 pr|18</t>
        </is>
      </c>
      <c r="L5711" s="12" t="inlineStr">
        <is>
          <t>4 pr</t>
        </is>
      </c>
      <c r="M5711" s="12" t="inlineStr">
        <is>
          <t>18</t>
        </is>
      </c>
      <c r="N5711" s="12" t="n">
        <v>1</v>
      </c>
      <c r="O5711" s="12" t="n">
        <v>1</v>
      </c>
      <c r="P5711" s="12" t="n"/>
      <c r="Q5711" s="12" t="n"/>
      <c r="R5711" s="12" t="n"/>
      <c r="S5711" s="12" t="inlineStr">
        <is>
          <t>Duct bank</t>
        </is>
      </c>
      <c r="T5711" s="17" t="n">
        <v>358</v>
      </c>
      <c r="U5711" s="17" t="n">
        <v>48</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K-I-0192</t>
        </is>
      </c>
      <c r="B5712" s="12" t="inlineStr">
        <is>
          <t>K</t>
        </is>
      </c>
      <c r="C5712" s="12" t="inlineStr">
        <is>
          <t>Fuel supply (adjacent market)</t>
        </is>
      </c>
      <c r="D5712" s="12" t="inlineStr">
        <is>
          <t>Instrumentation</t>
        </is>
      </c>
      <c r="E5712" s="12" t="inlineStr"/>
      <c r="F5712" s="12" t="inlineStr">
        <is>
          <t>H2 20: 13.8 kV e-house</t>
        </is>
      </c>
      <c r="G5712" s="12" t="inlineStr"/>
      <c r="H5712" s="12" t="inlineStr">
        <is>
          <t>PEM electrolyzer 3 (HyLYZER-1000)</t>
        </is>
      </c>
      <c r="I5712" s="12" t="inlineStr">
        <is>
          <t>Instrumentation</t>
        </is>
      </c>
      <c r="J5712" s="12" t="inlineStr">
        <is>
          <t>Instrumentation ITC / PLTC, IS, #18 shielded pairs, blue jacket</t>
        </is>
      </c>
      <c r="K5712" s="12" t="inlineStr">
        <is>
          <t>ITC|4 pr|18</t>
        </is>
      </c>
      <c r="L5712" s="12" t="inlineStr">
        <is>
          <t>4 pr</t>
        </is>
      </c>
      <c r="M5712" s="12" t="inlineStr">
        <is>
          <t>18</t>
        </is>
      </c>
      <c r="N5712" s="12" t="n">
        <v>1</v>
      </c>
      <c r="O5712" s="12" t="n">
        <v>1</v>
      </c>
      <c r="P5712" s="12" t="n"/>
      <c r="Q5712" s="12" t="n"/>
      <c r="R5712" s="12" t="n"/>
      <c r="S5712" s="12" t="inlineStr">
        <is>
          <t>Duct bank</t>
        </is>
      </c>
      <c r="T5712" s="17" t="n">
        <v>348</v>
      </c>
      <c r="U5712" s="17" t="n">
        <v>49</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K-I-0193</t>
        </is>
      </c>
      <c r="B5713" s="12" t="inlineStr">
        <is>
          <t>K</t>
        </is>
      </c>
      <c r="C5713" s="12" t="inlineStr">
        <is>
          <t>Fuel supply (adjacent market)</t>
        </is>
      </c>
      <c r="D5713" s="12" t="inlineStr">
        <is>
          <t>Instrumentation</t>
        </is>
      </c>
      <c r="E5713" s="12" t="inlineStr"/>
      <c r="F5713" s="12" t="inlineStr">
        <is>
          <t>H2 20: 13.8 kV e-house</t>
        </is>
      </c>
      <c r="G5713" s="12" t="inlineStr"/>
      <c r="H5713" s="12" t="inlineStr">
        <is>
          <t>PEM electrolyzer 4 (HyLYZER-1000)</t>
        </is>
      </c>
      <c r="I5713" s="12" t="inlineStr">
        <is>
          <t>Instrumentation</t>
        </is>
      </c>
      <c r="J5713" s="12" t="inlineStr">
        <is>
          <t>Instrumentation ITC / PLTC, IS, #18 shielded pairs, blue jacket</t>
        </is>
      </c>
      <c r="K5713" s="12" t="inlineStr">
        <is>
          <t>ITC|4 pr|18</t>
        </is>
      </c>
      <c r="L5713" s="12" t="inlineStr">
        <is>
          <t>4 pr</t>
        </is>
      </c>
      <c r="M5713" s="12" t="inlineStr">
        <is>
          <t>18</t>
        </is>
      </c>
      <c r="N5713" s="12" t="n">
        <v>1</v>
      </c>
      <c r="O5713" s="12" t="n">
        <v>1</v>
      </c>
      <c r="P5713" s="12" t="n"/>
      <c r="Q5713" s="12" t="n"/>
      <c r="R5713" s="12" t="n"/>
      <c r="S5713" s="12" t="inlineStr">
        <is>
          <t>Duct bank</t>
        </is>
      </c>
      <c r="T5713" s="17" t="n">
        <v>328</v>
      </c>
      <c r="U5713" s="17" t="n">
        <v>49</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K-I-0194</t>
        </is>
      </c>
      <c r="B5714" s="12" t="inlineStr">
        <is>
          <t>K</t>
        </is>
      </c>
      <c r="C5714" s="12" t="inlineStr">
        <is>
          <t>Fuel supply (adjacent market)</t>
        </is>
      </c>
      <c r="D5714" s="12" t="inlineStr">
        <is>
          <t>Instrumentation</t>
        </is>
      </c>
      <c r="E5714" s="12" t="inlineStr"/>
      <c r="F5714" s="12" t="inlineStr">
        <is>
          <t>H2 20: 13.8 kV e-house</t>
        </is>
      </c>
      <c r="G5714" s="12" t="inlineStr"/>
      <c r="H5714" s="12" t="inlineStr">
        <is>
          <t>PEM electrolyzer 5 (HyLYZER-1000)</t>
        </is>
      </c>
      <c r="I5714" s="12" t="inlineStr">
        <is>
          <t>Instrumentation</t>
        </is>
      </c>
      <c r="J5714" s="12" t="inlineStr">
        <is>
          <t>Instrumentation ITC / PLTC, IS, #18 shielded pairs, blue jacket</t>
        </is>
      </c>
      <c r="K5714" s="12" t="inlineStr">
        <is>
          <t>ITC|4 pr|18</t>
        </is>
      </c>
      <c r="L5714" s="12" t="inlineStr">
        <is>
          <t>4 pr</t>
        </is>
      </c>
      <c r="M5714" s="12" t="inlineStr">
        <is>
          <t>18</t>
        </is>
      </c>
      <c r="N5714" s="12" t="n">
        <v>1</v>
      </c>
      <c r="O5714" s="12" t="n">
        <v>1</v>
      </c>
      <c r="P5714" s="12" t="n"/>
      <c r="Q5714" s="12" t="n"/>
      <c r="R5714" s="12" t="n"/>
      <c r="S5714" s="12" t="inlineStr">
        <is>
          <t>Duct bank</t>
        </is>
      </c>
      <c r="T5714" s="17" t="n">
        <v>328</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K-P-0001</t>
        </is>
      </c>
      <c r="B5715" s="12" t="inlineStr">
        <is>
          <t>K</t>
        </is>
      </c>
      <c r="C5715" s="12" t="inlineStr">
        <is>
          <t>Fuel supply (adjacent market)</t>
        </is>
      </c>
      <c r="D5715" s="12" t="inlineStr">
        <is>
          <t>Motor 1 of 1, 15 kW</t>
        </is>
      </c>
      <c r="E5715" s="12" t="inlineStr"/>
      <c r="F5715" s="12" t="inlineStr">
        <is>
          <t>H2 20: 13.8 kV e-house</t>
        </is>
      </c>
      <c r="G5715" s="12" t="inlineStr">
        <is>
          <t>T-H2</t>
        </is>
      </c>
      <c r="H5715" s="12" t="inlineStr">
        <is>
          <t>H2 19: T-H2 230/13.8 kV (about 40 MVA)</t>
        </is>
      </c>
      <c r="I5715" s="12" t="inlineStr">
        <is>
          <t>LV 600 V</t>
        </is>
      </c>
      <c r="J5715" s="12" t="inlineStr">
        <is>
          <t>ARMOR-X MC-HL 600 V 3/C Cu XHHW-2 + ground, CWA, black PVC (Class I Div 2)</t>
        </is>
      </c>
      <c r="K5715" s="12" t="inlineStr">
        <is>
          <t>LVAX|3/C+G|10</t>
        </is>
      </c>
      <c r="L5715" s="12" t="inlineStr">
        <is>
          <t>3/C+G</t>
        </is>
      </c>
      <c r="M5715" s="12" t="inlineStr">
        <is>
          <t>10</t>
        </is>
      </c>
      <c r="N5715" s="12" t="n">
        <v>1</v>
      </c>
      <c r="O5715" s="12" t="n">
        <v>1</v>
      </c>
      <c r="P5715" s="12" t="n">
        <v>480</v>
      </c>
      <c r="Q5715" s="12" t="n">
        <v>15</v>
      </c>
      <c r="R5715" s="12" t="n">
        <v>21.2</v>
      </c>
      <c r="S5715" s="12" t="inlineStr">
        <is>
          <t>Duct bank</t>
        </is>
      </c>
      <c r="T5715" s="17" t="n">
        <v>35</v>
      </c>
      <c r="U5715" s="17" t="n">
        <v>32</v>
      </c>
      <c r="V5715" s="17">
        <f>ROUNDUP((T5715+U5715+2*'Read Me'!$B$13)*(1+'Read Me'!$B$12),-1)</f>
        <v/>
      </c>
      <c r="W5715" s="17">
        <f>V5715*N5715*O5715</f>
        <v/>
      </c>
      <c r="X5715" s="12">
        <f>IF(LEFT(I5715,2)="MV",2*N5715*IF(L5715="1/C",O5715,1),0)</f>
        <v/>
      </c>
      <c r="Y5715" s="12">
        <f>IF(OR(LEFT(K5715,4)="LVAX",LEFT(K5715,6)="MV15AX",LEFT(K5715,4)="CTAX",LEFT(K5715,2)="W|"),2*N5715*O5715,0)</f>
        <v/>
      </c>
      <c r="Z5715" s="12" t="inlineStr">
        <is>
          <t>VD 0.7 %</t>
        </is>
      </c>
      <c r="AA5715" s="12">
        <f>N5715*O5715</f>
        <v/>
      </c>
    </row>
    <row r="5716">
      <c r="A5716" s="12" t="inlineStr">
        <is>
          <t>K-P-0002</t>
        </is>
      </c>
      <c r="B5716" s="12" t="inlineStr">
        <is>
          <t>K</t>
        </is>
      </c>
      <c r="C5716" s="12" t="inlineStr">
        <is>
          <t>Fuel supply (adjacent market)</t>
        </is>
      </c>
      <c r="D5716" s="12" t="inlineStr">
        <is>
          <t>Motor 1 of 1, 15 kW</t>
        </is>
      </c>
      <c r="E5716" s="12" t="inlineStr"/>
      <c r="F5716" s="12" t="inlineStr">
        <is>
          <t>H2 20: 13.8 kV e-house</t>
        </is>
      </c>
      <c r="G5716" s="12" t="inlineStr"/>
      <c r="H5716" s="12" t="inlineStr">
        <is>
          <t>H2 20: 13.8 kV e-house</t>
        </is>
      </c>
      <c r="I5716" s="12" t="inlineStr">
        <is>
          <t>LV 600 V</t>
        </is>
      </c>
      <c r="J5716" s="12" t="inlineStr">
        <is>
          <t>ARMOR-X MC-HL 600 V 3/C Cu XHHW-2 + ground, CWA, black PVC (Class I Div 2)</t>
        </is>
      </c>
      <c r="K5716" s="12" t="inlineStr">
        <is>
          <t>LVAX|3/C+G|10</t>
        </is>
      </c>
      <c r="L5716" s="12" t="inlineStr">
        <is>
          <t>3/C+G</t>
        </is>
      </c>
      <c r="M5716" s="12" t="inlineStr">
        <is>
          <t>10</t>
        </is>
      </c>
      <c r="N5716" s="12" t="n">
        <v>1</v>
      </c>
      <c r="O5716" s="12" t="n">
        <v>1</v>
      </c>
      <c r="P5716" s="12" t="n">
        <v>480</v>
      </c>
      <c r="Q5716" s="12" t="n">
        <v>15</v>
      </c>
      <c r="R5716" s="12" t="n">
        <v>21.2</v>
      </c>
      <c r="S5716" s="12" t="inlineStr">
        <is>
          <t>Tray</t>
        </is>
      </c>
      <c r="T5716" s="17" t="n">
        <v>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is>
          <t>VD 0.3 %</t>
        </is>
      </c>
      <c r="AA5716" s="12">
        <f>N5716*O5716</f>
        <v/>
      </c>
    </row>
    <row r="5717">
      <c r="A5717" s="12" t="inlineStr">
        <is>
          <t>K-P-0003</t>
        </is>
      </c>
      <c r="B5717" s="12" t="inlineStr">
        <is>
          <t>K</t>
        </is>
      </c>
      <c r="C5717" s="12" t="inlineStr">
        <is>
          <t>Fuel supply (adjacent market)</t>
        </is>
      </c>
      <c r="D5717" s="12" t="inlineStr">
        <is>
          <t>Motor 1 of 1, 15 kW</t>
        </is>
      </c>
      <c r="E5717" s="12" t="inlineStr"/>
      <c r="F5717" s="12" t="inlineStr">
        <is>
          <t>H2 20: 13.8 kV e-house</t>
        </is>
      </c>
      <c r="G5717" s="12" t="inlineStr"/>
      <c r="H5717" s="12" t="inlineStr">
        <is>
          <t>H2 21: rectifier transformer 1 (7 MVA)</t>
        </is>
      </c>
      <c r="I5717" s="12" t="inlineStr">
        <is>
          <t>LV 600 V</t>
        </is>
      </c>
      <c r="J5717" s="12" t="inlineStr">
        <is>
          <t>ARMOR-X MC-HL 600 V 3/C Cu XHHW-2 + ground, CWA, black PVC (Class I Div 2)</t>
        </is>
      </c>
      <c r="K5717" s="12" t="inlineStr">
        <is>
          <t>LVAX|3/C+G|8</t>
        </is>
      </c>
      <c r="L5717" s="12" t="inlineStr">
        <is>
          <t>3/C+G</t>
        </is>
      </c>
      <c r="M5717" s="12" t="inlineStr">
        <is>
          <t>8</t>
        </is>
      </c>
      <c r="N5717" s="12" t="n">
        <v>1</v>
      </c>
      <c r="O5717" s="12" t="n">
        <v>1</v>
      </c>
      <c r="P5717" s="12" t="n">
        <v>480</v>
      </c>
      <c r="Q5717" s="12" t="n">
        <v>15</v>
      </c>
      <c r="R5717" s="12" t="n">
        <v>21.2</v>
      </c>
      <c r="S5717" s="12" t="inlineStr">
        <is>
          <t>Duct bank</t>
        </is>
      </c>
      <c r="T5717" s="17" t="n">
        <v>356</v>
      </c>
      <c r="U5717" s="17" t="n">
        <v>48</v>
      </c>
      <c r="V5717" s="17">
        <f>ROUNDUP((T5717+U5717+2*'Read Me'!$B$13)*(1+'Read Me'!$B$12),-1)</f>
        <v/>
      </c>
      <c r="W5717" s="17">
        <f>V5717*N5717*O5717</f>
        <v/>
      </c>
      <c r="X5717" s="12">
        <f>IF(LEFT(I5717,2)="MV",2*N5717*IF(L5717="1/C",O5717,1),0)</f>
        <v/>
      </c>
      <c r="Y5717" s="12">
        <f>IF(OR(LEFT(K5717,4)="LVAX",LEFT(K5717,6)="MV15AX",LEFT(K5717,4)="CTAX",LEFT(K5717,2)="W|"),2*N5717*O5717,0)</f>
        <v/>
      </c>
      <c r="Z5717" s="12" t="inlineStr">
        <is>
          <t>VD 2.6 %</t>
        </is>
      </c>
      <c r="AA5717" s="12">
        <f>N5717*O5717</f>
        <v/>
      </c>
    </row>
    <row r="5718">
      <c r="A5718" s="12" t="inlineStr">
        <is>
          <t>K-P-0004</t>
        </is>
      </c>
      <c r="B5718" s="12" t="inlineStr">
        <is>
          <t>K</t>
        </is>
      </c>
      <c r="C5718" s="12" t="inlineStr">
        <is>
          <t>Fuel supply (adjacent market)</t>
        </is>
      </c>
      <c r="D5718" s="12" t="inlineStr">
        <is>
          <t>Motor 1 of 1, 15 kW</t>
        </is>
      </c>
      <c r="E5718" s="12" t="inlineStr"/>
      <c r="F5718" s="12" t="inlineStr">
        <is>
          <t>H2 20: 13.8 kV e-house</t>
        </is>
      </c>
      <c r="G5718" s="12" t="inlineStr"/>
      <c r="H5718" s="12" t="inlineStr">
        <is>
          <t>H2 21: rectifier transformer 2 (7 MVA)</t>
        </is>
      </c>
      <c r="I5718" s="12" t="inlineStr">
        <is>
          <t>LV 600 V</t>
        </is>
      </c>
      <c r="J5718" s="12" t="inlineStr">
        <is>
          <t>ARMOR-X MC-HL 600 V 3/C Cu XHHW-2 + ground, CWA, black PVC (Class I Div 2)</t>
        </is>
      </c>
      <c r="K5718" s="12" t="inlineStr">
        <is>
          <t>LVAX|3/C+G|8</t>
        </is>
      </c>
      <c r="L5718" s="12" t="inlineStr">
        <is>
          <t>3/C+G</t>
        </is>
      </c>
      <c r="M5718" s="12" t="inlineStr">
        <is>
          <t>8</t>
        </is>
      </c>
      <c r="N5718" s="12" t="n">
        <v>1</v>
      </c>
      <c r="O5718" s="12" t="n">
        <v>1</v>
      </c>
      <c r="P5718" s="12" t="n">
        <v>480</v>
      </c>
      <c r="Q5718" s="12" t="n">
        <v>15</v>
      </c>
      <c r="R5718" s="12" t="n">
        <v>21.2</v>
      </c>
      <c r="S5718" s="12" t="inlineStr">
        <is>
          <t>Duct bank</t>
        </is>
      </c>
      <c r="T5718" s="17" t="n">
        <v>356</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is>
          <t>VD 2.5 %</t>
        </is>
      </c>
      <c r="AA5718" s="12">
        <f>N5718*O5718</f>
        <v/>
      </c>
    </row>
    <row r="5719">
      <c r="A5719" s="12" t="inlineStr">
        <is>
          <t>K-P-0005</t>
        </is>
      </c>
      <c r="B5719" s="12" t="inlineStr">
        <is>
          <t>K</t>
        </is>
      </c>
      <c r="C5719" s="12" t="inlineStr">
        <is>
          <t>Fuel supply (adjacent market)</t>
        </is>
      </c>
      <c r="D5719" s="12" t="inlineStr">
        <is>
          <t>Motor 1 of 1, 15 kW</t>
        </is>
      </c>
      <c r="E5719" s="12" t="inlineStr"/>
      <c r="F5719" s="12" t="inlineStr">
        <is>
          <t>H2 20: 13.8 kV e-house</t>
        </is>
      </c>
      <c r="G5719" s="12" t="inlineStr"/>
      <c r="H5719" s="12" t="inlineStr">
        <is>
          <t>H2 21: rectifier transformer 3 (7 MVA)</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is>
          <t>VD 2.4 %</t>
        </is>
      </c>
      <c r="AA5719" s="12">
        <f>N5719*O5719</f>
        <v/>
      </c>
    </row>
    <row r="5720">
      <c r="A5720" s="12" t="inlineStr">
        <is>
          <t>K-P-0006</t>
        </is>
      </c>
      <c r="B5720" s="12" t="inlineStr">
        <is>
          <t>K</t>
        </is>
      </c>
      <c r="C5720" s="12" t="inlineStr">
        <is>
          <t>Fuel supply (adjacent market)</t>
        </is>
      </c>
      <c r="D5720" s="12" t="inlineStr">
        <is>
          <t>Motor 1 of 1, 15 kW</t>
        </is>
      </c>
      <c r="E5720" s="12" t="inlineStr"/>
      <c r="F5720" s="12" t="inlineStr">
        <is>
          <t>H2 20: 13.8 kV e-house</t>
        </is>
      </c>
      <c r="G5720" s="12" t="inlineStr"/>
      <c r="H5720" s="12" t="inlineStr">
        <is>
          <t>H2 21: rectifier transformer 4 (7 MVA)</t>
        </is>
      </c>
      <c r="I5720" s="12" t="inlineStr">
        <is>
          <t>LV 600 V</t>
        </is>
      </c>
      <c r="J5720" s="12" t="inlineStr">
        <is>
          <t>ARMOR-X MC-HL 600 V 3/C Cu XHHW-2 + ground, CWA, black PVC (Class I Div 2)</t>
        </is>
      </c>
      <c r="K5720" s="12" t="inlineStr">
        <is>
          <t>LVAX|3/C+G|8</t>
        </is>
      </c>
      <c r="L5720" s="12" t="inlineStr">
        <is>
          <t>3/C+G</t>
        </is>
      </c>
      <c r="M5720" s="12" t="inlineStr">
        <is>
          <t>8</t>
        </is>
      </c>
      <c r="N5720" s="12" t="n">
        <v>1</v>
      </c>
      <c r="O5720" s="12" t="n">
        <v>1</v>
      </c>
      <c r="P5720" s="12" t="n">
        <v>480</v>
      </c>
      <c r="Q5720" s="12" t="n">
        <v>15</v>
      </c>
      <c r="R5720" s="12" t="n">
        <v>21.2</v>
      </c>
      <c r="S5720" s="12" t="inlineStr">
        <is>
          <t>Duct bank</t>
        </is>
      </c>
      <c r="T5720" s="17" t="n">
        <v>312</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K-P-0007</t>
        </is>
      </c>
      <c r="B5721" s="12" t="inlineStr">
        <is>
          <t>K</t>
        </is>
      </c>
      <c r="C5721" s="12" t="inlineStr">
        <is>
          <t>Fuel supply (adjacent market)</t>
        </is>
      </c>
      <c r="D5721" s="12" t="inlineStr">
        <is>
          <t>Motor 1 of 1, 15 kW</t>
        </is>
      </c>
      <c r="E5721" s="12" t="inlineStr"/>
      <c r="F5721" s="12" t="inlineStr">
        <is>
          <t>H2 20: 13.8 kV e-house</t>
        </is>
      </c>
      <c r="G5721" s="12" t="inlineStr"/>
      <c r="H5721" s="12" t="inlineStr">
        <is>
          <t>H2 21: rectifier transformer 5 (7 MVA)</t>
        </is>
      </c>
      <c r="I5721" s="12" t="inlineStr">
        <is>
          <t>LV 600 V</t>
        </is>
      </c>
      <c r="J5721" s="12" t="inlineStr">
        <is>
          <t>ARMOR-X MC-HL 600 V 3/C Cu XHHW-2 + ground, CWA, black PVC (Class I Div 2)</t>
        </is>
      </c>
      <c r="K5721" s="12" t="inlineStr">
        <is>
          <t>LVAX|3/C+G|10</t>
        </is>
      </c>
      <c r="L5721" s="12" t="inlineStr">
        <is>
          <t>3/C+G</t>
        </is>
      </c>
      <c r="M5721" s="12" t="inlineStr">
        <is>
          <t>10</t>
        </is>
      </c>
      <c r="N5721" s="12" t="n">
        <v>1</v>
      </c>
      <c r="O5721" s="12" t="n">
        <v>1</v>
      </c>
      <c r="P5721" s="12" t="n">
        <v>480</v>
      </c>
      <c r="Q5721" s="12" t="n">
        <v>15</v>
      </c>
      <c r="R5721" s="12" t="n">
        <v>21.2</v>
      </c>
      <c r="S5721" s="12" t="inlineStr">
        <is>
          <t>Duct bank</t>
        </is>
      </c>
      <c r="T5721" s="17" t="n">
        <v>254</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K-P-0008</t>
        </is>
      </c>
      <c r="B5722" s="12" t="inlineStr">
        <is>
          <t>K</t>
        </is>
      </c>
      <c r="C5722" s="12" t="inlineStr">
        <is>
          <t>Fuel supply (adjacent market)</t>
        </is>
      </c>
      <c r="D5722" s="12" t="inlineStr">
        <is>
          <t>Motor 1 of 1, 15 kW</t>
        </is>
      </c>
      <c r="E5722" s="12" t="inlineStr"/>
      <c r="F5722" s="12" t="inlineStr">
        <is>
          <t>H2 20: 13.8 kV e-house</t>
        </is>
      </c>
      <c r="G5722" s="12" t="inlineStr">
        <is>
          <t>H2-EL</t>
        </is>
      </c>
      <c r="H5722" s="12" t="inlineStr">
        <is>
          <t>H2 22: electrolyzer building (5 x HyLYZER-1000 + 5 rectifiers)</t>
        </is>
      </c>
      <c r="I5722" s="12" t="inlineStr">
        <is>
          <t>LV 600 V</t>
        </is>
      </c>
      <c r="J5722" s="12" t="inlineStr">
        <is>
          <t>ARMOR-X MC-HL 600 V 3/C Cu XHHW-2 + ground, CWA, black PVC (Class I Div 2)</t>
        </is>
      </c>
      <c r="K5722" s="12" t="inlineStr">
        <is>
          <t>LVAX|3/C+G|8</t>
        </is>
      </c>
      <c r="L5722" s="12" t="inlineStr">
        <is>
          <t>3/C+G</t>
        </is>
      </c>
      <c r="M5722" s="12" t="inlineStr">
        <is>
          <t>8</t>
        </is>
      </c>
      <c r="N5722" s="12" t="n">
        <v>1</v>
      </c>
      <c r="O5722" s="12" t="n">
        <v>1</v>
      </c>
      <c r="P5722" s="12" t="n">
        <v>480</v>
      </c>
      <c r="Q5722" s="12" t="n">
        <v>15</v>
      </c>
      <c r="R5722" s="12" t="n">
        <v>21.2</v>
      </c>
      <c r="S5722" s="12" t="inlineStr">
        <is>
          <t>Duct bank</t>
        </is>
      </c>
      <c r="T5722" s="17" t="n">
        <v>346</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2.4 %</t>
        </is>
      </c>
      <c r="AA5722" s="12">
        <f>N5722*O5722</f>
        <v/>
      </c>
    </row>
    <row r="5723">
      <c r="A5723" s="12" t="inlineStr">
        <is>
          <t>K-P-0009</t>
        </is>
      </c>
      <c r="B5723" s="12" t="inlineStr">
        <is>
          <t>K</t>
        </is>
      </c>
      <c r="C5723" s="12" t="inlineStr">
        <is>
          <t>Fuel supply (adjacent market)</t>
        </is>
      </c>
      <c r="D5723" s="12" t="inlineStr">
        <is>
          <t>Motor 1 of 1, 15 kW</t>
        </is>
      </c>
      <c r="E5723" s="12" t="inlineStr"/>
      <c r="F5723" s="12" t="inlineStr">
        <is>
          <t>H2 20: 13.8 kV e-house</t>
        </is>
      </c>
      <c r="G5723" s="12" t="inlineStr"/>
      <c r="H5723" s="12" t="inlineStr">
        <is>
          <t>H2 23: dry coolers</t>
        </is>
      </c>
      <c r="I5723" s="12" t="inlineStr">
        <is>
          <t>LV 600 V</t>
        </is>
      </c>
      <c r="J5723" s="12" t="inlineStr">
        <is>
          <t>ARMOR-X MC-HL 600 V 3/C Cu XHHW-2 + ground, CWA, black PVC (Class I Div 2)</t>
        </is>
      </c>
      <c r="K5723" s="12" t="inlineStr">
        <is>
          <t>LVAX|3/C+G|10</t>
        </is>
      </c>
      <c r="L5723" s="12" t="inlineStr">
        <is>
          <t>3/C+G</t>
        </is>
      </c>
      <c r="M5723" s="12" t="inlineStr">
        <is>
          <t>10</t>
        </is>
      </c>
      <c r="N5723" s="12" t="n">
        <v>1</v>
      </c>
      <c r="O5723" s="12" t="n">
        <v>1</v>
      </c>
      <c r="P5723" s="12" t="n">
        <v>480</v>
      </c>
      <c r="Q5723" s="12" t="n">
        <v>15</v>
      </c>
      <c r="R5723" s="12" t="n">
        <v>21.2</v>
      </c>
      <c r="S5723" s="12" t="inlineStr">
        <is>
          <t>Duct bank</t>
        </is>
      </c>
      <c r="T5723" s="17" t="n">
        <v>100</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is>
          <t>VD 1.3 %</t>
        </is>
      </c>
      <c r="AA5723" s="12">
        <f>N5723*O5723</f>
        <v/>
      </c>
    </row>
    <row r="5724">
      <c r="A5724" s="12" t="inlineStr">
        <is>
          <t>K-P-0010</t>
        </is>
      </c>
      <c r="B5724" s="12" t="inlineStr">
        <is>
          <t>K</t>
        </is>
      </c>
      <c r="C5724" s="12" t="inlineStr">
        <is>
          <t>Fuel supply (adjacent market)</t>
        </is>
      </c>
      <c r="D5724" s="12" t="inlineStr">
        <is>
          <t>Motor 1 of 1, 15 kW</t>
        </is>
      </c>
      <c r="E5724" s="12" t="inlineStr"/>
      <c r="F5724" s="12" t="inlineStr">
        <is>
          <t>H2 20: 13.8 kV e-house</t>
        </is>
      </c>
      <c r="G5724" s="12" t="inlineStr"/>
      <c r="H5724" s="12" t="inlineStr">
        <is>
          <t>H2 24: water purification (RO / EDI)</t>
        </is>
      </c>
      <c r="I5724" s="12" t="inlineStr">
        <is>
          <t>LV 600 V</t>
        </is>
      </c>
      <c r="J5724" s="12" t="inlineStr">
        <is>
          <t>ARMOR-X MC-HL 600 V 3/C Cu XHHW-2 + ground, CWA, black PVC (Class I Div 2)</t>
        </is>
      </c>
      <c r="K5724" s="12" t="inlineStr">
        <is>
          <t>LVAX|3/C+G|10</t>
        </is>
      </c>
      <c r="L5724" s="12" t="inlineStr">
        <is>
          <t>3/C+G</t>
        </is>
      </c>
      <c r="M5724" s="12" t="inlineStr">
        <is>
          <t>10</t>
        </is>
      </c>
      <c r="N5724" s="12" t="n">
        <v>1</v>
      </c>
      <c r="O5724" s="12" t="n">
        <v>1</v>
      </c>
      <c r="P5724" s="12" t="n">
        <v>480</v>
      </c>
      <c r="Q5724" s="12" t="n">
        <v>15</v>
      </c>
      <c r="R5724" s="12" t="n">
        <v>21.2</v>
      </c>
      <c r="S5724" s="12" t="inlineStr">
        <is>
          <t>Duct bank</t>
        </is>
      </c>
      <c r="T5724" s="17" t="n">
        <v>146</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is>
          <t>VD 1.8 %</t>
        </is>
      </c>
      <c r="AA5724" s="12">
        <f>N5724*O5724</f>
        <v/>
      </c>
    </row>
    <row r="5725">
      <c r="A5725" s="12" t="inlineStr">
        <is>
          <t>K-P-0011</t>
        </is>
      </c>
      <c r="B5725" s="12" t="inlineStr">
        <is>
          <t>K</t>
        </is>
      </c>
      <c r="C5725" s="12" t="inlineStr">
        <is>
          <t>Fuel supply (adjacent market)</t>
        </is>
      </c>
      <c r="D5725" s="12" t="inlineStr">
        <is>
          <t>Motor 1 of 1, 15 kW</t>
        </is>
      </c>
      <c r="E5725" s="12" t="inlineStr"/>
      <c r="F5725" s="12" t="inlineStr">
        <is>
          <t>H2 20: 13.8 kV e-house</t>
        </is>
      </c>
      <c r="G5725" s="12" t="inlineStr"/>
      <c r="H5725" s="12" t="inlineStr">
        <is>
          <t>H2 25: H2 dryer / purification</t>
        </is>
      </c>
      <c r="I5725" s="12" t="inlineStr">
        <is>
          <t>LV 600 V</t>
        </is>
      </c>
      <c r="J5725" s="12" t="inlineStr">
        <is>
          <t>ARMOR-X MC-HL 600 V 3/C Cu XHHW-2 + ground, CWA, black PVC (Class I Div 2)</t>
        </is>
      </c>
      <c r="K5725" s="12" t="inlineStr">
        <is>
          <t>LVAX|3/C+G|10</t>
        </is>
      </c>
      <c r="L5725" s="12" t="inlineStr">
        <is>
          <t>3/C+G</t>
        </is>
      </c>
      <c r="M5725" s="12" t="inlineStr">
        <is>
          <t>10</t>
        </is>
      </c>
      <c r="N5725" s="12" t="n">
        <v>1</v>
      </c>
      <c r="O5725" s="12" t="n">
        <v>1</v>
      </c>
      <c r="P5725" s="12" t="n">
        <v>480</v>
      </c>
      <c r="Q5725" s="12" t="n">
        <v>15</v>
      </c>
      <c r="R5725" s="12" t="n">
        <v>21.2</v>
      </c>
      <c r="S5725" s="12" t="inlineStr">
        <is>
          <t>Duct bank</t>
        </is>
      </c>
      <c r="T5725" s="17" t="n">
        <v>0</v>
      </c>
      <c r="U5725" s="17" t="n">
        <v>49</v>
      </c>
      <c r="V5725" s="17">
        <f>ROUNDUP((T5725+U5725+2*'Read Me'!$B$13)*(1+'Read Me'!$B$12),-1)</f>
        <v/>
      </c>
      <c r="W5725" s="17">
        <f>V5725*N5725*O5725</f>
        <v/>
      </c>
      <c r="X5725" s="12">
        <f>IF(LEFT(I5725,2)="MV",2*N5725*IF(L5725="1/C",O5725,1),0)</f>
        <v/>
      </c>
      <c r="Y5725" s="12">
        <f>IF(OR(LEFT(K5725,4)="LVAX",LEFT(K5725,6)="MV15AX",LEFT(K5725,4)="CTAX",LEFT(K5725,2)="W|"),2*N5725*O5725,0)</f>
        <v/>
      </c>
      <c r="Z5725" s="12" t="inlineStr">
        <is>
          <t>VD 0.5 %</t>
        </is>
      </c>
      <c r="AA5725" s="12">
        <f>N5725*O5725</f>
        <v/>
      </c>
    </row>
    <row r="5726">
      <c r="A5726" s="12" t="inlineStr">
        <is>
          <t>K-P-0012</t>
        </is>
      </c>
      <c r="B5726" s="12" t="inlineStr">
        <is>
          <t>K</t>
        </is>
      </c>
      <c r="C5726" s="12" t="inlineStr">
        <is>
          <t>Fuel supply (adjacent market)</t>
        </is>
      </c>
      <c r="D5726" s="12" t="inlineStr">
        <is>
          <t>Motor 1 of 1, 15 kW</t>
        </is>
      </c>
      <c r="E5726" s="12" t="inlineStr"/>
      <c r="F5726" s="12" t="inlineStr">
        <is>
          <t>H2 20: 13.8 kV e-house</t>
        </is>
      </c>
      <c r="G5726" s="12" t="inlineStr"/>
      <c r="H5726" s="12" t="inlineStr">
        <is>
          <t>H2 26: H2 compressor 1 (40 ft ISO)</t>
        </is>
      </c>
      <c r="I5726" s="12" t="inlineStr">
        <is>
          <t>LV 600 V</t>
        </is>
      </c>
      <c r="J5726" s="12" t="inlineStr">
        <is>
          <t>ARMOR-X MC-HL 600 V 3/C Cu XHHW-2 + ground, CWA, black PVC (Class I Div 2)</t>
        </is>
      </c>
      <c r="K5726" s="12" t="inlineStr">
        <is>
          <t>LVAX|3/C+G|10</t>
        </is>
      </c>
      <c r="L5726" s="12" t="inlineStr">
        <is>
          <t>3/C+G</t>
        </is>
      </c>
      <c r="M5726" s="12" t="inlineStr">
        <is>
          <t>10</t>
        </is>
      </c>
      <c r="N5726" s="12" t="n">
        <v>1</v>
      </c>
      <c r="O5726" s="12" t="n">
        <v>1</v>
      </c>
      <c r="P5726" s="12" t="n">
        <v>480</v>
      </c>
      <c r="Q5726" s="12" t="n">
        <v>15</v>
      </c>
      <c r="R5726" s="12" t="n">
        <v>21.2</v>
      </c>
      <c r="S5726" s="12" t="inlineStr">
        <is>
          <t>Duct bank</t>
        </is>
      </c>
      <c r="T5726" s="17" t="n">
        <v>50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is>
          <t>VD 0.8 %</t>
        </is>
      </c>
      <c r="AA5726" s="12">
        <f>N5726*O5726</f>
        <v/>
      </c>
    </row>
    <row r="5727">
      <c r="A5727" s="12" t="inlineStr">
        <is>
          <t>K-P-0013</t>
        </is>
      </c>
      <c r="B5727" s="12" t="inlineStr">
        <is>
          <t>K</t>
        </is>
      </c>
      <c r="C5727" s="12" t="inlineStr">
        <is>
          <t>Fuel supply (adjacent market)</t>
        </is>
      </c>
      <c r="D5727" s="12" t="inlineStr">
        <is>
          <t>Motor 1 of 1, 15 kW</t>
        </is>
      </c>
      <c r="E5727" s="12" t="inlineStr"/>
      <c r="F5727" s="12" t="inlineStr">
        <is>
          <t>H2 20: 13.8 kV e-house</t>
        </is>
      </c>
      <c r="G5727" s="12" t="inlineStr"/>
      <c r="H5727" s="12" t="inlineStr">
        <is>
          <t>H2 26: H2 compressor 2 (40 ft ISO)</t>
        </is>
      </c>
      <c r="I5727" s="12" t="inlineStr">
        <is>
          <t>LV 600 V</t>
        </is>
      </c>
      <c r="J5727" s="12" t="inlineStr">
        <is>
          <t>ARMOR-X MC-HL 600 V 3/C Cu XHHW-2 + ground, CWA, black PVC (Class I Div 2)</t>
        </is>
      </c>
      <c r="K5727" s="12" t="inlineStr">
        <is>
          <t>LVAX|3/C+G|10</t>
        </is>
      </c>
      <c r="L5727" s="12" t="inlineStr">
        <is>
          <t>3/C+G</t>
        </is>
      </c>
      <c r="M5727" s="12" t="inlineStr">
        <is>
          <t>10</t>
        </is>
      </c>
      <c r="N5727" s="12" t="n">
        <v>1</v>
      </c>
      <c r="O5727" s="12" t="n">
        <v>1</v>
      </c>
      <c r="P5727" s="12" t="n">
        <v>480</v>
      </c>
      <c r="Q5727" s="12" t="n">
        <v>15</v>
      </c>
      <c r="R5727" s="12" t="n">
        <v>21.2</v>
      </c>
      <c r="S5727" s="12" t="inlineStr">
        <is>
          <t>Duct bank</t>
        </is>
      </c>
      <c r="T5727" s="17" t="n">
        <v>50</v>
      </c>
      <c r="U5727" s="17" t="n">
        <v>47</v>
      </c>
      <c r="V5727" s="17">
        <f>ROUNDUP((T5727+U5727+2*'Read Me'!$B$13)*(1+'Read Me'!$B$12),-1)</f>
        <v/>
      </c>
      <c r="W5727" s="17">
        <f>V5727*N5727*O5727</f>
        <v/>
      </c>
      <c r="X5727" s="12">
        <f>IF(LEFT(I5727,2)="MV",2*N5727*IF(L5727="1/C",O5727,1),0)</f>
        <v/>
      </c>
      <c r="Y5727" s="12">
        <f>IF(OR(LEFT(K5727,4)="LVAX",LEFT(K5727,6)="MV15AX",LEFT(K5727,4)="CTAX",LEFT(K5727,2)="W|"),2*N5727*O5727,0)</f>
        <v/>
      </c>
      <c r="Z5727" s="12" t="inlineStr">
        <is>
          <t>VD 1.0 %</t>
        </is>
      </c>
      <c r="AA5727" s="12">
        <f>N5727*O5727</f>
        <v/>
      </c>
    </row>
    <row r="5728">
      <c r="A5728" s="12" t="inlineStr">
        <is>
          <t>K-P-0014</t>
        </is>
      </c>
      <c r="B5728" s="12" t="inlineStr">
        <is>
          <t>K</t>
        </is>
      </c>
      <c r="C5728" s="12" t="inlineStr">
        <is>
          <t>Fuel supply (adjacent market)</t>
        </is>
      </c>
      <c r="D5728" s="12" t="inlineStr">
        <is>
          <t>Motor 1 of 1, 15 kW</t>
        </is>
      </c>
      <c r="E5728" s="12" t="inlineStr"/>
      <c r="F5728" s="12" t="inlineStr">
        <is>
          <t>H2 20: 13.8 kV e-house</t>
        </is>
      </c>
      <c r="G5728" s="12" t="inlineStr"/>
      <c r="H5728" s="12" t="inlineStr">
        <is>
          <t>H2 27: storage tube bank (~40 ft tubes)</t>
        </is>
      </c>
      <c r="I5728" s="12" t="inlineStr">
        <is>
          <t>LV 600 V</t>
        </is>
      </c>
      <c r="J5728" s="12" t="inlineStr">
        <is>
          <t>ARMOR-X MC-HL 600 V 3/C Cu XHHW-2 + ground, CWA, black PVC (Class I Div 2)</t>
        </is>
      </c>
      <c r="K5728" s="12" t="inlineStr">
        <is>
          <t>LVAX|3/C+G|10</t>
        </is>
      </c>
      <c r="L5728" s="12" t="inlineStr">
        <is>
          <t>3/C+G</t>
        </is>
      </c>
      <c r="M5728" s="12" t="inlineStr">
        <is>
          <t>10</t>
        </is>
      </c>
      <c r="N5728" s="12" t="n">
        <v>1</v>
      </c>
      <c r="O5728" s="12" t="n">
        <v>1</v>
      </c>
      <c r="P5728" s="12" t="n">
        <v>480</v>
      </c>
      <c r="Q5728" s="12" t="n">
        <v>15</v>
      </c>
      <c r="R5728" s="12" t="n">
        <v>21.2</v>
      </c>
      <c r="S5728" s="12" t="inlineStr">
        <is>
          <t>Duct bank</t>
        </is>
      </c>
      <c r="T5728" s="17" t="n">
        <v>50</v>
      </c>
      <c r="U5728" s="17" t="n">
        <v>97</v>
      </c>
      <c r="V5728" s="17">
        <f>ROUNDUP((T5728+U5728+2*'Read Me'!$B$13)*(1+'Read Me'!$B$12),-1)</f>
        <v/>
      </c>
      <c r="W5728" s="17">
        <f>V5728*N5728*O5728</f>
        <v/>
      </c>
      <c r="X5728" s="12">
        <f>IF(LEFT(I5728,2)="MV",2*N5728*IF(L5728="1/C",O5728,1),0)</f>
        <v/>
      </c>
      <c r="Y5728" s="12">
        <f>IF(OR(LEFT(K5728,4)="LVAX",LEFT(K5728,6)="MV15AX",LEFT(K5728,4)="CTAX",LEFT(K5728,2)="W|"),2*N5728*O5728,0)</f>
        <v/>
      </c>
      <c r="Z5728" s="12" t="inlineStr">
        <is>
          <t>VD 1.5 %</t>
        </is>
      </c>
      <c r="AA5728" s="12">
        <f>N5728*O5728</f>
        <v/>
      </c>
    </row>
    <row r="5729">
      <c r="A5729" s="12" t="inlineStr">
        <is>
          <t>K-P-0015</t>
        </is>
      </c>
      <c r="B5729" s="12" t="inlineStr">
        <is>
          <t>K</t>
        </is>
      </c>
      <c r="C5729" s="12" t="inlineStr">
        <is>
          <t>Fuel supply (adjacent market)</t>
        </is>
      </c>
      <c r="D5729" s="12" t="inlineStr">
        <is>
          <t>Motor 1 of 1, 15 kW</t>
        </is>
      </c>
      <c r="E5729" s="12" t="inlineStr"/>
      <c r="F5729" s="12" t="inlineStr">
        <is>
          <t>H2 20: 13.8 kV e-house</t>
        </is>
      </c>
      <c r="G5729" s="12" t="inlineStr"/>
      <c r="H5729" s="12" t="inlineStr">
        <is>
          <t>H2 27: storage tube bank (~40 ft tubes)</t>
        </is>
      </c>
      <c r="I5729" s="12" t="inlineStr">
        <is>
          <t>LV 600 V</t>
        </is>
      </c>
      <c r="J5729" s="12" t="inlineStr">
        <is>
          <t>ARMOR-X MC-HL 600 V 3/C Cu XHHW-2 + ground, CWA, black PVC (Class I Div 2)</t>
        </is>
      </c>
      <c r="K5729" s="12" t="inlineStr">
        <is>
          <t>LVAX|3/C+G|10</t>
        </is>
      </c>
      <c r="L5729" s="12" t="inlineStr">
        <is>
          <t>3/C+G</t>
        </is>
      </c>
      <c r="M5729" s="12" t="inlineStr">
        <is>
          <t>10</t>
        </is>
      </c>
      <c r="N5729" s="12" t="n">
        <v>1</v>
      </c>
      <c r="O5729" s="12" t="n">
        <v>1</v>
      </c>
      <c r="P5729" s="12" t="n">
        <v>480</v>
      </c>
      <c r="Q5729" s="12" t="n">
        <v>15</v>
      </c>
      <c r="R5729" s="12" t="n">
        <v>21.2</v>
      </c>
      <c r="S5729" s="12" t="inlineStr">
        <is>
          <t>Duct bank</t>
        </is>
      </c>
      <c r="T5729" s="17" t="n">
        <v>50</v>
      </c>
      <c r="U5729" s="17" t="n">
        <v>117</v>
      </c>
      <c r="V5729" s="17">
        <f>ROUNDUP((T5729+U5729+2*'Read Me'!$B$13)*(1+'Read Me'!$B$12),-1)</f>
        <v/>
      </c>
      <c r="W5729" s="17">
        <f>V5729*N5729*O5729</f>
        <v/>
      </c>
      <c r="X5729" s="12">
        <f>IF(LEFT(I5729,2)="MV",2*N5729*IF(L5729="1/C",O5729,1),0)</f>
        <v/>
      </c>
      <c r="Y5729" s="12">
        <f>IF(OR(LEFT(K5729,4)="LVAX",LEFT(K5729,6)="MV15AX",LEFT(K5729,4)="CTAX",LEFT(K5729,2)="W|"),2*N5729*O5729,0)</f>
        <v/>
      </c>
      <c r="Z5729" s="12" t="inlineStr">
        <is>
          <t>VD 1.7 %</t>
        </is>
      </c>
      <c r="AA5729" s="12">
        <f>N5729*O5729</f>
        <v/>
      </c>
    </row>
    <row r="5730">
      <c r="A5730" s="12" t="inlineStr">
        <is>
          <t>K-P-0016</t>
        </is>
      </c>
      <c r="B5730" s="12" t="inlineStr">
        <is>
          <t>K</t>
        </is>
      </c>
      <c r="C5730" s="12" t="inlineStr">
        <is>
          <t>Fuel supply (adjacent market)</t>
        </is>
      </c>
      <c r="D5730" s="12" t="inlineStr">
        <is>
          <t>Motor 1 of 1, 15 kW</t>
        </is>
      </c>
      <c r="E5730" s="12" t="inlineStr"/>
      <c r="F5730" s="12" t="inlineStr">
        <is>
          <t>H2 20: 13.8 kV e-house</t>
        </is>
      </c>
      <c r="G5730" s="12" t="inlineStr"/>
      <c r="H5730" s="12" t="inlineStr">
        <is>
          <t>H2 27: storage tube bank (~40 ft tubes)</t>
        </is>
      </c>
      <c r="I5730" s="12" t="inlineStr">
        <is>
          <t>LV 600 V</t>
        </is>
      </c>
      <c r="J5730" s="12" t="inlineStr">
        <is>
          <t>ARMOR-X MC-HL 600 V 3/C Cu XHHW-2 + ground, CWA, black PVC (Class I Div 2)</t>
        </is>
      </c>
      <c r="K5730" s="12" t="inlineStr">
        <is>
          <t>LVAX|3/C+G|10</t>
        </is>
      </c>
      <c r="L5730" s="12" t="inlineStr">
        <is>
          <t>3/C+G</t>
        </is>
      </c>
      <c r="M5730" s="12" t="inlineStr">
        <is>
          <t>10</t>
        </is>
      </c>
      <c r="N5730" s="12" t="n">
        <v>1</v>
      </c>
      <c r="O5730" s="12" t="n">
        <v>1</v>
      </c>
      <c r="P5730" s="12" t="n">
        <v>480</v>
      </c>
      <c r="Q5730" s="12" t="n">
        <v>15</v>
      </c>
      <c r="R5730" s="12" t="n">
        <v>21.2</v>
      </c>
      <c r="S5730" s="12" t="inlineStr">
        <is>
          <t>Duct bank</t>
        </is>
      </c>
      <c r="T5730" s="17" t="n">
        <v>50</v>
      </c>
      <c r="U5730" s="17" t="n">
        <v>97</v>
      </c>
      <c r="V5730" s="17">
        <f>ROUNDUP((T5730+U5730+2*'Read Me'!$B$13)*(1+'Read Me'!$B$12),-1)</f>
        <v/>
      </c>
      <c r="W5730" s="17">
        <f>V5730*N5730*O5730</f>
        <v/>
      </c>
      <c r="X5730" s="12">
        <f>IF(LEFT(I5730,2)="MV",2*N5730*IF(L5730="1/C",O5730,1),0)</f>
        <v/>
      </c>
      <c r="Y5730" s="12">
        <f>IF(OR(LEFT(K5730,4)="LVAX",LEFT(K5730,6)="MV15AX",LEFT(K5730,4)="CTAX",LEFT(K5730,2)="W|"),2*N5730*O5730,0)</f>
        <v/>
      </c>
      <c r="Z5730" s="12" t="inlineStr">
        <is>
          <t>VD 1.5 %</t>
        </is>
      </c>
      <c r="AA5730" s="12">
        <f>N5730*O5730</f>
        <v/>
      </c>
    </row>
    <row r="5731">
      <c r="A5731" s="12" t="inlineStr">
        <is>
          <t>K-P-0017</t>
        </is>
      </c>
      <c r="B5731" s="12" t="inlineStr">
        <is>
          <t>K</t>
        </is>
      </c>
      <c r="C5731" s="12" t="inlineStr">
        <is>
          <t>Fuel supply (adjacent market)</t>
        </is>
      </c>
      <c r="D5731" s="12" t="inlineStr">
        <is>
          <t>Motor 1 of 1, 15 kW</t>
        </is>
      </c>
      <c r="E5731" s="12" t="inlineStr"/>
      <c r="F5731" s="12" t="inlineStr">
        <is>
          <t>H2 20: 13.8 kV e-house</t>
        </is>
      </c>
      <c r="G5731" s="12" t="inlineStr"/>
      <c r="H5731" s="12" t="inlineStr">
        <is>
          <t>H2 27: storage tube bank (~40 ft tubes)</t>
        </is>
      </c>
      <c r="I5731" s="12" t="inlineStr">
        <is>
          <t>LV 600 V</t>
        </is>
      </c>
      <c r="J5731" s="12" t="inlineStr">
        <is>
          <t>ARMOR-X MC-HL 600 V 3/C Cu XHHW-2 + ground, CWA, black PVC (Class I Div 2)</t>
        </is>
      </c>
      <c r="K5731" s="12" t="inlineStr">
        <is>
          <t>LVAX|3/C+G|10</t>
        </is>
      </c>
      <c r="L5731" s="12" t="inlineStr">
        <is>
          <t>3/C+G</t>
        </is>
      </c>
      <c r="M5731" s="12" t="inlineStr">
        <is>
          <t>10</t>
        </is>
      </c>
      <c r="N5731" s="12" t="n">
        <v>1</v>
      </c>
      <c r="O5731" s="12" t="n">
        <v>1</v>
      </c>
      <c r="P5731" s="12" t="n">
        <v>480</v>
      </c>
      <c r="Q5731" s="12" t="n">
        <v>15</v>
      </c>
      <c r="R5731" s="12" t="n">
        <v>21.2</v>
      </c>
      <c r="S5731" s="12" t="inlineStr">
        <is>
          <t>Duct bank</t>
        </is>
      </c>
      <c r="T5731" s="17" t="n">
        <v>50</v>
      </c>
      <c r="U5731" s="17" t="n">
        <v>117</v>
      </c>
      <c r="V5731" s="17">
        <f>ROUNDUP((T5731+U5731+2*'Read Me'!$B$13)*(1+'Read Me'!$B$12),-1)</f>
        <v/>
      </c>
      <c r="W5731" s="17">
        <f>V5731*N5731*O5731</f>
        <v/>
      </c>
      <c r="X5731" s="12">
        <f>IF(LEFT(I5731,2)="MV",2*N5731*IF(L5731="1/C",O5731,1),0)</f>
        <v/>
      </c>
      <c r="Y5731" s="12">
        <f>IF(OR(LEFT(K5731,4)="LVAX",LEFT(K5731,6)="MV15AX",LEFT(K5731,4)="CTAX",LEFT(K5731,2)="W|"),2*N5731*O5731,0)</f>
        <v/>
      </c>
      <c r="Z5731" s="12" t="inlineStr">
        <is>
          <t>VD 1.7 %</t>
        </is>
      </c>
      <c r="AA5731" s="12">
        <f>N5731*O5731</f>
        <v/>
      </c>
    </row>
    <row r="5732">
      <c r="A5732" s="12" t="inlineStr">
        <is>
          <t>K-P-0018</t>
        </is>
      </c>
      <c r="B5732" s="12" t="inlineStr">
        <is>
          <t>K</t>
        </is>
      </c>
      <c r="C5732" s="12" t="inlineStr">
        <is>
          <t>Fuel supply (adjacent market)</t>
        </is>
      </c>
      <c r="D5732" s="12" t="inlineStr">
        <is>
          <t>Motor 1 of 1, 15 kW</t>
        </is>
      </c>
      <c r="E5732" s="12" t="inlineStr"/>
      <c r="F5732" s="12" t="inlineStr">
        <is>
          <t>H2 20: 13.8 kV e-house</t>
        </is>
      </c>
      <c r="G5732" s="12" t="inlineStr"/>
      <c r="H5732" s="12" t="inlineStr">
        <is>
          <t>H2 28: N2 purge supply</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53</v>
      </c>
      <c r="U5732" s="17" t="n">
        <v>36</v>
      </c>
      <c r="V5732" s="17">
        <f>ROUNDUP((T5732+U5732+2*'Read Me'!$B$13)*(1+'Read Me'!$B$12),-1)</f>
        <v/>
      </c>
      <c r="W5732" s="17">
        <f>V5732*N5732*O5732</f>
        <v/>
      </c>
      <c r="X5732" s="12">
        <f>IF(LEFT(I5732,2)="MV",2*N5732*IF(L5732="1/C",O5732,1),0)</f>
        <v/>
      </c>
      <c r="Y5732" s="12">
        <f>IF(OR(LEFT(K5732,4)="LVAX",LEFT(K5732,6)="MV15AX",LEFT(K5732,4)="CTAX",LEFT(K5732,2)="W|"),2*N5732*O5732,0)</f>
        <v/>
      </c>
      <c r="Z5732" s="12" t="inlineStr">
        <is>
          <t>VD 0.9 %</t>
        </is>
      </c>
      <c r="AA5732" s="12">
        <f>N5732*O5732</f>
        <v/>
      </c>
    </row>
    <row r="5733">
      <c r="A5733" s="12" t="inlineStr">
        <is>
          <t>K-P-0019</t>
        </is>
      </c>
      <c r="B5733" s="12" t="inlineStr">
        <is>
          <t>K</t>
        </is>
      </c>
      <c r="C5733" s="12" t="inlineStr">
        <is>
          <t>Fuel supply (adjacent market)</t>
        </is>
      </c>
      <c r="D5733" s="12" t="inlineStr">
        <is>
          <t>Motor 1 of 1, 15 kW</t>
        </is>
      </c>
      <c r="E5733" s="12" t="inlineStr"/>
      <c r="F5733" s="12" t="inlineStr">
        <is>
          <t>H2 20: 13.8 kV e-house</t>
        </is>
      </c>
      <c r="G5733" s="12" t="inlineStr"/>
      <c r="H5733" s="12" t="inlineStr">
        <is>
          <t>H2 29: vent stack</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Duct bank</t>
        </is>
      </c>
      <c r="T5733" s="17" t="n">
        <v>55</v>
      </c>
      <c r="U5733" s="17" t="n">
        <v>205</v>
      </c>
      <c r="V5733" s="17">
        <f>ROUNDUP((T5733+U5733+2*'Read Me'!$B$13)*(1+'Read Me'!$B$12),-1)</f>
        <v/>
      </c>
      <c r="W5733" s="17">
        <f>V5733*N5733*O5733</f>
        <v/>
      </c>
      <c r="X5733" s="12">
        <f>IF(LEFT(I5733,2)="MV",2*N5733*IF(L5733="1/C",O5733,1),0)</f>
        <v/>
      </c>
      <c r="Y5733" s="12">
        <f>IF(OR(LEFT(K5733,4)="LVAX",LEFT(K5733,6)="MV15AX",LEFT(K5733,4)="CTAX",LEFT(K5733,2)="W|"),2*N5733*O5733,0)</f>
        <v/>
      </c>
      <c r="Z5733" s="12" t="inlineStr">
        <is>
          <t>VD 2.7 %</t>
        </is>
      </c>
      <c r="AA5733" s="12">
        <f>N5733*O5733</f>
        <v/>
      </c>
    </row>
    <row r="5734">
      <c r="A5734" s="12" t="inlineStr">
        <is>
          <t>K-P-0020</t>
        </is>
      </c>
      <c r="B5734" s="12" t="inlineStr">
        <is>
          <t>K</t>
        </is>
      </c>
      <c r="C5734" s="12" t="inlineStr">
        <is>
          <t>Fuel supply (adjacent market)</t>
        </is>
      </c>
      <c r="D5734" s="12" t="inlineStr">
        <is>
          <t>Motor 1 of 1, 15 kW</t>
        </is>
      </c>
      <c r="E5734" s="12" t="inlineStr"/>
      <c r="F5734" s="12" t="inlineStr">
        <is>
          <t>LNG 17: LNG e-house (13.8 kV / 480 V)</t>
        </is>
      </c>
      <c r="G5734" s="12" t="inlineStr"/>
      <c r="H5734" s="12" t="inlineStr">
        <is>
          <t>H2 30: H2 / gas blending station (plant gas yard)</t>
        </is>
      </c>
      <c r="I5734" s="12" t="inlineStr">
        <is>
          <t>LV 600 V</t>
        </is>
      </c>
      <c r="J5734" s="12" t="inlineStr">
        <is>
          <t>ARMOR-X MC-HL 600 V 3/C Cu XHHW-2 + ground, CWA, black PVC (Class I Div 2)</t>
        </is>
      </c>
      <c r="K5734" s="12" t="inlineStr">
        <is>
          <t>LVAX|3/C+G|4</t>
        </is>
      </c>
      <c r="L5734" s="12" t="inlineStr">
        <is>
          <t>3/C+G</t>
        </is>
      </c>
      <c r="M5734" s="12" t="inlineStr">
        <is>
          <t>4</t>
        </is>
      </c>
      <c r="N5734" s="12" t="n">
        <v>1</v>
      </c>
      <c r="O5734" s="12" t="n">
        <v>1</v>
      </c>
      <c r="P5734" s="12" t="n">
        <v>480</v>
      </c>
      <c r="Q5734" s="12" t="n">
        <v>15</v>
      </c>
      <c r="R5734" s="12" t="n">
        <v>21.2</v>
      </c>
      <c r="S5734" s="12" t="inlineStr">
        <is>
          <t>Duct bank</t>
        </is>
      </c>
      <c r="T5734" s="17" t="n">
        <v>994</v>
      </c>
      <c r="U5734" s="17" t="n">
        <v>114</v>
      </c>
      <c r="V5734" s="17">
        <f>ROUNDUP((T5734+U5734+2*'Read Me'!$B$13)*(1+'Read Me'!$B$12),-1)</f>
        <v/>
      </c>
      <c r="W5734" s="17">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K-P-0021</t>
        </is>
      </c>
      <c r="B5735" s="12" t="inlineStr">
        <is>
          <t>K</t>
        </is>
      </c>
      <c r="C5735" s="12" t="inlineStr">
        <is>
          <t>Fuel supply (adjacent market)</t>
        </is>
      </c>
      <c r="D5735" s="12" t="inlineStr">
        <is>
          <t>Motor 1 of 2, 250 kW</t>
        </is>
      </c>
      <c r="E5735" s="12" t="inlineStr"/>
      <c r="F5735" s="12" t="inlineStr">
        <is>
          <t>H2 20: 13.8 kV e-house</t>
        </is>
      </c>
      <c r="G5735" s="12" t="inlineStr"/>
      <c r="H5735" s="12" t="inlineStr">
        <is>
          <t>H2 pipe track and cable trench, hall -&gt; dryer / compressors (N2, instr</t>
        </is>
      </c>
      <c r="I5735" s="12" t="inlineStr">
        <is>
          <t>LV 600 V</t>
        </is>
      </c>
      <c r="J5735" s="12" t="inlineStr">
        <is>
          <t>ARMOR-X MC-HL 600 V 3/C Cu XHHW-2 + ground, CWA, black PVC (Class I Div 2)</t>
        </is>
      </c>
      <c r="K5735" s="12" t="inlineStr">
        <is>
          <t>LVAX|3/C+G|4/0</t>
        </is>
      </c>
      <c r="L5735" s="12" t="inlineStr">
        <is>
          <t>3/C+G</t>
        </is>
      </c>
      <c r="M5735" s="12" t="inlineStr">
        <is>
          <t>4/0</t>
        </is>
      </c>
      <c r="N5735" s="12" t="n">
        <v>2</v>
      </c>
      <c r="O5735" s="12" t="n">
        <v>1</v>
      </c>
      <c r="P5735" s="12" t="n">
        <v>480</v>
      </c>
      <c r="Q5735" s="12" t="n">
        <v>250</v>
      </c>
      <c r="R5735" s="12" t="n">
        <v>353.8</v>
      </c>
      <c r="S5735" s="12" t="inlineStr">
        <is>
          <t>Duct bank</t>
        </is>
      </c>
      <c r="T5735" s="17" t="n">
        <v>53</v>
      </c>
      <c r="U5735" s="17" t="n">
        <v>62</v>
      </c>
      <c r="V5735" s="17">
        <f>ROUNDUP((T5735+U5735+2*'Read Me'!$B$13)*(1+'Read Me'!$B$12),-1)</f>
        <v/>
      </c>
      <c r="W5735" s="17">
        <f>V5735*N5735*O5735</f>
        <v/>
      </c>
      <c r="X5735" s="12">
        <f>IF(LEFT(I5735,2)="MV",2*N5735*IF(L5735="1/C",O5735,1),0)</f>
        <v/>
      </c>
      <c r="Y5735" s="12">
        <f>IF(OR(LEFT(K5735,4)="LVAX",LEFT(K5735,6)="MV15AX",LEFT(K5735,4)="CTAX",LEFT(K5735,2)="W|"),2*N5735*O5735,0)</f>
        <v/>
      </c>
      <c r="Z5735" s="12" t="inlineStr">
        <is>
          <t>VD 0.5 %</t>
        </is>
      </c>
      <c r="AA5735" s="12">
        <f>N5735*O5735</f>
        <v/>
      </c>
    </row>
    <row r="5736">
      <c r="A5736" s="12" t="inlineStr">
        <is>
          <t>K-P-0022</t>
        </is>
      </c>
      <c r="B5736" s="12" t="inlineStr">
        <is>
          <t>K</t>
        </is>
      </c>
      <c r="C5736" s="12" t="inlineStr">
        <is>
          <t>Fuel supply (adjacent market)</t>
        </is>
      </c>
      <c r="D5736" s="12" t="inlineStr">
        <is>
          <t>Motor 2 of 2, 250 kW</t>
        </is>
      </c>
      <c r="E5736" s="12" t="inlineStr"/>
      <c r="F5736" s="12" t="inlineStr">
        <is>
          <t>H2 20: 13.8 kV e-house</t>
        </is>
      </c>
      <c r="G5736" s="12" t="inlineStr"/>
      <c r="H5736" s="12" t="inlineStr">
        <is>
          <t>H2 pipe track and cable trench, hall -&gt; dryer / compressors (N2, instr</t>
        </is>
      </c>
      <c r="I5736" s="12" t="inlineStr">
        <is>
          <t>LV 600 V</t>
        </is>
      </c>
      <c r="J5736" s="12" t="inlineStr">
        <is>
          <t>ARMOR-X MC-HL 600 V 3/C Cu XHHW-2 + ground, CWA, black PVC (Class I Div 2)</t>
        </is>
      </c>
      <c r="K5736" s="12" t="inlineStr">
        <is>
          <t>LVAX|3/C+G|4/0</t>
        </is>
      </c>
      <c r="L5736" s="12" t="inlineStr">
        <is>
          <t>3/C+G</t>
        </is>
      </c>
      <c r="M5736" s="12" t="inlineStr">
        <is>
          <t>4/0</t>
        </is>
      </c>
      <c r="N5736" s="12" t="n">
        <v>2</v>
      </c>
      <c r="O5736" s="12" t="n">
        <v>1</v>
      </c>
      <c r="P5736" s="12" t="n">
        <v>480</v>
      </c>
      <c r="Q5736" s="12" t="n">
        <v>250</v>
      </c>
      <c r="R5736" s="12" t="n">
        <v>353.8</v>
      </c>
      <c r="S5736" s="12" t="inlineStr">
        <is>
          <t>Duct bank</t>
        </is>
      </c>
      <c r="T5736" s="17" t="n">
        <v>53</v>
      </c>
      <c r="U5736" s="17" t="n">
        <v>62</v>
      </c>
      <c r="V5736" s="17">
        <f>ROUNDUP((T5736+U5736+2*'Read Me'!$B$13)*(1+'Read Me'!$B$12),-1)</f>
        <v/>
      </c>
      <c r="W5736" s="17">
        <f>V5736*N5736*O5736</f>
        <v/>
      </c>
      <c r="X5736" s="12">
        <f>IF(LEFT(I5736,2)="MV",2*N5736*IF(L5736="1/C",O5736,1),0)</f>
        <v/>
      </c>
      <c r="Y5736" s="12">
        <f>IF(OR(LEFT(K5736,4)="LVAX",LEFT(K5736,6)="MV15AX",LEFT(K5736,4)="CTAX",LEFT(K5736,2)="W|"),2*N5736*O5736,0)</f>
        <v/>
      </c>
      <c r="Z5736" s="12" t="inlineStr">
        <is>
          <t>VD 0.5 %</t>
        </is>
      </c>
      <c r="AA5736" s="12">
        <f>N5736*O5736</f>
        <v/>
      </c>
    </row>
    <row r="5737">
      <c r="A5737" s="12" t="inlineStr">
        <is>
          <t>K-P-0023</t>
        </is>
      </c>
      <c r="B5737" s="12" t="inlineStr">
        <is>
          <t>K</t>
        </is>
      </c>
      <c r="C5737" s="12" t="inlineStr">
        <is>
          <t>Fuel supply (adjacent market)</t>
        </is>
      </c>
      <c r="D5737" s="12" t="inlineStr">
        <is>
          <t>LV power feeder</t>
        </is>
      </c>
      <c r="E5737" s="12" t="inlineStr"/>
      <c r="F5737" s="12" t="inlineStr">
        <is>
          <t>H2 20: 13.8 kV e-house</t>
        </is>
      </c>
      <c r="G5737" s="12" t="inlineStr">
        <is>
          <t>H2-ST</t>
        </is>
      </c>
      <c r="H5737" s="12" t="inlineStr">
        <is>
          <t>H2 storage tube banks x4</t>
        </is>
      </c>
      <c r="I5737" s="12" t="inlineStr">
        <is>
          <t>LV 600 V</t>
        </is>
      </c>
      <c r="J5737" s="12" t="inlineStr">
        <is>
          <t>ARMOR-X MC-HL 600 V 3/C Cu XHHW-2 + ground, CWA, black PVC (Class I Div 2)</t>
        </is>
      </c>
      <c r="K5737" s="12" t="inlineStr">
        <is>
          <t>LVAX|3/C+G|10</t>
        </is>
      </c>
      <c r="L5737" s="12" t="inlineStr">
        <is>
          <t>3/C+G</t>
        </is>
      </c>
      <c r="M5737" s="12" t="inlineStr">
        <is>
          <t>10</t>
        </is>
      </c>
      <c r="N5737" s="12" t="n">
        <v>1</v>
      </c>
      <c r="O5737" s="12" t="n">
        <v>1</v>
      </c>
      <c r="P5737" s="12" t="n">
        <v>480</v>
      </c>
      <c r="Q5737" s="12" t="n">
        <v>15</v>
      </c>
      <c r="R5737" s="12" t="n">
        <v>21.2</v>
      </c>
      <c r="S5737" s="12" t="inlineStr">
        <is>
          <t>Duct bank</t>
        </is>
      </c>
      <c r="T5737" s="17" t="n">
        <v>50</v>
      </c>
      <c r="U5737" s="17" t="n">
        <v>92</v>
      </c>
      <c r="V5737" s="17">
        <f>ROUNDUP((T5737+U5737+2*'Read Me'!$B$13)*(1+'Read Me'!$B$12),-1)</f>
        <v/>
      </c>
      <c r="W5737" s="17">
        <f>V5737*N5737*O5737</f>
        <v/>
      </c>
      <c r="X5737" s="12">
        <f>IF(LEFT(I5737,2)="MV",2*N5737*IF(L5737="1/C",O5737,1),0)</f>
        <v/>
      </c>
      <c r="Y5737" s="12">
        <f>IF(OR(LEFT(K5737,4)="LVAX",LEFT(K5737,6)="MV15AX",LEFT(K5737,4)="CTAX",LEFT(K5737,2)="W|"),2*N5737*O5737,0)</f>
        <v/>
      </c>
      <c r="Z5737" s="12" t="inlineStr">
        <is>
          <t>VD 1.4 %</t>
        </is>
      </c>
      <c r="AA5737" s="12">
        <f>N5737*O5737</f>
        <v/>
      </c>
    </row>
    <row r="5738">
      <c r="A5738" s="12" t="inlineStr">
        <is>
          <t>K-P-0024</t>
        </is>
      </c>
      <c r="B5738" s="12" t="inlineStr">
        <is>
          <t>K</t>
        </is>
      </c>
      <c r="C5738" s="12" t="inlineStr">
        <is>
          <t>Fuel supply (adjacent market)</t>
        </is>
      </c>
      <c r="D5738" s="12" t="inlineStr">
        <is>
          <t>LV power feeder</t>
        </is>
      </c>
      <c r="E5738" s="12" t="inlineStr"/>
      <c r="F5738" s="12" t="inlineStr">
        <is>
          <t>H2 20: 13.8 kV e-house</t>
        </is>
      </c>
      <c r="G5738" s="12" t="inlineStr">
        <is>
          <t>H2R</t>
        </is>
      </c>
      <c r="H5738" s="12" t="inlineStr">
        <is>
          <t>H2R: hydrogen pipeline receiving station (pig receiver, filters, meter</t>
        </is>
      </c>
      <c r="I5738" s="12" t="inlineStr">
        <is>
          <t>LV 600 V</t>
        </is>
      </c>
      <c r="J5738" s="12" t="inlineStr">
        <is>
          <t>ARMOR-X MC-HL 600 V 3/C Cu XHHW-2 + ground, CWA, black PVC (Class I Div 2)</t>
        </is>
      </c>
      <c r="K5738" s="12" t="inlineStr">
        <is>
          <t>LVAX|3/C+G|10</t>
        </is>
      </c>
      <c r="L5738" s="12" t="inlineStr">
        <is>
          <t>3/C+G</t>
        </is>
      </c>
      <c r="M5738" s="12" t="inlineStr">
        <is>
          <t>10</t>
        </is>
      </c>
      <c r="N5738" s="12" t="n">
        <v>1</v>
      </c>
      <c r="O5738" s="12" t="n">
        <v>1</v>
      </c>
      <c r="P5738" s="12" t="n">
        <v>480</v>
      </c>
      <c r="Q5738" s="12" t="n">
        <v>15</v>
      </c>
      <c r="R5738" s="12" t="n">
        <v>21.2</v>
      </c>
      <c r="S5738" s="12" t="inlineStr">
        <is>
          <t>Duct bank</t>
        </is>
      </c>
      <c r="T5738" s="17" t="n">
        <v>40</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0.7 %</t>
        </is>
      </c>
      <c r="AA5738" s="12">
        <f>N5738*O5738</f>
        <v/>
      </c>
    </row>
    <row r="5739">
      <c r="A5739" s="12" t="inlineStr">
        <is>
          <t>K-P-0025</t>
        </is>
      </c>
      <c r="B5739" s="12" t="inlineStr">
        <is>
          <t>K</t>
        </is>
      </c>
      <c r="C5739" s="12" t="inlineStr">
        <is>
          <t>Fuel supply (adjacent market)</t>
        </is>
      </c>
      <c r="D5739" s="12" t="inlineStr">
        <is>
          <t>Motor 1 of 1, 15 kW</t>
        </is>
      </c>
      <c r="E5739" s="12" t="inlineStr"/>
      <c r="F5739" s="12" t="inlineStr">
        <is>
          <t>LNG 17: LNG e-house (13.8 kV / 480 V)</t>
        </is>
      </c>
      <c r="G5739" s="12" t="inlineStr"/>
      <c r="H5739" s="12" t="inlineStr">
        <is>
          <t>LNG 10: truck unloading bay 1</t>
        </is>
      </c>
      <c r="I5739" s="12" t="inlineStr">
        <is>
          <t>LV 600 V</t>
        </is>
      </c>
      <c r="J5739" s="12" t="inlineStr">
        <is>
          <t>ARMOR-X MC-HL 600 V 3/C Cu XHHW-2 + ground, CWA, black PVC (Class I Div 2)</t>
        </is>
      </c>
      <c r="K5739" s="12" t="inlineStr">
        <is>
          <t>LVAX|3/C+G|8</t>
        </is>
      </c>
      <c r="L5739" s="12" t="inlineStr">
        <is>
          <t>3/C+G</t>
        </is>
      </c>
      <c r="M5739" s="12" t="inlineStr">
        <is>
          <t>8</t>
        </is>
      </c>
      <c r="N5739" s="12" t="n">
        <v>1</v>
      </c>
      <c r="O5739" s="12" t="n">
        <v>1</v>
      </c>
      <c r="P5739" s="12" t="n">
        <v>480</v>
      </c>
      <c r="Q5739" s="12" t="n">
        <v>15</v>
      </c>
      <c r="R5739" s="12" t="n">
        <v>21.2</v>
      </c>
      <c r="S5739" s="12" t="inlineStr">
        <is>
          <t>Duct bank</t>
        </is>
      </c>
      <c r="T5739" s="17" t="n">
        <v>237</v>
      </c>
      <c r="U5739" s="17" t="n">
        <v>61</v>
      </c>
      <c r="V5739" s="17">
        <f>ROUNDUP((T5739+U5739+2*'Read Me'!$B$13)*(1+'Read Me'!$B$12),-1)</f>
        <v/>
      </c>
      <c r="W5739" s="17">
        <f>V5739*N5739*O5739</f>
        <v/>
      </c>
      <c r="X5739" s="12">
        <f>IF(LEFT(I5739,2)="MV",2*N5739*IF(L5739="1/C",O5739,1),0)</f>
        <v/>
      </c>
      <c r="Y5739" s="12">
        <f>IF(OR(LEFT(K5739,4)="LVAX",LEFT(K5739,6)="MV15AX",LEFT(K5739,4)="CTAX",LEFT(K5739,2)="W|"),2*N5739*O5739,0)</f>
        <v/>
      </c>
      <c r="Z5739" s="12" t="inlineStr">
        <is>
          <t>VD 1.9 %</t>
        </is>
      </c>
      <c r="AA5739" s="12">
        <f>N5739*O5739</f>
        <v/>
      </c>
    </row>
    <row r="5740">
      <c r="A5740" s="12" t="inlineStr">
        <is>
          <t>K-P-0026</t>
        </is>
      </c>
      <c r="B5740" s="12" t="inlineStr">
        <is>
          <t>K</t>
        </is>
      </c>
      <c r="C5740" s="12" t="inlineStr">
        <is>
          <t>Fuel supply (adjacent market)</t>
        </is>
      </c>
      <c r="D5740" s="12" t="inlineStr">
        <is>
          <t>Motor 1 of 1, 15 kW</t>
        </is>
      </c>
      <c r="E5740" s="12" t="inlineStr"/>
      <c r="F5740" s="12" t="inlineStr">
        <is>
          <t>LNG 17: LNG e-house (13.8 kV / 480 V)</t>
        </is>
      </c>
      <c r="G5740" s="12" t="inlineStr"/>
      <c r="H5740" s="12" t="inlineStr">
        <is>
          <t>LNG 10: truck unloading bay 2</t>
        </is>
      </c>
      <c r="I5740" s="12" t="inlineStr">
        <is>
          <t>LV 600 V</t>
        </is>
      </c>
      <c r="J5740" s="12" t="inlineStr">
        <is>
          <t>ARMOR-X MC-HL 600 V 3/C Cu XHHW-2 + ground, CWA, black PVC (Class I Div 2)</t>
        </is>
      </c>
      <c r="K5740" s="12" t="inlineStr">
        <is>
          <t>LVAX|3/C+G|10</t>
        </is>
      </c>
      <c r="L5740" s="12" t="inlineStr">
        <is>
          <t>3/C+G</t>
        </is>
      </c>
      <c r="M5740" s="12" t="inlineStr">
        <is>
          <t>10</t>
        </is>
      </c>
      <c r="N5740" s="12" t="n">
        <v>1</v>
      </c>
      <c r="O5740" s="12" t="n">
        <v>1</v>
      </c>
      <c r="P5740" s="12" t="n">
        <v>480</v>
      </c>
      <c r="Q5740" s="12" t="n">
        <v>15</v>
      </c>
      <c r="R5740" s="12" t="n">
        <v>21.2</v>
      </c>
      <c r="S5740" s="12" t="inlineStr">
        <is>
          <t>Duct bank</t>
        </is>
      </c>
      <c r="T5740" s="17" t="n">
        <v>147</v>
      </c>
      <c r="U5740" s="17" t="n">
        <v>66</v>
      </c>
      <c r="V5740" s="17">
        <f>ROUNDUP((T5740+U5740+2*'Read Me'!$B$13)*(1+'Read Me'!$B$12),-1)</f>
        <v/>
      </c>
      <c r="W5740" s="17">
        <f>V5740*N5740*O5740</f>
        <v/>
      </c>
      <c r="X5740" s="12">
        <f>IF(LEFT(I5740,2)="MV",2*N5740*IF(L5740="1/C",O5740,1),0)</f>
        <v/>
      </c>
      <c r="Y5740" s="12">
        <f>IF(OR(LEFT(K5740,4)="LVAX",LEFT(K5740,6)="MV15AX",LEFT(K5740,4)="CTAX",LEFT(K5740,2)="W|"),2*N5740*O5740,0)</f>
        <v/>
      </c>
      <c r="Z5740" s="12" t="inlineStr">
        <is>
          <t>VD 2.2 %</t>
        </is>
      </c>
      <c r="AA5740" s="12">
        <f>N5740*O5740</f>
        <v/>
      </c>
    </row>
    <row r="5741">
      <c r="A5741" s="12" t="inlineStr">
        <is>
          <t>K-P-0027</t>
        </is>
      </c>
      <c r="B5741" s="12" t="inlineStr">
        <is>
          <t>K</t>
        </is>
      </c>
      <c r="C5741" s="12" t="inlineStr">
        <is>
          <t>Fuel supply (adjacent market)</t>
        </is>
      </c>
      <c r="D5741" s="12" t="inlineStr">
        <is>
          <t>Motor 1 of 1, 15 kW</t>
        </is>
      </c>
      <c r="E5741" s="12" t="inlineStr"/>
      <c r="F5741" s="12" t="inlineStr">
        <is>
          <t>LNG 17: LNG e-house (13.8 kV / 480 V)</t>
        </is>
      </c>
      <c r="G5741" s="12" t="inlineStr"/>
      <c r="H5741" s="12" t="inlineStr">
        <is>
          <t>LNG 10: unloading skid</t>
        </is>
      </c>
      <c r="I5741" s="12" t="inlineStr">
        <is>
          <t>LV 600 V</t>
        </is>
      </c>
      <c r="J5741" s="12" t="inlineStr">
        <is>
          <t>ARMOR-X MC-HL 600 V 3/C Cu XHHW-2 + ground, CWA, black PVC (Class I Div 2)</t>
        </is>
      </c>
      <c r="K5741" s="12" t="inlineStr">
        <is>
          <t>LVAX|3/C+G|10</t>
        </is>
      </c>
      <c r="L5741" s="12" t="inlineStr">
        <is>
          <t>3/C+G</t>
        </is>
      </c>
      <c r="M5741" s="12" t="inlineStr">
        <is>
          <t>10</t>
        </is>
      </c>
      <c r="N5741" s="12" t="n">
        <v>1</v>
      </c>
      <c r="O5741" s="12" t="n">
        <v>1</v>
      </c>
      <c r="P5741" s="12" t="n">
        <v>480</v>
      </c>
      <c r="Q5741" s="12" t="n">
        <v>15</v>
      </c>
      <c r="R5741" s="12" t="n">
        <v>21.2</v>
      </c>
      <c r="S5741" s="12" t="inlineStr">
        <is>
          <t>Duct bank</t>
        </is>
      </c>
      <c r="T5741" s="17" t="n">
        <v>237</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2.7 %</t>
        </is>
      </c>
      <c r="AA5741" s="12">
        <f>N5741*O5741</f>
        <v/>
      </c>
    </row>
    <row r="5742">
      <c r="A5742" s="12" t="inlineStr">
        <is>
          <t>K-P-0028</t>
        </is>
      </c>
      <c r="B5742" s="12" t="inlineStr">
        <is>
          <t>K</t>
        </is>
      </c>
      <c r="C5742" s="12" t="inlineStr">
        <is>
          <t>Fuel supply (adjacent market)</t>
        </is>
      </c>
      <c r="D5742" s="12" t="inlineStr">
        <is>
          <t>LV power feeder</t>
        </is>
      </c>
      <c r="E5742" s="12" t="inlineStr"/>
      <c r="F5742" s="12" t="inlineStr">
        <is>
          <t>LNG 17: LNG e-house (13.8 kV / 480 V)</t>
        </is>
      </c>
      <c r="G5742" s="12" t="inlineStr">
        <is>
          <t>LNG-T1</t>
        </is>
      </c>
      <c r="H5742" s="12" t="inlineStr">
        <is>
          <t>LNG 11: tank 1, Chart HS 50000 (51,780 gal)</t>
        </is>
      </c>
      <c r="I5742" s="12" t="inlineStr">
        <is>
          <t>LV 600 V</t>
        </is>
      </c>
      <c r="J5742" s="12" t="inlineStr">
        <is>
          <t>ARMOR-X MC-HL 600 V 3/C Cu XHHW-2 + ground, CWA, black PVC (Class I Div 2)</t>
        </is>
      </c>
      <c r="K5742" s="12" t="inlineStr">
        <is>
          <t>LVAX|3/C+G|10</t>
        </is>
      </c>
      <c r="L5742" s="12" t="inlineStr">
        <is>
          <t>3/C+G</t>
        </is>
      </c>
      <c r="M5742" s="12" t="inlineStr">
        <is>
          <t>10</t>
        </is>
      </c>
      <c r="N5742" s="12" t="n">
        <v>1</v>
      </c>
      <c r="O5742" s="12" t="n">
        <v>1</v>
      </c>
      <c r="P5742" s="12" t="n">
        <v>480</v>
      </c>
      <c r="Q5742" s="12" t="n">
        <v>10</v>
      </c>
      <c r="R5742" s="12" t="n">
        <v>14.2</v>
      </c>
      <c r="S5742" s="12" t="inlineStr">
        <is>
          <t>Duct bank</t>
        </is>
      </c>
      <c r="T5742" s="17" t="n">
        <v>210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is>
          <t>VD 1.6 %</t>
        </is>
      </c>
      <c r="AA5742" s="12">
        <f>N5742*O5742</f>
        <v/>
      </c>
    </row>
    <row r="5743">
      <c r="A5743" s="12" t="inlineStr">
        <is>
          <t>K-P-0029</t>
        </is>
      </c>
      <c r="B5743" s="12" t="inlineStr">
        <is>
          <t>K</t>
        </is>
      </c>
      <c r="C5743" s="12" t="inlineStr">
        <is>
          <t>Fuel supply (adjacent market)</t>
        </is>
      </c>
      <c r="D5743" s="12" t="inlineStr">
        <is>
          <t>LV power feeder</t>
        </is>
      </c>
      <c r="E5743" s="12" t="inlineStr"/>
      <c r="F5743" s="12" t="inlineStr">
        <is>
          <t>LNG 17: LNG e-house (13.8 kV / 480 V)</t>
        </is>
      </c>
      <c r="G5743" s="12" t="inlineStr">
        <is>
          <t>LNG-T2</t>
        </is>
      </c>
      <c r="H5743" s="12" t="inlineStr">
        <is>
          <t>LNG 11: tank 2, Chart HS 50000 (51,780 gal)</t>
        </is>
      </c>
      <c r="I5743" s="12" t="inlineStr">
        <is>
          <t>LV 600 V</t>
        </is>
      </c>
      <c r="J5743" s="12" t="inlineStr">
        <is>
          <t>ARMOR-X MC-HL 600 V 3/C Cu XHHW-2 + ground, CWA, black PVC (Class I Div 2)</t>
        </is>
      </c>
      <c r="K5743" s="12" t="inlineStr">
        <is>
          <t>LVAX|3/C+G|10</t>
        </is>
      </c>
      <c r="L5743" s="12" t="inlineStr">
        <is>
          <t>3/C+G</t>
        </is>
      </c>
      <c r="M5743" s="12" t="inlineStr">
        <is>
          <t>10</t>
        </is>
      </c>
      <c r="N5743" s="12" t="n">
        <v>1</v>
      </c>
      <c r="O5743" s="12" t="n">
        <v>1</v>
      </c>
      <c r="P5743" s="12" t="n">
        <v>480</v>
      </c>
      <c r="Q5743" s="12" t="n">
        <v>10</v>
      </c>
      <c r="R5743" s="12" t="n">
        <v>14.2</v>
      </c>
      <c r="S5743" s="12" t="inlineStr">
        <is>
          <t>Duct bank</t>
        </is>
      </c>
      <c r="T5743" s="17" t="n">
        <v>230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1.8 %</t>
        </is>
      </c>
      <c r="AA5743" s="12">
        <f>N5743*O5743</f>
        <v/>
      </c>
    </row>
    <row r="5744">
      <c r="A5744" s="12" t="inlineStr">
        <is>
          <t>K-P-0030</t>
        </is>
      </c>
      <c r="B5744" s="12" t="inlineStr">
        <is>
          <t>K</t>
        </is>
      </c>
      <c r="C5744" s="12" t="inlineStr">
        <is>
          <t>Fuel supply (adjacent market)</t>
        </is>
      </c>
      <c r="D5744" s="12" t="inlineStr">
        <is>
          <t>LV power feeder</t>
        </is>
      </c>
      <c r="E5744" s="12" t="inlineStr"/>
      <c r="F5744" s="12" t="inlineStr">
        <is>
          <t>LNG 17: LNG e-house (13.8 kV / 480 V)</t>
        </is>
      </c>
      <c r="G5744" s="12" t="inlineStr">
        <is>
          <t>LNG-T3</t>
        </is>
      </c>
      <c r="H5744" s="12" t="inlineStr">
        <is>
          <t>LNG 11: tank 3, Chart HS 50000 (51,780 gal)</t>
        </is>
      </c>
      <c r="I5744" s="12" t="inlineStr">
        <is>
          <t>LV 600 V</t>
        </is>
      </c>
      <c r="J5744" s="12" t="inlineStr">
        <is>
          <t>ARMOR-X MC-HL 600 V 3/C Cu XHHW-2 + ground, CWA, black PVC (Class I Div 2)</t>
        </is>
      </c>
      <c r="K5744" s="12" t="inlineStr">
        <is>
          <t>LVAX|3/C+G|10</t>
        </is>
      </c>
      <c r="L5744" s="12" t="inlineStr">
        <is>
          <t>3/C+G</t>
        </is>
      </c>
      <c r="M5744" s="12" t="inlineStr">
        <is>
          <t>10</t>
        </is>
      </c>
      <c r="N5744" s="12" t="n">
        <v>1</v>
      </c>
      <c r="O5744" s="12" t="n">
        <v>1</v>
      </c>
      <c r="P5744" s="12" t="n">
        <v>480</v>
      </c>
      <c r="Q5744" s="12" t="n">
        <v>10</v>
      </c>
      <c r="R5744" s="12" t="n">
        <v>14.2</v>
      </c>
      <c r="S5744" s="12" t="inlineStr">
        <is>
          <t>Duct bank</t>
        </is>
      </c>
      <c r="T5744" s="17" t="n">
        <v>250</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is>
          <t>VD 1.9 %</t>
        </is>
      </c>
      <c r="AA5744" s="12">
        <f>N5744*O5744</f>
        <v/>
      </c>
    </row>
    <row r="5745">
      <c r="A5745" s="12" t="inlineStr">
        <is>
          <t>K-P-0031</t>
        </is>
      </c>
      <c r="B5745" s="12" t="inlineStr">
        <is>
          <t>K</t>
        </is>
      </c>
      <c r="C5745" s="12" t="inlineStr">
        <is>
          <t>Fuel supply (adjacent market)</t>
        </is>
      </c>
      <c r="D5745" s="12" t="inlineStr">
        <is>
          <t>LV power feeder</t>
        </is>
      </c>
      <c r="E5745" s="12" t="inlineStr"/>
      <c r="F5745" s="12" t="inlineStr">
        <is>
          <t>LNG 17: LNG e-house (13.8 kV / 480 V)</t>
        </is>
      </c>
      <c r="G5745" s="12" t="inlineStr">
        <is>
          <t>LNG-T4</t>
        </is>
      </c>
      <c r="H5745" s="12" t="inlineStr">
        <is>
          <t>LNG 11: tank 4, Chart HS 50000 (51,780 gal)</t>
        </is>
      </c>
      <c r="I5745" s="12" t="inlineStr">
        <is>
          <t>LV 600 V</t>
        </is>
      </c>
      <c r="J5745" s="12" t="inlineStr">
        <is>
          <t>ARMOR-X MC-HL 600 V 3/C Cu XHHW-2 + ground, CWA, black PVC (Class I Div 2)</t>
        </is>
      </c>
      <c r="K5745" s="12" t="inlineStr">
        <is>
          <t>LVAX|3/C+G|10</t>
        </is>
      </c>
      <c r="L5745" s="12" t="inlineStr">
        <is>
          <t>3/C+G</t>
        </is>
      </c>
      <c r="M5745" s="12" t="inlineStr">
        <is>
          <t>10</t>
        </is>
      </c>
      <c r="N5745" s="12" t="n">
        <v>1</v>
      </c>
      <c r="O5745" s="12" t="n">
        <v>1</v>
      </c>
      <c r="P5745" s="12" t="n">
        <v>480</v>
      </c>
      <c r="Q5745" s="12" t="n">
        <v>10</v>
      </c>
      <c r="R5745" s="12" t="n">
        <v>14.2</v>
      </c>
      <c r="S5745" s="12" t="inlineStr">
        <is>
          <t>Duct bank</t>
        </is>
      </c>
      <c r="T5745" s="17" t="n">
        <v>270</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is>
          <t>VD 2.1 %</t>
        </is>
      </c>
      <c r="AA5745" s="12">
        <f>N5745*O5745</f>
        <v/>
      </c>
    </row>
    <row r="5746">
      <c r="A5746" s="12" t="inlineStr">
        <is>
          <t>K-P-0032</t>
        </is>
      </c>
      <c r="B5746" s="12" t="inlineStr">
        <is>
          <t>K</t>
        </is>
      </c>
      <c r="C5746" s="12" t="inlineStr">
        <is>
          <t>Fuel supply (adjacent market)</t>
        </is>
      </c>
      <c r="D5746" s="12" t="inlineStr">
        <is>
          <t>LV power feeder</t>
        </is>
      </c>
      <c r="E5746" s="12" t="inlineStr"/>
      <c r="F5746" s="12" t="inlineStr">
        <is>
          <t>LNG 17: LNG e-house (13.8 kV / 480 V)</t>
        </is>
      </c>
      <c r="G5746" s="12" t="inlineStr">
        <is>
          <t>LNG-T5</t>
        </is>
      </c>
      <c r="H5746" s="12" t="inlineStr">
        <is>
          <t>LNG 11: tank 5, Chart HS 50000 (51,780 gal)</t>
        </is>
      </c>
      <c r="I5746" s="12" t="inlineStr">
        <is>
          <t>LV 600 V</t>
        </is>
      </c>
      <c r="J5746" s="12" t="inlineStr">
        <is>
          <t>ARMOR-X MC-HL 600 V 3/C Cu XHHW-2 + ground, CWA, black PVC (Class I Div 2)</t>
        </is>
      </c>
      <c r="K5746" s="12" t="inlineStr">
        <is>
          <t>LVAX|3/C+G|10</t>
        </is>
      </c>
      <c r="L5746" s="12" t="inlineStr">
        <is>
          <t>3/C+G</t>
        </is>
      </c>
      <c r="M5746" s="12" t="inlineStr">
        <is>
          <t>10</t>
        </is>
      </c>
      <c r="N5746" s="12" t="n">
        <v>1</v>
      </c>
      <c r="O5746" s="12" t="n">
        <v>1</v>
      </c>
      <c r="P5746" s="12" t="n">
        <v>480</v>
      </c>
      <c r="Q5746" s="12" t="n">
        <v>10</v>
      </c>
      <c r="R5746" s="12" t="n">
        <v>14.2</v>
      </c>
      <c r="S5746" s="12" t="inlineStr">
        <is>
          <t>Duct bank</t>
        </is>
      </c>
      <c r="T5746" s="17" t="n">
        <v>290</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is>
          <t>VD 2.2 %</t>
        </is>
      </c>
      <c r="AA5746" s="12">
        <f>N5746*O5746</f>
        <v/>
      </c>
    </row>
    <row r="5747">
      <c r="A5747" s="12" t="inlineStr">
        <is>
          <t>K-P-0033</t>
        </is>
      </c>
      <c r="B5747" s="12" t="inlineStr">
        <is>
          <t>K</t>
        </is>
      </c>
      <c r="C5747" s="12" t="inlineStr">
        <is>
          <t>Fuel supply (adjacent market)</t>
        </is>
      </c>
      <c r="D5747" s="12" t="inlineStr">
        <is>
          <t>LV power feeder</t>
        </is>
      </c>
      <c r="E5747" s="12" t="inlineStr"/>
      <c r="F5747" s="12" t="inlineStr">
        <is>
          <t>LNG 17: LNG e-house (13.8 kV / 480 V)</t>
        </is>
      </c>
      <c r="G5747" s="12" t="inlineStr">
        <is>
          <t>LNG-T6</t>
        </is>
      </c>
      <c r="H5747" s="12" t="inlineStr">
        <is>
          <t>LNG 11: tank 6, Chart HS 50000 (51,780 gal)</t>
        </is>
      </c>
      <c r="I5747" s="12" t="inlineStr">
        <is>
          <t>LV 600 V</t>
        </is>
      </c>
      <c r="J5747" s="12" t="inlineStr">
        <is>
          <t>ARMOR-X MC-HL 600 V 3/C Cu XHHW-2 + ground, CWA, black PVC (Class I Div 2)</t>
        </is>
      </c>
      <c r="K5747" s="12" t="inlineStr">
        <is>
          <t>LVAX|3/C+G|10</t>
        </is>
      </c>
      <c r="L5747" s="12" t="inlineStr">
        <is>
          <t>3/C+G</t>
        </is>
      </c>
      <c r="M5747" s="12" t="inlineStr">
        <is>
          <t>10</t>
        </is>
      </c>
      <c r="N5747" s="12" t="n">
        <v>1</v>
      </c>
      <c r="O5747" s="12" t="n">
        <v>1</v>
      </c>
      <c r="P5747" s="12" t="n">
        <v>480</v>
      </c>
      <c r="Q5747" s="12" t="n">
        <v>10</v>
      </c>
      <c r="R5747" s="12" t="n">
        <v>14.2</v>
      </c>
      <c r="S5747" s="12" t="inlineStr">
        <is>
          <t>Duct bank</t>
        </is>
      </c>
      <c r="T5747" s="17" t="n">
        <v>310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is>
          <t>VD 2.3 %</t>
        </is>
      </c>
      <c r="AA5747" s="12">
        <f>N5747*O5747</f>
        <v/>
      </c>
    </row>
    <row r="5748">
      <c r="A5748" s="12" t="inlineStr">
        <is>
          <t>K-P-0034</t>
        </is>
      </c>
      <c r="B5748" s="12" t="inlineStr">
        <is>
          <t>K</t>
        </is>
      </c>
      <c r="C5748" s="12" t="inlineStr">
        <is>
          <t>Fuel supply (adjacent market)</t>
        </is>
      </c>
      <c r="D5748" s="12" t="inlineStr">
        <is>
          <t>LV power feeder</t>
        </is>
      </c>
      <c r="E5748" s="12" t="inlineStr"/>
      <c r="F5748" s="12" t="inlineStr">
        <is>
          <t>LNG 17: LNG e-house (13.8 kV / 480 V)</t>
        </is>
      </c>
      <c r="G5748" s="12" t="inlineStr">
        <is>
          <t>LNG-T7</t>
        </is>
      </c>
      <c r="H5748" s="12" t="inlineStr">
        <is>
          <t>LNG 11: tank 7, Chart HS 50000 (51,780 gal)</t>
        </is>
      </c>
      <c r="I5748" s="12" t="inlineStr">
        <is>
          <t>LV 600 V</t>
        </is>
      </c>
      <c r="J5748" s="12" t="inlineStr">
        <is>
          <t>ARMOR-X MC-HL 600 V 3/C Cu XHHW-2 + ground, CWA, black PVC (Class I Div 2)</t>
        </is>
      </c>
      <c r="K5748" s="12" t="inlineStr">
        <is>
          <t>LVAX|3/C+G|10</t>
        </is>
      </c>
      <c r="L5748" s="12" t="inlineStr">
        <is>
          <t>3/C+G</t>
        </is>
      </c>
      <c r="M5748" s="12" t="inlineStr">
        <is>
          <t>10</t>
        </is>
      </c>
      <c r="N5748" s="12" t="n">
        <v>1</v>
      </c>
      <c r="O5748" s="12" t="n">
        <v>1</v>
      </c>
      <c r="P5748" s="12" t="n">
        <v>480</v>
      </c>
      <c r="Q5748" s="12" t="n">
        <v>10</v>
      </c>
      <c r="R5748" s="12" t="n">
        <v>14.2</v>
      </c>
      <c r="S5748" s="12" t="inlineStr">
        <is>
          <t>Duct bank</t>
        </is>
      </c>
      <c r="T5748" s="17" t="n">
        <v>330</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K-P-0035</t>
        </is>
      </c>
      <c r="B5749" s="12" t="inlineStr">
        <is>
          <t>K</t>
        </is>
      </c>
      <c r="C5749" s="12" t="inlineStr">
        <is>
          <t>Fuel supply (adjacent market)</t>
        </is>
      </c>
      <c r="D5749" s="12" t="inlineStr">
        <is>
          <t>LV power feeder</t>
        </is>
      </c>
      <c r="E5749" s="12" t="inlineStr"/>
      <c r="F5749" s="12" t="inlineStr">
        <is>
          <t>LNG 17: LNG e-house (13.8 kV / 480 V)</t>
        </is>
      </c>
      <c r="G5749" s="12" t="inlineStr">
        <is>
          <t>LNG-T8</t>
        </is>
      </c>
      <c r="H5749" s="12" t="inlineStr">
        <is>
          <t>LNG 11: tank 8, Chart HS 50000 (51,780 gal)</t>
        </is>
      </c>
      <c r="I5749" s="12" t="inlineStr">
        <is>
          <t>LV 600 V</t>
        </is>
      </c>
      <c r="J5749" s="12" t="inlineStr">
        <is>
          <t>ARMOR-X MC-HL 600 V 3/C Cu XHHW-2 + ground, CWA, black PVC (Class I Div 2)</t>
        </is>
      </c>
      <c r="K5749" s="12" t="inlineStr">
        <is>
          <t>LVAX|3/C+G|10</t>
        </is>
      </c>
      <c r="L5749" s="12" t="inlineStr">
        <is>
          <t>3/C+G</t>
        </is>
      </c>
      <c r="M5749" s="12" t="inlineStr">
        <is>
          <t>10</t>
        </is>
      </c>
      <c r="N5749" s="12" t="n">
        <v>1</v>
      </c>
      <c r="O5749" s="12" t="n">
        <v>1</v>
      </c>
      <c r="P5749" s="12" t="n">
        <v>480</v>
      </c>
      <c r="Q5749" s="12" t="n">
        <v>10</v>
      </c>
      <c r="R5749" s="12" t="n">
        <v>14.2</v>
      </c>
      <c r="S5749" s="12" t="inlineStr">
        <is>
          <t>Duct bank</t>
        </is>
      </c>
      <c r="T5749" s="17" t="n">
        <v>350</v>
      </c>
      <c r="U5749" s="17" t="n">
        <v>32</v>
      </c>
      <c r="V5749" s="17">
        <f>ROUNDUP((T5749+U5749+2*'Read Me'!$B$13)*(1+'Read Me'!$B$12),-1)</f>
        <v/>
      </c>
      <c r="W5749" s="17">
        <f>V5749*N5749*O5749</f>
        <v/>
      </c>
      <c r="X5749" s="12">
        <f>IF(LEFT(I5749,2)="MV",2*N5749*IF(L5749="1/C",O5749,1),0)</f>
        <v/>
      </c>
      <c r="Y5749" s="12">
        <f>IF(OR(LEFT(K5749,4)="LVAX",LEFT(K5749,6)="MV15AX",LEFT(K5749,4)="CTAX",LEFT(K5749,2)="W|"),2*N5749*O5749,0)</f>
        <v/>
      </c>
      <c r="Z5749" s="12" t="inlineStr">
        <is>
          <t>VD 2.6 %</t>
        </is>
      </c>
      <c r="AA5749" s="12">
        <f>N5749*O5749</f>
        <v/>
      </c>
    </row>
    <row r="5750">
      <c r="A5750" s="12" t="inlineStr">
        <is>
          <t>K-P-0036</t>
        </is>
      </c>
      <c r="B5750" s="12" t="inlineStr">
        <is>
          <t>K</t>
        </is>
      </c>
      <c r="C5750" s="12" t="inlineStr">
        <is>
          <t>Fuel supply (adjacent market)</t>
        </is>
      </c>
      <c r="D5750" s="12" t="inlineStr">
        <is>
          <t>Motor 1 of 1, 15 kW</t>
        </is>
      </c>
      <c r="E5750" s="12" t="inlineStr"/>
      <c r="F5750" s="12" t="inlineStr">
        <is>
          <t>LNG 17: LNG e-house (13.8 kV / 480 V)</t>
        </is>
      </c>
      <c r="G5750" s="12" t="inlineStr"/>
      <c r="H5750" s="12" t="inlineStr">
        <is>
          <t>LNG 12: spill impoundment (NFPA 59A, to verify)</t>
        </is>
      </c>
      <c r="I5750" s="12" t="inlineStr">
        <is>
          <t>LV 600 V</t>
        </is>
      </c>
      <c r="J5750" s="12" t="inlineStr">
        <is>
          <t>ARMOR-X MC-HL 600 V 3/C Cu XHHW-2 + ground, CWA, black PVC (Class I Div 2)</t>
        </is>
      </c>
      <c r="K5750" s="12" t="inlineStr">
        <is>
          <t>LVAX|3/C+G|10</t>
        </is>
      </c>
      <c r="L5750" s="12" t="inlineStr">
        <is>
          <t>3/C+G</t>
        </is>
      </c>
      <c r="M5750" s="12" t="inlineStr">
        <is>
          <t>10</t>
        </is>
      </c>
      <c r="N5750" s="12" t="n">
        <v>1</v>
      </c>
      <c r="O5750" s="12" t="n">
        <v>1</v>
      </c>
      <c r="P5750" s="12" t="n">
        <v>480</v>
      </c>
      <c r="Q5750" s="12" t="n">
        <v>15</v>
      </c>
      <c r="R5750" s="12" t="n">
        <v>21.2</v>
      </c>
      <c r="S5750" s="12" t="inlineStr">
        <is>
          <t>Duct bank</t>
        </is>
      </c>
      <c r="T5750" s="17" t="n">
        <v>230</v>
      </c>
      <c r="U5750" s="17" t="n">
        <v>32</v>
      </c>
      <c r="V5750" s="17">
        <f>ROUNDUP((T5750+U5750+2*'Read Me'!$B$13)*(1+'Read Me'!$B$12),-1)</f>
        <v/>
      </c>
      <c r="W5750" s="17">
        <f>V5750*N5750*O5750</f>
        <v/>
      </c>
      <c r="X5750" s="12">
        <f>IF(LEFT(I5750,2)="MV",2*N5750*IF(L5750="1/C",O5750,1),0)</f>
        <v/>
      </c>
      <c r="Y5750" s="12">
        <f>IF(OR(LEFT(K5750,4)="LVAX",LEFT(K5750,6)="MV15AX",LEFT(K5750,4)="CTAX",LEFT(K5750,2)="W|"),2*N5750*O5750,0)</f>
        <v/>
      </c>
      <c r="Z5750" s="12" t="inlineStr">
        <is>
          <t>VD 2.7 %</t>
        </is>
      </c>
      <c r="AA5750" s="12">
        <f>N5750*O5750</f>
        <v/>
      </c>
    </row>
    <row r="5751">
      <c r="A5751" s="12" t="inlineStr">
        <is>
          <t>K-P-0037</t>
        </is>
      </c>
      <c r="B5751" s="12" t="inlineStr">
        <is>
          <t>K</t>
        </is>
      </c>
      <c r="C5751" s="12" t="inlineStr">
        <is>
          <t>Fuel supply (adjacent market)</t>
        </is>
      </c>
      <c r="D5751" s="12" t="inlineStr">
        <is>
          <t>Motor 1 of 1, 15 kW</t>
        </is>
      </c>
      <c r="E5751" s="12" t="inlineStr"/>
      <c r="F5751" s="12" t="inlineStr">
        <is>
          <t>LNG 17: LNG e-house (13.8 kV / 480 V)</t>
        </is>
      </c>
      <c r="G5751" s="12" t="inlineStr"/>
      <c r="H5751" s="12" t="inlineStr">
        <is>
          <t>LNG 13: send-out pumps 2 x 100%</t>
        </is>
      </c>
      <c r="I5751" s="12" t="inlineStr">
        <is>
          <t>LV 600 V</t>
        </is>
      </c>
      <c r="J5751" s="12" t="inlineStr">
        <is>
          <t>ARMOR-X MC-HL 600 V 3/C Cu XHHW-2 + ground, CWA, black PVC (Class I Div 2)</t>
        </is>
      </c>
      <c r="K5751" s="12" t="inlineStr">
        <is>
          <t>LVAX|3/C+G|10</t>
        </is>
      </c>
      <c r="L5751" s="12" t="inlineStr">
        <is>
          <t>3/C+G</t>
        </is>
      </c>
      <c r="M5751" s="12" t="inlineStr">
        <is>
          <t>10</t>
        </is>
      </c>
      <c r="N5751" s="12" t="n">
        <v>1</v>
      </c>
      <c r="O5751" s="12" t="n">
        <v>1</v>
      </c>
      <c r="P5751" s="12" t="n">
        <v>480</v>
      </c>
      <c r="Q5751" s="12" t="n">
        <v>15</v>
      </c>
      <c r="R5751" s="12" t="n">
        <v>21.2</v>
      </c>
      <c r="S5751" s="12" t="inlineStr">
        <is>
          <t>Duct bank</t>
        </is>
      </c>
      <c r="T5751" s="17" t="n">
        <v>110</v>
      </c>
      <c r="U5751" s="17" t="n">
        <v>32</v>
      </c>
      <c r="V5751" s="17">
        <f>ROUNDUP((T5751+U5751+2*'Read Me'!$B$13)*(1+'Read Me'!$B$12),-1)</f>
        <v/>
      </c>
      <c r="W5751" s="17">
        <f>V5751*N5751*O5751</f>
        <v/>
      </c>
      <c r="X5751" s="12">
        <f>IF(LEFT(I5751,2)="MV",2*N5751*IF(L5751="1/C",O5751,1),0)</f>
        <v/>
      </c>
      <c r="Y5751" s="12">
        <f>IF(OR(LEFT(K5751,4)="LVAX",LEFT(K5751,6)="MV15AX",LEFT(K5751,4)="CTAX",LEFT(K5751,2)="W|"),2*N5751*O5751,0)</f>
        <v/>
      </c>
      <c r="Z5751" s="12" t="inlineStr">
        <is>
          <t>VD 1.4 %</t>
        </is>
      </c>
      <c r="AA5751" s="12">
        <f>N5751*O5751</f>
        <v/>
      </c>
    </row>
    <row r="5752">
      <c r="A5752" s="12" t="inlineStr">
        <is>
          <t>K-P-0038</t>
        </is>
      </c>
      <c r="B5752" s="12" t="inlineStr">
        <is>
          <t>K</t>
        </is>
      </c>
      <c r="C5752" s="12" t="inlineStr">
        <is>
          <t>Fuel supply (adjacent market)</t>
        </is>
      </c>
      <c r="D5752" s="12" t="inlineStr">
        <is>
          <t>Motor 1 of 1, 15 kW</t>
        </is>
      </c>
      <c r="E5752" s="12" t="inlineStr"/>
      <c r="F5752" s="12" t="inlineStr">
        <is>
          <t>LNG 17: LNG e-house (13.8 kV / 480 V)</t>
        </is>
      </c>
      <c r="G5752" s="12" t="inlineStr"/>
      <c r="H5752" s="12" t="inlineStr">
        <is>
          <t>LNG 14: vaporizers + glycol heater</t>
        </is>
      </c>
      <c r="I5752" s="12" t="inlineStr">
        <is>
          <t>LV 600 V</t>
        </is>
      </c>
      <c r="J5752" s="12" t="inlineStr">
        <is>
          <t>ARMOR-X MC-HL 600 V 3/C Cu XHHW-2 + ground, CWA, black PVC (Class I Div 2)</t>
        </is>
      </c>
      <c r="K5752" s="12" t="inlineStr">
        <is>
          <t>LVAX|3/C+G|10</t>
        </is>
      </c>
      <c r="L5752" s="12" t="inlineStr">
        <is>
          <t>3/C+G</t>
        </is>
      </c>
      <c r="M5752" s="12" t="inlineStr">
        <is>
          <t>10</t>
        </is>
      </c>
      <c r="N5752" s="12" t="n">
        <v>1</v>
      </c>
      <c r="O5752" s="12" t="n">
        <v>1</v>
      </c>
      <c r="P5752" s="12" t="n">
        <v>480</v>
      </c>
      <c r="Q5752" s="12" t="n">
        <v>15</v>
      </c>
      <c r="R5752" s="12" t="n">
        <v>21.2</v>
      </c>
      <c r="S5752" s="12" t="inlineStr">
        <is>
          <t>Duct bank</t>
        </is>
      </c>
      <c r="T5752" s="17" t="n">
        <v>259</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K-P-0039</t>
        </is>
      </c>
      <c r="B5753" s="12" t="inlineStr">
        <is>
          <t>K</t>
        </is>
      </c>
      <c r="C5753" s="12" t="inlineStr">
        <is>
          <t>Fuel supply (adjacent market)</t>
        </is>
      </c>
      <c r="D5753" s="12" t="inlineStr">
        <is>
          <t>Motor 1 of 1, 15 kW</t>
        </is>
      </c>
      <c r="E5753" s="12" t="inlineStr"/>
      <c r="F5753" s="12" t="inlineStr">
        <is>
          <t>LNG 17: LNG e-house (13.8 kV / 480 V)</t>
        </is>
      </c>
      <c r="G5753" s="12" t="inlineStr"/>
      <c r="H5753" s="12" t="inlineStr">
        <is>
          <t>LNG 15: boil-off gas compressor</t>
        </is>
      </c>
      <c r="I5753" s="12" t="inlineStr">
        <is>
          <t>LV 600 V</t>
        </is>
      </c>
      <c r="J5753" s="12" t="inlineStr">
        <is>
          <t>ARMOR-X MC-HL 600 V 3/C Cu XHHW-2 + ground, CWA, black PVC (Class I Div 2)</t>
        </is>
      </c>
      <c r="K5753" s="12" t="inlineStr">
        <is>
          <t>LVAX|3/C+G|10</t>
        </is>
      </c>
      <c r="L5753" s="12" t="inlineStr">
        <is>
          <t>3/C+G</t>
        </is>
      </c>
      <c r="M5753" s="12" t="inlineStr">
        <is>
          <t>10</t>
        </is>
      </c>
      <c r="N5753" s="12" t="n">
        <v>1</v>
      </c>
      <c r="O5753" s="12" t="n">
        <v>1</v>
      </c>
      <c r="P5753" s="12" t="n">
        <v>480</v>
      </c>
      <c r="Q5753" s="12" t="n">
        <v>15</v>
      </c>
      <c r="R5753" s="12" t="n">
        <v>21.2</v>
      </c>
      <c r="S5753" s="12" t="inlineStr">
        <is>
          <t>Duct bank</t>
        </is>
      </c>
      <c r="T5753" s="17" t="n">
        <v>25</v>
      </c>
      <c r="U5753" s="17" t="n">
        <v>54</v>
      </c>
      <c r="V5753" s="17">
        <f>ROUNDUP((T5753+U5753+2*'Read Me'!$B$13)*(1+'Read Me'!$B$12),-1)</f>
        <v/>
      </c>
      <c r="W5753" s="17">
        <f>V5753*N5753*O5753</f>
        <v/>
      </c>
      <c r="X5753" s="12">
        <f>IF(LEFT(I5753,2)="MV",2*N5753*IF(L5753="1/C",O5753,1),0)</f>
        <v/>
      </c>
      <c r="Y5753" s="12">
        <f>IF(OR(LEFT(K5753,4)="LVAX",LEFT(K5753,6)="MV15AX",LEFT(K5753,4)="CTAX",LEFT(K5753,2)="W|"),2*N5753*O5753,0)</f>
        <v/>
      </c>
      <c r="Z5753" s="12" t="inlineStr">
        <is>
          <t>VD 0.8 %</t>
        </is>
      </c>
      <c r="AA5753" s="12">
        <f>N5753*O5753</f>
        <v/>
      </c>
    </row>
    <row r="5754">
      <c r="A5754" s="12" t="inlineStr">
        <is>
          <t>K-P-0040</t>
        </is>
      </c>
      <c r="B5754" s="12" t="inlineStr">
        <is>
          <t>K</t>
        </is>
      </c>
      <c r="C5754" s="12" t="inlineStr">
        <is>
          <t>Fuel supply (adjacent market)</t>
        </is>
      </c>
      <c r="D5754" s="12" t="inlineStr">
        <is>
          <t>Motor 1 of 1, 15 kW</t>
        </is>
      </c>
      <c r="E5754" s="12" t="inlineStr"/>
      <c r="F5754" s="12" t="inlineStr">
        <is>
          <t>LNG 17: LNG e-house (13.8 kV / 480 V)</t>
        </is>
      </c>
      <c r="G5754" s="12" t="inlineStr"/>
      <c r="H5754" s="12" t="inlineStr">
        <is>
          <t>LNG 16: send-out metering + pressure control</t>
        </is>
      </c>
      <c r="I5754" s="12" t="inlineStr">
        <is>
          <t>LV 600 V</t>
        </is>
      </c>
      <c r="J5754" s="12" t="inlineStr">
        <is>
          <t>ARMOR-X MC-HL 600 V 3/C Cu XHHW-2 + ground, CWA, black PVC (Class I Div 2)</t>
        </is>
      </c>
      <c r="K5754" s="12" t="inlineStr">
        <is>
          <t>LVAX|3/C+G|10</t>
        </is>
      </c>
      <c r="L5754" s="12" t="inlineStr">
        <is>
          <t>3/C+G</t>
        </is>
      </c>
      <c r="M5754" s="12" t="inlineStr">
        <is>
          <t>10</t>
        </is>
      </c>
      <c r="N5754" s="12" t="n">
        <v>1</v>
      </c>
      <c r="O5754" s="12" t="n">
        <v>1</v>
      </c>
      <c r="P5754" s="12" t="n">
        <v>480</v>
      </c>
      <c r="Q5754" s="12" t="n">
        <v>15</v>
      </c>
      <c r="R5754" s="12" t="n">
        <v>21.2</v>
      </c>
      <c r="S5754" s="12" t="inlineStr">
        <is>
          <t>Duct bank</t>
        </is>
      </c>
      <c r="T5754" s="17" t="n">
        <v>20</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is>
          <t>VD 0.5 %</t>
        </is>
      </c>
      <c r="AA5754" s="12">
        <f>N5754*O5754</f>
        <v/>
      </c>
    </row>
    <row r="5755">
      <c r="A5755" s="12" t="inlineStr">
        <is>
          <t>K-P-0041</t>
        </is>
      </c>
      <c r="B5755" s="12" t="inlineStr">
        <is>
          <t>K</t>
        </is>
      </c>
      <c r="C5755" s="12" t="inlineStr">
        <is>
          <t>Fuel supply (adjacent market)</t>
        </is>
      </c>
      <c r="D5755" s="12" t="inlineStr">
        <is>
          <t>Motor 1 of 1, 15 kW</t>
        </is>
      </c>
      <c r="E5755" s="12" t="inlineStr"/>
      <c r="F5755" s="12" t="inlineStr">
        <is>
          <t>LNG 17: LNG e-house (13.8 kV / 480 V)</t>
        </is>
      </c>
      <c r="G5755" s="12" t="inlineStr"/>
      <c r="H5755" s="12" t="inlineStr">
        <is>
          <t>LNG 17: LNG e-house (13.8 kV / 480 V)</t>
        </is>
      </c>
      <c r="I5755" s="12" t="inlineStr">
        <is>
          <t>LV 600 V</t>
        </is>
      </c>
      <c r="J5755" s="12" t="inlineStr">
        <is>
          <t>ARMOR-X MC-HL 600 V 3/C Cu XHHW-2 + ground, CWA, black PVC (Class I Div 2)</t>
        </is>
      </c>
      <c r="K5755" s="12" t="inlineStr">
        <is>
          <t>LVAX|3/C+G|10</t>
        </is>
      </c>
      <c r="L5755" s="12" t="inlineStr">
        <is>
          <t>3/C+G</t>
        </is>
      </c>
      <c r="M5755" s="12" t="inlineStr">
        <is>
          <t>10</t>
        </is>
      </c>
      <c r="N5755" s="12" t="n">
        <v>1</v>
      </c>
      <c r="O5755" s="12" t="n">
        <v>1</v>
      </c>
      <c r="P5755" s="12" t="n">
        <v>480</v>
      </c>
      <c r="Q5755" s="12" t="n">
        <v>15</v>
      </c>
      <c r="R5755" s="12" t="n">
        <v>21.2</v>
      </c>
      <c r="S5755" s="12" t="inlineStr">
        <is>
          <t>Tray</t>
        </is>
      </c>
      <c r="T5755" s="17" t="n">
        <v>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is>
          <t>VD 0.3 %</t>
        </is>
      </c>
      <c r="AA5755" s="12">
        <f>N5755*O5755</f>
        <v/>
      </c>
    </row>
    <row r="5756">
      <c r="A5756" s="12" t="inlineStr">
        <is>
          <t>K-P-0042</t>
        </is>
      </c>
      <c r="B5756" s="12" t="inlineStr">
        <is>
          <t>K</t>
        </is>
      </c>
      <c r="C5756" s="12" t="inlineStr">
        <is>
          <t>Fuel supply (adjacent market)</t>
        </is>
      </c>
      <c r="D5756" s="12" t="inlineStr">
        <is>
          <t>Motor 1 of 1, 15 kW</t>
        </is>
      </c>
      <c r="E5756" s="12" t="inlineStr"/>
      <c r="F5756" s="12" t="inlineStr">
        <is>
          <t>LNG 17: LNG e-house (13.8 kV / 480 V)</t>
        </is>
      </c>
      <c r="G5756" s="12" t="inlineStr"/>
      <c r="H5756" s="12" t="inlineStr">
        <is>
          <t>LNG 18: vent stack</t>
        </is>
      </c>
      <c r="I5756" s="12" t="inlineStr">
        <is>
          <t>LV 600 V</t>
        </is>
      </c>
      <c r="J5756" s="12" t="inlineStr">
        <is>
          <t>ARMOR-X MC-HL 600 V 3/C Cu XHHW-2 + ground, CWA, black PVC (Class I Div 2)</t>
        </is>
      </c>
      <c r="K5756" s="12" t="inlineStr">
        <is>
          <t>LVAX|3/C+G|10</t>
        </is>
      </c>
      <c r="L5756" s="12" t="inlineStr">
        <is>
          <t>3/C+G</t>
        </is>
      </c>
      <c r="M5756" s="12" t="inlineStr">
        <is>
          <t>10</t>
        </is>
      </c>
      <c r="N5756" s="12" t="n">
        <v>1</v>
      </c>
      <c r="O5756" s="12" t="n">
        <v>1</v>
      </c>
      <c r="P5756" s="12" t="n">
        <v>480</v>
      </c>
      <c r="Q5756" s="12" t="n">
        <v>15</v>
      </c>
      <c r="R5756" s="12" t="n">
        <v>21.2</v>
      </c>
      <c r="S5756" s="12" t="inlineStr">
        <is>
          <t>Duct bank</t>
        </is>
      </c>
      <c r="T5756" s="17" t="n">
        <v>25</v>
      </c>
      <c r="U5756" s="17" t="n">
        <v>117</v>
      </c>
      <c r="V5756" s="17">
        <f>ROUNDUP((T5756+U5756+2*'Read Me'!$B$13)*(1+'Read Me'!$B$12),-1)</f>
        <v/>
      </c>
      <c r="W5756" s="17">
        <f>V5756*N5756*O5756</f>
        <v/>
      </c>
      <c r="X5756" s="12">
        <f>IF(LEFT(I5756,2)="MV",2*N5756*IF(L5756="1/C",O5756,1),0)</f>
        <v/>
      </c>
      <c r="Y5756" s="12">
        <f>IF(OR(LEFT(K5756,4)="LVAX",LEFT(K5756,6)="MV15AX",LEFT(K5756,4)="CTAX",LEFT(K5756,2)="W|"),2*N5756*O5756,0)</f>
        <v/>
      </c>
      <c r="Z5756" s="12" t="inlineStr">
        <is>
          <t>VD 1.4 %</t>
        </is>
      </c>
      <c r="AA5756" s="12">
        <f>N5756*O5756</f>
        <v/>
      </c>
    </row>
    <row r="5757">
      <c r="A5757" s="12" t="inlineStr">
        <is>
          <t>K-P-0043</t>
        </is>
      </c>
      <c r="B5757" s="12" t="inlineStr">
        <is>
          <t>K</t>
        </is>
      </c>
      <c r="C5757" s="12" t="inlineStr">
        <is>
          <t>Fuel supply (adjacent market)</t>
        </is>
      </c>
      <c r="D5757" s="12" t="inlineStr">
        <is>
          <t>LV power feeder</t>
        </is>
      </c>
      <c r="E5757" s="12" t="inlineStr"/>
      <c r="F5757" s="12" t="inlineStr">
        <is>
          <t>LNG 17: LNG e-house (13.8 kV / 480 V)</t>
        </is>
      </c>
      <c r="G5757" s="12" t="inlineStr"/>
      <c r="H5757" s="12" t="inlineStr">
        <is>
          <t>LNG impoundment sump pump</t>
        </is>
      </c>
      <c r="I5757" s="12" t="inlineStr">
        <is>
          <t>LV 600 V</t>
        </is>
      </c>
      <c r="J5757" s="12" t="inlineStr">
        <is>
          <t>ARMOR-X MC-HL 600 V 3/C Cu XHHW-2 + ground, CWA, black PVC (Class I Div 2)</t>
        </is>
      </c>
      <c r="K5757" s="12" t="inlineStr">
        <is>
          <t>LVAX|3/C+G|8</t>
        </is>
      </c>
      <c r="L5757" s="12" t="inlineStr">
        <is>
          <t>3/C+G</t>
        </is>
      </c>
      <c r="M5757" s="12" t="inlineStr">
        <is>
          <t>8</t>
        </is>
      </c>
      <c r="N5757" s="12" t="n">
        <v>1</v>
      </c>
      <c r="O5757" s="12" t="n">
        <v>1</v>
      </c>
      <c r="P5757" s="12" t="n">
        <v>480</v>
      </c>
      <c r="Q5757" s="12" t="n">
        <v>15</v>
      </c>
      <c r="R5757" s="12" t="n">
        <v>21.2</v>
      </c>
      <c r="S5757" s="12" t="inlineStr">
        <is>
          <t>Duct bank</t>
        </is>
      </c>
      <c r="T5757" s="17" t="n">
        <v>334</v>
      </c>
      <c r="U5757" s="17" t="n">
        <v>32</v>
      </c>
      <c r="V5757" s="17">
        <f>ROUNDUP((T5757+U5757+2*'Read Me'!$B$13)*(1+'Read Me'!$B$12),-1)</f>
        <v/>
      </c>
      <c r="W5757" s="17">
        <f>V5757*N5757*O5757</f>
        <v/>
      </c>
      <c r="X5757" s="12">
        <f>IF(LEFT(I5757,2)="MV",2*N5757*IF(L5757="1/C",O5757,1),0)</f>
        <v/>
      </c>
      <c r="Y5757" s="12">
        <f>IF(OR(LEFT(K5757,4)="LVAX",LEFT(K5757,6)="MV15AX",LEFT(K5757,4)="CTAX",LEFT(K5757,2)="W|"),2*N5757*O5757,0)</f>
        <v/>
      </c>
      <c r="Z5757" s="12" t="inlineStr">
        <is>
          <t>VD 2.4 %</t>
        </is>
      </c>
      <c r="AA5757" s="12">
        <f>N5757*O5757</f>
        <v/>
      </c>
    </row>
    <row r="5758">
      <c r="A5758" s="12" t="inlineStr">
        <is>
          <t>K-P-0044</t>
        </is>
      </c>
      <c r="B5758" s="12" t="inlineStr">
        <is>
          <t>K</t>
        </is>
      </c>
      <c r="C5758" s="12" t="inlineStr">
        <is>
          <t>Fuel supply (adjacent market)</t>
        </is>
      </c>
      <c r="D5758" s="12" t="inlineStr">
        <is>
          <t>LV power feeder</t>
        </is>
      </c>
      <c r="E5758" s="12" t="inlineStr"/>
      <c r="F5758" s="12" t="inlineStr">
        <is>
          <t>LNG 17: LNG e-house (13.8 kV / 480 V)</t>
        </is>
      </c>
      <c r="G5758" s="12" t="inlineStr"/>
      <c r="H5758" s="12" t="inlineStr">
        <is>
          <t>M&amp;R 2: insulating joint + ESD valve</t>
        </is>
      </c>
      <c r="I5758" s="12" t="inlineStr">
        <is>
          <t>LV 600 V</t>
        </is>
      </c>
      <c r="J5758" s="12" t="inlineStr">
        <is>
          <t>ARMOR-X MC-HL 600 V 3/C Cu XHHW-2 + ground, CWA, black PVC (Class I Div 2)</t>
        </is>
      </c>
      <c r="K5758" s="12" t="inlineStr">
        <is>
          <t>LVAX|3/C+G|6</t>
        </is>
      </c>
      <c r="L5758" s="12" t="inlineStr">
        <is>
          <t>3/C+G</t>
        </is>
      </c>
      <c r="M5758" s="12" t="inlineStr">
        <is>
          <t>6</t>
        </is>
      </c>
      <c r="N5758" s="12" t="n">
        <v>1</v>
      </c>
      <c r="O5758" s="12" t="n">
        <v>1</v>
      </c>
      <c r="P5758" s="12" t="n">
        <v>480</v>
      </c>
      <c r="Q5758" s="12" t="n">
        <v>10</v>
      </c>
      <c r="R5758" s="12" t="n">
        <v>14.2</v>
      </c>
      <c r="S5758" s="12" t="inlineStr">
        <is>
          <t>Duct bank</t>
        </is>
      </c>
      <c r="T5758" s="17" t="n">
        <v>758</v>
      </c>
      <c r="U5758" s="17" t="n">
        <v>32</v>
      </c>
      <c r="V5758" s="17">
        <f>ROUNDUP((T5758+U5758+2*'Read Me'!$B$13)*(1+'Read Me'!$B$12),-1)</f>
        <v/>
      </c>
      <c r="W5758" s="17">
        <f>V5758*N5758*O5758</f>
        <v/>
      </c>
      <c r="X5758" s="12">
        <f>IF(LEFT(I5758,2)="MV",2*N5758*IF(L5758="1/C",O5758,1),0)</f>
        <v/>
      </c>
      <c r="Y5758" s="12">
        <f>IF(OR(LEFT(K5758,4)="LVAX",LEFT(K5758,6)="MV15AX",LEFT(K5758,4)="CTAX",LEFT(K5758,2)="W|"),2*N5758*O5758,0)</f>
        <v/>
      </c>
      <c r="Z5758" s="12" t="inlineStr">
        <is>
          <t>VD 2.2 %</t>
        </is>
      </c>
      <c r="AA5758" s="12">
        <f>N5758*O5758</f>
        <v/>
      </c>
    </row>
    <row r="5759">
      <c r="A5759" s="12" t="inlineStr">
        <is>
          <t>K-P-0045</t>
        </is>
      </c>
      <c r="B5759" s="12" t="inlineStr">
        <is>
          <t>K</t>
        </is>
      </c>
      <c r="C5759" s="12" t="inlineStr">
        <is>
          <t>Fuel supply (adjacent market)</t>
        </is>
      </c>
      <c r="D5759" s="12" t="inlineStr">
        <is>
          <t>LV power feeder</t>
        </is>
      </c>
      <c r="E5759" s="12" t="inlineStr"/>
      <c r="F5759" s="12" t="inlineStr">
        <is>
          <t>LNG 17: LNG e-house (13.8 kV / 480 V)</t>
        </is>
      </c>
      <c r="G5759" s="12" t="inlineStr"/>
      <c r="H5759" s="12" t="inlineStr">
        <is>
          <t>M&amp;R 3: horizontal filter-separator</t>
        </is>
      </c>
      <c r="I5759" s="12" t="inlineStr">
        <is>
          <t>LV 600 V</t>
        </is>
      </c>
      <c r="J5759" s="12" t="inlineStr">
        <is>
          <t>ARMOR-X MC-HL 600 V 3/C Cu XHHW-2 + ground, CWA, black PVC (Class I Div 2)</t>
        </is>
      </c>
      <c r="K5759" s="12" t="inlineStr">
        <is>
          <t>LVAX|3/C+G|4</t>
        </is>
      </c>
      <c r="L5759" s="12" t="inlineStr">
        <is>
          <t>3/C+G</t>
        </is>
      </c>
      <c r="M5759" s="12" t="inlineStr">
        <is>
          <t>4</t>
        </is>
      </c>
      <c r="N5759" s="12" t="n">
        <v>1</v>
      </c>
      <c r="O5759" s="12" t="n">
        <v>1</v>
      </c>
      <c r="P5759" s="12" t="n">
        <v>480</v>
      </c>
      <c r="Q5759" s="12" t="n">
        <v>15</v>
      </c>
      <c r="R5759" s="12" t="n">
        <v>21.2</v>
      </c>
      <c r="S5759" s="12" t="inlineStr">
        <is>
          <t>Duct bank</t>
        </is>
      </c>
      <c r="T5759" s="17" t="n">
        <v>797</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is>
          <t>VD 2.2 %</t>
        </is>
      </c>
      <c r="AA5759" s="12">
        <f>N5759*O5759</f>
        <v/>
      </c>
    </row>
    <row r="5760">
      <c r="A5760" s="12" t="inlineStr">
        <is>
          <t>K-P-0046</t>
        </is>
      </c>
      <c r="B5760" s="12" t="inlineStr">
        <is>
          <t>K</t>
        </is>
      </c>
      <c r="C5760" s="12" t="inlineStr">
        <is>
          <t>Fuel supply (adjacent market)</t>
        </is>
      </c>
      <c r="D5760" s="12" t="inlineStr">
        <is>
          <t>LV power feeder</t>
        </is>
      </c>
      <c r="E5760" s="12" t="inlineStr"/>
      <c r="F5760" s="12" t="inlineStr">
        <is>
          <t>LNG 17: LNG e-house (13.8 kV / 480 V)</t>
        </is>
      </c>
      <c r="G5760" s="12" t="inlineStr"/>
      <c r="H5760" s="12" t="inlineStr">
        <is>
          <t>M&amp;R 4: line heater 1 (water bath)</t>
        </is>
      </c>
      <c r="I5760" s="12" t="inlineStr">
        <is>
          <t>LV 600 V</t>
        </is>
      </c>
      <c r="J5760" s="12" t="inlineStr">
        <is>
          <t>ARMOR-X MC-HL 600 V 3/C Cu XHHW-2 + ground, CWA, black PVC (Class I Div 2)</t>
        </is>
      </c>
      <c r="K5760" s="12" t="inlineStr">
        <is>
          <t>LVAX|3/C+G|6</t>
        </is>
      </c>
      <c r="L5760" s="12" t="inlineStr">
        <is>
          <t>3/C+G</t>
        </is>
      </c>
      <c r="M5760" s="12" t="inlineStr">
        <is>
          <t>6</t>
        </is>
      </c>
      <c r="N5760" s="12" t="n">
        <v>1</v>
      </c>
      <c r="O5760" s="12" t="n">
        <v>1</v>
      </c>
      <c r="P5760" s="12" t="n">
        <v>480</v>
      </c>
      <c r="Q5760" s="12" t="n">
        <v>15</v>
      </c>
      <c r="R5760" s="12" t="n">
        <v>21.2</v>
      </c>
      <c r="S5760" s="12" t="inlineStr">
        <is>
          <t>Duct bank</t>
        </is>
      </c>
      <c r="T5760" s="17" t="n">
        <v>593</v>
      </c>
      <c r="U5760" s="17" t="n">
        <v>32</v>
      </c>
      <c r="V5760" s="17">
        <f>ROUNDUP((T5760+U5760+2*'Read Me'!$B$13)*(1+'Read Me'!$B$12),-1)</f>
        <v/>
      </c>
      <c r="W5760" s="17">
        <f>V5760*N5760*O5760</f>
        <v/>
      </c>
      <c r="X5760" s="12">
        <f>IF(LEFT(I5760,2)="MV",2*N5760*IF(L5760="1/C",O5760,1),0)</f>
        <v/>
      </c>
      <c r="Y5760" s="12">
        <f>IF(OR(LEFT(K5760,4)="LVAX",LEFT(K5760,6)="MV15AX",LEFT(K5760,4)="CTAX",LEFT(K5760,2)="W|"),2*N5760*O5760,0)</f>
        <v/>
      </c>
      <c r="Z5760" s="12" t="inlineStr">
        <is>
          <t>VD 2.6 %</t>
        </is>
      </c>
      <c r="AA5760" s="12">
        <f>N5760*O5760</f>
        <v/>
      </c>
    </row>
    <row r="5761">
      <c r="A5761" s="12" t="inlineStr">
        <is>
          <t>K-P-0047</t>
        </is>
      </c>
      <c r="B5761" s="12" t="inlineStr">
        <is>
          <t>K</t>
        </is>
      </c>
      <c r="C5761" s="12" t="inlineStr">
        <is>
          <t>Fuel supply (adjacent market)</t>
        </is>
      </c>
      <c r="D5761" s="12" t="inlineStr">
        <is>
          <t>LV power feeder</t>
        </is>
      </c>
      <c r="E5761" s="12" t="inlineStr"/>
      <c r="F5761" s="12" t="inlineStr">
        <is>
          <t>LNG 17: LNG e-house (13.8 kV / 480 V)</t>
        </is>
      </c>
      <c r="G5761" s="12" t="inlineStr"/>
      <c r="H5761" s="12" t="inlineStr">
        <is>
          <t>M&amp;R 4: line heater 2 (water bath)</t>
        </is>
      </c>
      <c r="I5761" s="12" t="inlineStr">
        <is>
          <t>LV 600 V</t>
        </is>
      </c>
      <c r="J5761" s="12" t="inlineStr">
        <is>
          <t>ARMOR-X MC-HL 600 V 3/C Cu XHHW-2 + ground, CWA, black PVC (Class I Div 2)</t>
        </is>
      </c>
      <c r="K5761" s="12" t="inlineStr">
        <is>
          <t>LVAX|3/C+G|6</t>
        </is>
      </c>
      <c r="L5761" s="12" t="inlineStr">
        <is>
          <t>3/C+G</t>
        </is>
      </c>
      <c r="M5761" s="12" t="inlineStr">
        <is>
          <t>6</t>
        </is>
      </c>
      <c r="N5761" s="12" t="n">
        <v>1</v>
      </c>
      <c r="O5761" s="12" t="n">
        <v>1</v>
      </c>
      <c r="P5761" s="12" t="n">
        <v>480</v>
      </c>
      <c r="Q5761" s="12" t="n">
        <v>15</v>
      </c>
      <c r="R5761" s="12" t="n">
        <v>21.2</v>
      </c>
      <c r="S5761" s="12" t="inlineStr">
        <is>
          <t>Duct bank</t>
        </is>
      </c>
      <c r="T5761" s="17" t="n">
        <v>593</v>
      </c>
      <c r="U5761" s="17" t="n">
        <v>50</v>
      </c>
      <c r="V5761" s="17">
        <f>ROUNDUP((T5761+U5761+2*'Read Me'!$B$13)*(1+'Read Me'!$B$12),-1)</f>
        <v/>
      </c>
      <c r="W5761" s="17">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K-P-0048</t>
        </is>
      </c>
      <c r="B5762" s="12" t="inlineStr">
        <is>
          <t>K</t>
        </is>
      </c>
      <c r="C5762" s="12" t="inlineStr">
        <is>
          <t>Fuel supply (adjacent market)</t>
        </is>
      </c>
      <c r="D5762" s="12" t="inlineStr">
        <is>
          <t>LV power feeder</t>
        </is>
      </c>
      <c r="E5762" s="12" t="inlineStr"/>
      <c r="F5762" s="12" t="inlineStr">
        <is>
          <t>LNG 17: LNG e-house (13.8 kV / 480 V)</t>
        </is>
      </c>
      <c r="G5762" s="12" t="inlineStr"/>
      <c r="H5762" s="12" t="inlineStr">
        <is>
          <t>M&amp;R 4: line heater 3 (water bath)</t>
        </is>
      </c>
      <c r="I5762" s="12" t="inlineStr">
        <is>
          <t>LV 600 V</t>
        </is>
      </c>
      <c r="J5762" s="12" t="inlineStr">
        <is>
          <t>ARMOR-X MC-HL 600 V 3/C Cu XHHW-2 + ground, CWA, black PVC (Class I Div 2)</t>
        </is>
      </c>
      <c r="K5762" s="12" t="inlineStr">
        <is>
          <t>LVAX|3/C+G|6</t>
        </is>
      </c>
      <c r="L5762" s="12" t="inlineStr">
        <is>
          <t>3/C+G</t>
        </is>
      </c>
      <c r="M5762" s="12" t="inlineStr">
        <is>
          <t>6</t>
        </is>
      </c>
      <c r="N5762" s="12" t="n">
        <v>1</v>
      </c>
      <c r="O5762" s="12" t="n">
        <v>1</v>
      </c>
      <c r="P5762" s="12" t="n">
        <v>480</v>
      </c>
      <c r="Q5762" s="12" t="n">
        <v>15</v>
      </c>
      <c r="R5762" s="12" t="n">
        <v>21.2</v>
      </c>
      <c r="S5762" s="12" t="inlineStr">
        <is>
          <t>Duct bank</t>
        </is>
      </c>
      <c r="T5762" s="17" t="n">
        <v>593</v>
      </c>
      <c r="U5762" s="17" t="n">
        <v>68</v>
      </c>
      <c r="V5762" s="17">
        <f>ROUNDUP((T5762+U5762+2*'Read Me'!$B$13)*(1+'Read Me'!$B$12),-1)</f>
        <v/>
      </c>
      <c r="W5762" s="17">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K-P-0049</t>
        </is>
      </c>
      <c r="B5763" s="12" t="inlineStr">
        <is>
          <t>K</t>
        </is>
      </c>
      <c r="C5763" s="12" t="inlineStr">
        <is>
          <t>Fuel supply (adjacent market)</t>
        </is>
      </c>
      <c r="D5763" s="12" t="inlineStr">
        <is>
          <t>LV panel / distribution feeder</t>
        </is>
      </c>
      <c r="E5763" s="12" t="inlineStr"/>
      <c r="F5763" s="12" t="inlineStr">
        <is>
          <t>LNG 17: LNG e-house (13.8 kV / 480 V)</t>
        </is>
      </c>
      <c r="G5763" s="12" t="inlineStr"/>
      <c r="H5763" s="12" t="inlineStr">
        <is>
          <t>M&amp;R 6: regulation / flow control building</t>
        </is>
      </c>
      <c r="I5763" s="12" t="inlineStr">
        <is>
          <t>LV 600 V</t>
        </is>
      </c>
      <c r="J5763" s="12" t="inlineStr">
        <is>
          <t>ARMOR-X MC-HL 600 V 3/C Cu XHHW-2 + ground, CWA, black PVC (Class I Div 2)</t>
        </is>
      </c>
      <c r="K5763" s="12" t="inlineStr">
        <is>
          <t>LVAX|3/C+G|8</t>
        </is>
      </c>
      <c r="L5763" s="12" t="inlineStr">
        <is>
          <t>3/C+G</t>
        </is>
      </c>
      <c r="M5763" s="12" t="inlineStr">
        <is>
          <t>8</t>
        </is>
      </c>
      <c r="N5763" s="12" t="n">
        <v>1</v>
      </c>
      <c r="O5763" s="12" t="n">
        <v>1</v>
      </c>
      <c r="P5763" s="12" t="n">
        <v>480</v>
      </c>
      <c r="Q5763" s="12" t="n">
        <v>10</v>
      </c>
      <c r="R5763" s="12" t="n">
        <v>14.2</v>
      </c>
      <c r="S5763" s="12" t="inlineStr">
        <is>
          <t>Duct bank</t>
        </is>
      </c>
      <c r="T5763" s="17" t="n">
        <v>470</v>
      </c>
      <c r="U5763" s="17" t="n">
        <v>70</v>
      </c>
      <c r="V5763" s="17">
        <f>ROUNDUP((T5763+U5763+2*'Read Me'!$B$13)*(1+'Read Me'!$B$12),-1)</f>
        <v/>
      </c>
      <c r="W5763" s="17">
        <f>V5763*N5763*O5763</f>
        <v/>
      </c>
      <c r="X5763" s="12">
        <f>IF(LEFT(I5763,2)="MV",2*N5763*IF(L5763="1/C",O5763,1),0)</f>
        <v/>
      </c>
      <c r="Y5763" s="12">
        <f>IF(OR(LEFT(K5763,4)="LVAX",LEFT(K5763,6)="MV15AX",LEFT(K5763,4)="CTAX",LEFT(K5763,2)="W|"),2*N5763*O5763,0)</f>
        <v/>
      </c>
      <c r="Z5763" s="12" t="inlineStr">
        <is>
          <t>VD 2.3 %</t>
        </is>
      </c>
      <c r="AA5763" s="12">
        <f>N5763*O5763</f>
        <v/>
      </c>
    </row>
    <row r="5764">
      <c r="A5764" s="12" t="inlineStr">
        <is>
          <t>K-P-0050</t>
        </is>
      </c>
      <c r="B5764" s="12" t="inlineStr">
        <is>
          <t>K</t>
        </is>
      </c>
      <c r="C5764" s="12" t="inlineStr">
        <is>
          <t>Fuel supply (adjacent market)</t>
        </is>
      </c>
      <c r="D5764" s="12" t="inlineStr">
        <is>
          <t>LV panel / distribution feeder</t>
        </is>
      </c>
      <c r="E5764" s="12" t="inlineStr"/>
      <c r="F5764" s="12" t="inlineStr">
        <is>
          <t>LNG 17: LNG e-house (13.8 kV / 480 V)</t>
        </is>
      </c>
      <c r="G5764" s="12" t="inlineStr"/>
      <c r="H5764" s="12" t="inlineStr">
        <is>
          <t>M&amp;R 7: gas quality + measurement building</t>
        </is>
      </c>
      <c r="I5764" s="12" t="inlineStr">
        <is>
          <t>LV 600 V</t>
        </is>
      </c>
      <c r="J5764" s="12" t="inlineStr">
        <is>
          <t>ARMOR-X MC-HL 600 V 3/C Cu XHHW-2 + ground, CWA, black PVC (Class I Div 2)</t>
        </is>
      </c>
      <c r="K5764" s="12" t="inlineStr">
        <is>
          <t>LVAX|3/C+G|2</t>
        </is>
      </c>
      <c r="L5764" s="12" t="inlineStr">
        <is>
          <t>3/C+G</t>
        </is>
      </c>
      <c r="M5764" s="12" t="inlineStr">
        <is>
          <t>2</t>
        </is>
      </c>
      <c r="N5764" s="12" t="n">
        <v>1</v>
      </c>
      <c r="O5764" s="12" t="n">
        <v>1</v>
      </c>
      <c r="P5764" s="12" t="n">
        <v>480</v>
      </c>
      <c r="Q5764" s="12" t="n">
        <v>30</v>
      </c>
      <c r="R5764" s="12" t="n">
        <v>42.5</v>
      </c>
      <c r="S5764" s="12" t="inlineStr">
        <is>
          <t>Duct bank</t>
        </is>
      </c>
      <c r="T5764" s="17" t="n">
        <v>616</v>
      </c>
      <c r="U5764" s="17" t="n">
        <v>52</v>
      </c>
      <c r="V5764" s="17">
        <f>ROUNDUP((T5764+U5764+2*'Read Me'!$B$13)*(1+'Read Me'!$B$12),-1)</f>
        <v/>
      </c>
      <c r="W5764" s="17">
        <f>V5764*N5764*O5764</f>
        <v/>
      </c>
      <c r="X5764" s="12">
        <f>IF(LEFT(I5764,2)="MV",2*N5764*IF(L5764="1/C",O5764,1),0)</f>
        <v/>
      </c>
      <c r="Y5764" s="12">
        <f>IF(OR(LEFT(K5764,4)="LVAX",LEFT(K5764,6)="MV15AX",LEFT(K5764,4)="CTAX",LEFT(K5764,2)="W|"),2*N5764*O5764,0)</f>
        <v/>
      </c>
      <c r="Z5764" s="12" t="inlineStr">
        <is>
          <t>VD 2.2 %</t>
        </is>
      </c>
      <c r="AA5764" s="12">
        <f>N5764*O5764</f>
        <v/>
      </c>
    </row>
    <row r="5765">
      <c r="A5765" s="12" t="inlineStr">
        <is>
          <t>K-P-0051</t>
        </is>
      </c>
      <c r="B5765" s="12" t="inlineStr">
        <is>
          <t>K</t>
        </is>
      </c>
      <c r="C5765" s="12" t="inlineStr">
        <is>
          <t>Fuel supply (adjacent market)</t>
        </is>
      </c>
      <c r="D5765" s="12" t="inlineStr">
        <is>
          <t>LV power feeder</t>
        </is>
      </c>
      <c r="E5765" s="12" t="inlineStr"/>
      <c r="F5765" s="12" t="inlineStr">
        <is>
          <t>LNG 17: LNG e-house (13.8 kV / 480 V)</t>
        </is>
      </c>
      <c r="G5765" s="12" t="inlineStr"/>
      <c r="H5765" s="12" t="inlineStr">
        <is>
          <t>M&amp;R 8: condensate tank</t>
        </is>
      </c>
      <c r="I5765" s="12" t="inlineStr">
        <is>
          <t>LV 600 V</t>
        </is>
      </c>
      <c r="J5765" s="12" t="inlineStr">
        <is>
          <t>ARMOR-X MC-HL 600 V 3/C Cu XHHW-2 + ground, CWA, black PVC (Class I Div 2)</t>
        </is>
      </c>
      <c r="K5765" s="12" t="inlineStr">
        <is>
          <t>LVAX|3/C+G|8</t>
        </is>
      </c>
      <c r="L5765" s="12" t="inlineStr">
        <is>
          <t>3/C+G</t>
        </is>
      </c>
      <c r="M5765" s="12" t="inlineStr">
        <is>
          <t>8</t>
        </is>
      </c>
      <c r="N5765" s="12" t="n">
        <v>1</v>
      </c>
      <c r="O5765" s="12" t="n">
        <v>1</v>
      </c>
      <c r="P5765" s="12" t="n">
        <v>480</v>
      </c>
      <c r="Q5765" s="12" t="n">
        <v>10</v>
      </c>
      <c r="R5765" s="12" t="n">
        <v>14.2</v>
      </c>
      <c r="S5765" s="12" t="inlineStr">
        <is>
          <t>Duct bank</t>
        </is>
      </c>
      <c r="T5765" s="17" t="n">
        <v>530</v>
      </c>
      <c r="U5765" s="17" t="n">
        <v>87</v>
      </c>
      <c r="V5765" s="17">
        <f>ROUNDUP((T5765+U5765+2*'Read Me'!$B$13)*(1+'Read Me'!$B$12),-1)</f>
        <v/>
      </c>
      <c r="W5765" s="17">
        <f>V5765*N5765*O5765</f>
        <v/>
      </c>
      <c r="X5765" s="12">
        <f>IF(LEFT(I5765,2)="MV",2*N5765*IF(L5765="1/C",O5765,1),0)</f>
        <v/>
      </c>
      <c r="Y5765" s="12">
        <f>IF(OR(LEFT(K5765,4)="LVAX",LEFT(K5765,6)="MV15AX",LEFT(K5765,4)="CTAX",LEFT(K5765,2)="W|"),2*N5765*O5765,0)</f>
        <v/>
      </c>
      <c r="Z5765" s="12" t="inlineStr">
        <is>
          <t>VD 2.6 %</t>
        </is>
      </c>
      <c r="AA5765" s="12">
        <f>N5765*O5765</f>
        <v/>
      </c>
    </row>
    <row r="5766">
      <c r="A5766" s="12" t="inlineStr">
        <is>
          <t>K-P-0052</t>
        </is>
      </c>
      <c r="B5766" s="12" t="inlineStr">
        <is>
          <t>K</t>
        </is>
      </c>
      <c r="C5766" s="12" t="inlineStr">
        <is>
          <t>Fuel supply (adjacent market)</t>
        </is>
      </c>
      <c r="D5766" s="12" t="inlineStr">
        <is>
          <t>LV power feeder</t>
        </is>
      </c>
      <c r="E5766" s="12" t="inlineStr"/>
      <c r="F5766" s="12" t="inlineStr">
        <is>
          <t>LNG 17: LNG e-house (13.8 kV / 480 V)</t>
        </is>
      </c>
      <c r="G5766" s="12" t="inlineStr"/>
      <c r="H5766" s="12" t="inlineStr">
        <is>
          <t>M&amp;R 9: service panel + UPS, SCADA RTU, CP</t>
        </is>
      </c>
      <c r="I5766" s="12" t="inlineStr">
        <is>
          <t>LV 600 V</t>
        </is>
      </c>
      <c r="J5766" s="12" t="inlineStr">
        <is>
          <t>ARMOR-X MC-HL 600 V 3/C Cu XHHW-2 + ground, CWA, black PVC (Class I Div 2)</t>
        </is>
      </c>
      <c r="K5766" s="12" t="inlineStr">
        <is>
          <t>LVAX|3/C+G|6</t>
        </is>
      </c>
      <c r="L5766" s="12" t="inlineStr">
        <is>
          <t>3/C+G</t>
        </is>
      </c>
      <c r="M5766" s="12" t="inlineStr">
        <is>
          <t>6</t>
        </is>
      </c>
      <c r="N5766" s="12" t="n">
        <v>1</v>
      </c>
      <c r="O5766" s="12" t="n">
        <v>1</v>
      </c>
      <c r="P5766" s="12" t="n">
        <v>480</v>
      </c>
      <c r="Q5766" s="12" t="n">
        <v>15</v>
      </c>
      <c r="R5766" s="12" t="n">
        <v>21.2</v>
      </c>
      <c r="S5766" s="12" t="inlineStr">
        <is>
          <t>Duct bank</t>
        </is>
      </c>
      <c r="T5766" s="17" t="n">
        <v>466</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is>
          <t>VD 2.1 %</t>
        </is>
      </c>
      <c r="AA5766" s="12">
        <f>N5766*O5766</f>
        <v/>
      </c>
    </row>
    <row r="5767">
      <c r="A5767" s="12" t="inlineStr">
        <is>
          <t>K-P-0053</t>
        </is>
      </c>
      <c r="B5767" s="12" t="inlineStr">
        <is>
          <t>K</t>
        </is>
      </c>
      <c r="C5767" s="12" t="inlineStr">
        <is>
          <t>Fuel supply (adjacent market)</t>
        </is>
      </c>
      <c r="D5767" s="12" t="inlineStr">
        <is>
          <t>LV power feeder</t>
        </is>
      </c>
      <c r="E5767" s="12" t="inlineStr"/>
      <c r="F5767" s="12" t="inlineStr">
        <is>
          <t>LNG 17: LNG e-house (13.8 kV / 480 V)</t>
        </is>
      </c>
      <c r="G5767" s="12" t="inlineStr"/>
      <c r="H5767" s="12" t="inlineStr">
        <is>
          <t>M&amp;R CP test station (as drawn)</t>
        </is>
      </c>
      <c r="I5767" s="12" t="inlineStr">
        <is>
          <t>LV 600 V</t>
        </is>
      </c>
      <c r="J5767" s="12" t="inlineStr">
        <is>
          <t>ARMOR-X MC-HL 600 V 3/C Cu XHHW-2 + ground, CWA, black PVC (Class I Div 2)</t>
        </is>
      </c>
      <c r="K5767" s="12" t="inlineStr">
        <is>
          <t>LVAX|3/C+G|6</t>
        </is>
      </c>
      <c r="L5767" s="12" t="inlineStr">
        <is>
          <t>3/C+G</t>
        </is>
      </c>
      <c r="M5767" s="12" t="inlineStr">
        <is>
          <t>6</t>
        </is>
      </c>
      <c r="N5767" s="12" t="n">
        <v>1</v>
      </c>
      <c r="O5767" s="12" t="n">
        <v>1</v>
      </c>
      <c r="P5767" s="12" t="n">
        <v>480</v>
      </c>
      <c r="Q5767" s="12" t="n">
        <v>15</v>
      </c>
      <c r="R5767" s="12" t="n">
        <v>21.2</v>
      </c>
      <c r="S5767" s="12" t="inlineStr">
        <is>
          <t>Duct bank</t>
        </is>
      </c>
      <c r="T5767" s="17" t="n">
        <v>441</v>
      </c>
      <c r="U5767" s="17" t="n">
        <v>42</v>
      </c>
      <c r="V5767" s="17">
        <f>ROUNDUP((T5767+U5767+2*'Read Me'!$B$13)*(1+'Read Me'!$B$12),-1)</f>
        <v/>
      </c>
      <c r="W5767" s="17">
        <f>V5767*N5767*O5767</f>
        <v/>
      </c>
      <c r="X5767" s="12">
        <f>IF(LEFT(I5767,2)="MV",2*N5767*IF(L5767="1/C",O5767,1),0)</f>
        <v/>
      </c>
      <c r="Y5767" s="12">
        <f>IF(OR(LEFT(K5767,4)="LVAX",LEFT(K5767,6)="MV15AX",LEFT(K5767,4)="CTAX",LEFT(K5767,2)="W|"),2*N5767*O5767,0)</f>
        <v/>
      </c>
      <c r="Z5767" s="12" t="inlineStr">
        <is>
          <t>VD 2.0 %</t>
        </is>
      </c>
      <c r="AA5767" s="12">
        <f>N5767*O5767</f>
        <v/>
      </c>
    </row>
    <row r="5768">
      <c r="A5768" s="12" t="inlineStr">
        <is>
          <t>K-P-0054</t>
        </is>
      </c>
      <c r="B5768" s="12" t="inlineStr">
        <is>
          <t>K</t>
        </is>
      </c>
      <c r="C5768" s="12" t="inlineStr">
        <is>
          <t>Fuel supply (adjacent market)</t>
        </is>
      </c>
      <c r="D5768" s="12" t="inlineStr">
        <is>
          <t>LV power feeder</t>
        </is>
      </c>
      <c r="E5768" s="12" t="inlineStr"/>
      <c r="F5768" s="12" t="inlineStr">
        <is>
          <t>LNG 17: LNG e-house (13.8 kV / 480 V)</t>
        </is>
      </c>
      <c r="G5768" s="12" t="inlineStr"/>
      <c r="H5768" s="12" t="inlineStr">
        <is>
          <t>M&amp;R SCADA antenna mast base (as drawn)</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7" t="n">
        <v>433</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is>
          <t>VD 3.0 %</t>
        </is>
      </c>
      <c r="AA5768" s="12">
        <f>N5768*O5768</f>
        <v/>
      </c>
    </row>
    <row r="5769">
      <c r="A5769" s="12" t="inlineStr">
        <is>
          <t>K-MV-0001</t>
        </is>
      </c>
      <c r="B5769" s="12" t="inlineStr">
        <is>
          <t>K</t>
        </is>
      </c>
      <c r="C5769" s="12" t="inlineStr">
        <is>
          <t>Fuel supply (adjacent market)</t>
        </is>
      </c>
      <c r="D5769" s="12" t="inlineStr">
        <is>
          <t>H2 13.8 kV e-house (electrolyzers)</t>
        </is>
      </c>
      <c r="E5769" s="12" t="inlineStr">
        <is>
          <t>SWGR-13.8-3</t>
        </is>
      </c>
      <c r="F5769" s="12" t="inlineStr">
        <is>
          <t>R1 SWGR-13.8-3 (11 x 36 in cubicles, 15 kV metal-clad)</t>
        </is>
      </c>
      <c r="G5769" s="12" t="inlineStr"/>
      <c r="H5769" s="12" t="inlineStr">
        <is>
          <t>H2 20: 13.8 kV e-house</t>
        </is>
      </c>
      <c r="I5769" s="12" t="inlineStr">
        <is>
          <t>MV 15 kV</t>
        </is>
      </c>
      <c r="J5769" s="12" t="inlineStr">
        <is>
          <t>MV-105 15 kV 1/C Cu, EPR 133%, Cu tape shield, PVC jacket (triplexed)</t>
        </is>
      </c>
      <c r="K5769" s="12" t="inlineStr">
        <is>
          <t>MV15|1/C|750</t>
        </is>
      </c>
      <c r="L5769" s="12" t="inlineStr">
        <is>
          <t>1/C</t>
        </is>
      </c>
      <c r="M5769" s="12" t="inlineStr">
        <is>
          <t>750 kcmil</t>
        </is>
      </c>
      <c r="N5769" s="12" t="n">
        <v>2</v>
      </c>
      <c r="O5769" s="12" t="n">
        <v>3</v>
      </c>
      <c r="P5769" s="12" t="n">
        <v>13800</v>
      </c>
      <c r="Q5769" s="12" t="n">
        <v>20000</v>
      </c>
      <c r="R5769" s="12" t="n">
        <v>837</v>
      </c>
      <c r="S5769" s="12" t="inlineStr">
        <is>
          <t>HV duct bank</t>
        </is>
      </c>
      <c r="T5769" s="17" t="n">
        <v>4013</v>
      </c>
      <c r="U5769" s="17" t="n">
        <v>128</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K-MV-0002</t>
        </is>
      </c>
      <c r="B5770" s="12" t="inlineStr">
        <is>
          <t>K</t>
        </is>
      </c>
      <c r="C5770" s="12" t="inlineStr">
        <is>
          <t>Fuel supply (adjacent market)</t>
        </is>
      </c>
      <c r="D5770" s="12" t="inlineStr">
        <is>
          <t>LNG e-house</t>
        </is>
      </c>
      <c r="E5770" s="12" t="inlineStr">
        <is>
          <t>SWGR-13.8-3</t>
        </is>
      </c>
      <c r="F5770" s="12" t="inlineStr">
        <is>
          <t>R1 SWGR-13.8-3 (11 x 36 in cubicles, 15 kV metal-clad)</t>
        </is>
      </c>
      <c r="G5770" s="12" t="inlineStr"/>
      <c r="H5770" s="12" t="inlineStr">
        <is>
          <t>LNG 17: LNG e-house (13.8 kV / 480 V)</t>
        </is>
      </c>
      <c r="I5770" s="12" t="inlineStr">
        <is>
          <t>MV 15 kV</t>
        </is>
      </c>
      <c r="J5770" s="12" t="inlineStr">
        <is>
          <t>MV-105 15 kV 1/C Cu, EPR 133%, Cu tape shield, PVC jacket (triplexed)</t>
        </is>
      </c>
      <c r="K5770" s="12" t="inlineStr">
        <is>
          <t>MV15|1/C|4/0</t>
        </is>
      </c>
      <c r="L5770" s="12" t="inlineStr">
        <is>
          <t>1/C</t>
        </is>
      </c>
      <c r="M5770" s="12" t="inlineStr">
        <is>
          <t>4/0</t>
        </is>
      </c>
      <c r="N5770" s="12" t="n">
        <v>1</v>
      </c>
      <c r="O5770" s="12" t="n">
        <v>3</v>
      </c>
      <c r="P5770" s="12" t="n">
        <v>13800</v>
      </c>
      <c r="Q5770" s="12" t="n">
        <v>5000</v>
      </c>
      <c r="R5770" s="12" t="n">
        <v>209</v>
      </c>
      <c r="S5770" s="12" t="inlineStr">
        <is>
          <t>Duct bank</t>
        </is>
      </c>
      <c r="T5770" s="17" t="n">
        <v>2649</v>
      </c>
      <c r="U5770" s="17" t="n">
        <v>219</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C-C-0128</t>
        </is>
      </c>
      <c r="B5771" s="12" t="inlineStr">
        <is>
          <t>C</t>
        </is>
      </c>
      <c r="C5771" s="12" t="inlineStr">
        <is>
          <t>Grid interface</t>
        </is>
      </c>
      <c r="D5771" s="12" t="inlineStr">
        <is>
          <t>Motor 1 of 10: control / local station</t>
        </is>
      </c>
      <c r="E5771" s="12" t="inlineStr">
        <is>
          <t>MCC-C1</t>
        </is>
      </c>
      <c r="F5771" s="12" t="inlineStr">
        <is>
          <t>R1 MCC-C1</t>
        </is>
      </c>
      <c r="G5771" s="12" t="inlineStr"/>
      <c r="H5771" s="12" t="inlineStr">
        <is>
          <t xml:space="preserve">CO2 compression 3 x ~19 MW + dehydration: rooftop HVAC, exhaust fans, </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Tray</t>
        </is>
      </c>
      <c r="T5771" s="17" t="n">
        <v>1744</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C-C-0129</t>
        </is>
      </c>
      <c r="B5772" s="12" t="inlineStr">
        <is>
          <t>C</t>
        </is>
      </c>
      <c r="C5772" s="12" t="inlineStr">
        <is>
          <t>Grid interface</t>
        </is>
      </c>
      <c r="D5772" s="12" t="inlineStr">
        <is>
          <t>Motor 2 of 10: control / local station</t>
        </is>
      </c>
      <c r="E5772" s="12" t="inlineStr">
        <is>
          <t>MCC-C1</t>
        </is>
      </c>
      <c r="F5772" s="12" t="inlineStr">
        <is>
          <t>R1 MCC-C1</t>
        </is>
      </c>
      <c r="G5772" s="12" t="inlineStr"/>
      <c r="H5772" s="12" t="inlineStr">
        <is>
          <t xml:space="preserve">CO2 compression 3 x ~19 MW + dehydration: rooftop HVAC, exhaust fans, </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Tray</t>
        </is>
      </c>
      <c r="T5772" s="17" t="n">
        <v>1744</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C-C-0130</t>
        </is>
      </c>
      <c r="B5773" s="12" t="inlineStr">
        <is>
          <t>C</t>
        </is>
      </c>
      <c r="C5773" s="12" t="inlineStr">
        <is>
          <t>Grid interface</t>
        </is>
      </c>
      <c r="D5773" s="12" t="inlineStr">
        <is>
          <t>Motor 3 of 10: control / local station</t>
        </is>
      </c>
      <c r="E5773" s="12" t="inlineStr">
        <is>
          <t>MCC-C1</t>
        </is>
      </c>
      <c r="F5773" s="12" t="inlineStr">
        <is>
          <t>R1 MCC-C1</t>
        </is>
      </c>
      <c r="G5773" s="12" t="inlineStr"/>
      <c r="H5773" s="12" t="inlineStr">
        <is>
          <t xml:space="preserve">CO2 compression 3 x ~19 MW + dehydration: rooftop HVAC, exhaust fans, </t>
        </is>
      </c>
      <c r="I5773" s="12" t="inlineStr">
        <is>
          <t>Control</t>
        </is>
      </c>
      <c r="J5773" s="12" t="inlineStr">
        <is>
          <t>Control cable 600 V Type TC-ER, Cu #14 AWG, PVC jacket</t>
        </is>
      </c>
      <c r="K5773" s="12" t="inlineStr">
        <is>
          <t>CT|7/C|14</t>
        </is>
      </c>
      <c r="L5773" s="12" t="inlineStr">
        <is>
          <t>7/C</t>
        </is>
      </c>
      <c r="M5773" s="12" t="inlineStr">
        <is>
          <t>14</t>
        </is>
      </c>
      <c r="N5773" s="12" t="n">
        <v>1</v>
      </c>
      <c r="O5773" s="12" t="n">
        <v>1</v>
      </c>
      <c r="P5773" s="12" t="n"/>
      <c r="Q5773" s="12" t="n"/>
      <c r="R5773" s="12" t="n"/>
      <c r="S5773" s="12" t="inlineStr">
        <is>
          <t>Tray</t>
        </is>
      </c>
      <c r="T5773" s="17" t="n">
        <v>1744</v>
      </c>
      <c r="U5773" s="17" t="n">
        <v>161</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C-C-0131</t>
        </is>
      </c>
      <c r="B5774" s="12" t="inlineStr">
        <is>
          <t>C</t>
        </is>
      </c>
      <c r="C5774" s="12" t="inlineStr">
        <is>
          <t>Grid interface</t>
        </is>
      </c>
      <c r="D5774" s="12" t="inlineStr">
        <is>
          <t>Motor 4 of 10: control / local station</t>
        </is>
      </c>
      <c r="E5774" s="12" t="inlineStr">
        <is>
          <t>MCC-C1</t>
        </is>
      </c>
      <c r="F5774" s="12" t="inlineStr">
        <is>
          <t>R1 MCC-C1</t>
        </is>
      </c>
      <c r="G5774" s="12" t="inlineStr"/>
      <c r="H5774" s="12" t="inlineStr">
        <is>
          <t xml:space="preserve">CO2 compression 3 x ~19 MW + dehydration: rooftop HVAC, exhaust fans, </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Tray</t>
        </is>
      </c>
      <c r="T5774" s="17" t="n">
        <v>1744</v>
      </c>
      <c r="U5774" s="17" t="n">
        <v>161</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C-C-0132</t>
        </is>
      </c>
      <c r="B5775" s="12" t="inlineStr">
        <is>
          <t>C</t>
        </is>
      </c>
      <c r="C5775" s="12" t="inlineStr">
        <is>
          <t>Grid interface</t>
        </is>
      </c>
      <c r="D5775" s="12" t="inlineStr">
        <is>
          <t>Motor 5 of 10: control / local station</t>
        </is>
      </c>
      <c r="E5775" s="12" t="inlineStr">
        <is>
          <t>MCC-C1</t>
        </is>
      </c>
      <c r="F5775" s="12" t="inlineStr">
        <is>
          <t>R1 MCC-C1</t>
        </is>
      </c>
      <c r="G5775" s="12" t="inlineStr"/>
      <c r="H5775" s="12" t="inlineStr">
        <is>
          <t xml:space="preserve">CO2 compression 3 x ~19 MW + dehydration: rooftop HVAC, exhaust fans, </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Tray</t>
        </is>
      </c>
      <c r="T5775" s="17" t="n">
        <v>1744</v>
      </c>
      <c r="U5775" s="17" t="n">
        <v>161</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C-C-0133</t>
        </is>
      </c>
      <c r="B5776" s="12" t="inlineStr">
        <is>
          <t>C</t>
        </is>
      </c>
      <c r="C5776" s="12" t="inlineStr">
        <is>
          <t>Grid interface</t>
        </is>
      </c>
      <c r="D5776" s="12" t="inlineStr">
        <is>
          <t>Motor 6 of 10: control / local station</t>
        </is>
      </c>
      <c r="E5776" s="12" t="inlineStr">
        <is>
          <t>MCC-C1</t>
        </is>
      </c>
      <c r="F5776" s="12" t="inlineStr">
        <is>
          <t>R1 MCC-C1</t>
        </is>
      </c>
      <c r="G5776" s="12" t="inlineStr"/>
      <c r="H5776" s="12" t="inlineStr">
        <is>
          <t xml:space="preserve">CO2 compression 3 x ~19 MW + dehydration: rooftop HVAC, exhaust fans, </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Tray</t>
        </is>
      </c>
      <c r="T5776" s="17" t="n">
        <v>1744</v>
      </c>
      <c r="U5776" s="17" t="n">
        <v>161</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C-C-0134</t>
        </is>
      </c>
      <c r="B5777" s="12" t="inlineStr">
        <is>
          <t>C</t>
        </is>
      </c>
      <c r="C5777" s="12" t="inlineStr">
        <is>
          <t>Grid interface</t>
        </is>
      </c>
      <c r="D5777" s="12" t="inlineStr">
        <is>
          <t>Motor 7 of 10: control / local station</t>
        </is>
      </c>
      <c r="E5777" s="12" t="inlineStr">
        <is>
          <t>MCC-C1</t>
        </is>
      </c>
      <c r="F5777" s="12" t="inlineStr">
        <is>
          <t>R1 MCC-C1</t>
        </is>
      </c>
      <c r="G5777" s="12" t="inlineStr"/>
      <c r="H5777" s="12" t="inlineStr">
        <is>
          <t xml:space="preserve">CO2 compression 3 x ~19 MW + dehydration: rooftop HVAC, exhaust fans, </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Tray</t>
        </is>
      </c>
      <c r="T5777" s="17" t="n">
        <v>1744</v>
      </c>
      <c r="U5777" s="17" t="n">
        <v>161</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C-C-0135</t>
        </is>
      </c>
      <c r="B5778" s="12" t="inlineStr">
        <is>
          <t>C</t>
        </is>
      </c>
      <c r="C5778" s="12" t="inlineStr">
        <is>
          <t>Grid interface</t>
        </is>
      </c>
      <c r="D5778" s="12" t="inlineStr">
        <is>
          <t>Motor 8 of 10: control / local station</t>
        </is>
      </c>
      <c r="E5778" s="12" t="inlineStr">
        <is>
          <t>MCC-C1</t>
        </is>
      </c>
      <c r="F5778" s="12" t="inlineStr">
        <is>
          <t>R1 MCC-C1</t>
        </is>
      </c>
      <c r="G5778" s="12" t="inlineStr"/>
      <c r="H5778" s="12" t="inlineStr">
        <is>
          <t xml:space="preserve">CO2 compression 3 x ~19 MW + dehydration: rooftop HVAC, exhaust fans, </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Tray</t>
        </is>
      </c>
      <c r="T5778" s="17" t="n">
        <v>1744</v>
      </c>
      <c r="U5778" s="17" t="n">
        <v>161</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C-C-0136</t>
        </is>
      </c>
      <c r="B5779" s="12" t="inlineStr">
        <is>
          <t>C</t>
        </is>
      </c>
      <c r="C5779" s="12" t="inlineStr">
        <is>
          <t>Grid interface</t>
        </is>
      </c>
      <c r="D5779" s="12" t="inlineStr">
        <is>
          <t>Motor 9 of 10: control / local station</t>
        </is>
      </c>
      <c r="E5779" s="12" t="inlineStr">
        <is>
          <t>MCC-C1</t>
        </is>
      </c>
      <c r="F5779" s="12" t="inlineStr">
        <is>
          <t>R1 MCC-C1</t>
        </is>
      </c>
      <c r="G5779" s="12" t="inlineStr"/>
      <c r="H5779" s="12" t="inlineStr">
        <is>
          <t xml:space="preserve">CO2 compression 3 x ~19 MW + dehydration: rooftop HVAC, exhaust fans, </t>
        </is>
      </c>
      <c r="I5779" s="12" t="inlineStr">
        <is>
          <t>Control</t>
        </is>
      </c>
      <c r="J5779" s="12" t="inlineStr">
        <is>
          <t>Control cable 600 V Type TC-ER, Cu #14 AWG, PVC jacket</t>
        </is>
      </c>
      <c r="K5779" s="12" t="inlineStr">
        <is>
          <t>CT|7/C|14</t>
        </is>
      </c>
      <c r="L5779" s="12" t="inlineStr">
        <is>
          <t>7/C</t>
        </is>
      </c>
      <c r="M5779" s="12" t="inlineStr">
        <is>
          <t>14</t>
        </is>
      </c>
      <c r="N5779" s="12" t="n">
        <v>1</v>
      </c>
      <c r="O5779" s="12" t="n">
        <v>1</v>
      </c>
      <c r="P5779" s="12" t="n"/>
      <c r="Q5779" s="12" t="n"/>
      <c r="R5779" s="12" t="n"/>
      <c r="S5779" s="12" t="inlineStr">
        <is>
          <t>Tray</t>
        </is>
      </c>
      <c r="T5779" s="17" t="n">
        <v>1744</v>
      </c>
      <c r="U5779" s="17" t="n">
        <v>161</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C-C-0137</t>
        </is>
      </c>
      <c r="B5780" s="12" t="inlineStr">
        <is>
          <t>C</t>
        </is>
      </c>
      <c r="C5780" s="12" t="inlineStr">
        <is>
          <t>Grid interface</t>
        </is>
      </c>
      <c r="D5780" s="12" t="inlineStr">
        <is>
          <t>Motor 10 of 10: control / local station</t>
        </is>
      </c>
      <c r="E5780" s="12" t="inlineStr">
        <is>
          <t>MCC-C1</t>
        </is>
      </c>
      <c r="F5780" s="12" t="inlineStr">
        <is>
          <t>R1 MCC-C1</t>
        </is>
      </c>
      <c r="G5780" s="12" t="inlineStr"/>
      <c r="H5780" s="12" t="inlineStr">
        <is>
          <t xml:space="preserve">CO2 compression 3 x ~19 MW + dehydration: rooftop HVAC, exhaust fans, </t>
        </is>
      </c>
      <c r="I5780" s="12" t="inlineStr">
        <is>
          <t>Control</t>
        </is>
      </c>
      <c r="J5780" s="12" t="inlineStr">
        <is>
          <t>Control cable 600 V Type TC-ER, Cu #14 AWG, PVC jacket</t>
        </is>
      </c>
      <c r="K5780" s="12" t="inlineStr">
        <is>
          <t>CT|7/C|14</t>
        </is>
      </c>
      <c r="L5780" s="12" t="inlineStr">
        <is>
          <t>7/C</t>
        </is>
      </c>
      <c r="M5780" s="12" t="inlineStr">
        <is>
          <t>14</t>
        </is>
      </c>
      <c r="N5780" s="12" t="n">
        <v>1</v>
      </c>
      <c r="O5780" s="12" t="n">
        <v>1</v>
      </c>
      <c r="P5780" s="12" t="n"/>
      <c r="Q5780" s="12" t="n"/>
      <c r="R5780" s="12" t="n"/>
      <c r="S5780" s="12" t="inlineStr">
        <is>
          <t>Tray</t>
        </is>
      </c>
      <c r="T5780" s="17" t="n">
        <v>1744</v>
      </c>
      <c r="U5780" s="17" t="n">
        <v>161</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C-C-0138</t>
        </is>
      </c>
      <c r="B5781" s="12" t="inlineStr">
        <is>
          <t>C</t>
        </is>
      </c>
      <c r="C5781" s="12" t="inlineStr">
        <is>
          <t>Grid interface</t>
        </is>
      </c>
      <c r="D5781" s="12" t="inlineStr">
        <is>
          <t>Motor 1 of 2: control / local station</t>
        </is>
      </c>
      <c r="E5781" s="12" t="inlineStr">
        <is>
          <t>MCC-C1</t>
        </is>
      </c>
      <c r="F5781" s="12" t="inlineStr">
        <is>
          <t>R1 MCC-C1</t>
        </is>
      </c>
      <c r="G5781" s="12" t="inlineStr"/>
      <c r="H5781" s="12" t="inlineStr">
        <is>
          <t>Small-bore piping: instrument air, service water, nitrogen, HRSG drain</t>
        </is>
      </c>
      <c r="I5781" s="12" t="inlineStr">
        <is>
          <t>Control</t>
        </is>
      </c>
      <c r="J5781" s="12" t="inlineStr">
        <is>
          <t>Control cable 600 V Type TC-ER, Cu #14 AWG, PVC jacket</t>
        </is>
      </c>
      <c r="K5781" s="12" t="inlineStr">
        <is>
          <t>CT|7/C|14</t>
        </is>
      </c>
      <c r="L5781" s="12" t="inlineStr">
        <is>
          <t>7/C</t>
        </is>
      </c>
      <c r="M5781" s="12" t="inlineStr">
        <is>
          <t>14</t>
        </is>
      </c>
      <c r="N5781" s="12" t="n">
        <v>1</v>
      </c>
      <c r="O5781" s="12" t="n">
        <v>1</v>
      </c>
      <c r="P5781" s="12" t="n"/>
      <c r="Q5781" s="12" t="n"/>
      <c r="R5781" s="12" t="n"/>
      <c r="S5781" s="12" t="inlineStr">
        <is>
          <t>Tray</t>
        </is>
      </c>
      <c r="T5781" s="17" t="n">
        <v>614</v>
      </c>
      <c r="U5781" s="17" t="n">
        <v>145</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C-C-0139</t>
        </is>
      </c>
      <c r="B5782" s="12" t="inlineStr">
        <is>
          <t>C</t>
        </is>
      </c>
      <c r="C5782" s="12" t="inlineStr">
        <is>
          <t>Grid interface</t>
        </is>
      </c>
      <c r="D5782" s="12" t="inlineStr">
        <is>
          <t>Motor 2 of 2: control / local station</t>
        </is>
      </c>
      <c r="E5782" s="12" t="inlineStr">
        <is>
          <t>MCC-C1</t>
        </is>
      </c>
      <c r="F5782" s="12" t="inlineStr">
        <is>
          <t>R1 MCC-C1</t>
        </is>
      </c>
      <c r="G5782" s="12" t="inlineStr"/>
      <c r="H5782" s="12" t="inlineStr">
        <is>
          <t>Small-bore piping: instrument air, service water, nitrogen, HRSG drain</t>
        </is>
      </c>
      <c r="I5782" s="12" t="inlineStr">
        <is>
          <t>Control</t>
        </is>
      </c>
      <c r="J5782" s="12" t="inlineStr">
        <is>
          <t>Control cable 600 V Type TC-ER, Cu #14 AWG, PVC jacket</t>
        </is>
      </c>
      <c r="K5782" s="12" t="inlineStr">
        <is>
          <t>CT|7/C|14</t>
        </is>
      </c>
      <c r="L5782" s="12" t="inlineStr">
        <is>
          <t>7/C</t>
        </is>
      </c>
      <c r="M5782" s="12" t="inlineStr">
        <is>
          <t>14</t>
        </is>
      </c>
      <c r="N5782" s="12" t="n">
        <v>1</v>
      </c>
      <c r="O5782" s="12" t="n">
        <v>1</v>
      </c>
      <c r="P5782" s="12" t="n"/>
      <c r="Q5782" s="12" t="n"/>
      <c r="R5782" s="12" t="n"/>
      <c r="S5782" s="12" t="inlineStr">
        <is>
          <t>Tray</t>
        </is>
      </c>
      <c r="T5782" s="17" t="n">
        <v>614</v>
      </c>
      <c r="U5782" s="17" t="n">
        <v>145</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C-C-0140</t>
        </is>
      </c>
      <c r="B5783" s="12" t="inlineStr">
        <is>
          <t>C</t>
        </is>
      </c>
      <c r="C5783" s="12" t="inlineStr">
        <is>
          <t>Grid interface</t>
        </is>
      </c>
      <c r="D5783" s="12" t="inlineStr">
        <is>
          <t>Motor 1 of 8: control / local station</t>
        </is>
      </c>
      <c r="E5783" s="12" t="inlineStr">
        <is>
          <t>MCC-C1</t>
        </is>
      </c>
      <c r="F5783" s="12" t="inlineStr">
        <is>
          <t>R1 MCC-C1</t>
        </is>
      </c>
      <c r="G5783" s="12" t="inlineStr"/>
      <c r="H5783" s="12" t="inlineStr">
        <is>
          <t>Wastewater treatment: rooftop HVAC, exhaust fans, vents</t>
        </is>
      </c>
      <c r="I5783" s="12" t="inlineStr">
        <is>
          <t>Control</t>
        </is>
      </c>
      <c r="J5783" s="12" t="inlineStr">
        <is>
          <t>Control cable 600 V Type TC-ER, Cu #14 AWG, PVC jacket</t>
        </is>
      </c>
      <c r="K5783" s="12" t="inlineStr">
        <is>
          <t>CT|7/C|14</t>
        </is>
      </c>
      <c r="L5783" s="12" t="inlineStr">
        <is>
          <t>7/C</t>
        </is>
      </c>
      <c r="M5783" s="12" t="inlineStr">
        <is>
          <t>14</t>
        </is>
      </c>
      <c r="N5783" s="12" t="n">
        <v>1</v>
      </c>
      <c r="O5783" s="12" t="n">
        <v>1</v>
      </c>
      <c r="P5783" s="12" t="n"/>
      <c r="Q5783" s="12" t="n"/>
      <c r="R5783" s="12" t="n"/>
      <c r="S5783" s="12" t="inlineStr">
        <is>
          <t>Duct bank</t>
        </is>
      </c>
      <c r="T5783" s="17" t="n">
        <v>1859</v>
      </c>
      <c r="U5783" s="17" t="n">
        <v>228</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C-C-0141</t>
        </is>
      </c>
      <c r="B5784" s="12" t="inlineStr">
        <is>
          <t>C</t>
        </is>
      </c>
      <c r="C5784" s="12" t="inlineStr">
        <is>
          <t>Grid interface</t>
        </is>
      </c>
      <c r="D5784" s="12" t="inlineStr">
        <is>
          <t>Motor 2 of 8: control / local station</t>
        </is>
      </c>
      <c r="E5784" s="12" t="inlineStr">
        <is>
          <t>MCC-C1</t>
        </is>
      </c>
      <c r="F5784" s="12" t="inlineStr">
        <is>
          <t>R1 MCC-C1</t>
        </is>
      </c>
      <c r="G5784" s="12" t="inlineStr"/>
      <c r="H5784" s="12" t="inlineStr">
        <is>
          <t>Wastewater treatment: rooftop HVAC, exhaust fans, vents</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7" t="n">
        <v>1859</v>
      </c>
      <c r="U5784" s="17" t="n">
        <v>228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C-C-0142</t>
        </is>
      </c>
      <c r="B5785" s="12" t="inlineStr">
        <is>
          <t>C</t>
        </is>
      </c>
      <c r="C5785" s="12" t="inlineStr">
        <is>
          <t>Grid interface</t>
        </is>
      </c>
      <c r="D5785" s="12" t="inlineStr">
        <is>
          <t>Motor 3 of 8: control / local station</t>
        </is>
      </c>
      <c r="E5785" s="12" t="inlineStr">
        <is>
          <t>MCC-C1</t>
        </is>
      </c>
      <c r="F5785" s="12" t="inlineStr">
        <is>
          <t>R1 MCC-C1</t>
        </is>
      </c>
      <c r="G5785" s="12" t="inlineStr"/>
      <c r="H5785" s="12" t="inlineStr">
        <is>
          <t>Wastewater treatment: rooftop HVAC, exhaust fans, vents</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7" t="n">
        <v>1859</v>
      </c>
      <c r="U5785" s="17" t="n">
        <v>228</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C-C-0143</t>
        </is>
      </c>
      <c r="B5786" s="12" t="inlineStr">
        <is>
          <t>C</t>
        </is>
      </c>
      <c r="C5786" s="12" t="inlineStr">
        <is>
          <t>Grid interface</t>
        </is>
      </c>
      <c r="D5786" s="12" t="inlineStr">
        <is>
          <t>Motor 4 of 8: control / local station</t>
        </is>
      </c>
      <c r="E5786" s="12" t="inlineStr">
        <is>
          <t>MCC-C1</t>
        </is>
      </c>
      <c r="F5786" s="12" t="inlineStr">
        <is>
          <t>R1 MCC-C1</t>
        </is>
      </c>
      <c r="G5786" s="12" t="inlineStr"/>
      <c r="H5786" s="12" t="inlineStr">
        <is>
          <t>Wastewater treatment: rooftop HVAC, exhaust fans, vents</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7" t="n">
        <v>1859</v>
      </c>
      <c r="U5786" s="17" t="n">
        <v>228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C-C-0144</t>
        </is>
      </c>
      <c r="B5787" s="12" t="inlineStr">
        <is>
          <t>C</t>
        </is>
      </c>
      <c r="C5787" s="12" t="inlineStr">
        <is>
          <t>Grid interface</t>
        </is>
      </c>
      <c r="D5787" s="12" t="inlineStr">
        <is>
          <t>Motor 5 of 8: control / local station</t>
        </is>
      </c>
      <c r="E5787" s="12" t="inlineStr">
        <is>
          <t>MCC-C1</t>
        </is>
      </c>
      <c r="F5787" s="12" t="inlineStr">
        <is>
          <t>R1 MCC-C1</t>
        </is>
      </c>
      <c r="G5787" s="12" t="inlineStr"/>
      <c r="H5787" s="12" t="inlineStr">
        <is>
          <t>Wastewater treatment: rooftop HVAC, exhaust fans, vents</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7" t="n">
        <v>1859</v>
      </c>
      <c r="U5787" s="17" t="n">
        <v>228</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C-C-0145</t>
        </is>
      </c>
      <c r="B5788" s="12" t="inlineStr">
        <is>
          <t>C</t>
        </is>
      </c>
      <c r="C5788" s="12" t="inlineStr">
        <is>
          <t>Grid interface</t>
        </is>
      </c>
      <c r="D5788" s="12" t="inlineStr">
        <is>
          <t>Motor 6 of 8: control / local station</t>
        </is>
      </c>
      <c r="E5788" s="12" t="inlineStr">
        <is>
          <t>MCC-C1</t>
        </is>
      </c>
      <c r="F5788" s="12" t="inlineStr">
        <is>
          <t>R1 MCC-C1</t>
        </is>
      </c>
      <c r="G5788" s="12" t="inlineStr"/>
      <c r="H5788" s="12" t="inlineStr">
        <is>
          <t>Wastewater treatment: rooftop HVAC, exhaust fans, vents</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7" t="n">
        <v>1859</v>
      </c>
      <c r="U5788" s="17" t="n">
        <v>228</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C-C-0146</t>
        </is>
      </c>
      <c r="B5789" s="12" t="inlineStr">
        <is>
          <t>C</t>
        </is>
      </c>
      <c r="C5789" s="12" t="inlineStr">
        <is>
          <t>Grid interface</t>
        </is>
      </c>
      <c r="D5789" s="12" t="inlineStr">
        <is>
          <t>Motor 7 of 8: control / local station</t>
        </is>
      </c>
      <c r="E5789" s="12" t="inlineStr">
        <is>
          <t>MCC-C1</t>
        </is>
      </c>
      <c r="F5789" s="12" t="inlineStr">
        <is>
          <t>R1 MCC-C1</t>
        </is>
      </c>
      <c r="G5789" s="12" t="inlineStr"/>
      <c r="H5789" s="12" t="inlineStr">
        <is>
          <t>Wastewater treatment: rooftop HVAC, exhaust fans, vents</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Duct bank</t>
        </is>
      </c>
      <c r="T5789" s="17" t="n">
        <v>1859</v>
      </c>
      <c r="U5789" s="17" t="n">
        <v>228</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C-C-0147</t>
        </is>
      </c>
      <c r="B5790" s="12" t="inlineStr">
        <is>
          <t>C</t>
        </is>
      </c>
      <c r="C5790" s="12" t="inlineStr">
        <is>
          <t>Grid interface</t>
        </is>
      </c>
      <c r="D5790" s="12" t="inlineStr">
        <is>
          <t>Motor 8 of 8: control / local station</t>
        </is>
      </c>
      <c r="E5790" s="12" t="inlineStr">
        <is>
          <t>MCC-C1</t>
        </is>
      </c>
      <c r="F5790" s="12" t="inlineStr">
        <is>
          <t>R1 MCC-C1</t>
        </is>
      </c>
      <c r="G5790" s="12" t="inlineStr"/>
      <c r="H5790" s="12" t="inlineStr">
        <is>
          <t>Wastewater treatment: rooftop HVAC, exhaust fans, vents</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Duct bank</t>
        </is>
      </c>
      <c r="T5790" s="17" t="n">
        <v>1859</v>
      </c>
      <c r="U5790" s="17" t="n">
        <v>228</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C-C-0148</t>
        </is>
      </c>
      <c r="B5791" s="12" t="inlineStr">
        <is>
          <t>C</t>
        </is>
      </c>
      <c r="C5791" s="12" t="inlineStr">
        <is>
          <t>Grid interface</t>
        </is>
      </c>
      <c r="D5791" s="12" t="inlineStr">
        <is>
          <t>Motor 1 of 20: control / local station</t>
        </is>
      </c>
      <c r="E5791" s="12" t="inlineStr">
        <is>
          <t>MCC-C1</t>
        </is>
      </c>
      <c r="F5791" s="12" t="inlineStr">
        <is>
          <t>R1 MCC-C1</t>
        </is>
      </c>
      <c r="G5791" s="12" t="inlineStr"/>
      <c r="H5791" s="12" t="inlineStr">
        <is>
          <t>Water treatment building: rooftop HVAC, exhaust fans, vents</t>
        </is>
      </c>
      <c r="I5791" s="12" t="inlineStr">
        <is>
          <t>Control</t>
        </is>
      </c>
      <c r="J5791" s="12" t="inlineStr">
        <is>
          <t>Control cable 600 V Type TC-ER, Cu #14 AWG, PVC jacket</t>
        </is>
      </c>
      <c r="K5791" s="12" t="inlineStr">
        <is>
          <t>CT|7/C|14</t>
        </is>
      </c>
      <c r="L5791" s="12" t="inlineStr">
        <is>
          <t>7/C</t>
        </is>
      </c>
      <c r="M5791" s="12" t="inlineStr">
        <is>
          <t>14</t>
        </is>
      </c>
      <c r="N5791" s="12" t="n">
        <v>1</v>
      </c>
      <c r="O5791" s="12" t="n">
        <v>1</v>
      </c>
      <c r="P5791" s="12" t="n"/>
      <c r="Q5791" s="12" t="n"/>
      <c r="R5791" s="12" t="n"/>
      <c r="S5791" s="12" t="inlineStr">
        <is>
          <t>Duct bank</t>
        </is>
      </c>
      <c r="T5791" s="17" t="n">
        <v>1629</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C-C-0149</t>
        </is>
      </c>
      <c r="B5792" s="12" t="inlineStr">
        <is>
          <t>C</t>
        </is>
      </c>
      <c r="C5792" s="12" t="inlineStr">
        <is>
          <t>Grid interface</t>
        </is>
      </c>
      <c r="D5792" s="12" t="inlineStr">
        <is>
          <t>Motor 2 of 20: control / local station</t>
        </is>
      </c>
      <c r="E5792" s="12" t="inlineStr">
        <is>
          <t>MCC-C1</t>
        </is>
      </c>
      <c r="F5792" s="12" t="inlineStr">
        <is>
          <t>R1 MCC-C1</t>
        </is>
      </c>
      <c r="G5792" s="12" t="inlineStr"/>
      <c r="H5792" s="12" t="inlineStr">
        <is>
          <t>Water treatment building: rooftop HVAC, exhaust fans, vents</t>
        </is>
      </c>
      <c r="I5792" s="12" t="inlineStr">
        <is>
          <t>Control</t>
        </is>
      </c>
      <c r="J5792" s="12" t="inlineStr">
        <is>
          <t>Control cable 600 V Type TC-ER, Cu #14 AWG, PVC jacket</t>
        </is>
      </c>
      <c r="K5792" s="12" t="inlineStr">
        <is>
          <t>CT|7/C|14</t>
        </is>
      </c>
      <c r="L5792" s="12" t="inlineStr">
        <is>
          <t>7/C</t>
        </is>
      </c>
      <c r="M5792" s="12" t="inlineStr">
        <is>
          <t>14</t>
        </is>
      </c>
      <c r="N5792" s="12" t="n">
        <v>1</v>
      </c>
      <c r="O5792" s="12" t="n">
        <v>1</v>
      </c>
      <c r="P5792" s="12" t="n"/>
      <c r="Q5792" s="12" t="n"/>
      <c r="R5792" s="12" t="n"/>
      <c r="S5792" s="12" t="inlineStr">
        <is>
          <t>Duct bank</t>
        </is>
      </c>
      <c r="T5792" s="17" t="n">
        <v>1629</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C-C-0150</t>
        </is>
      </c>
      <c r="B5793" s="12" t="inlineStr">
        <is>
          <t>C</t>
        </is>
      </c>
      <c r="C5793" s="12" t="inlineStr">
        <is>
          <t>Grid interface</t>
        </is>
      </c>
      <c r="D5793" s="12" t="inlineStr">
        <is>
          <t>Motor 3 of 20: control / local station</t>
        </is>
      </c>
      <c r="E5793" s="12" t="inlineStr">
        <is>
          <t>MCC-C1</t>
        </is>
      </c>
      <c r="F5793" s="12" t="inlineStr">
        <is>
          <t>R1 MCC-C1</t>
        </is>
      </c>
      <c r="G5793" s="12" t="inlineStr"/>
      <c r="H5793" s="12" t="inlineStr">
        <is>
          <t>Water treatment building: rooftop HVAC, exhaust fans, vents</t>
        </is>
      </c>
      <c r="I5793" s="12" t="inlineStr">
        <is>
          <t>Control</t>
        </is>
      </c>
      <c r="J5793" s="12" t="inlineStr">
        <is>
          <t>Control cable 600 V Type TC-ER, Cu #14 AWG, PVC jacket</t>
        </is>
      </c>
      <c r="K5793" s="12" t="inlineStr">
        <is>
          <t>CT|7/C|14</t>
        </is>
      </c>
      <c r="L5793" s="12" t="inlineStr">
        <is>
          <t>7/C</t>
        </is>
      </c>
      <c r="M5793" s="12" t="inlineStr">
        <is>
          <t>14</t>
        </is>
      </c>
      <c r="N5793" s="12" t="n">
        <v>1</v>
      </c>
      <c r="O5793" s="12" t="n">
        <v>1</v>
      </c>
      <c r="P5793" s="12" t="n"/>
      <c r="Q5793" s="12" t="n"/>
      <c r="R5793" s="12" t="n"/>
      <c r="S5793" s="12" t="inlineStr">
        <is>
          <t>Duct bank</t>
        </is>
      </c>
      <c r="T5793" s="17" t="n">
        <v>1629</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C-C-0151</t>
        </is>
      </c>
      <c r="B5794" s="12" t="inlineStr">
        <is>
          <t>C</t>
        </is>
      </c>
      <c r="C5794" s="12" t="inlineStr">
        <is>
          <t>Grid interface</t>
        </is>
      </c>
      <c r="D5794" s="12" t="inlineStr">
        <is>
          <t>Motor 4 of 20: control / local station</t>
        </is>
      </c>
      <c r="E5794" s="12" t="inlineStr">
        <is>
          <t>MCC-C1</t>
        </is>
      </c>
      <c r="F5794" s="12" t="inlineStr">
        <is>
          <t>R1 MCC-C1</t>
        </is>
      </c>
      <c r="G5794" s="12" t="inlineStr"/>
      <c r="H5794" s="12" t="inlineStr">
        <is>
          <t>Water treatment building: rooftop HVAC, exhaust fans, vents</t>
        </is>
      </c>
      <c r="I5794" s="12" t="inlineStr">
        <is>
          <t>Control</t>
        </is>
      </c>
      <c r="J5794" s="12" t="inlineStr">
        <is>
          <t>Control cable 600 V Type TC-ER, Cu #14 AWG, PVC jacket</t>
        </is>
      </c>
      <c r="K5794" s="12" t="inlineStr">
        <is>
          <t>CT|7/C|14</t>
        </is>
      </c>
      <c r="L5794" s="12" t="inlineStr">
        <is>
          <t>7/C</t>
        </is>
      </c>
      <c r="M5794" s="12" t="inlineStr">
        <is>
          <t>14</t>
        </is>
      </c>
      <c r="N5794" s="12" t="n">
        <v>1</v>
      </c>
      <c r="O5794" s="12" t="n">
        <v>1</v>
      </c>
      <c r="P5794" s="12" t="n"/>
      <c r="Q5794" s="12" t="n"/>
      <c r="R5794" s="12" t="n"/>
      <c r="S5794" s="12" t="inlineStr">
        <is>
          <t>Duct bank</t>
        </is>
      </c>
      <c r="T5794" s="17" t="n">
        <v>1629</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C-C-0152</t>
        </is>
      </c>
      <c r="B5795" s="12" t="inlineStr">
        <is>
          <t>C</t>
        </is>
      </c>
      <c r="C5795" s="12" t="inlineStr">
        <is>
          <t>Grid interface</t>
        </is>
      </c>
      <c r="D5795" s="12" t="inlineStr">
        <is>
          <t>Motor 5 of 20: control / local station</t>
        </is>
      </c>
      <c r="E5795" s="12" t="inlineStr">
        <is>
          <t>MCC-C1</t>
        </is>
      </c>
      <c r="F5795" s="12" t="inlineStr">
        <is>
          <t>R1 MCC-C1</t>
        </is>
      </c>
      <c r="G5795" s="12" t="inlineStr"/>
      <c r="H5795" s="12" t="inlineStr">
        <is>
          <t>Water treatment building: rooftop HVAC, exhaust fans, vents</t>
        </is>
      </c>
      <c r="I5795" s="12" t="inlineStr">
        <is>
          <t>Control</t>
        </is>
      </c>
      <c r="J5795" s="12" t="inlineStr">
        <is>
          <t>Control cable 600 V Type TC-ER, Cu #14 AWG, PVC jacket</t>
        </is>
      </c>
      <c r="K5795" s="12" t="inlineStr">
        <is>
          <t>CT|7/C|14</t>
        </is>
      </c>
      <c r="L5795" s="12" t="inlineStr">
        <is>
          <t>7/C</t>
        </is>
      </c>
      <c r="M5795" s="12" t="inlineStr">
        <is>
          <t>14</t>
        </is>
      </c>
      <c r="N5795" s="12" t="n">
        <v>1</v>
      </c>
      <c r="O5795" s="12" t="n">
        <v>1</v>
      </c>
      <c r="P5795" s="12" t="n"/>
      <c r="Q5795" s="12" t="n"/>
      <c r="R5795" s="12" t="n"/>
      <c r="S5795" s="12" t="inlineStr">
        <is>
          <t>Duct bank</t>
        </is>
      </c>
      <c r="T5795" s="17" t="n">
        <v>1629</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C-C-0153</t>
        </is>
      </c>
      <c r="B5796" s="12" t="inlineStr">
        <is>
          <t>C</t>
        </is>
      </c>
      <c r="C5796" s="12" t="inlineStr">
        <is>
          <t>Grid interface</t>
        </is>
      </c>
      <c r="D5796" s="12" t="inlineStr">
        <is>
          <t>Motor 6 of 20: control / local station</t>
        </is>
      </c>
      <c r="E5796" s="12" t="inlineStr">
        <is>
          <t>MCC-C1</t>
        </is>
      </c>
      <c r="F5796" s="12" t="inlineStr">
        <is>
          <t>R1 MCC-C1</t>
        </is>
      </c>
      <c r="G5796" s="12" t="inlineStr"/>
      <c r="H5796" s="12" t="inlineStr">
        <is>
          <t>Water treatment building: rooftop HVAC, exhaust fans, vents</t>
        </is>
      </c>
      <c r="I5796" s="12" t="inlineStr">
        <is>
          <t>Control</t>
        </is>
      </c>
      <c r="J5796" s="12" t="inlineStr">
        <is>
          <t>Control cable 600 V Type TC-ER, Cu #14 AWG, PVC jacket</t>
        </is>
      </c>
      <c r="K5796" s="12" t="inlineStr">
        <is>
          <t>CT|7/C|14</t>
        </is>
      </c>
      <c r="L5796" s="12" t="inlineStr">
        <is>
          <t>7/C</t>
        </is>
      </c>
      <c r="M5796" s="12" t="inlineStr">
        <is>
          <t>14</t>
        </is>
      </c>
      <c r="N5796" s="12" t="n">
        <v>1</v>
      </c>
      <c r="O5796" s="12" t="n">
        <v>1</v>
      </c>
      <c r="P5796" s="12" t="n"/>
      <c r="Q5796" s="12" t="n"/>
      <c r="R5796" s="12" t="n"/>
      <c r="S5796" s="12" t="inlineStr">
        <is>
          <t>Duct bank</t>
        </is>
      </c>
      <c r="T5796" s="17" t="n">
        <v>1629</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C-C-0154</t>
        </is>
      </c>
      <c r="B5797" s="12" t="inlineStr">
        <is>
          <t>C</t>
        </is>
      </c>
      <c r="C5797" s="12" t="inlineStr">
        <is>
          <t>Grid interface</t>
        </is>
      </c>
      <c r="D5797" s="12" t="inlineStr">
        <is>
          <t>Motor 7 of 20: control / local station</t>
        </is>
      </c>
      <c r="E5797" s="12" t="inlineStr">
        <is>
          <t>MCC-C1</t>
        </is>
      </c>
      <c r="F5797" s="12" t="inlineStr">
        <is>
          <t>R1 MCC-C1</t>
        </is>
      </c>
      <c r="G5797" s="12" t="inlineStr"/>
      <c r="H5797" s="12" t="inlineStr">
        <is>
          <t>Water treatment building: rooftop HVAC, exhaust fans, vents</t>
        </is>
      </c>
      <c r="I5797" s="12" t="inlineStr">
        <is>
          <t>Control</t>
        </is>
      </c>
      <c r="J5797" s="12" t="inlineStr">
        <is>
          <t>Control cable 600 V Type TC-ER, Cu #14 AWG, PVC jacket</t>
        </is>
      </c>
      <c r="K5797" s="12" t="inlineStr">
        <is>
          <t>CT|7/C|14</t>
        </is>
      </c>
      <c r="L5797" s="12" t="inlineStr">
        <is>
          <t>7/C</t>
        </is>
      </c>
      <c r="M5797" s="12" t="inlineStr">
        <is>
          <t>14</t>
        </is>
      </c>
      <c r="N5797" s="12" t="n">
        <v>1</v>
      </c>
      <c r="O5797" s="12" t="n">
        <v>1</v>
      </c>
      <c r="P5797" s="12" t="n"/>
      <c r="Q5797" s="12" t="n"/>
      <c r="R5797" s="12" t="n"/>
      <c r="S5797" s="12" t="inlineStr">
        <is>
          <t>Duct bank</t>
        </is>
      </c>
      <c r="T5797" s="17" t="n">
        <v>1629</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C-C-0155</t>
        </is>
      </c>
      <c r="B5798" s="12" t="inlineStr">
        <is>
          <t>C</t>
        </is>
      </c>
      <c r="C5798" s="12" t="inlineStr">
        <is>
          <t>Grid interface</t>
        </is>
      </c>
      <c r="D5798" s="12" t="inlineStr">
        <is>
          <t>Motor 8 of 20: control / local station</t>
        </is>
      </c>
      <c r="E5798" s="12" t="inlineStr">
        <is>
          <t>MCC-C1</t>
        </is>
      </c>
      <c r="F5798" s="12" t="inlineStr">
        <is>
          <t>R1 MCC-C1</t>
        </is>
      </c>
      <c r="G5798" s="12" t="inlineStr"/>
      <c r="H5798" s="12" t="inlineStr">
        <is>
          <t>Water treatment building: rooftop HVAC, exhaust fans, vents</t>
        </is>
      </c>
      <c r="I5798" s="12" t="inlineStr">
        <is>
          <t>Control</t>
        </is>
      </c>
      <c r="J5798" s="12" t="inlineStr">
        <is>
          <t>Control cable 600 V Type TC-ER, Cu #14 AWG, PVC jacket</t>
        </is>
      </c>
      <c r="K5798" s="12" t="inlineStr">
        <is>
          <t>CT|7/C|14</t>
        </is>
      </c>
      <c r="L5798" s="12" t="inlineStr">
        <is>
          <t>7/C</t>
        </is>
      </c>
      <c r="M5798" s="12" t="inlineStr">
        <is>
          <t>14</t>
        </is>
      </c>
      <c r="N5798" s="12" t="n">
        <v>1</v>
      </c>
      <c r="O5798" s="12" t="n">
        <v>1</v>
      </c>
      <c r="P5798" s="12" t="n"/>
      <c r="Q5798" s="12" t="n"/>
      <c r="R5798" s="12" t="n"/>
      <c r="S5798" s="12" t="inlineStr">
        <is>
          <t>Duct bank</t>
        </is>
      </c>
      <c r="T5798" s="17" t="n">
        <v>1629</v>
      </c>
      <c r="U5798" s="17" t="n">
        <v>161</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C-C-0156</t>
        </is>
      </c>
      <c r="B5799" s="12" t="inlineStr">
        <is>
          <t>C</t>
        </is>
      </c>
      <c r="C5799" s="12" t="inlineStr">
        <is>
          <t>Grid interface</t>
        </is>
      </c>
      <c r="D5799" s="12" t="inlineStr">
        <is>
          <t>Motor 9 of 20: control / local station</t>
        </is>
      </c>
      <c r="E5799" s="12" t="inlineStr">
        <is>
          <t>MCC-C1</t>
        </is>
      </c>
      <c r="F5799" s="12" t="inlineStr">
        <is>
          <t>R1 MCC-C1</t>
        </is>
      </c>
      <c r="G5799" s="12" t="inlineStr"/>
      <c r="H5799" s="12" t="inlineStr">
        <is>
          <t>Water treatment building: rooftop HVAC, exhaust fans, vents</t>
        </is>
      </c>
      <c r="I5799" s="12" t="inlineStr">
        <is>
          <t>Control</t>
        </is>
      </c>
      <c r="J5799" s="12" t="inlineStr">
        <is>
          <t>Control cable 600 V Type TC-ER, Cu #14 AWG, PVC jacket</t>
        </is>
      </c>
      <c r="K5799" s="12" t="inlineStr">
        <is>
          <t>CT|7/C|14</t>
        </is>
      </c>
      <c r="L5799" s="12" t="inlineStr">
        <is>
          <t>7/C</t>
        </is>
      </c>
      <c r="M5799" s="12" t="inlineStr">
        <is>
          <t>14</t>
        </is>
      </c>
      <c r="N5799" s="12" t="n">
        <v>1</v>
      </c>
      <c r="O5799" s="12" t="n">
        <v>1</v>
      </c>
      <c r="P5799" s="12" t="n"/>
      <c r="Q5799" s="12" t="n"/>
      <c r="R5799" s="12" t="n"/>
      <c r="S5799" s="12" t="inlineStr">
        <is>
          <t>Duct bank</t>
        </is>
      </c>
      <c r="T5799" s="17" t="n">
        <v>1629</v>
      </c>
      <c r="U5799" s="17" t="n">
        <v>161</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C-C-0157</t>
        </is>
      </c>
      <c r="B5800" s="12" t="inlineStr">
        <is>
          <t>C</t>
        </is>
      </c>
      <c r="C5800" s="12" t="inlineStr">
        <is>
          <t>Grid interface</t>
        </is>
      </c>
      <c r="D5800" s="12" t="inlineStr">
        <is>
          <t>Motor 10 of 20: control / local station</t>
        </is>
      </c>
      <c r="E5800" s="12" t="inlineStr">
        <is>
          <t>MCC-C1</t>
        </is>
      </c>
      <c r="F5800" s="12" t="inlineStr">
        <is>
          <t>R1 MCC-C1</t>
        </is>
      </c>
      <c r="G5800" s="12" t="inlineStr"/>
      <c r="H5800" s="12" t="inlineStr">
        <is>
          <t>Water treatment building: rooftop HVAC, exhaust fans, vents</t>
        </is>
      </c>
      <c r="I5800" s="12" t="inlineStr">
        <is>
          <t>Control</t>
        </is>
      </c>
      <c r="J5800" s="12" t="inlineStr">
        <is>
          <t>Control cable 600 V Type TC-ER, Cu #14 AWG, PVC jacket</t>
        </is>
      </c>
      <c r="K5800" s="12" t="inlineStr">
        <is>
          <t>CT|7/C|14</t>
        </is>
      </c>
      <c r="L5800" s="12" t="inlineStr">
        <is>
          <t>7/C</t>
        </is>
      </c>
      <c r="M5800" s="12" t="inlineStr">
        <is>
          <t>14</t>
        </is>
      </c>
      <c r="N5800" s="12" t="n">
        <v>1</v>
      </c>
      <c r="O5800" s="12" t="n">
        <v>1</v>
      </c>
      <c r="P5800" s="12" t="n"/>
      <c r="Q5800" s="12" t="n"/>
      <c r="R5800" s="12" t="n"/>
      <c r="S5800" s="12" t="inlineStr">
        <is>
          <t>Duct bank</t>
        </is>
      </c>
      <c r="T5800" s="17" t="n">
        <v>1629</v>
      </c>
      <c r="U5800" s="17" t="n">
        <v>161</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C-C-0158</t>
        </is>
      </c>
      <c r="B5801" s="12" t="inlineStr">
        <is>
          <t>C</t>
        </is>
      </c>
      <c r="C5801" s="12" t="inlineStr">
        <is>
          <t>Grid interface</t>
        </is>
      </c>
      <c r="D5801" s="12" t="inlineStr">
        <is>
          <t>Motor 11 of 20: control / local station</t>
        </is>
      </c>
      <c r="E5801" s="12" t="inlineStr">
        <is>
          <t>MCC-C1</t>
        </is>
      </c>
      <c r="F5801" s="12" t="inlineStr">
        <is>
          <t>R1 MCC-C1</t>
        </is>
      </c>
      <c r="G5801" s="12" t="inlineStr"/>
      <c r="H5801" s="12" t="inlineStr">
        <is>
          <t>Water treatment building: rooftop HVAC, exhaust fans, vents</t>
        </is>
      </c>
      <c r="I5801" s="12" t="inlineStr">
        <is>
          <t>Control</t>
        </is>
      </c>
      <c r="J5801" s="12" t="inlineStr">
        <is>
          <t>Control cable 600 V Type TC-ER, Cu #14 AWG, PVC jacket</t>
        </is>
      </c>
      <c r="K5801" s="12" t="inlineStr">
        <is>
          <t>CT|7/C|14</t>
        </is>
      </c>
      <c r="L5801" s="12" t="inlineStr">
        <is>
          <t>7/C</t>
        </is>
      </c>
      <c r="M5801" s="12" t="inlineStr">
        <is>
          <t>14</t>
        </is>
      </c>
      <c r="N5801" s="12" t="n">
        <v>1</v>
      </c>
      <c r="O5801" s="12" t="n">
        <v>1</v>
      </c>
      <c r="P5801" s="12" t="n"/>
      <c r="Q5801" s="12" t="n"/>
      <c r="R5801" s="12" t="n"/>
      <c r="S5801" s="12" t="inlineStr">
        <is>
          <t>Duct bank</t>
        </is>
      </c>
      <c r="T5801" s="17" t="n">
        <v>1629</v>
      </c>
      <c r="U5801" s="17" t="n">
        <v>161</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C-C-0159</t>
        </is>
      </c>
      <c r="B5802" s="12" t="inlineStr">
        <is>
          <t>C</t>
        </is>
      </c>
      <c r="C5802" s="12" t="inlineStr">
        <is>
          <t>Grid interface</t>
        </is>
      </c>
      <c r="D5802" s="12" t="inlineStr">
        <is>
          <t>Motor 12 of 20: control / local station</t>
        </is>
      </c>
      <c r="E5802" s="12" t="inlineStr">
        <is>
          <t>MCC-C1</t>
        </is>
      </c>
      <c r="F5802" s="12" t="inlineStr">
        <is>
          <t>R1 MCC-C1</t>
        </is>
      </c>
      <c r="G5802" s="12" t="inlineStr"/>
      <c r="H5802" s="12" t="inlineStr">
        <is>
          <t>Water treatment building: rooftop HVAC, exhaust fans, vents</t>
        </is>
      </c>
      <c r="I5802" s="12" t="inlineStr">
        <is>
          <t>Control</t>
        </is>
      </c>
      <c r="J5802" s="12" t="inlineStr">
        <is>
          <t>Control cable 600 V Type TC-ER, Cu #14 AWG, PVC jacket</t>
        </is>
      </c>
      <c r="K5802" s="12" t="inlineStr">
        <is>
          <t>CT|7/C|14</t>
        </is>
      </c>
      <c r="L5802" s="12" t="inlineStr">
        <is>
          <t>7/C</t>
        </is>
      </c>
      <c r="M5802" s="12" t="inlineStr">
        <is>
          <t>14</t>
        </is>
      </c>
      <c r="N5802" s="12" t="n">
        <v>1</v>
      </c>
      <c r="O5802" s="12" t="n">
        <v>1</v>
      </c>
      <c r="P5802" s="12" t="n"/>
      <c r="Q5802" s="12" t="n"/>
      <c r="R5802" s="12" t="n"/>
      <c r="S5802" s="12" t="inlineStr">
        <is>
          <t>Duct bank</t>
        </is>
      </c>
      <c r="T5802" s="17" t="n">
        <v>1629</v>
      </c>
      <c r="U5802" s="17" t="n">
        <v>161</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C-C-0160</t>
        </is>
      </c>
      <c r="B5803" s="12" t="inlineStr">
        <is>
          <t>C</t>
        </is>
      </c>
      <c r="C5803" s="12" t="inlineStr">
        <is>
          <t>Grid interface</t>
        </is>
      </c>
      <c r="D5803" s="12" t="inlineStr">
        <is>
          <t>Motor 13 of 20: control / local station</t>
        </is>
      </c>
      <c r="E5803" s="12" t="inlineStr">
        <is>
          <t>MCC-C1</t>
        </is>
      </c>
      <c r="F5803" s="12" t="inlineStr">
        <is>
          <t>R1 MCC-C1</t>
        </is>
      </c>
      <c r="G5803" s="12" t="inlineStr"/>
      <c r="H5803" s="12" t="inlineStr">
        <is>
          <t>Water treatment building: rooftop HVAC, exhaust fans, vents</t>
        </is>
      </c>
      <c r="I5803" s="12" t="inlineStr">
        <is>
          <t>Control</t>
        </is>
      </c>
      <c r="J5803" s="12" t="inlineStr">
        <is>
          <t>Control cable 600 V Type TC-ER, Cu #14 AWG, PVC jacket</t>
        </is>
      </c>
      <c r="K5803" s="12" t="inlineStr">
        <is>
          <t>CT|7/C|14</t>
        </is>
      </c>
      <c r="L5803" s="12" t="inlineStr">
        <is>
          <t>7/C</t>
        </is>
      </c>
      <c r="M5803" s="12" t="inlineStr">
        <is>
          <t>14</t>
        </is>
      </c>
      <c r="N5803" s="12" t="n">
        <v>1</v>
      </c>
      <c r="O5803" s="12" t="n">
        <v>1</v>
      </c>
      <c r="P5803" s="12" t="n"/>
      <c r="Q5803" s="12" t="n"/>
      <c r="R5803" s="12" t="n"/>
      <c r="S5803" s="12" t="inlineStr">
        <is>
          <t>Duct bank</t>
        </is>
      </c>
      <c r="T5803" s="17" t="n">
        <v>1629</v>
      </c>
      <c r="U5803" s="17" t="n">
        <v>161</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C-C-0161</t>
        </is>
      </c>
      <c r="B5804" s="12" t="inlineStr">
        <is>
          <t>C</t>
        </is>
      </c>
      <c r="C5804" s="12" t="inlineStr">
        <is>
          <t>Grid interface</t>
        </is>
      </c>
      <c r="D5804" s="12" t="inlineStr">
        <is>
          <t>Motor 14 of 20: control / local station</t>
        </is>
      </c>
      <c r="E5804" s="12" t="inlineStr">
        <is>
          <t>MCC-C1</t>
        </is>
      </c>
      <c r="F5804" s="12" t="inlineStr">
        <is>
          <t>R1 MCC-C1</t>
        </is>
      </c>
      <c r="G5804" s="12" t="inlineStr"/>
      <c r="H5804" s="12" t="inlineStr">
        <is>
          <t>Water treatment building: rooftop HVAC, exhaust fans, vents</t>
        </is>
      </c>
      <c r="I5804" s="12" t="inlineStr">
        <is>
          <t>Control</t>
        </is>
      </c>
      <c r="J5804" s="12" t="inlineStr">
        <is>
          <t>Control cable 600 V Type TC-ER, Cu #14 AWG, PVC jacket</t>
        </is>
      </c>
      <c r="K5804" s="12" t="inlineStr">
        <is>
          <t>CT|7/C|14</t>
        </is>
      </c>
      <c r="L5804" s="12" t="inlineStr">
        <is>
          <t>7/C</t>
        </is>
      </c>
      <c r="M5804" s="12" t="inlineStr">
        <is>
          <t>14</t>
        </is>
      </c>
      <c r="N5804" s="12" t="n">
        <v>1</v>
      </c>
      <c r="O5804" s="12" t="n">
        <v>1</v>
      </c>
      <c r="P5804" s="12" t="n"/>
      <c r="Q5804" s="12" t="n"/>
      <c r="R5804" s="12" t="n"/>
      <c r="S5804" s="12" t="inlineStr">
        <is>
          <t>Duct bank</t>
        </is>
      </c>
      <c r="T5804" s="17" t="n">
        <v>1629</v>
      </c>
      <c r="U5804" s="17" t="n">
        <v>161</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C-C-0162</t>
        </is>
      </c>
      <c r="B5805" s="12" t="inlineStr">
        <is>
          <t>C</t>
        </is>
      </c>
      <c r="C5805" s="12" t="inlineStr">
        <is>
          <t>Grid interface</t>
        </is>
      </c>
      <c r="D5805" s="12" t="inlineStr">
        <is>
          <t>Motor 15 of 20: control / local station</t>
        </is>
      </c>
      <c r="E5805" s="12" t="inlineStr">
        <is>
          <t>MCC-C1</t>
        </is>
      </c>
      <c r="F5805" s="12" t="inlineStr">
        <is>
          <t>R1 MCC-C1</t>
        </is>
      </c>
      <c r="G5805" s="12" t="inlineStr"/>
      <c r="H5805" s="12" t="inlineStr">
        <is>
          <t>Water treatment building: rooftop HVAC, exhaust fans, vents</t>
        </is>
      </c>
      <c r="I5805" s="12" t="inlineStr">
        <is>
          <t>Control</t>
        </is>
      </c>
      <c r="J5805" s="12" t="inlineStr">
        <is>
          <t>Control cable 600 V Type TC-ER, Cu #14 AWG, PVC jacket</t>
        </is>
      </c>
      <c r="K5805" s="12" t="inlineStr">
        <is>
          <t>CT|7/C|14</t>
        </is>
      </c>
      <c r="L5805" s="12" t="inlineStr">
        <is>
          <t>7/C</t>
        </is>
      </c>
      <c r="M5805" s="12" t="inlineStr">
        <is>
          <t>14</t>
        </is>
      </c>
      <c r="N5805" s="12" t="n">
        <v>1</v>
      </c>
      <c r="O5805" s="12" t="n">
        <v>1</v>
      </c>
      <c r="P5805" s="12" t="n"/>
      <c r="Q5805" s="12" t="n"/>
      <c r="R5805" s="12" t="n"/>
      <c r="S5805" s="12" t="inlineStr">
        <is>
          <t>Duct bank</t>
        </is>
      </c>
      <c r="T5805" s="17" t="n">
        <v>1629</v>
      </c>
      <c r="U5805" s="17" t="n">
        <v>161</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C-C-0163</t>
        </is>
      </c>
      <c r="B5806" s="12" t="inlineStr">
        <is>
          <t>C</t>
        </is>
      </c>
      <c r="C5806" s="12" t="inlineStr">
        <is>
          <t>Grid interface</t>
        </is>
      </c>
      <c r="D5806" s="12" t="inlineStr">
        <is>
          <t>Motor 16 of 20: control / local station</t>
        </is>
      </c>
      <c r="E5806" s="12" t="inlineStr">
        <is>
          <t>MCC-C1</t>
        </is>
      </c>
      <c r="F5806" s="12" t="inlineStr">
        <is>
          <t>R1 MCC-C1</t>
        </is>
      </c>
      <c r="G5806" s="12" t="inlineStr"/>
      <c r="H5806" s="12" t="inlineStr">
        <is>
          <t>Water treatment building: rooftop HVAC, exhaust fans, vents</t>
        </is>
      </c>
      <c r="I5806" s="12" t="inlineStr">
        <is>
          <t>Control</t>
        </is>
      </c>
      <c r="J5806" s="12" t="inlineStr">
        <is>
          <t>Control cable 600 V Type TC-ER, Cu #14 AWG, PVC jacket</t>
        </is>
      </c>
      <c r="K5806" s="12" t="inlineStr">
        <is>
          <t>CT|7/C|14</t>
        </is>
      </c>
      <c r="L5806" s="12" t="inlineStr">
        <is>
          <t>7/C</t>
        </is>
      </c>
      <c r="M5806" s="12" t="inlineStr">
        <is>
          <t>14</t>
        </is>
      </c>
      <c r="N5806" s="12" t="n">
        <v>1</v>
      </c>
      <c r="O5806" s="12" t="n">
        <v>1</v>
      </c>
      <c r="P5806" s="12" t="n"/>
      <c r="Q5806" s="12" t="n"/>
      <c r="R5806" s="12" t="n"/>
      <c r="S5806" s="12" t="inlineStr">
        <is>
          <t>Duct bank</t>
        </is>
      </c>
      <c r="T5806" s="17" t="n">
        <v>1629</v>
      </c>
      <c r="U5806" s="17" t="n">
        <v>161</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C-C-0164</t>
        </is>
      </c>
      <c r="B5807" s="12" t="inlineStr">
        <is>
          <t>C</t>
        </is>
      </c>
      <c r="C5807" s="12" t="inlineStr">
        <is>
          <t>Grid interface</t>
        </is>
      </c>
      <c r="D5807" s="12" t="inlineStr">
        <is>
          <t>Motor 17 of 20: control / local station</t>
        </is>
      </c>
      <c r="E5807" s="12" t="inlineStr">
        <is>
          <t>MCC-C1</t>
        </is>
      </c>
      <c r="F5807" s="12" t="inlineStr">
        <is>
          <t>R1 MCC-C1</t>
        </is>
      </c>
      <c r="G5807" s="12" t="inlineStr"/>
      <c r="H5807" s="12" t="inlineStr">
        <is>
          <t>Water treatment building: rooftop HVAC, exhaust fans, vents</t>
        </is>
      </c>
      <c r="I5807" s="12" t="inlineStr">
        <is>
          <t>Control</t>
        </is>
      </c>
      <c r="J5807" s="12" t="inlineStr">
        <is>
          <t>Control cable 600 V Type TC-ER, Cu #14 AWG, PVC jacket</t>
        </is>
      </c>
      <c r="K5807" s="12" t="inlineStr">
        <is>
          <t>CT|7/C|14</t>
        </is>
      </c>
      <c r="L5807" s="12" t="inlineStr">
        <is>
          <t>7/C</t>
        </is>
      </c>
      <c r="M5807" s="12" t="inlineStr">
        <is>
          <t>14</t>
        </is>
      </c>
      <c r="N5807" s="12" t="n">
        <v>1</v>
      </c>
      <c r="O5807" s="12" t="n">
        <v>1</v>
      </c>
      <c r="P5807" s="12" t="n"/>
      <c r="Q5807" s="12" t="n"/>
      <c r="R5807" s="12" t="n"/>
      <c r="S5807" s="12" t="inlineStr">
        <is>
          <t>Duct bank</t>
        </is>
      </c>
      <c r="T5807" s="17" t="n">
        <v>1629</v>
      </c>
      <c r="U5807" s="17" t="n">
        <v>161</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C-C-0165</t>
        </is>
      </c>
      <c r="B5808" s="12" t="inlineStr">
        <is>
          <t>C</t>
        </is>
      </c>
      <c r="C5808" s="12" t="inlineStr">
        <is>
          <t>Grid interface</t>
        </is>
      </c>
      <c r="D5808" s="12" t="inlineStr">
        <is>
          <t>Motor 18 of 20: control / local station</t>
        </is>
      </c>
      <c r="E5808" s="12" t="inlineStr">
        <is>
          <t>MCC-C1</t>
        </is>
      </c>
      <c r="F5808" s="12" t="inlineStr">
        <is>
          <t>R1 MCC-C1</t>
        </is>
      </c>
      <c r="G5808" s="12" t="inlineStr"/>
      <c r="H5808" s="12" t="inlineStr">
        <is>
          <t>Water treatment building: rooftop HVAC, exhaust fans, vents</t>
        </is>
      </c>
      <c r="I5808" s="12" t="inlineStr">
        <is>
          <t>Control</t>
        </is>
      </c>
      <c r="J5808" s="12" t="inlineStr">
        <is>
          <t>Control cable 600 V Type TC-ER, Cu #14 AWG, PVC jacket</t>
        </is>
      </c>
      <c r="K5808" s="12" t="inlineStr">
        <is>
          <t>CT|7/C|14</t>
        </is>
      </c>
      <c r="L5808" s="12" t="inlineStr">
        <is>
          <t>7/C</t>
        </is>
      </c>
      <c r="M5808" s="12" t="inlineStr">
        <is>
          <t>14</t>
        </is>
      </c>
      <c r="N5808" s="12" t="n">
        <v>1</v>
      </c>
      <c r="O5808" s="12" t="n">
        <v>1</v>
      </c>
      <c r="P5808" s="12" t="n"/>
      <c r="Q5808" s="12" t="n"/>
      <c r="R5808" s="12" t="n"/>
      <c r="S5808" s="12" t="inlineStr">
        <is>
          <t>Duct bank</t>
        </is>
      </c>
      <c r="T5808" s="17" t="n">
        <v>1629</v>
      </c>
      <c r="U5808" s="17" t="n">
        <v>161</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C-C-0166</t>
        </is>
      </c>
      <c r="B5809" s="12" t="inlineStr">
        <is>
          <t>C</t>
        </is>
      </c>
      <c r="C5809" s="12" t="inlineStr">
        <is>
          <t>Grid interface</t>
        </is>
      </c>
      <c r="D5809" s="12" t="inlineStr">
        <is>
          <t>Motor 19 of 20: control / local station</t>
        </is>
      </c>
      <c r="E5809" s="12" t="inlineStr">
        <is>
          <t>MCC-C1</t>
        </is>
      </c>
      <c r="F5809" s="12" t="inlineStr">
        <is>
          <t>R1 MCC-C1</t>
        </is>
      </c>
      <c r="G5809" s="12" t="inlineStr"/>
      <c r="H5809" s="12" t="inlineStr">
        <is>
          <t>Water treatment building: rooftop HVAC, exhaust fans, vents</t>
        </is>
      </c>
      <c r="I5809" s="12" t="inlineStr">
        <is>
          <t>Control</t>
        </is>
      </c>
      <c r="J5809" s="12" t="inlineStr">
        <is>
          <t>Control cable 600 V Type TC-ER, Cu #14 AWG, PVC jacket</t>
        </is>
      </c>
      <c r="K5809" s="12" t="inlineStr">
        <is>
          <t>CT|7/C|14</t>
        </is>
      </c>
      <c r="L5809" s="12" t="inlineStr">
        <is>
          <t>7/C</t>
        </is>
      </c>
      <c r="M5809" s="12" t="inlineStr">
        <is>
          <t>14</t>
        </is>
      </c>
      <c r="N5809" s="12" t="n">
        <v>1</v>
      </c>
      <c r="O5809" s="12" t="n">
        <v>1</v>
      </c>
      <c r="P5809" s="12" t="n"/>
      <c r="Q5809" s="12" t="n"/>
      <c r="R5809" s="12" t="n"/>
      <c r="S5809" s="12" t="inlineStr">
        <is>
          <t>Duct bank</t>
        </is>
      </c>
      <c r="T5809" s="17" t="n">
        <v>1629</v>
      </c>
      <c r="U5809" s="17" t="n">
        <v>161</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C-C-0167</t>
        </is>
      </c>
      <c r="B5810" s="12" t="inlineStr">
        <is>
          <t>C</t>
        </is>
      </c>
      <c r="C5810" s="12" t="inlineStr">
        <is>
          <t>Grid interface</t>
        </is>
      </c>
      <c r="D5810" s="12" t="inlineStr">
        <is>
          <t>Motor 20 of 20: control / local station</t>
        </is>
      </c>
      <c r="E5810" s="12" t="inlineStr">
        <is>
          <t>MCC-C1</t>
        </is>
      </c>
      <c r="F5810" s="12" t="inlineStr">
        <is>
          <t>R1 MCC-C1</t>
        </is>
      </c>
      <c r="G5810" s="12" t="inlineStr"/>
      <c r="H5810" s="12" t="inlineStr">
        <is>
          <t>Water treatment building: rooftop HVAC, exhaust fans, vents</t>
        </is>
      </c>
      <c r="I5810" s="12" t="inlineStr">
        <is>
          <t>Control</t>
        </is>
      </c>
      <c r="J5810" s="12" t="inlineStr">
        <is>
          <t>Control cable 600 V Type TC-ER, Cu #14 AWG, PVC jacket</t>
        </is>
      </c>
      <c r="K5810" s="12" t="inlineStr">
        <is>
          <t>CT|7/C|14</t>
        </is>
      </c>
      <c r="L5810" s="12" t="inlineStr">
        <is>
          <t>7/C</t>
        </is>
      </c>
      <c r="M5810" s="12" t="inlineStr">
        <is>
          <t>14</t>
        </is>
      </c>
      <c r="N5810" s="12" t="n">
        <v>1</v>
      </c>
      <c r="O5810" s="12" t="n">
        <v>1</v>
      </c>
      <c r="P5810" s="12" t="n"/>
      <c r="Q5810" s="12" t="n"/>
      <c r="R5810" s="12" t="n"/>
      <c r="S5810" s="12" t="inlineStr">
        <is>
          <t>Duct bank</t>
        </is>
      </c>
      <c r="T5810" s="17" t="n">
        <v>1629</v>
      </c>
      <c r="U5810" s="17" t="n">
        <v>161</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C-I-0081</t>
        </is>
      </c>
      <c r="B5811" s="12" t="inlineStr">
        <is>
          <t>C</t>
        </is>
      </c>
      <c r="C5811" s="12" t="inlineStr">
        <is>
          <t>Grid interface</t>
        </is>
      </c>
      <c r="D5811" s="12" t="inlineStr">
        <is>
          <t>Analog instrument to JB JB-CO2 compression 3 -AI01: 20 x 1 pr (field cables)</t>
        </is>
      </c>
      <c r="E5811" s="12" t="inlineStr"/>
      <c r="F5811" s="12" t="inlineStr">
        <is>
          <t xml:space="preserve">CO2 compression 3 x ~19 MW + dehydration: rooftop HVAC, exhaust fans, </t>
        </is>
      </c>
      <c r="G5811" s="12" t="inlineStr">
        <is>
          <t>JB-CO2 compression 3 -AI01</t>
        </is>
      </c>
      <c r="H5811" s="12" t="inlineStr">
        <is>
          <t xml:space="preserve">CO2 compression 3 x ~19 MW + dehydration: rooftop HVAC, exhaust fans, </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161</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C-I-0082</t>
        </is>
      </c>
      <c r="B5812" s="12" t="inlineStr">
        <is>
          <t>C</t>
        </is>
      </c>
      <c r="C5812" s="12" t="inlineStr">
        <is>
          <t>Grid interface</t>
        </is>
      </c>
      <c r="D5812" s="12" t="inlineStr">
        <is>
          <t>Home run JB-CO2 compression 3 -AI01 to the control / marshalling room</t>
        </is>
      </c>
      <c r="E5812" s="12" t="inlineStr">
        <is>
          <t>R1</t>
        </is>
      </c>
      <c r="F5812" s="12" t="inlineStr">
        <is>
          <t>R1: main electrical building (64 x 180 ft)</t>
        </is>
      </c>
      <c r="G5812" s="12" t="inlineStr">
        <is>
          <t>JB-CO2 compression 3 -AI01</t>
        </is>
      </c>
      <c r="H5812" s="12" t="inlineStr">
        <is>
          <t xml:space="preserve">CO2 compression 3 x ~19 MW + dehydration: rooftop HVAC, exhaust fans, </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Tray</t>
        </is>
      </c>
      <c r="T5812" s="17" t="n">
        <v>2186</v>
      </c>
      <c r="U5812" s="17" t="n">
        <v>268</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C-I-0083</t>
        </is>
      </c>
      <c r="B5813" s="12" t="inlineStr">
        <is>
          <t>C</t>
        </is>
      </c>
      <c r="C5813" s="12" t="inlineStr">
        <is>
          <t>Grid interface</t>
        </is>
      </c>
      <c r="D5813" s="12" t="inlineStr">
        <is>
          <t>Analog instrument to JB JB-CO2 compression 3 -AI02: 20 x 1 pr (field cables)</t>
        </is>
      </c>
      <c r="E5813" s="12" t="inlineStr"/>
      <c r="F5813" s="12" t="inlineStr">
        <is>
          <t xml:space="preserve">CO2 compression 3 x ~19 MW + dehydration: rooftop HVAC, exhaust fans, </t>
        </is>
      </c>
      <c r="G5813" s="12" t="inlineStr">
        <is>
          <t>JB-CO2 compression 3 -AI02</t>
        </is>
      </c>
      <c r="H5813" s="12" t="inlineStr">
        <is>
          <t xml:space="preserve">CO2 compression 3 x ~19 MW + dehydration: rooftop HVAC, exhaust fans, </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161</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C-I-0084</t>
        </is>
      </c>
      <c r="B5814" s="12" t="inlineStr">
        <is>
          <t>C</t>
        </is>
      </c>
      <c r="C5814" s="12" t="inlineStr">
        <is>
          <t>Grid interface</t>
        </is>
      </c>
      <c r="D5814" s="12" t="inlineStr">
        <is>
          <t>Home run JB-CO2 compression 3 -AI02 to the control / marshalling room</t>
        </is>
      </c>
      <c r="E5814" s="12" t="inlineStr">
        <is>
          <t>R1</t>
        </is>
      </c>
      <c r="F5814" s="12" t="inlineStr">
        <is>
          <t>R1: main electrical building (64 x 180 ft)</t>
        </is>
      </c>
      <c r="G5814" s="12" t="inlineStr">
        <is>
          <t>JB-CO2 compression 3 -AI02</t>
        </is>
      </c>
      <c r="H5814" s="12" t="inlineStr">
        <is>
          <t xml:space="preserve">CO2 compression 3 x ~19 MW + dehydration: rooftop HVAC, exhaust fans, </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Tray</t>
        </is>
      </c>
      <c r="T5814" s="17" t="n">
        <v>2186</v>
      </c>
      <c r="U5814" s="17" t="n">
        <v>268</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C-I-0085</t>
        </is>
      </c>
      <c r="B5815" s="12" t="inlineStr">
        <is>
          <t>C</t>
        </is>
      </c>
      <c r="C5815" s="12" t="inlineStr">
        <is>
          <t>Grid interface</t>
        </is>
      </c>
      <c r="D5815" s="12" t="inlineStr">
        <is>
          <t>Analog instrument to JB JB-CO2 compression 3 -AI03: 20 x 1 pr (field cables)</t>
        </is>
      </c>
      <c r="E5815" s="12" t="inlineStr"/>
      <c r="F5815" s="12" t="inlineStr">
        <is>
          <t xml:space="preserve">CO2 compression 3 x ~19 MW + dehydration: rooftop HVAC, exhaust fans, </t>
        </is>
      </c>
      <c r="G5815" s="12" t="inlineStr">
        <is>
          <t>JB-CO2 compression 3 -AI03</t>
        </is>
      </c>
      <c r="H5815" s="12" t="inlineStr">
        <is>
          <t xml:space="preserve">CO2 compression 3 x ~19 MW + dehydration: rooftop HVAC, exhaust fans, </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20</v>
      </c>
      <c r="O5815" s="12" t="n">
        <v>1</v>
      </c>
      <c r="P5815" s="12" t="n"/>
      <c r="Q5815" s="12" t="n"/>
      <c r="R5815" s="12" t="n"/>
      <c r="S5815" s="12" t="inlineStr">
        <is>
          <t>Tray / conduit</t>
        </is>
      </c>
      <c r="T5815" s="17" t="n">
        <v>161</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C-I-0086</t>
        </is>
      </c>
      <c r="B5816" s="12" t="inlineStr">
        <is>
          <t>C</t>
        </is>
      </c>
      <c r="C5816" s="12" t="inlineStr">
        <is>
          <t>Grid interface</t>
        </is>
      </c>
      <c r="D5816" s="12" t="inlineStr">
        <is>
          <t>Home run JB-CO2 compression 3 -AI03 to the control / marshalling room</t>
        </is>
      </c>
      <c r="E5816" s="12" t="inlineStr">
        <is>
          <t>R1</t>
        </is>
      </c>
      <c r="F5816" s="12" t="inlineStr">
        <is>
          <t>R1: main electrical building (64 x 180 ft)</t>
        </is>
      </c>
      <c r="G5816" s="12" t="inlineStr">
        <is>
          <t>JB-CO2 compression 3 -AI03</t>
        </is>
      </c>
      <c r="H5816" s="12" t="inlineStr">
        <is>
          <t xml:space="preserve">CO2 compression 3 x ~19 MW + dehydration: rooftop HVAC, exhaust fans, </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Tray</t>
        </is>
      </c>
      <c r="T5816" s="17" t="n">
        <v>2186</v>
      </c>
      <c r="U5816" s="17" t="n">
        <v>268</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C-I-0087</t>
        </is>
      </c>
      <c r="B5817" s="12" t="inlineStr">
        <is>
          <t>C</t>
        </is>
      </c>
      <c r="C5817" s="12" t="inlineStr">
        <is>
          <t>Grid interface</t>
        </is>
      </c>
      <c r="D5817" s="12" t="inlineStr">
        <is>
          <t>Analog instrument to JB JB-CO2 compression 3 -AI04: 20 x 1 pr (field cables)</t>
        </is>
      </c>
      <c r="E5817" s="12" t="inlineStr"/>
      <c r="F5817" s="12" t="inlineStr">
        <is>
          <t xml:space="preserve">CO2 compression 3 x ~19 MW + dehydration: rooftop HVAC, exhaust fans, </t>
        </is>
      </c>
      <c r="G5817" s="12" t="inlineStr">
        <is>
          <t>JB-CO2 compression 3 -AI04</t>
        </is>
      </c>
      <c r="H5817" s="12" t="inlineStr">
        <is>
          <t xml:space="preserve">CO2 compression 3 x ~19 MW + dehydration: rooftop HVAC, exhaust fans, </t>
        </is>
      </c>
      <c r="I5817" s="12" t="inlineStr">
        <is>
          <t>Instrumentation</t>
        </is>
      </c>
      <c r="J5817" s="12" t="inlineStr">
        <is>
          <t>Instrumentation PLTC / TC-ER 300 V, #18 twisted shielded pairs, overall shield</t>
        </is>
      </c>
      <c r="K5817" s="12" t="inlineStr">
        <is>
          <t>PLTC|1 pr|16</t>
        </is>
      </c>
      <c r="L5817" s="12" t="inlineStr">
        <is>
          <t>1 pr</t>
        </is>
      </c>
      <c r="M5817" s="12" t="inlineStr">
        <is>
          <t>16</t>
        </is>
      </c>
      <c r="N5817" s="12" t="n">
        <v>20</v>
      </c>
      <c r="O5817" s="12" t="n">
        <v>1</v>
      </c>
      <c r="P5817" s="12" t="n"/>
      <c r="Q5817" s="12" t="n"/>
      <c r="R5817" s="12" t="n"/>
      <c r="S5817" s="12" t="inlineStr">
        <is>
          <t>Tray / conduit</t>
        </is>
      </c>
      <c r="T5817" s="17" t="n">
        <v>161</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C-I-0088</t>
        </is>
      </c>
      <c r="B5818" s="12" t="inlineStr">
        <is>
          <t>C</t>
        </is>
      </c>
      <c r="C5818" s="12" t="inlineStr">
        <is>
          <t>Grid interface</t>
        </is>
      </c>
      <c r="D5818" s="12" t="inlineStr">
        <is>
          <t>Home run JB-CO2 compression 3 -AI04 to the control / marshalling room</t>
        </is>
      </c>
      <c r="E5818" s="12" t="inlineStr">
        <is>
          <t>R1</t>
        </is>
      </c>
      <c r="F5818" s="12" t="inlineStr">
        <is>
          <t>R1: main electrical building (64 x 180 ft)</t>
        </is>
      </c>
      <c r="G5818" s="12" t="inlineStr">
        <is>
          <t>JB-CO2 compression 3 -AI04</t>
        </is>
      </c>
      <c r="H5818" s="12" t="inlineStr">
        <is>
          <t xml:space="preserve">CO2 compression 3 x ~19 MW + dehydration: rooftop HVAC, exhaust fans, </t>
        </is>
      </c>
      <c r="I5818" s="12" t="inlineStr">
        <is>
          <t>Instrumentation</t>
        </is>
      </c>
      <c r="J5818" s="12" t="inlineStr">
        <is>
          <t>Instrumentation PLTC / TC-ER 300 V, #18 twisted shielded pairs, overall shield</t>
        </is>
      </c>
      <c r="K5818" s="12" t="inlineStr">
        <is>
          <t>PLTC|24 pr|18</t>
        </is>
      </c>
      <c r="L5818" s="12" t="inlineStr">
        <is>
          <t>24 pr</t>
        </is>
      </c>
      <c r="M5818" s="12" t="inlineStr">
        <is>
          <t>18</t>
        </is>
      </c>
      <c r="N5818" s="12" t="n">
        <v>1</v>
      </c>
      <c r="O5818" s="12" t="n">
        <v>1</v>
      </c>
      <c r="P5818" s="12" t="n"/>
      <c r="Q5818" s="12" t="n"/>
      <c r="R5818" s="12" t="n"/>
      <c r="S5818" s="12" t="inlineStr">
        <is>
          <t>Tray</t>
        </is>
      </c>
      <c r="T5818" s="17" t="n">
        <v>2186</v>
      </c>
      <c r="U5818" s="17" t="n">
        <v>268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C-I-0089</t>
        </is>
      </c>
      <c r="B5819" s="12" t="inlineStr">
        <is>
          <t>C</t>
        </is>
      </c>
      <c r="C5819" s="12" t="inlineStr">
        <is>
          <t>Grid interface</t>
        </is>
      </c>
      <c r="D5819" s="12" t="inlineStr">
        <is>
          <t>Analog instrument to JB JB-CO2 compression 3 -AI05: 20 x 1 pr (field cables)</t>
        </is>
      </c>
      <c r="E5819" s="12" t="inlineStr"/>
      <c r="F5819" s="12" t="inlineStr">
        <is>
          <t xml:space="preserve">CO2 compression 3 x ~19 MW + dehydration: rooftop HVAC, exhaust fans, </t>
        </is>
      </c>
      <c r="G5819" s="12" t="inlineStr">
        <is>
          <t>JB-CO2 compression 3 -AI05</t>
        </is>
      </c>
      <c r="H5819" s="12" t="inlineStr">
        <is>
          <t xml:space="preserve">CO2 compression 3 x ~19 MW + dehydration: rooftop HVAC, exhaust fans, </t>
        </is>
      </c>
      <c r="I5819" s="12" t="inlineStr">
        <is>
          <t>Instrumentation</t>
        </is>
      </c>
      <c r="J5819" s="12" t="inlineStr">
        <is>
          <t>Instrumentation PLTC / TC-ER 300 V, #18 twisted shielded pairs, overall shield</t>
        </is>
      </c>
      <c r="K5819" s="12" t="inlineStr">
        <is>
          <t>PLTC|1 pr|16</t>
        </is>
      </c>
      <c r="L5819" s="12" t="inlineStr">
        <is>
          <t>1 pr</t>
        </is>
      </c>
      <c r="M5819" s="12" t="inlineStr">
        <is>
          <t>16</t>
        </is>
      </c>
      <c r="N5819" s="12" t="n">
        <v>20</v>
      </c>
      <c r="O5819" s="12" t="n">
        <v>1</v>
      </c>
      <c r="P5819" s="12" t="n"/>
      <c r="Q5819" s="12" t="n"/>
      <c r="R5819" s="12" t="n"/>
      <c r="S5819" s="12" t="inlineStr">
        <is>
          <t>Tray / conduit</t>
        </is>
      </c>
      <c r="T5819" s="17" t="n">
        <v>161</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C-I-0090</t>
        </is>
      </c>
      <c r="B5820" s="12" t="inlineStr">
        <is>
          <t>C</t>
        </is>
      </c>
      <c r="C5820" s="12" t="inlineStr">
        <is>
          <t>Grid interface</t>
        </is>
      </c>
      <c r="D5820" s="12" t="inlineStr">
        <is>
          <t>Home run JB-CO2 compression 3 -AI05 to the control / marshalling room</t>
        </is>
      </c>
      <c r="E5820" s="12" t="inlineStr">
        <is>
          <t>R1</t>
        </is>
      </c>
      <c r="F5820" s="12" t="inlineStr">
        <is>
          <t>R1: main electrical building (64 x 180 ft)</t>
        </is>
      </c>
      <c r="G5820" s="12" t="inlineStr">
        <is>
          <t>JB-CO2 compression 3 -AI05</t>
        </is>
      </c>
      <c r="H5820" s="12" t="inlineStr">
        <is>
          <t xml:space="preserve">CO2 compression 3 x ~19 MW + dehydration: rooftop HVAC, exhaust fans, </t>
        </is>
      </c>
      <c r="I5820" s="12" t="inlineStr">
        <is>
          <t>Instrumentation</t>
        </is>
      </c>
      <c r="J5820" s="12" t="inlineStr">
        <is>
          <t>Instrumentation PLTC / TC-ER 300 V, #18 twisted shielded pairs, overall shield</t>
        </is>
      </c>
      <c r="K5820" s="12" t="inlineStr">
        <is>
          <t>PLTC|24 pr|18</t>
        </is>
      </c>
      <c r="L5820" s="12" t="inlineStr">
        <is>
          <t>24 pr</t>
        </is>
      </c>
      <c r="M5820" s="12" t="inlineStr">
        <is>
          <t>18</t>
        </is>
      </c>
      <c r="N5820" s="12" t="n">
        <v>1</v>
      </c>
      <c r="O5820" s="12" t="n">
        <v>1</v>
      </c>
      <c r="P5820" s="12" t="n"/>
      <c r="Q5820" s="12" t="n"/>
      <c r="R5820" s="12" t="n"/>
      <c r="S5820" s="12" t="inlineStr">
        <is>
          <t>Tray</t>
        </is>
      </c>
      <c r="T5820" s="17" t="n">
        <v>2186</v>
      </c>
      <c r="U5820" s="17" t="n">
        <v>268</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C-I-0091</t>
        </is>
      </c>
      <c r="B5821" s="12" t="inlineStr">
        <is>
          <t>C</t>
        </is>
      </c>
      <c r="C5821" s="12" t="inlineStr">
        <is>
          <t>Grid interface</t>
        </is>
      </c>
      <c r="D5821" s="12" t="inlineStr">
        <is>
          <t>Analog instrument to JB JB-CO2 compression 3 -AI06: 20 x 1 pr (field cables)</t>
        </is>
      </c>
      <c r="E5821" s="12" t="inlineStr"/>
      <c r="F5821" s="12" t="inlineStr">
        <is>
          <t xml:space="preserve">CO2 compression 3 x ~19 MW + dehydration: rooftop HVAC, exhaust fans, </t>
        </is>
      </c>
      <c r="G5821" s="12" t="inlineStr">
        <is>
          <t>JB-CO2 compression 3 -AI06</t>
        </is>
      </c>
      <c r="H5821" s="12" t="inlineStr">
        <is>
          <t xml:space="preserve">CO2 compression 3 x ~19 MW + dehydration: rooftop HVAC, exhaust fans, </t>
        </is>
      </c>
      <c r="I5821" s="12" t="inlineStr">
        <is>
          <t>Instrumentation</t>
        </is>
      </c>
      <c r="J5821" s="12" t="inlineStr">
        <is>
          <t>Instrumentation PLTC / TC-ER 300 V, #18 twisted shielded pairs, overall shield</t>
        </is>
      </c>
      <c r="K5821" s="12" t="inlineStr">
        <is>
          <t>PLTC|1 pr|16</t>
        </is>
      </c>
      <c r="L5821" s="12" t="inlineStr">
        <is>
          <t>1 pr</t>
        </is>
      </c>
      <c r="M5821" s="12" t="inlineStr">
        <is>
          <t>16</t>
        </is>
      </c>
      <c r="N5821" s="12" t="n">
        <v>20</v>
      </c>
      <c r="O5821" s="12" t="n">
        <v>1</v>
      </c>
      <c r="P5821" s="12" t="n"/>
      <c r="Q5821" s="12" t="n"/>
      <c r="R5821" s="12" t="n"/>
      <c r="S5821" s="12" t="inlineStr">
        <is>
          <t>Tray / conduit</t>
        </is>
      </c>
      <c r="T5821" s="17" t="n">
        <v>161</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C-I-0092</t>
        </is>
      </c>
      <c r="B5822" s="12" t="inlineStr">
        <is>
          <t>C</t>
        </is>
      </c>
      <c r="C5822" s="12" t="inlineStr">
        <is>
          <t>Grid interface</t>
        </is>
      </c>
      <c r="D5822" s="12" t="inlineStr">
        <is>
          <t>Home run JB-CO2 compression 3 -AI06 to the control / marshalling room</t>
        </is>
      </c>
      <c r="E5822" s="12" t="inlineStr">
        <is>
          <t>R1</t>
        </is>
      </c>
      <c r="F5822" s="12" t="inlineStr">
        <is>
          <t>R1: main electrical building (64 x 180 ft)</t>
        </is>
      </c>
      <c r="G5822" s="12" t="inlineStr">
        <is>
          <t>JB-CO2 compression 3 -AI06</t>
        </is>
      </c>
      <c r="H5822" s="12" t="inlineStr">
        <is>
          <t xml:space="preserve">CO2 compression 3 x ~19 MW + dehydration: rooftop HVAC, exhaust fans, </t>
        </is>
      </c>
      <c r="I5822" s="12" t="inlineStr">
        <is>
          <t>Instrumentation</t>
        </is>
      </c>
      <c r="J5822" s="12" t="inlineStr">
        <is>
          <t>Instrumentation PLTC / TC-ER 300 V, #18 twisted shielded pairs, overall shield</t>
        </is>
      </c>
      <c r="K5822" s="12" t="inlineStr">
        <is>
          <t>PLTC|24 pr|18</t>
        </is>
      </c>
      <c r="L5822" s="12" t="inlineStr">
        <is>
          <t>24 pr</t>
        </is>
      </c>
      <c r="M5822" s="12" t="inlineStr">
        <is>
          <t>18</t>
        </is>
      </c>
      <c r="N5822" s="12" t="n">
        <v>1</v>
      </c>
      <c r="O5822" s="12" t="n">
        <v>1</v>
      </c>
      <c r="P5822" s="12" t="n"/>
      <c r="Q5822" s="12" t="n"/>
      <c r="R5822" s="12" t="n"/>
      <c r="S5822" s="12" t="inlineStr">
        <is>
          <t>Tray</t>
        </is>
      </c>
      <c r="T5822" s="17" t="n">
        <v>2186</v>
      </c>
      <c r="U5822" s="17" t="n">
        <v>268</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C-I-0093</t>
        </is>
      </c>
      <c r="B5823" s="12" t="inlineStr">
        <is>
          <t>C</t>
        </is>
      </c>
      <c r="C5823" s="12" t="inlineStr">
        <is>
          <t>Grid interface</t>
        </is>
      </c>
      <c r="D5823" s="12" t="inlineStr">
        <is>
          <t>Analog instrument to JB JB-CO2 compression 3 -AI07: 20 x 1 pr (field cables)</t>
        </is>
      </c>
      <c r="E5823" s="12" t="inlineStr"/>
      <c r="F5823" s="12" t="inlineStr">
        <is>
          <t xml:space="preserve">CO2 compression 3 x ~19 MW + dehydration: rooftop HVAC, exhaust fans, </t>
        </is>
      </c>
      <c r="G5823" s="12" t="inlineStr">
        <is>
          <t>JB-CO2 compression 3 -AI07</t>
        </is>
      </c>
      <c r="H5823" s="12" t="inlineStr">
        <is>
          <t xml:space="preserve">CO2 compression 3 x ~19 MW + dehydration: rooftop HVAC, exhaust fans, </t>
        </is>
      </c>
      <c r="I5823" s="12" t="inlineStr">
        <is>
          <t>Instrumentation</t>
        </is>
      </c>
      <c r="J5823" s="12" t="inlineStr">
        <is>
          <t>Instrumentation PLTC / TC-ER 300 V, #18 twisted shielded pairs, overall shield</t>
        </is>
      </c>
      <c r="K5823" s="12" t="inlineStr">
        <is>
          <t>PLTC|1 pr|16</t>
        </is>
      </c>
      <c r="L5823" s="12" t="inlineStr">
        <is>
          <t>1 pr</t>
        </is>
      </c>
      <c r="M5823" s="12" t="inlineStr">
        <is>
          <t>16</t>
        </is>
      </c>
      <c r="N5823" s="12" t="n">
        <v>20</v>
      </c>
      <c r="O5823" s="12" t="n">
        <v>1</v>
      </c>
      <c r="P5823" s="12" t="n"/>
      <c r="Q5823" s="12" t="n"/>
      <c r="R5823" s="12" t="n"/>
      <c r="S5823" s="12" t="inlineStr">
        <is>
          <t>Tray / conduit</t>
        </is>
      </c>
      <c r="T5823" s="17" t="n">
        <v>161</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C-I-0094</t>
        </is>
      </c>
      <c r="B5824" s="12" t="inlineStr">
        <is>
          <t>C</t>
        </is>
      </c>
      <c r="C5824" s="12" t="inlineStr">
        <is>
          <t>Grid interface</t>
        </is>
      </c>
      <c r="D5824" s="12" t="inlineStr">
        <is>
          <t>Home run JB-CO2 compression 3 -AI07 to the control / marshalling room</t>
        </is>
      </c>
      <c r="E5824" s="12" t="inlineStr">
        <is>
          <t>R1</t>
        </is>
      </c>
      <c r="F5824" s="12" t="inlineStr">
        <is>
          <t>R1: main electrical building (64 x 180 ft)</t>
        </is>
      </c>
      <c r="G5824" s="12" t="inlineStr">
        <is>
          <t>JB-CO2 compression 3 -AI07</t>
        </is>
      </c>
      <c r="H5824" s="12" t="inlineStr">
        <is>
          <t xml:space="preserve">CO2 compression 3 x ~19 MW + dehydration: rooftop HVAC, exhaust fans, </t>
        </is>
      </c>
      <c r="I5824" s="12" t="inlineStr">
        <is>
          <t>Instrumentation</t>
        </is>
      </c>
      <c r="J5824" s="12" t="inlineStr">
        <is>
          <t>Instrumentation PLTC / TC-ER 300 V, #18 twisted shielded pairs, overall shield</t>
        </is>
      </c>
      <c r="K5824" s="12" t="inlineStr">
        <is>
          <t>PLTC|24 pr|18</t>
        </is>
      </c>
      <c r="L5824" s="12" t="inlineStr">
        <is>
          <t>24 pr</t>
        </is>
      </c>
      <c r="M5824" s="12" t="inlineStr">
        <is>
          <t>18</t>
        </is>
      </c>
      <c r="N5824" s="12" t="n">
        <v>1</v>
      </c>
      <c r="O5824" s="12" t="n">
        <v>1</v>
      </c>
      <c r="P5824" s="12" t="n"/>
      <c r="Q5824" s="12" t="n"/>
      <c r="R5824" s="12" t="n"/>
      <c r="S5824" s="12" t="inlineStr">
        <is>
          <t>Tray</t>
        </is>
      </c>
      <c r="T5824" s="17" t="n">
        <v>2186</v>
      </c>
      <c r="U5824" s="17" t="n">
        <v>268</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C-I-0095</t>
        </is>
      </c>
      <c r="B5825" s="12" t="inlineStr">
        <is>
          <t>C</t>
        </is>
      </c>
      <c r="C5825" s="12" t="inlineStr">
        <is>
          <t>Grid interface</t>
        </is>
      </c>
      <c r="D5825" s="12" t="inlineStr">
        <is>
          <t>Analog instrument to JB JB-CO2 compression 3 -AI08: 10 x 1 pr (field cables)</t>
        </is>
      </c>
      <c r="E5825" s="12" t="inlineStr"/>
      <c r="F5825" s="12" t="inlineStr">
        <is>
          <t xml:space="preserve">CO2 compression 3 x ~19 MW + dehydration: rooftop HVAC, exhaust fans, </t>
        </is>
      </c>
      <c r="G5825" s="12" t="inlineStr">
        <is>
          <t>JB-CO2 compression 3 -AI08</t>
        </is>
      </c>
      <c r="H5825" s="12" t="inlineStr">
        <is>
          <t xml:space="preserve">CO2 compression 3 x ~19 MW + dehydration: rooftop HVAC, exhaust fans, </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10</v>
      </c>
      <c r="O5825" s="12" t="n">
        <v>1</v>
      </c>
      <c r="P5825" s="12" t="n"/>
      <c r="Q5825" s="12" t="n"/>
      <c r="R5825" s="12" t="n"/>
      <c r="S5825" s="12" t="inlineStr">
        <is>
          <t>Tray / conduit</t>
        </is>
      </c>
      <c r="T5825" s="17" t="n">
        <v>161</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C-I-0096</t>
        </is>
      </c>
      <c r="B5826" s="12" t="inlineStr">
        <is>
          <t>C</t>
        </is>
      </c>
      <c r="C5826" s="12" t="inlineStr">
        <is>
          <t>Grid interface</t>
        </is>
      </c>
      <c r="D5826" s="12" t="inlineStr">
        <is>
          <t>Home run JB-CO2 compression 3 -AI08 to the control / marshalling room</t>
        </is>
      </c>
      <c r="E5826" s="12" t="inlineStr">
        <is>
          <t>R1</t>
        </is>
      </c>
      <c r="F5826" s="12" t="inlineStr">
        <is>
          <t>R1: main electrical building (64 x 180 ft)</t>
        </is>
      </c>
      <c r="G5826" s="12" t="inlineStr">
        <is>
          <t>JB-CO2 compression 3 -AI08</t>
        </is>
      </c>
      <c r="H5826" s="12" t="inlineStr">
        <is>
          <t xml:space="preserve">CO2 compression 3 x ~19 MW + dehydration: rooftop HVAC, exhaust fans, </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Tray</t>
        </is>
      </c>
      <c r="T5826" s="17" t="n">
        <v>2186</v>
      </c>
      <c r="U5826" s="17" t="n">
        <v>268</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C-I-0097</t>
        </is>
      </c>
      <c r="B5827" s="12" t="inlineStr">
        <is>
          <t>C</t>
        </is>
      </c>
      <c r="C5827" s="12" t="inlineStr">
        <is>
          <t>Grid interface</t>
        </is>
      </c>
      <c r="D5827" s="12" t="inlineStr">
        <is>
          <t>Discrete device to JB JB-CO2 compression 3 -DI01: 20 x 1 pr (field cables)</t>
        </is>
      </c>
      <c r="E5827" s="12" t="inlineStr"/>
      <c r="F5827" s="12" t="inlineStr">
        <is>
          <t xml:space="preserve">CO2 compression 3 x ~19 MW + dehydration: rooftop HVAC, exhaust fans, </t>
        </is>
      </c>
      <c r="G5827" s="12" t="inlineStr">
        <is>
          <t>JB-CO2 compression 3 -DI01</t>
        </is>
      </c>
      <c r="H5827" s="12" t="inlineStr">
        <is>
          <t xml:space="preserve">CO2 compression 3 x ~19 MW + dehydration: rooftop HVAC, exhaust fans, </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20</v>
      </c>
      <c r="O5827" s="12" t="n">
        <v>1</v>
      </c>
      <c r="P5827" s="12" t="n"/>
      <c r="Q5827" s="12" t="n"/>
      <c r="R5827" s="12" t="n"/>
      <c r="S5827" s="12" t="inlineStr">
        <is>
          <t>Tray / conduit</t>
        </is>
      </c>
      <c r="T5827" s="17" t="n">
        <v>161</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C-I-0098</t>
        </is>
      </c>
      <c r="B5828" s="12" t="inlineStr">
        <is>
          <t>C</t>
        </is>
      </c>
      <c r="C5828" s="12" t="inlineStr">
        <is>
          <t>Grid interface</t>
        </is>
      </c>
      <c r="D5828" s="12" t="inlineStr">
        <is>
          <t>Home run JB-CO2 compression 3 -DI01 to the control / marshalling room</t>
        </is>
      </c>
      <c r="E5828" s="12" t="inlineStr">
        <is>
          <t>R1</t>
        </is>
      </c>
      <c r="F5828" s="12" t="inlineStr">
        <is>
          <t>R1: main electrical building (64 x 180 ft)</t>
        </is>
      </c>
      <c r="G5828" s="12" t="inlineStr">
        <is>
          <t>JB-CO2 compression 3 -DI01</t>
        </is>
      </c>
      <c r="H5828" s="12" t="inlineStr">
        <is>
          <t xml:space="preserve">CO2 compression 3 x ~19 MW + dehydration: rooftop HVAC, exhaust fans, </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Tray</t>
        </is>
      </c>
      <c r="T5828" s="17" t="n">
        <v>2186</v>
      </c>
      <c r="U5828" s="17" t="n">
        <v>268</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C-I-0099</t>
        </is>
      </c>
      <c r="B5829" s="12" t="inlineStr">
        <is>
          <t>C</t>
        </is>
      </c>
      <c r="C5829" s="12" t="inlineStr">
        <is>
          <t>Grid interface</t>
        </is>
      </c>
      <c r="D5829" s="12" t="inlineStr">
        <is>
          <t>Discrete device to JB JB-CO2 compression 3 -DI02: 20 x 1 pr (field cables)</t>
        </is>
      </c>
      <c r="E5829" s="12" t="inlineStr"/>
      <c r="F5829" s="12" t="inlineStr">
        <is>
          <t xml:space="preserve">CO2 compression 3 x ~19 MW + dehydration: rooftop HVAC, exhaust fans, </t>
        </is>
      </c>
      <c r="G5829" s="12" t="inlineStr">
        <is>
          <t>JB-CO2 compression 3 -DI02</t>
        </is>
      </c>
      <c r="H5829" s="12" t="inlineStr">
        <is>
          <t xml:space="preserve">CO2 compression 3 x ~19 MW + dehydration: rooftop HVAC, exhaust fans, </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161</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C-I-0100</t>
        </is>
      </c>
      <c r="B5830" s="12" t="inlineStr">
        <is>
          <t>C</t>
        </is>
      </c>
      <c r="C5830" s="12" t="inlineStr">
        <is>
          <t>Grid interface</t>
        </is>
      </c>
      <c r="D5830" s="12" t="inlineStr">
        <is>
          <t>Home run JB-CO2 compression 3 -DI02 to the control / marshalling room</t>
        </is>
      </c>
      <c r="E5830" s="12" t="inlineStr">
        <is>
          <t>R1</t>
        </is>
      </c>
      <c r="F5830" s="12" t="inlineStr">
        <is>
          <t>R1: main electrical building (64 x 180 ft)</t>
        </is>
      </c>
      <c r="G5830" s="12" t="inlineStr">
        <is>
          <t>JB-CO2 compression 3 -DI02</t>
        </is>
      </c>
      <c r="H5830" s="12" t="inlineStr">
        <is>
          <t xml:space="preserve">CO2 compression 3 x ~19 MW + dehydration: rooftop HVAC, exhaust fans, </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Tray</t>
        </is>
      </c>
      <c r="T5830" s="17" t="n">
        <v>2186</v>
      </c>
      <c r="U5830" s="17" t="n">
        <v>268</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C-I-0101</t>
        </is>
      </c>
      <c r="B5831" s="12" t="inlineStr">
        <is>
          <t>C</t>
        </is>
      </c>
      <c r="C5831" s="12" t="inlineStr">
        <is>
          <t>Grid interface</t>
        </is>
      </c>
      <c r="D5831" s="12" t="inlineStr">
        <is>
          <t>Discrete device to JB JB-CO2 compression 3 -DI03: 20 x 1 pr (field cables)</t>
        </is>
      </c>
      <c r="E5831" s="12" t="inlineStr"/>
      <c r="F5831" s="12" t="inlineStr">
        <is>
          <t xml:space="preserve">CO2 compression 3 x ~19 MW + dehydration: rooftop HVAC, exhaust fans, </t>
        </is>
      </c>
      <c r="G5831" s="12" t="inlineStr">
        <is>
          <t>JB-CO2 compression 3 -DI03</t>
        </is>
      </c>
      <c r="H5831" s="12" t="inlineStr">
        <is>
          <t xml:space="preserve">CO2 compression 3 x ~19 MW + dehydration: rooftop HVAC, exhaust fans, </t>
        </is>
      </c>
      <c r="I5831" s="12" t="inlineStr">
        <is>
          <t>Instrumentation</t>
        </is>
      </c>
      <c r="J5831" s="12" t="inlineStr">
        <is>
          <t>Instrumentation PLTC / TC-ER 300 V, #18 twisted shielded pairs, overall shield</t>
        </is>
      </c>
      <c r="K5831" s="12" t="inlineStr">
        <is>
          <t>PLTC|1 pr|16</t>
        </is>
      </c>
      <c r="L5831" s="12" t="inlineStr">
        <is>
          <t>1 pr</t>
        </is>
      </c>
      <c r="M5831" s="12" t="inlineStr">
        <is>
          <t>16</t>
        </is>
      </c>
      <c r="N5831" s="12" t="n">
        <v>20</v>
      </c>
      <c r="O5831" s="12" t="n">
        <v>1</v>
      </c>
      <c r="P5831" s="12" t="n"/>
      <c r="Q5831" s="12" t="n"/>
      <c r="R5831" s="12" t="n"/>
      <c r="S5831" s="12" t="inlineStr">
        <is>
          <t>Tray / conduit</t>
        </is>
      </c>
      <c r="T5831" s="17" t="n">
        <v>161</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C-I-0102</t>
        </is>
      </c>
      <c r="B5832" s="12" t="inlineStr">
        <is>
          <t>C</t>
        </is>
      </c>
      <c r="C5832" s="12" t="inlineStr">
        <is>
          <t>Grid interface</t>
        </is>
      </c>
      <c r="D5832" s="12" t="inlineStr">
        <is>
          <t>Home run JB-CO2 compression 3 -DI03 to the control / marshalling room</t>
        </is>
      </c>
      <c r="E5832" s="12" t="inlineStr">
        <is>
          <t>R1</t>
        </is>
      </c>
      <c r="F5832" s="12" t="inlineStr">
        <is>
          <t>R1: main electrical building (64 x 180 ft)</t>
        </is>
      </c>
      <c r="G5832" s="12" t="inlineStr">
        <is>
          <t>JB-CO2 compression 3 -DI03</t>
        </is>
      </c>
      <c r="H5832" s="12" t="inlineStr">
        <is>
          <t xml:space="preserve">CO2 compression 3 x ~19 MW + dehydration: rooftop HVAC, exhaust fans, </t>
        </is>
      </c>
      <c r="I5832" s="12" t="inlineStr">
        <is>
          <t>Instrumentation</t>
        </is>
      </c>
      <c r="J5832" s="12" t="inlineStr">
        <is>
          <t>Instrumentation PLTC / TC-ER 300 V, #18 twisted shielded pairs, overall shield</t>
        </is>
      </c>
      <c r="K5832" s="12" t="inlineStr">
        <is>
          <t>PLTC|24 pr|18</t>
        </is>
      </c>
      <c r="L5832" s="12" t="inlineStr">
        <is>
          <t>24 pr</t>
        </is>
      </c>
      <c r="M5832" s="12" t="inlineStr">
        <is>
          <t>18</t>
        </is>
      </c>
      <c r="N5832" s="12" t="n">
        <v>1</v>
      </c>
      <c r="O5832" s="12" t="n">
        <v>1</v>
      </c>
      <c r="P5832" s="12" t="n"/>
      <c r="Q5832" s="12" t="n"/>
      <c r="R5832" s="12" t="n"/>
      <c r="S5832" s="12" t="inlineStr">
        <is>
          <t>Tray</t>
        </is>
      </c>
      <c r="T5832" s="17" t="n">
        <v>2186</v>
      </c>
      <c r="U5832" s="17" t="n">
        <v>268</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C-I-0103</t>
        </is>
      </c>
      <c r="B5833" s="12" t="inlineStr">
        <is>
          <t>C</t>
        </is>
      </c>
      <c r="C5833" s="12" t="inlineStr">
        <is>
          <t>Grid interface</t>
        </is>
      </c>
      <c r="D5833" s="12" t="inlineStr">
        <is>
          <t>Discrete device to JB JB-CO2 compression 3 -DI04: 20 x 1 pr (field cables)</t>
        </is>
      </c>
      <c r="E5833" s="12" t="inlineStr"/>
      <c r="F5833" s="12" t="inlineStr">
        <is>
          <t xml:space="preserve">CO2 compression 3 x ~19 MW + dehydration: rooftop HVAC, exhaust fans, </t>
        </is>
      </c>
      <c r="G5833" s="12" t="inlineStr">
        <is>
          <t>JB-CO2 compression 3 -DI04</t>
        </is>
      </c>
      <c r="H5833" s="12" t="inlineStr">
        <is>
          <t xml:space="preserve">CO2 compression 3 x ~19 MW + dehydration: rooftop HVAC, exhaust fans, </t>
        </is>
      </c>
      <c r="I5833" s="12" t="inlineStr">
        <is>
          <t>Instrumentation</t>
        </is>
      </c>
      <c r="J5833" s="12" t="inlineStr">
        <is>
          <t>Instrumentation PLTC / TC-ER 300 V, #18 twisted shielded pairs, overall shield</t>
        </is>
      </c>
      <c r="K5833" s="12" t="inlineStr">
        <is>
          <t>PLTC|1 pr|16</t>
        </is>
      </c>
      <c r="L5833" s="12" t="inlineStr">
        <is>
          <t>1 pr</t>
        </is>
      </c>
      <c r="M5833" s="12" t="inlineStr">
        <is>
          <t>16</t>
        </is>
      </c>
      <c r="N5833" s="12" t="n">
        <v>20</v>
      </c>
      <c r="O5833" s="12" t="n">
        <v>1</v>
      </c>
      <c r="P5833" s="12" t="n"/>
      <c r="Q5833" s="12" t="n"/>
      <c r="R5833" s="12" t="n"/>
      <c r="S5833" s="12" t="inlineStr">
        <is>
          <t>Tray / conduit</t>
        </is>
      </c>
      <c r="T5833" s="17" t="n">
        <v>161</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C-I-0104</t>
        </is>
      </c>
      <c r="B5834" s="12" t="inlineStr">
        <is>
          <t>C</t>
        </is>
      </c>
      <c r="C5834" s="12" t="inlineStr">
        <is>
          <t>Grid interface</t>
        </is>
      </c>
      <c r="D5834" s="12" t="inlineStr">
        <is>
          <t>Home run JB-CO2 compression 3 -DI04 to the control / marshalling room</t>
        </is>
      </c>
      <c r="E5834" s="12" t="inlineStr">
        <is>
          <t>R1</t>
        </is>
      </c>
      <c r="F5834" s="12" t="inlineStr">
        <is>
          <t>R1: main electrical building (64 x 180 ft)</t>
        </is>
      </c>
      <c r="G5834" s="12" t="inlineStr">
        <is>
          <t>JB-CO2 compression 3 -DI04</t>
        </is>
      </c>
      <c r="H5834" s="12" t="inlineStr">
        <is>
          <t xml:space="preserve">CO2 compression 3 x ~19 MW + dehydration: rooftop HVAC, exhaust fans, </t>
        </is>
      </c>
      <c r="I5834" s="12" t="inlineStr">
        <is>
          <t>Instrumentation</t>
        </is>
      </c>
      <c r="J5834" s="12" t="inlineStr">
        <is>
          <t>Instrumentation PLTC / TC-ER 300 V, #18 twisted shielded pairs, overall shield</t>
        </is>
      </c>
      <c r="K5834" s="12" t="inlineStr">
        <is>
          <t>PLTC|24 pr|18</t>
        </is>
      </c>
      <c r="L5834" s="12" t="inlineStr">
        <is>
          <t>24 pr</t>
        </is>
      </c>
      <c r="M5834" s="12" t="inlineStr">
        <is>
          <t>18</t>
        </is>
      </c>
      <c r="N5834" s="12" t="n">
        <v>1</v>
      </c>
      <c r="O5834" s="12" t="n">
        <v>1</v>
      </c>
      <c r="P5834" s="12" t="n"/>
      <c r="Q5834" s="12" t="n"/>
      <c r="R5834" s="12" t="n"/>
      <c r="S5834" s="12" t="inlineStr">
        <is>
          <t>Tray</t>
        </is>
      </c>
      <c r="T5834" s="17" t="n">
        <v>2186</v>
      </c>
      <c r="U5834" s="17" t="n">
        <v>268</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C-I-0105</t>
        </is>
      </c>
      <c r="B5835" s="12" t="inlineStr">
        <is>
          <t>C</t>
        </is>
      </c>
      <c r="C5835" s="12" t="inlineStr">
        <is>
          <t>Grid interface</t>
        </is>
      </c>
      <c r="D5835" s="12" t="inlineStr">
        <is>
          <t>Discrete device to JB JB-CO2 compression 3 -DI05: 20 x 1 pr (field cables)</t>
        </is>
      </c>
      <c r="E5835" s="12" t="inlineStr"/>
      <c r="F5835" s="12" t="inlineStr">
        <is>
          <t xml:space="preserve">CO2 compression 3 x ~19 MW + dehydration: rooftop HVAC, exhaust fans, </t>
        </is>
      </c>
      <c r="G5835" s="12" t="inlineStr">
        <is>
          <t>JB-CO2 compression 3 -DI05</t>
        </is>
      </c>
      <c r="H5835" s="12" t="inlineStr">
        <is>
          <t xml:space="preserve">CO2 compression 3 x ~19 MW + dehydration: rooftop HVAC, exhaust fans, </t>
        </is>
      </c>
      <c r="I5835" s="12" t="inlineStr">
        <is>
          <t>Instrumentation</t>
        </is>
      </c>
      <c r="J5835" s="12" t="inlineStr">
        <is>
          <t>Instrumentation PLTC / TC-ER 300 V, #18 twisted shielded pairs, overall shield</t>
        </is>
      </c>
      <c r="K5835" s="12" t="inlineStr">
        <is>
          <t>PLTC|1 pr|16</t>
        </is>
      </c>
      <c r="L5835" s="12" t="inlineStr">
        <is>
          <t>1 pr</t>
        </is>
      </c>
      <c r="M5835" s="12" t="inlineStr">
        <is>
          <t>16</t>
        </is>
      </c>
      <c r="N5835" s="12" t="n">
        <v>20</v>
      </c>
      <c r="O5835" s="12" t="n">
        <v>1</v>
      </c>
      <c r="P5835" s="12" t="n"/>
      <c r="Q5835" s="12" t="n"/>
      <c r="R5835" s="12" t="n"/>
      <c r="S5835" s="12" t="inlineStr">
        <is>
          <t>Tray / conduit</t>
        </is>
      </c>
      <c r="T5835" s="17" t="n">
        <v>161</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C-I-0106</t>
        </is>
      </c>
      <c r="B5836" s="12" t="inlineStr">
        <is>
          <t>C</t>
        </is>
      </c>
      <c r="C5836" s="12" t="inlineStr">
        <is>
          <t>Grid interface</t>
        </is>
      </c>
      <c r="D5836" s="12" t="inlineStr">
        <is>
          <t>Home run JB-CO2 compression 3 -DI05 to the control / marshalling room</t>
        </is>
      </c>
      <c r="E5836" s="12" t="inlineStr">
        <is>
          <t>R1</t>
        </is>
      </c>
      <c r="F5836" s="12" t="inlineStr">
        <is>
          <t>R1: main electrical building (64 x 180 ft)</t>
        </is>
      </c>
      <c r="G5836" s="12" t="inlineStr">
        <is>
          <t>JB-CO2 compression 3 -DI05</t>
        </is>
      </c>
      <c r="H5836" s="12" t="inlineStr">
        <is>
          <t xml:space="preserve">CO2 compression 3 x ~19 MW + dehydration: rooftop HVAC, exhaust fans, </t>
        </is>
      </c>
      <c r="I5836" s="12" t="inlineStr">
        <is>
          <t>Instrumentation</t>
        </is>
      </c>
      <c r="J5836" s="12" t="inlineStr">
        <is>
          <t>Instrumentation PLTC / TC-ER 300 V, #18 twisted shielded pairs, overall shield</t>
        </is>
      </c>
      <c r="K5836" s="12" t="inlineStr">
        <is>
          <t>PLTC|24 pr|18</t>
        </is>
      </c>
      <c r="L5836" s="12" t="inlineStr">
        <is>
          <t>24 pr</t>
        </is>
      </c>
      <c r="M5836" s="12" t="inlineStr">
        <is>
          <t>18</t>
        </is>
      </c>
      <c r="N5836" s="12" t="n">
        <v>1</v>
      </c>
      <c r="O5836" s="12" t="n">
        <v>1</v>
      </c>
      <c r="P5836" s="12" t="n"/>
      <c r="Q5836" s="12" t="n"/>
      <c r="R5836" s="12" t="n"/>
      <c r="S5836" s="12" t="inlineStr">
        <is>
          <t>Tray</t>
        </is>
      </c>
      <c r="T5836" s="17" t="n">
        <v>2186</v>
      </c>
      <c r="U5836" s="17" t="n">
        <v>268</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C-I-0107</t>
        </is>
      </c>
      <c r="B5837" s="12" t="inlineStr">
        <is>
          <t>C</t>
        </is>
      </c>
      <c r="C5837" s="12" t="inlineStr">
        <is>
          <t>Grid interface</t>
        </is>
      </c>
      <c r="D5837" s="12" t="inlineStr">
        <is>
          <t>RTD to JB JB-CO2 compression 3 -RTD01: 10 x 1 tri (field cables)</t>
        </is>
      </c>
      <c r="E5837" s="12" t="inlineStr"/>
      <c r="F5837" s="12" t="inlineStr">
        <is>
          <t xml:space="preserve">CO2 compression 3 x ~19 MW + dehydration: rooftop HVAC, exhaust fans, </t>
        </is>
      </c>
      <c r="G5837" s="12" t="inlineStr">
        <is>
          <t>JB-CO2 compression 3 -RTD01</t>
        </is>
      </c>
      <c r="H5837" s="12" t="inlineStr">
        <is>
          <t xml:space="preserve">CO2 compression 3 x ~19 MW + dehydration: rooftop HVAC, exhaust fans, </t>
        </is>
      </c>
      <c r="I5837" s="12" t="inlineStr">
        <is>
          <t>Instrumentation</t>
        </is>
      </c>
      <c r="J5837" s="12" t="inlineStr">
        <is>
          <t>RTD cable, #18 shielded triads, PLTC</t>
        </is>
      </c>
      <c r="K5837" s="12" t="inlineStr">
        <is>
          <t>RTD|1 tri|18</t>
        </is>
      </c>
      <c r="L5837" s="12" t="inlineStr">
        <is>
          <t>1 tri</t>
        </is>
      </c>
      <c r="M5837" s="12" t="inlineStr">
        <is>
          <t>18</t>
        </is>
      </c>
      <c r="N5837" s="12" t="n">
        <v>10</v>
      </c>
      <c r="O5837" s="12" t="n">
        <v>1</v>
      </c>
      <c r="P5837" s="12" t="n"/>
      <c r="Q5837" s="12" t="n"/>
      <c r="R5837" s="12" t="n"/>
      <c r="S5837" s="12" t="inlineStr">
        <is>
          <t>Tray / conduit</t>
        </is>
      </c>
      <c r="T5837" s="17" t="n">
        <v>161</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C-I-0108</t>
        </is>
      </c>
      <c r="B5838" s="12" t="inlineStr">
        <is>
          <t>C</t>
        </is>
      </c>
      <c r="C5838" s="12" t="inlineStr">
        <is>
          <t>Grid interface</t>
        </is>
      </c>
      <c r="D5838" s="12" t="inlineStr">
        <is>
          <t>Home run JB-CO2 compression 3 -RTD01 to the control / marshalling room</t>
        </is>
      </c>
      <c r="E5838" s="12" t="inlineStr">
        <is>
          <t>R1</t>
        </is>
      </c>
      <c r="F5838" s="12" t="inlineStr">
        <is>
          <t>R1: main electrical building (64 x 180 ft)</t>
        </is>
      </c>
      <c r="G5838" s="12" t="inlineStr">
        <is>
          <t>JB-CO2 compression 3 -RTD01</t>
        </is>
      </c>
      <c r="H5838" s="12" t="inlineStr">
        <is>
          <t xml:space="preserve">CO2 compression 3 x ~19 MW + dehydration: rooftop HVAC, exhaust fans, </t>
        </is>
      </c>
      <c r="I5838" s="12" t="inlineStr">
        <is>
          <t>Instrumentation</t>
        </is>
      </c>
      <c r="J5838" s="12" t="inlineStr">
        <is>
          <t>RTD cable, #18 shielded triads, PLTC</t>
        </is>
      </c>
      <c r="K5838" s="12" t="inlineStr">
        <is>
          <t>RTD|12 tri|18</t>
        </is>
      </c>
      <c r="L5838" s="12" t="inlineStr">
        <is>
          <t>12 tri</t>
        </is>
      </c>
      <c r="M5838" s="12" t="inlineStr">
        <is>
          <t>18</t>
        </is>
      </c>
      <c r="N5838" s="12" t="n">
        <v>1</v>
      </c>
      <c r="O5838" s="12" t="n">
        <v>1</v>
      </c>
      <c r="P5838" s="12" t="n"/>
      <c r="Q5838" s="12" t="n"/>
      <c r="R5838" s="12" t="n"/>
      <c r="S5838" s="12" t="inlineStr">
        <is>
          <t>Tray</t>
        </is>
      </c>
      <c r="T5838" s="17" t="n">
        <v>2186</v>
      </c>
      <c r="U5838" s="17" t="n">
        <v>268</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C-I-0109</t>
        </is>
      </c>
      <c r="B5839" s="12" t="inlineStr">
        <is>
          <t>C</t>
        </is>
      </c>
      <c r="C5839" s="12" t="inlineStr">
        <is>
          <t>Grid interface</t>
        </is>
      </c>
      <c r="D5839" s="12" t="inlineStr">
        <is>
          <t>RTD to JB JB-CO2 compression 3 -RTD02: 10 x 1 tri (field cables)</t>
        </is>
      </c>
      <c r="E5839" s="12" t="inlineStr"/>
      <c r="F5839" s="12" t="inlineStr">
        <is>
          <t xml:space="preserve">CO2 compression 3 x ~19 MW + dehydration: rooftop HVAC, exhaust fans, </t>
        </is>
      </c>
      <c r="G5839" s="12" t="inlineStr">
        <is>
          <t>JB-CO2 compression 3 -RTD02</t>
        </is>
      </c>
      <c r="H5839" s="12" t="inlineStr">
        <is>
          <t xml:space="preserve">CO2 compression 3 x ~19 MW + dehydration: rooftop HVAC, exhaust fans, </t>
        </is>
      </c>
      <c r="I5839" s="12" t="inlineStr">
        <is>
          <t>Instrumentation</t>
        </is>
      </c>
      <c r="J5839" s="12" t="inlineStr">
        <is>
          <t>RTD cable, #18 shielded triads, PLTC</t>
        </is>
      </c>
      <c r="K5839" s="12" t="inlineStr">
        <is>
          <t>RTD|1 tri|18</t>
        </is>
      </c>
      <c r="L5839" s="12" t="inlineStr">
        <is>
          <t>1 tri</t>
        </is>
      </c>
      <c r="M5839" s="12" t="inlineStr">
        <is>
          <t>18</t>
        </is>
      </c>
      <c r="N5839" s="12" t="n">
        <v>10</v>
      </c>
      <c r="O5839" s="12" t="n">
        <v>1</v>
      </c>
      <c r="P5839" s="12" t="n"/>
      <c r="Q5839" s="12" t="n"/>
      <c r="R5839" s="12" t="n"/>
      <c r="S5839" s="12" t="inlineStr">
        <is>
          <t>Tray / conduit</t>
        </is>
      </c>
      <c r="T5839" s="17" t="n">
        <v>161</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C-I-0110</t>
        </is>
      </c>
      <c r="B5840" s="12" t="inlineStr">
        <is>
          <t>C</t>
        </is>
      </c>
      <c r="C5840" s="12" t="inlineStr">
        <is>
          <t>Grid interface</t>
        </is>
      </c>
      <c r="D5840" s="12" t="inlineStr">
        <is>
          <t>Home run JB-CO2 compression 3 -RTD02 to the control / marshalling room</t>
        </is>
      </c>
      <c r="E5840" s="12" t="inlineStr">
        <is>
          <t>R1</t>
        </is>
      </c>
      <c r="F5840" s="12" t="inlineStr">
        <is>
          <t>R1: main electrical building (64 x 180 ft)</t>
        </is>
      </c>
      <c r="G5840" s="12" t="inlineStr">
        <is>
          <t>JB-CO2 compression 3 -RTD02</t>
        </is>
      </c>
      <c r="H5840" s="12" t="inlineStr">
        <is>
          <t xml:space="preserve">CO2 compression 3 x ~19 MW + dehydration: rooftop HVAC, exhaust fans, </t>
        </is>
      </c>
      <c r="I5840" s="12" t="inlineStr">
        <is>
          <t>Instrumentation</t>
        </is>
      </c>
      <c r="J5840" s="12" t="inlineStr">
        <is>
          <t>RTD cable, #18 shielded triads, PLTC</t>
        </is>
      </c>
      <c r="K5840" s="12" t="inlineStr">
        <is>
          <t>RTD|12 tri|18</t>
        </is>
      </c>
      <c r="L5840" s="12" t="inlineStr">
        <is>
          <t>12 tri</t>
        </is>
      </c>
      <c r="M5840" s="12" t="inlineStr">
        <is>
          <t>18</t>
        </is>
      </c>
      <c r="N5840" s="12" t="n">
        <v>1</v>
      </c>
      <c r="O5840" s="12" t="n">
        <v>1</v>
      </c>
      <c r="P5840" s="12" t="n"/>
      <c r="Q5840" s="12" t="n"/>
      <c r="R5840" s="12" t="n"/>
      <c r="S5840" s="12" t="inlineStr">
        <is>
          <t>Tray</t>
        </is>
      </c>
      <c r="T5840" s="17" t="n">
        <v>2186</v>
      </c>
      <c r="U5840" s="17" t="n">
        <v>268</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C-I-0111</t>
        </is>
      </c>
      <c r="B5841" s="12" t="inlineStr">
        <is>
          <t>C</t>
        </is>
      </c>
      <c r="C5841" s="12" t="inlineStr">
        <is>
          <t>Grid interface</t>
        </is>
      </c>
      <c r="D5841" s="12" t="inlineStr">
        <is>
          <t>RTD to JB JB-CO2 compression 3 -RTD03: 10 x 1 tri (field cables)</t>
        </is>
      </c>
      <c r="E5841" s="12" t="inlineStr"/>
      <c r="F5841" s="12" t="inlineStr">
        <is>
          <t xml:space="preserve">CO2 compression 3 x ~19 MW + dehydration: rooftop HVAC, exhaust fans, </t>
        </is>
      </c>
      <c r="G5841" s="12" t="inlineStr">
        <is>
          <t>JB-CO2 compression 3 -RTD03</t>
        </is>
      </c>
      <c r="H5841" s="12" t="inlineStr">
        <is>
          <t xml:space="preserve">CO2 compression 3 x ~19 MW + dehydration: rooftop HVAC, exhaust fans, </t>
        </is>
      </c>
      <c r="I5841" s="12" t="inlineStr">
        <is>
          <t>Instrumentation</t>
        </is>
      </c>
      <c r="J5841" s="12" t="inlineStr">
        <is>
          <t>RTD cable, #18 shielded triads, PLTC</t>
        </is>
      </c>
      <c r="K5841" s="12" t="inlineStr">
        <is>
          <t>RTD|1 tri|18</t>
        </is>
      </c>
      <c r="L5841" s="12" t="inlineStr">
        <is>
          <t>1 tri</t>
        </is>
      </c>
      <c r="M5841" s="12" t="inlineStr">
        <is>
          <t>18</t>
        </is>
      </c>
      <c r="N5841" s="12" t="n">
        <v>10</v>
      </c>
      <c r="O5841" s="12" t="n">
        <v>1</v>
      </c>
      <c r="P5841" s="12" t="n"/>
      <c r="Q5841" s="12" t="n"/>
      <c r="R5841" s="12" t="n"/>
      <c r="S5841" s="12" t="inlineStr">
        <is>
          <t>Tray / conduit</t>
        </is>
      </c>
      <c r="T5841" s="17" t="n">
        <v>161</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C-I-0112</t>
        </is>
      </c>
      <c r="B5842" s="12" t="inlineStr">
        <is>
          <t>C</t>
        </is>
      </c>
      <c r="C5842" s="12" t="inlineStr">
        <is>
          <t>Grid interface</t>
        </is>
      </c>
      <c r="D5842" s="12" t="inlineStr">
        <is>
          <t>Home run JB-CO2 compression 3 -RTD03 to the control / marshalling room</t>
        </is>
      </c>
      <c r="E5842" s="12" t="inlineStr">
        <is>
          <t>R1</t>
        </is>
      </c>
      <c r="F5842" s="12" t="inlineStr">
        <is>
          <t>R1: main electrical building (64 x 180 ft)</t>
        </is>
      </c>
      <c r="G5842" s="12" t="inlineStr">
        <is>
          <t>JB-CO2 compression 3 -RTD03</t>
        </is>
      </c>
      <c r="H5842" s="12" t="inlineStr">
        <is>
          <t xml:space="preserve">CO2 compression 3 x ~19 MW + dehydration: rooftop HVAC, exhaust fans, </t>
        </is>
      </c>
      <c r="I5842" s="12" t="inlineStr">
        <is>
          <t>Instrumentation</t>
        </is>
      </c>
      <c r="J5842" s="12" t="inlineStr">
        <is>
          <t>RTD cable, #18 shielded triads, PLTC</t>
        </is>
      </c>
      <c r="K5842" s="12" t="inlineStr">
        <is>
          <t>RTD|12 tri|18</t>
        </is>
      </c>
      <c r="L5842" s="12" t="inlineStr">
        <is>
          <t>12 tri</t>
        </is>
      </c>
      <c r="M5842" s="12" t="inlineStr">
        <is>
          <t>18</t>
        </is>
      </c>
      <c r="N5842" s="12" t="n">
        <v>1</v>
      </c>
      <c r="O5842" s="12" t="n">
        <v>1</v>
      </c>
      <c r="P5842" s="12" t="n"/>
      <c r="Q5842" s="12" t="n"/>
      <c r="R5842" s="12" t="n"/>
      <c r="S5842" s="12" t="inlineStr">
        <is>
          <t>Tray</t>
        </is>
      </c>
      <c r="T5842" s="17" t="n">
        <v>2186</v>
      </c>
      <c r="U5842" s="17" t="n">
        <v>268</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C-I-0113</t>
        </is>
      </c>
      <c r="B5843" s="12" t="inlineStr">
        <is>
          <t>C</t>
        </is>
      </c>
      <c r="C5843" s="12" t="inlineStr">
        <is>
          <t>Grid interface</t>
        </is>
      </c>
      <c r="D5843" s="12" t="inlineStr">
        <is>
          <t>RTD to JB JB-CO2 compression 3 -RTD04: 6 x 1 tri (field cables)</t>
        </is>
      </c>
      <c r="E5843" s="12" t="inlineStr"/>
      <c r="F5843" s="12" t="inlineStr">
        <is>
          <t xml:space="preserve">CO2 compression 3 x ~19 MW + dehydration: rooftop HVAC, exhaust fans, </t>
        </is>
      </c>
      <c r="G5843" s="12" t="inlineStr">
        <is>
          <t>JB-CO2 compression 3 -RTD04</t>
        </is>
      </c>
      <c r="H5843" s="12" t="inlineStr">
        <is>
          <t xml:space="preserve">CO2 compression 3 x ~19 MW + dehydration: rooftop HVAC, exhaust fans, </t>
        </is>
      </c>
      <c r="I5843" s="12" t="inlineStr">
        <is>
          <t>Instrumentation</t>
        </is>
      </c>
      <c r="J5843" s="12" t="inlineStr">
        <is>
          <t>RTD cable, #18 shielded triads, PLTC</t>
        </is>
      </c>
      <c r="K5843" s="12" t="inlineStr">
        <is>
          <t>RTD|1 tri|18</t>
        </is>
      </c>
      <c r="L5843" s="12" t="inlineStr">
        <is>
          <t>1 tri</t>
        </is>
      </c>
      <c r="M5843" s="12" t="inlineStr">
        <is>
          <t>18</t>
        </is>
      </c>
      <c r="N5843" s="12" t="n">
        <v>6</v>
      </c>
      <c r="O5843" s="12" t="n">
        <v>1</v>
      </c>
      <c r="P5843" s="12" t="n"/>
      <c r="Q5843" s="12" t="n"/>
      <c r="R5843" s="12" t="n"/>
      <c r="S5843" s="12" t="inlineStr">
        <is>
          <t>Tray / conduit</t>
        </is>
      </c>
      <c r="T5843" s="17" t="n">
        <v>161</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C-I-0114</t>
        </is>
      </c>
      <c r="B5844" s="12" t="inlineStr">
        <is>
          <t>C</t>
        </is>
      </c>
      <c r="C5844" s="12" t="inlineStr">
        <is>
          <t>Grid interface</t>
        </is>
      </c>
      <c r="D5844" s="12" t="inlineStr">
        <is>
          <t>Home run JB-CO2 compression 3 -RTD04 to the control / marshalling room</t>
        </is>
      </c>
      <c r="E5844" s="12" t="inlineStr">
        <is>
          <t>R1</t>
        </is>
      </c>
      <c r="F5844" s="12" t="inlineStr">
        <is>
          <t>R1: main electrical building (64 x 180 ft)</t>
        </is>
      </c>
      <c r="G5844" s="12" t="inlineStr">
        <is>
          <t>JB-CO2 compression 3 -RTD04</t>
        </is>
      </c>
      <c r="H5844" s="12" t="inlineStr">
        <is>
          <t xml:space="preserve">CO2 compression 3 x ~19 MW + dehydration: rooftop HVAC, exhaust fans, </t>
        </is>
      </c>
      <c r="I5844" s="12" t="inlineStr">
        <is>
          <t>Instrumentation</t>
        </is>
      </c>
      <c r="J5844" s="12" t="inlineStr">
        <is>
          <t>RTD cable, #18 shielded triads, PLTC</t>
        </is>
      </c>
      <c r="K5844" s="12" t="inlineStr">
        <is>
          <t>RTD|12 tri|18</t>
        </is>
      </c>
      <c r="L5844" s="12" t="inlineStr">
        <is>
          <t>12 tri</t>
        </is>
      </c>
      <c r="M5844" s="12" t="inlineStr">
        <is>
          <t>18</t>
        </is>
      </c>
      <c r="N5844" s="12" t="n">
        <v>1</v>
      </c>
      <c r="O5844" s="12" t="n">
        <v>1</v>
      </c>
      <c r="P5844" s="12" t="n"/>
      <c r="Q5844" s="12" t="n"/>
      <c r="R5844" s="12" t="n"/>
      <c r="S5844" s="12" t="inlineStr">
        <is>
          <t>Tray</t>
        </is>
      </c>
      <c r="T5844" s="17" t="n">
        <v>2186</v>
      </c>
      <c r="U5844" s="17" t="n">
        <v>268</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C-I-0115</t>
        </is>
      </c>
      <c r="B5845" s="12" t="inlineStr">
        <is>
          <t>C</t>
        </is>
      </c>
      <c r="C5845" s="12" t="inlineStr">
        <is>
          <t>Grid interface</t>
        </is>
      </c>
      <c r="D5845" s="12" t="inlineStr">
        <is>
          <t>Analog instrument to JB JB-Small-bore piping:-AI01: 10 x 1 pr (field cables)</t>
        </is>
      </c>
      <c r="E5845" s="12" t="inlineStr"/>
      <c r="F5845" s="12" t="inlineStr">
        <is>
          <t>Small-bore piping: instrument air, service water, nitrogen, HRSG drain</t>
        </is>
      </c>
      <c r="G5845" s="12" t="inlineStr">
        <is>
          <t>JB-Small-bore piping:-AI01</t>
        </is>
      </c>
      <c r="H5845" s="12" t="inlineStr">
        <is>
          <t>Small-bore piping: instrument air, service water, nitrogen, HRSG drain</t>
        </is>
      </c>
      <c r="I5845" s="12" t="inlineStr">
        <is>
          <t>Instrumentation</t>
        </is>
      </c>
      <c r="J5845" s="12" t="inlineStr">
        <is>
          <t>Instrumentation PLTC / TC-ER 300 V, #18 twisted shielded pairs, overall shield</t>
        </is>
      </c>
      <c r="K5845" s="12" t="inlineStr">
        <is>
          <t>PLTC|1 pr|16</t>
        </is>
      </c>
      <c r="L5845" s="12" t="inlineStr">
        <is>
          <t>1 pr</t>
        </is>
      </c>
      <c r="M5845" s="12" t="inlineStr">
        <is>
          <t>16</t>
        </is>
      </c>
      <c r="N5845" s="12" t="n">
        <v>10</v>
      </c>
      <c r="O5845" s="12" t="n">
        <v>1</v>
      </c>
      <c r="P5845" s="12" t="n"/>
      <c r="Q5845" s="12" t="n"/>
      <c r="R5845" s="12" t="n"/>
      <c r="S5845" s="12" t="inlineStr">
        <is>
          <t>Tray / conduit</t>
        </is>
      </c>
      <c r="T5845" s="17" t="n">
        <v>250</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C-I-0116</t>
        </is>
      </c>
      <c r="B5846" s="12" t="inlineStr">
        <is>
          <t>C</t>
        </is>
      </c>
      <c r="C5846" s="12" t="inlineStr">
        <is>
          <t>Grid interface</t>
        </is>
      </c>
      <c r="D5846" s="12" t="inlineStr">
        <is>
          <t>Home run JB-Small-bore piping:-AI01 to the control / marshalling room</t>
        </is>
      </c>
      <c r="E5846" s="12" t="inlineStr">
        <is>
          <t>R1</t>
        </is>
      </c>
      <c r="F5846" s="12" t="inlineStr">
        <is>
          <t>R1: main electrical building (64 x 180 ft)</t>
        </is>
      </c>
      <c r="G5846" s="12" t="inlineStr">
        <is>
          <t>JB-Small-bore piping:-AI01</t>
        </is>
      </c>
      <c r="H5846" s="12" t="inlineStr">
        <is>
          <t>Small-bore piping: instrument air, service water, nitrogen, HRSG drain</t>
        </is>
      </c>
      <c r="I5846" s="12" t="inlineStr">
        <is>
          <t>Instrumentation</t>
        </is>
      </c>
      <c r="J5846" s="12" t="inlineStr">
        <is>
          <t>Instrumentation PLTC / TC-ER 300 V, #18 twisted shielded pairs, overall shield</t>
        </is>
      </c>
      <c r="K5846" s="12" t="inlineStr">
        <is>
          <t>PLTC|24 pr|18</t>
        </is>
      </c>
      <c r="L5846" s="12" t="inlineStr">
        <is>
          <t>24 pr</t>
        </is>
      </c>
      <c r="M5846" s="12" t="inlineStr">
        <is>
          <t>18</t>
        </is>
      </c>
      <c r="N5846" s="12" t="n">
        <v>1</v>
      </c>
      <c r="O5846" s="12" t="n">
        <v>1</v>
      </c>
      <c r="P5846" s="12" t="n"/>
      <c r="Q5846" s="12" t="n"/>
      <c r="R5846" s="12" t="n"/>
      <c r="S5846" s="12" t="inlineStr">
        <is>
          <t>Tray</t>
        </is>
      </c>
      <c r="T5846" s="17" t="n">
        <v>1218</v>
      </c>
      <c r="U5846" s="17" t="n">
        <v>200</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C-I-0117</t>
        </is>
      </c>
      <c r="B5847" s="12" t="inlineStr">
        <is>
          <t>C</t>
        </is>
      </c>
      <c r="C5847" s="12" t="inlineStr">
        <is>
          <t>Grid interface</t>
        </is>
      </c>
      <c r="D5847" s="12" t="inlineStr">
        <is>
          <t>Discrete device to JB JB-Small-bore piping:-DI01: 10 x 1 pr (field cables)</t>
        </is>
      </c>
      <c r="E5847" s="12" t="inlineStr"/>
      <c r="F5847" s="12" t="inlineStr">
        <is>
          <t>Small-bore piping: instrument air, service water, nitrogen, HRSG drain</t>
        </is>
      </c>
      <c r="G5847" s="12" t="inlineStr">
        <is>
          <t>JB-Small-bore piping:-DI01</t>
        </is>
      </c>
      <c r="H5847" s="12" t="inlineStr">
        <is>
          <t>Small-bore piping: instrument air, service water, nitrogen, HRSG drain</t>
        </is>
      </c>
      <c r="I5847" s="12" t="inlineStr">
        <is>
          <t>Instrumentation</t>
        </is>
      </c>
      <c r="J5847" s="12" t="inlineStr">
        <is>
          <t>Instrumentation PLTC / TC-ER 300 V, #18 twisted shielded pairs, overall shield</t>
        </is>
      </c>
      <c r="K5847" s="12" t="inlineStr">
        <is>
          <t>PLTC|1 pr|16</t>
        </is>
      </c>
      <c r="L5847" s="12" t="inlineStr">
        <is>
          <t>1 pr</t>
        </is>
      </c>
      <c r="M5847" s="12" t="inlineStr">
        <is>
          <t>16</t>
        </is>
      </c>
      <c r="N5847" s="12" t="n">
        <v>10</v>
      </c>
      <c r="O5847" s="12" t="n">
        <v>1</v>
      </c>
      <c r="P5847" s="12" t="n"/>
      <c r="Q5847" s="12" t="n"/>
      <c r="R5847" s="12" t="n"/>
      <c r="S5847" s="12" t="inlineStr">
        <is>
          <t>Tray / conduit</t>
        </is>
      </c>
      <c r="T5847" s="17" t="n">
        <v>250</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C-I-0118</t>
        </is>
      </c>
      <c r="B5848" s="12" t="inlineStr">
        <is>
          <t>C</t>
        </is>
      </c>
      <c r="C5848" s="12" t="inlineStr">
        <is>
          <t>Grid interface</t>
        </is>
      </c>
      <c r="D5848" s="12" t="inlineStr">
        <is>
          <t>Home run JB-Small-bore piping:-DI01 to the control / marshalling room</t>
        </is>
      </c>
      <c r="E5848" s="12" t="inlineStr">
        <is>
          <t>R1</t>
        </is>
      </c>
      <c r="F5848" s="12" t="inlineStr">
        <is>
          <t>R1: main electrical building (64 x 180 ft)</t>
        </is>
      </c>
      <c r="G5848" s="12" t="inlineStr">
        <is>
          <t>JB-Small-bore piping:-DI01</t>
        </is>
      </c>
      <c r="H5848" s="12" t="inlineStr">
        <is>
          <t>Small-bore piping: instrument air, service water, nitrogen, HRSG drain</t>
        </is>
      </c>
      <c r="I5848" s="12" t="inlineStr">
        <is>
          <t>Instrumentation</t>
        </is>
      </c>
      <c r="J5848" s="12" t="inlineStr">
        <is>
          <t>Instrumentation PLTC / TC-ER 300 V, #18 twisted shielded pairs, overall shield</t>
        </is>
      </c>
      <c r="K5848" s="12" t="inlineStr">
        <is>
          <t>PLTC|24 pr|18</t>
        </is>
      </c>
      <c r="L5848" s="12" t="inlineStr">
        <is>
          <t>24 pr</t>
        </is>
      </c>
      <c r="M5848" s="12" t="inlineStr">
        <is>
          <t>18</t>
        </is>
      </c>
      <c r="N5848" s="12" t="n">
        <v>1</v>
      </c>
      <c r="O5848" s="12" t="n">
        <v>1</v>
      </c>
      <c r="P5848" s="12" t="n"/>
      <c r="Q5848" s="12" t="n"/>
      <c r="R5848" s="12" t="n"/>
      <c r="S5848" s="12" t="inlineStr">
        <is>
          <t>Tray</t>
        </is>
      </c>
      <c r="T5848" s="17" t="n">
        <v>1218</v>
      </c>
      <c r="U5848" s="17" t="n">
        <v>200</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C-I-0119</t>
        </is>
      </c>
      <c r="B5849" s="12" t="inlineStr">
        <is>
          <t>C</t>
        </is>
      </c>
      <c r="C5849" s="12" t="inlineStr">
        <is>
          <t>Grid interface</t>
        </is>
      </c>
      <c r="D5849" s="12" t="inlineStr">
        <is>
          <t>Analog instrument to JB JB-Wastewater treatme-AI01: 20 x 1 pr (field cables)</t>
        </is>
      </c>
      <c r="E5849" s="12" t="inlineStr"/>
      <c r="F5849" s="12" t="inlineStr">
        <is>
          <t>Wastewater treatment: rooftop HVAC, exhaust fans, vents</t>
        </is>
      </c>
      <c r="G5849" s="12" t="inlineStr">
        <is>
          <t>JB-Wastewater treatme-AI01</t>
        </is>
      </c>
      <c r="H5849" s="12" t="inlineStr">
        <is>
          <t>Wastewater treatment: rooftop HVAC, exhaust fans, vents</t>
        </is>
      </c>
      <c r="I5849" s="12" t="inlineStr">
        <is>
          <t>Instrumentation</t>
        </is>
      </c>
      <c r="J5849" s="12" t="inlineStr">
        <is>
          <t>Instrumentation PLTC / TC-ER 300 V, #18 twisted shielded pairs, overall shield</t>
        </is>
      </c>
      <c r="K5849" s="12" t="inlineStr">
        <is>
          <t>PLTC|1 pr|16</t>
        </is>
      </c>
      <c r="L5849" s="12" t="inlineStr">
        <is>
          <t>1 pr</t>
        </is>
      </c>
      <c r="M5849" s="12" t="inlineStr">
        <is>
          <t>16</t>
        </is>
      </c>
      <c r="N5849" s="12" t="n">
        <v>20</v>
      </c>
      <c r="O5849" s="12" t="n">
        <v>1</v>
      </c>
      <c r="P5849" s="12" t="n"/>
      <c r="Q5849" s="12" t="n"/>
      <c r="R5849" s="12" t="n"/>
      <c r="S5849" s="12" t="inlineStr">
        <is>
          <t>Tray / conduit</t>
        </is>
      </c>
      <c r="T5849" s="17" t="n">
        <v>89</v>
      </c>
      <c r="U5849" s="17" t="n">
        <v>10</v>
      </c>
      <c r="V5849" s="17">
        <f>ROUNDUP((T5849+U5849+2*'Read Me'!$B$13)*(1+'Read Me'!$B$12),-1)</f>
        <v/>
      </c>
      <c r="W5849" s="17">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C-I-0120</t>
        </is>
      </c>
      <c r="B5850" s="12" t="inlineStr">
        <is>
          <t>C</t>
        </is>
      </c>
      <c r="C5850" s="12" t="inlineStr">
        <is>
          <t>Grid interface</t>
        </is>
      </c>
      <c r="D5850" s="12" t="inlineStr">
        <is>
          <t>Home run JB-Wastewater treatme-AI01 to the control / marshalling room</t>
        </is>
      </c>
      <c r="E5850" s="12" t="inlineStr">
        <is>
          <t>R1</t>
        </is>
      </c>
      <c r="F5850" s="12" t="inlineStr">
        <is>
          <t>R1: main electrical building (64 x 180 ft)</t>
        </is>
      </c>
      <c r="G5850" s="12" t="inlineStr">
        <is>
          <t>JB-Wastewater treatme-AI01</t>
        </is>
      </c>
      <c r="H5850" s="12" t="inlineStr">
        <is>
          <t>Wastewater treatment: rooftop HVAC, exhaust fans, vents</t>
        </is>
      </c>
      <c r="I5850" s="12" t="inlineStr">
        <is>
          <t>Instrumentation</t>
        </is>
      </c>
      <c r="J5850" s="12" t="inlineStr">
        <is>
          <t>Instrumentation PLTC / TC-ER 300 V, #18 twisted shielded pairs, overall shield</t>
        </is>
      </c>
      <c r="K5850" s="12" t="inlineStr">
        <is>
          <t>PLTC|24 pr|18</t>
        </is>
      </c>
      <c r="L5850" s="12" t="inlineStr">
        <is>
          <t>24 pr</t>
        </is>
      </c>
      <c r="M5850" s="12" t="inlineStr">
        <is>
          <t>18</t>
        </is>
      </c>
      <c r="N5850" s="12" t="n">
        <v>1</v>
      </c>
      <c r="O5850" s="12" t="n">
        <v>1</v>
      </c>
      <c r="P5850" s="12" t="n"/>
      <c r="Q5850" s="12" t="n"/>
      <c r="R5850" s="12" t="n"/>
      <c r="S5850" s="12" t="inlineStr">
        <is>
          <t>Duct bank</t>
        </is>
      </c>
      <c r="T5850" s="17" t="n">
        <v>1215</v>
      </c>
      <c r="U5850" s="17" t="n">
        <v>99</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C-I-0121</t>
        </is>
      </c>
      <c r="B5851" s="12" t="inlineStr">
        <is>
          <t>C</t>
        </is>
      </c>
      <c r="C5851" s="12" t="inlineStr">
        <is>
          <t>Grid interface</t>
        </is>
      </c>
      <c r="D5851" s="12" t="inlineStr">
        <is>
          <t>Discrete device to JB JB-Wastewater treatme-DI01: 20 x 1 pr (field cables)</t>
        </is>
      </c>
      <c r="E5851" s="12" t="inlineStr"/>
      <c r="F5851" s="12" t="inlineStr">
        <is>
          <t>Wastewater treatment: rooftop HVAC, exhaust fans, vents</t>
        </is>
      </c>
      <c r="G5851" s="12" t="inlineStr">
        <is>
          <t>JB-Wastewater treatme-DI01</t>
        </is>
      </c>
      <c r="H5851" s="12" t="inlineStr">
        <is>
          <t>Wastewater treatment: rooftop HVAC, exhaust fans, vents</t>
        </is>
      </c>
      <c r="I5851" s="12" t="inlineStr">
        <is>
          <t>Instrumentation</t>
        </is>
      </c>
      <c r="J5851" s="12" t="inlineStr">
        <is>
          <t>Instrumentation PLTC / TC-ER 300 V, #18 twisted shielded pairs, overall shield</t>
        </is>
      </c>
      <c r="K5851" s="12" t="inlineStr">
        <is>
          <t>PLTC|1 pr|16</t>
        </is>
      </c>
      <c r="L5851" s="12" t="inlineStr">
        <is>
          <t>1 pr</t>
        </is>
      </c>
      <c r="M5851" s="12" t="inlineStr">
        <is>
          <t>16</t>
        </is>
      </c>
      <c r="N5851" s="12" t="n">
        <v>20</v>
      </c>
      <c r="O5851" s="12" t="n">
        <v>1</v>
      </c>
      <c r="P5851" s="12" t="n"/>
      <c r="Q5851" s="12" t="n"/>
      <c r="R5851" s="12" t="n"/>
      <c r="S5851" s="12" t="inlineStr">
        <is>
          <t>Tray / conduit</t>
        </is>
      </c>
      <c r="T5851" s="17" t="n">
        <v>89</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C-I-0122</t>
        </is>
      </c>
      <c r="B5852" s="12" t="inlineStr">
        <is>
          <t>C</t>
        </is>
      </c>
      <c r="C5852" s="12" t="inlineStr">
        <is>
          <t>Grid interface</t>
        </is>
      </c>
      <c r="D5852" s="12" t="inlineStr">
        <is>
          <t>Home run JB-Wastewater treatme-DI01 to the control / marshalling room</t>
        </is>
      </c>
      <c r="E5852" s="12" t="inlineStr">
        <is>
          <t>R1</t>
        </is>
      </c>
      <c r="F5852" s="12" t="inlineStr">
        <is>
          <t>R1: main electrical building (64 x 180 ft)</t>
        </is>
      </c>
      <c r="G5852" s="12" t="inlineStr">
        <is>
          <t>JB-Wastewater treatme-DI01</t>
        </is>
      </c>
      <c r="H5852" s="12" t="inlineStr">
        <is>
          <t>Wastewater treatment: rooftop HVAC, exhaust fans, vents</t>
        </is>
      </c>
      <c r="I5852" s="12" t="inlineStr">
        <is>
          <t>Instrumentation</t>
        </is>
      </c>
      <c r="J5852" s="12" t="inlineStr">
        <is>
          <t>Instrumentation PLTC / TC-ER 300 V, #18 twisted shielded pairs, overall shield</t>
        </is>
      </c>
      <c r="K5852" s="12" t="inlineStr">
        <is>
          <t>PLTC|24 pr|18</t>
        </is>
      </c>
      <c r="L5852" s="12" t="inlineStr">
        <is>
          <t>24 pr</t>
        </is>
      </c>
      <c r="M5852" s="12" t="inlineStr">
        <is>
          <t>18</t>
        </is>
      </c>
      <c r="N5852" s="12" t="n">
        <v>1</v>
      </c>
      <c r="O5852" s="12" t="n">
        <v>1</v>
      </c>
      <c r="P5852" s="12" t="n"/>
      <c r="Q5852" s="12" t="n"/>
      <c r="R5852" s="12" t="n"/>
      <c r="S5852" s="12" t="inlineStr">
        <is>
          <t>Duct bank</t>
        </is>
      </c>
      <c r="T5852" s="17" t="n">
        <v>1215</v>
      </c>
      <c r="U5852" s="17" t="n">
        <v>99</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C-I-0123</t>
        </is>
      </c>
      <c r="B5853" s="12" t="inlineStr">
        <is>
          <t>C</t>
        </is>
      </c>
      <c r="C5853" s="12" t="inlineStr">
        <is>
          <t>Grid interface</t>
        </is>
      </c>
      <c r="D5853" s="12" t="inlineStr">
        <is>
          <t>Discrete device to JB JB-Wastewater treatme-DI02: 10 x 1 pr (field cables)</t>
        </is>
      </c>
      <c r="E5853" s="12" t="inlineStr"/>
      <c r="F5853" s="12" t="inlineStr">
        <is>
          <t>Wastewater treatment: rooftop HVAC, exhaust fans, vents</t>
        </is>
      </c>
      <c r="G5853" s="12" t="inlineStr">
        <is>
          <t>JB-Wastewater treatme-DI02</t>
        </is>
      </c>
      <c r="H5853" s="12" t="inlineStr">
        <is>
          <t>Wastewater treatment: rooftop HVAC, exhaust fans, vents</t>
        </is>
      </c>
      <c r="I5853" s="12" t="inlineStr">
        <is>
          <t>Instrumentation</t>
        </is>
      </c>
      <c r="J5853" s="12" t="inlineStr">
        <is>
          <t>Instrumentation PLTC / TC-ER 300 V, #18 twisted shielded pairs, overall shield</t>
        </is>
      </c>
      <c r="K5853" s="12" t="inlineStr">
        <is>
          <t>PLTC|1 pr|16</t>
        </is>
      </c>
      <c r="L5853" s="12" t="inlineStr">
        <is>
          <t>1 pr</t>
        </is>
      </c>
      <c r="M5853" s="12" t="inlineStr">
        <is>
          <t>16</t>
        </is>
      </c>
      <c r="N5853" s="12" t="n">
        <v>10</v>
      </c>
      <c r="O5853" s="12" t="n">
        <v>1</v>
      </c>
      <c r="P5853" s="12" t="n"/>
      <c r="Q5853" s="12" t="n"/>
      <c r="R5853" s="12" t="n"/>
      <c r="S5853" s="12" t="inlineStr">
        <is>
          <t>Tray / conduit</t>
        </is>
      </c>
      <c r="T5853" s="17" t="n">
        <v>89</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C-I-0124</t>
        </is>
      </c>
      <c r="B5854" s="12" t="inlineStr">
        <is>
          <t>C</t>
        </is>
      </c>
      <c r="C5854" s="12" t="inlineStr">
        <is>
          <t>Grid interface</t>
        </is>
      </c>
      <c r="D5854" s="12" t="inlineStr">
        <is>
          <t>Home run JB-Wastewater treatme-DI02 to the control / marshalling room</t>
        </is>
      </c>
      <c r="E5854" s="12" t="inlineStr">
        <is>
          <t>R1</t>
        </is>
      </c>
      <c r="F5854" s="12" t="inlineStr">
        <is>
          <t>R1: main electrical building (64 x 180 ft)</t>
        </is>
      </c>
      <c r="G5854" s="12" t="inlineStr">
        <is>
          <t>JB-Wastewater treatme-DI02</t>
        </is>
      </c>
      <c r="H5854" s="12" t="inlineStr">
        <is>
          <t>Wastewater treatment: rooftop HVAC, exhaust fans, vents</t>
        </is>
      </c>
      <c r="I5854" s="12" t="inlineStr">
        <is>
          <t>Instrumentation</t>
        </is>
      </c>
      <c r="J5854" s="12" t="inlineStr">
        <is>
          <t>Instrumentation PLTC / TC-ER 300 V, #18 twisted shielded pairs, overall shield</t>
        </is>
      </c>
      <c r="K5854" s="12" t="inlineStr">
        <is>
          <t>PLTC|24 pr|18</t>
        </is>
      </c>
      <c r="L5854" s="12" t="inlineStr">
        <is>
          <t>24 pr</t>
        </is>
      </c>
      <c r="M5854" s="12" t="inlineStr">
        <is>
          <t>18</t>
        </is>
      </c>
      <c r="N5854" s="12" t="n">
        <v>1</v>
      </c>
      <c r="O5854" s="12" t="n">
        <v>1</v>
      </c>
      <c r="P5854" s="12" t="n"/>
      <c r="Q5854" s="12" t="n"/>
      <c r="R5854" s="12" t="n"/>
      <c r="S5854" s="12" t="inlineStr">
        <is>
          <t>Duct bank</t>
        </is>
      </c>
      <c r="T5854" s="17" t="n">
        <v>1215</v>
      </c>
      <c r="U5854" s="17" t="n">
        <v>99</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C-I-0125</t>
        </is>
      </c>
      <c r="B5855" s="12" t="inlineStr">
        <is>
          <t>C</t>
        </is>
      </c>
      <c r="C5855" s="12" t="inlineStr">
        <is>
          <t>Grid interface</t>
        </is>
      </c>
      <c r="D5855" s="12" t="inlineStr">
        <is>
          <t>Analog instrument to JB JB-Water treatment bu-AI01: 20 x 1 pr (field cables)</t>
        </is>
      </c>
      <c r="E5855" s="12" t="inlineStr"/>
      <c r="F5855" s="12" t="inlineStr">
        <is>
          <t>Water treatment building: rooftop HVAC, exhaust fans, vents</t>
        </is>
      </c>
      <c r="G5855" s="12" t="inlineStr">
        <is>
          <t>JB-Water treatment bu-AI01</t>
        </is>
      </c>
      <c r="H5855" s="12" t="inlineStr">
        <is>
          <t>Water treatment building: rooftop HVAC, exhaust fans, vents</t>
        </is>
      </c>
      <c r="I5855" s="12" t="inlineStr">
        <is>
          <t>Instrumentation</t>
        </is>
      </c>
      <c r="J5855" s="12" t="inlineStr">
        <is>
          <t>Instrumentation PLTC / TC-ER 300 V, #18 twisted shielded pairs, overall shield</t>
        </is>
      </c>
      <c r="K5855" s="12" t="inlineStr">
        <is>
          <t>PLTC|1 pr|16</t>
        </is>
      </c>
      <c r="L5855" s="12" t="inlineStr">
        <is>
          <t>1 pr</t>
        </is>
      </c>
      <c r="M5855" s="12" t="inlineStr">
        <is>
          <t>16</t>
        </is>
      </c>
      <c r="N5855" s="12" t="n">
        <v>20</v>
      </c>
      <c r="O5855" s="12" t="n">
        <v>1</v>
      </c>
      <c r="P5855" s="12" t="n"/>
      <c r="Q5855" s="12" t="n"/>
      <c r="R5855" s="12" t="n"/>
      <c r="S5855" s="12" t="inlineStr">
        <is>
          <t>Tray / conduit</t>
        </is>
      </c>
      <c r="T5855" s="17" t="n">
        <v>162</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C-I-0126</t>
        </is>
      </c>
      <c r="B5856" s="12" t="inlineStr">
        <is>
          <t>C</t>
        </is>
      </c>
      <c r="C5856" s="12" t="inlineStr">
        <is>
          <t>Grid interface</t>
        </is>
      </c>
      <c r="D5856" s="12" t="inlineStr">
        <is>
          <t>Home run JB-Water treatment bu-AI01 to the control / marshalling room</t>
        </is>
      </c>
      <c r="E5856" s="12" t="inlineStr">
        <is>
          <t>R1</t>
        </is>
      </c>
      <c r="F5856" s="12" t="inlineStr">
        <is>
          <t>R1: main electrical building (64 x 180 ft)</t>
        </is>
      </c>
      <c r="G5856" s="12" t="inlineStr">
        <is>
          <t>JB-Water treatment bu-AI01</t>
        </is>
      </c>
      <c r="H5856" s="12" t="inlineStr">
        <is>
          <t>Water treatment building: rooftop HVAC, exhaust fans, vents</t>
        </is>
      </c>
      <c r="I5856" s="12" t="inlineStr">
        <is>
          <t>Instrumentation</t>
        </is>
      </c>
      <c r="J5856" s="12" t="inlineStr">
        <is>
          <t>Instrumentation PLTC / TC-ER 300 V, #18 twisted shielded pairs, overall shield</t>
        </is>
      </c>
      <c r="K5856" s="12" t="inlineStr">
        <is>
          <t>PLTC|24 pr|18</t>
        </is>
      </c>
      <c r="L5856" s="12" t="inlineStr">
        <is>
          <t>24 pr</t>
        </is>
      </c>
      <c r="M5856" s="12" t="inlineStr">
        <is>
          <t>18</t>
        </is>
      </c>
      <c r="N5856" s="12" t="n">
        <v>1</v>
      </c>
      <c r="O5856" s="12" t="n">
        <v>1</v>
      </c>
      <c r="P5856" s="12" t="n"/>
      <c r="Q5856" s="12" t="n"/>
      <c r="R5856" s="12" t="n"/>
      <c r="S5856" s="12" t="inlineStr">
        <is>
          <t>Duct bank</t>
        </is>
      </c>
      <c r="T5856" s="17" t="n">
        <v>985</v>
      </c>
      <c r="U5856" s="17" t="n">
        <v>32</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C-I-0127</t>
        </is>
      </c>
      <c r="B5857" s="12" t="inlineStr">
        <is>
          <t>C</t>
        </is>
      </c>
      <c r="C5857" s="12" t="inlineStr">
        <is>
          <t>Grid interface</t>
        </is>
      </c>
      <c r="D5857" s="12" t="inlineStr">
        <is>
          <t>Analog instrument to JB JB-Water treatment bu-AI02: 20 x 1 pr (field cables)</t>
        </is>
      </c>
      <c r="E5857" s="12" t="inlineStr"/>
      <c r="F5857" s="12" t="inlineStr">
        <is>
          <t>Water treatment building: rooftop HVAC, exhaust fans, vents</t>
        </is>
      </c>
      <c r="G5857" s="12" t="inlineStr">
        <is>
          <t>JB-Water treatment bu-AI02</t>
        </is>
      </c>
      <c r="H5857" s="12" t="inlineStr">
        <is>
          <t>Water treatment building: rooftop HVAC, exhaust fans, vents</t>
        </is>
      </c>
      <c r="I5857" s="12" t="inlineStr">
        <is>
          <t>Instrumentation</t>
        </is>
      </c>
      <c r="J5857" s="12" t="inlineStr">
        <is>
          <t>Instrumentation PLTC / TC-ER 300 V, #18 twisted shielded pairs, overall shield</t>
        </is>
      </c>
      <c r="K5857" s="12" t="inlineStr">
        <is>
          <t>PLTC|1 pr|16</t>
        </is>
      </c>
      <c r="L5857" s="12" t="inlineStr">
        <is>
          <t>1 pr</t>
        </is>
      </c>
      <c r="M5857" s="12" t="inlineStr">
        <is>
          <t>16</t>
        </is>
      </c>
      <c r="N5857" s="12" t="n">
        <v>20</v>
      </c>
      <c r="O5857" s="12" t="n">
        <v>1</v>
      </c>
      <c r="P5857" s="12" t="n"/>
      <c r="Q5857" s="12" t="n"/>
      <c r="R5857" s="12" t="n"/>
      <c r="S5857" s="12" t="inlineStr">
        <is>
          <t>Tray / conduit</t>
        </is>
      </c>
      <c r="T5857" s="17" t="n">
        <v>162</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C-I-0128</t>
        </is>
      </c>
      <c r="B5858" s="12" t="inlineStr">
        <is>
          <t>C</t>
        </is>
      </c>
      <c r="C5858" s="12" t="inlineStr">
        <is>
          <t>Grid interface</t>
        </is>
      </c>
      <c r="D5858" s="12" t="inlineStr">
        <is>
          <t>Home run JB-Water treatment bu-AI02 to the control / marshalling room</t>
        </is>
      </c>
      <c r="E5858" s="12" t="inlineStr">
        <is>
          <t>R1</t>
        </is>
      </c>
      <c r="F5858" s="12" t="inlineStr">
        <is>
          <t>R1: main electrical building (64 x 180 ft)</t>
        </is>
      </c>
      <c r="G5858" s="12" t="inlineStr">
        <is>
          <t>JB-Water treatment bu-AI02</t>
        </is>
      </c>
      <c r="H5858" s="12" t="inlineStr">
        <is>
          <t>Water treatment building: rooftop HVAC, exhaust fans, vents</t>
        </is>
      </c>
      <c r="I5858" s="12" t="inlineStr">
        <is>
          <t>Instrumentation</t>
        </is>
      </c>
      <c r="J5858" s="12" t="inlineStr">
        <is>
          <t>Instrumentation PLTC / TC-ER 300 V, #18 twisted shielded pairs, overall shield</t>
        </is>
      </c>
      <c r="K5858" s="12" t="inlineStr">
        <is>
          <t>PLTC|24 pr|18</t>
        </is>
      </c>
      <c r="L5858" s="12" t="inlineStr">
        <is>
          <t>24 pr</t>
        </is>
      </c>
      <c r="M5858" s="12" t="inlineStr">
        <is>
          <t>18</t>
        </is>
      </c>
      <c r="N5858" s="12" t="n">
        <v>1</v>
      </c>
      <c r="O5858" s="12" t="n">
        <v>1</v>
      </c>
      <c r="P5858" s="12" t="n"/>
      <c r="Q5858" s="12" t="n"/>
      <c r="R5858" s="12" t="n"/>
      <c r="S5858" s="12" t="inlineStr">
        <is>
          <t>Duct bank</t>
        </is>
      </c>
      <c r="T5858" s="17" t="n">
        <v>985</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C-I-0129</t>
        </is>
      </c>
      <c r="B5859" s="12" t="inlineStr">
        <is>
          <t>C</t>
        </is>
      </c>
      <c r="C5859" s="12" t="inlineStr">
        <is>
          <t>Grid interface</t>
        </is>
      </c>
      <c r="D5859" s="12" t="inlineStr">
        <is>
          <t>Analog instrument to JB JB-Water treatment bu-AI03: 20 x 1 pr (field cables)</t>
        </is>
      </c>
      <c r="E5859" s="12" t="inlineStr"/>
      <c r="F5859" s="12" t="inlineStr">
        <is>
          <t>Water treatment building: rooftop HVAC, exhaust fans, vents</t>
        </is>
      </c>
      <c r="G5859" s="12" t="inlineStr">
        <is>
          <t>JB-Water treatment bu-AI03</t>
        </is>
      </c>
      <c r="H5859" s="12" t="inlineStr">
        <is>
          <t>Water treatment building: rooftop HVAC, exhaust fans, vents</t>
        </is>
      </c>
      <c r="I5859" s="12" t="inlineStr">
        <is>
          <t>Instrumentation</t>
        </is>
      </c>
      <c r="J5859" s="12" t="inlineStr">
        <is>
          <t>Instrumentation PLTC / TC-ER 300 V, #18 twisted shielded pairs, overall shield</t>
        </is>
      </c>
      <c r="K5859" s="12" t="inlineStr">
        <is>
          <t>PLTC|1 pr|16</t>
        </is>
      </c>
      <c r="L5859" s="12" t="inlineStr">
        <is>
          <t>1 pr</t>
        </is>
      </c>
      <c r="M5859" s="12" t="inlineStr">
        <is>
          <t>16</t>
        </is>
      </c>
      <c r="N5859" s="12" t="n">
        <v>20</v>
      </c>
      <c r="O5859" s="12" t="n">
        <v>1</v>
      </c>
      <c r="P5859" s="12" t="n"/>
      <c r="Q5859" s="12" t="n"/>
      <c r="R5859" s="12" t="n"/>
      <c r="S5859" s="12" t="inlineStr">
        <is>
          <t>Tray / conduit</t>
        </is>
      </c>
      <c r="T5859" s="17" t="n">
        <v>162</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C-I-0130</t>
        </is>
      </c>
      <c r="B5860" s="12" t="inlineStr">
        <is>
          <t>C</t>
        </is>
      </c>
      <c r="C5860" s="12" t="inlineStr">
        <is>
          <t>Grid interface</t>
        </is>
      </c>
      <c r="D5860" s="12" t="inlineStr">
        <is>
          <t>Home run JB-Water treatment bu-AI03 to the control / marshalling room</t>
        </is>
      </c>
      <c r="E5860" s="12" t="inlineStr">
        <is>
          <t>R1</t>
        </is>
      </c>
      <c r="F5860" s="12" t="inlineStr">
        <is>
          <t>R1: main electrical building (64 x 180 ft)</t>
        </is>
      </c>
      <c r="G5860" s="12" t="inlineStr">
        <is>
          <t>JB-Water treatment bu-AI03</t>
        </is>
      </c>
      <c r="H5860" s="12" t="inlineStr">
        <is>
          <t>Water treatment building: rooftop HVAC, exhaust fans, vents</t>
        </is>
      </c>
      <c r="I5860" s="12" t="inlineStr">
        <is>
          <t>Instrumentation</t>
        </is>
      </c>
      <c r="J5860" s="12" t="inlineStr">
        <is>
          <t>Instrumentation PLTC / TC-ER 300 V, #18 twisted shielded pairs, overall shield</t>
        </is>
      </c>
      <c r="K5860" s="12" t="inlineStr">
        <is>
          <t>PLTC|24 pr|18</t>
        </is>
      </c>
      <c r="L5860" s="12" t="inlineStr">
        <is>
          <t>24 pr</t>
        </is>
      </c>
      <c r="M5860" s="12" t="inlineStr">
        <is>
          <t>18</t>
        </is>
      </c>
      <c r="N5860" s="12" t="n">
        <v>1</v>
      </c>
      <c r="O5860" s="12" t="n">
        <v>1</v>
      </c>
      <c r="P5860" s="12" t="n"/>
      <c r="Q5860" s="12" t="n"/>
      <c r="R5860" s="12" t="n"/>
      <c r="S5860" s="12" t="inlineStr">
        <is>
          <t>Duct bank</t>
        </is>
      </c>
      <c r="T5860" s="17" t="n">
        <v>985</v>
      </c>
      <c r="U5860" s="17" t="n">
        <v>32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C-I-0131</t>
        </is>
      </c>
      <c r="B5861" s="12" t="inlineStr">
        <is>
          <t>C</t>
        </is>
      </c>
      <c r="C5861" s="12" t="inlineStr">
        <is>
          <t>Grid interface</t>
        </is>
      </c>
      <c r="D5861" s="12" t="inlineStr">
        <is>
          <t>Discrete device to JB JB-Water treatment bu-DI01: 20 x 1 pr (field cables)</t>
        </is>
      </c>
      <c r="E5861" s="12" t="inlineStr"/>
      <c r="F5861" s="12" t="inlineStr">
        <is>
          <t>Water treatment building: rooftop HVAC, exhaust fans, vents</t>
        </is>
      </c>
      <c r="G5861" s="12" t="inlineStr">
        <is>
          <t>JB-Water treatment bu-DI01</t>
        </is>
      </c>
      <c r="H5861" s="12" t="inlineStr">
        <is>
          <t>Water treatment building: rooftop HVAC, exhaust fans, vents</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7" t="n">
        <v>162</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C-I-0132</t>
        </is>
      </c>
      <c r="B5862" s="12" t="inlineStr">
        <is>
          <t>C</t>
        </is>
      </c>
      <c r="C5862" s="12" t="inlineStr">
        <is>
          <t>Grid interface</t>
        </is>
      </c>
      <c r="D5862" s="12" t="inlineStr">
        <is>
          <t>Home run JB-Water treatment bu-DI01 to the control / marshalling room</t>
        </is>
      </c>
      <c r="E5862" s="12" t="inlineStr">
        <is>
          <t>R1</t>
        </is>
      </c>
      <c r="F5862" s="12" t="inlineStr">
        <is>
          <t>R1: main electrical building (64 x 180 ft)</t>
        </is>
      </c>
      <c r="G5862" s="12" t="inlineStr">
        <is>
          <t>JB-Water treatment bu-DI01</t>
        </is>
      </c>
      <c r="H5862" s="12" t="inlineStr">
        <is>
          <t>Water treatment building: rooftop HVAC, exhaust fans, vents</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Duct bank</t>
        </is>
      </c>
      <c r="T5862" s="17" t="n">
        <v>985</v>
      </c>
      <c r="U5862" s="17" t="n">
        <v>32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C-I-0133</t>
        </is>
      </c>
      <c r="B5863" s="12" t="inlineStr">
        <is>
          <t>C</t>
        </is>
      </c>
      <c r="C5863" s="12" t="inlineStr">
        <is>
          <t>Grid interface</t>
        </is>
      </c>
      <c r="D5863" s="12" t="inlineStr">
        <is>
          <t>Discrete device to JB JB-Water treatment bu-DI02: 20 x 1 pr (field cables)</t>
        </is>
      </c>
      <c r="E5863" s="12" t="inlineStr"/>
      <c r="F5863" s="12" t="inlineStr">
        <is>
          <t>Water treatment building: rooftop HVAC, exhaust fans, vents</t>
        </is>
      </c>
      <c r="G5863" s="12" t="inlineStr">
        <is>
          <t>JB-Water treatment bu-DI02</t>
        </is>
      </c>
      <c r="H5863" s="12" t="inlineStr">
        <is>
          <t>Water treatment building: rooftop HVAC, exhaust fans, vents</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7" t="n">
        <v>162</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C-I-0134</t>
        </is>
      </c>
      <c r="B5864" s="12" t="inlineStr">
        <is>
          <t>C</t>
        </is>
      </c>
      <c r="C5864" s="12" t="inlineStr">
        <is>
          <t>Grid interface</t>
        </is>
      </c>
      <c r="D5864" s="12" t="inlineStr">
        <is>
          <t>Home run JB-Water treatment bu-DI02 to the control / marshalling room</t>
        </is>
      </c>
      <c r="E5864" s="12" t="inlineStr">
        <is>
          <t>R1</t>
        </is>
      </c>
      <c r="F5864" s="12" t="inlineStr">
        <is>
          <t>R1: main electrical building (64 x 180 ft)</t>
        </is>
      </c>
      <c r="G5864" s="12" t="inlineStr">
        <is>
          <t>JB-Water treatment bu-DI02</t>
        </is>
      </c>
      <c r="H5864" s="12" t="inlineStr">
        <is>
          <t>Water treatment building: rooftop HVAC, exhaust fans, vents</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Duct bank</t>
        </is>
      </c>
      <c r="T5864" s="17" t="n">
        <v>985</v>
      </c>
      <c r="U5864" s="17" t="n">
        <v>32</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C-I-0135</t>
        </is>
      </c>
      <c r="B5865" s="12" t="inlineStr">
        <is>
          <t>C</t>
        </is>
      </c>
      <c r="C5865" s="12" t="inlineStr">
        <is>
          <t>Grid interface</t>
        </is>
      </c>
      <c r="D5865" s="12" t="inlineStr">
        <is>
          <t>Discrete device to JB JB-Water treatment bu-DI03: 20 x 1 pr (field cables)</t>
        </is>
      </c>
      <c r="E5865" s="12" t="inlineStr"/>
      <c r="F5865" s="12" t="inlineStr">
        <is>
          <t>Water treatment building: rooftop HVAC, exhaust fans, vents</t>
        </is>
      </c>
      <c r="G5865" s="12" t="inlineStr">
        <is>
          <t>JB-Water treatment bu-DI03</t>
        </is>
      </c>
      <c r="H5865" s="12" t="inlineStr">
        <is>
          <t>Water treatment building: rooftop HVAC, exhaust fans, vents</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7" t="n">
        <v>162</v>
      </c>
      <c r="U5865" s="17" t="n">
        <v>10</v>
      </c>
      <c r="V5865" s="17">
        <f>ROUNDUP((T5865+U5865+2*'Read Me'!$B$13)*(1+'Read Me'!$B$12),-1)</f>
        <v/>
      </c>
      <c r="W5865" s="17">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C-I-0136</t>
        </is>
      </c>
      <c r="B5866" s="12" t="inlineStr">
        <is>
          <t>C</t>
        </is>
      </c>
      <c r="C5866" s="12" t="inlineStr">
        <is>
          <t>Grid interface</t>
        </is>
      </c>
      <c r="D5866" s="12" t="inlineStr">
        <is>
          <t>Home run JB-Water treatment bu-DI03 to the control / marshalling room</t>
        </is>
      </c>
      <c r="E5866" s="12" t="inlineStr">
        <is>
          <t>R1</t>
        </is>
      </c>
      <c r="F5866" s="12" t="inlineStr">
        <is>
          <t>R1: main electrical building (64 x 180 ft)</t>
        </is>
      </c>
      <c r="G5866" s="12" t="inlineStr">
        <is>
          <t>JB-Water treatment bu-DI03</t>
        </is>
      </c>
      <c r="H5866" s="12" t="inlineStr">
        <is>
          <t>Water treatment building: rooftop HVAC, exhaust fans, vents</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Duct bank</t>
        </is>
      </c>
      <c r="T5866" s="17" t="n">
        <v>985</v>
      </c>
      <c r="U5866" s="17" t="n">
        <v>32</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C-I-0137</t>
        </is>
      </c>
      <c r="B5867" s="12" t="inlineStr">
        <is>
          <t>C</t>
        </is>
      </c>
      <c r="C5867" s="12" t="inlineStr">
        <is>
          <t>Grid interface</t>
        </is>
      </c>
      <c r="D5867" s="12" t="inlineStr">
        <is>
          <t>Discrete device to JB JB-Water treatment bu-DI04: 20 x 1 pr (field cables)</t>
        </is>
      </c>
      <c r="E5867" s="12" t="inlineStr"/>
      <c r="F5867" s="12" t="inlineStr">
        <is>
          <t>Water treatment building: rooftop HVAC, exhaust fans, vents</t>
        </is>
      </c>
      <c r="G5867" s="12" t="inlineStr">
        <is>
          <t>JB-Water treatment bu-DI04</t>
        </is>
      </c>
      <c r="H5867" s="12" t="inlineStr">
        <is>
          <t>Water treatment building: rooftop HVAC, exhaust fans, vents</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7" t="n">
        <v>162</v>
      </c>
      <c r="U5867" s="17" t="n">
        <v>10</v>
      </c>
      <c r="V5867" s="17">
        <f>ROUNDUP((T5867+U5867+2*'Read Me'!$B$13)*(1+'Read Me'!$B$12),-1)</f>
        <v/>
      </c>
      <c r="W5867" s="17">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C-I-0138</t>
        </is>
      </c>
      <c r="B5868" s="12" t="inlineStr">
        <is>
          <t>C</t>
        </is>
      </c>
      <c r="C5868" s="12" t="inlineStr">
        <is>
          <t>Grid interface</t>
        </is>
      </c>
      <c r="D5868" s="12" t="inlineStr">
        <is>
          <t>Home run JB-Water treatment bu-DI04 to the control / marshalling room</t>
        </is>
      </c>
      <c r="E5868" s="12" t="inlineStr">
        <is>
          <t>R1</t>
        </is>
      </c>
      <c r="F5868" s="12" t="inlineStr">
        <is>
          <t>R1: main electrical building (64 x 180 ft)</t>
        </is>
      </c>
      <c r="G5868" s="12" t="inlineStr">
        <is>
          <t>JB-Water treatment bu-DI04</t>
        </is>
      </c>
      <c r="H5868" s="12" t="inlineStr">
        <is>
          <t>Water treatment building: rooftop HVAC, exhaust fans, vents</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Duct bank</t>
        </is>
      </c>
      <c r="T5868" s="17" t="n">
        <v>985</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C-P-0006</t>
        </is>
      </c>
      <c r="B5869" s="12" t="inlineStr">
        <is>
          <t>C</t>
        </is>
      </c>
      <c r="C5869" s="12" t="inlineStr">
        <is>
          <t>Grid interface</t>
        </is>
      </c>
      <c r="D5869" s="12" t="inlineStr">
        <is>
          <t>Motor 1 of 10, 30 kW</t>
        </is>
      </c>
      <c r="E5869" s="12" t="inlineStr">
        <is>
          <t>MCC-C1</t>
        </is>
      </c>
      <c r="F5869" s="12" t="inlineStr">
        <is>
          <t>R1 MCC-C1</t>
        </is>
      </c>
      <c r="G5869" s="12" t="inlineStr"/>
      <c r="H5869" s="12" t="inlineStr">
        <is>
          <t xml:space="preserve">CO2 compression 3 x ~19 MW + dehydration: rooftop HVAC, exhaust fans, </t>
        </is>
      </c>
      <c r="I5869" s="12" t="inlineStr">
        <is>
          <t>LV 600 V</t>
        </is>
      </c>
      <c r="J5869" s="12" t="inlineStr">
        <is>
          <t>Type TC-ER 600 V 3/C Cu XHHW-2 + ground, PVC jacket</t>
        </is>
      </c>
      <c r="K5869" s="12" t="inlineStr">
        <is>
          <t>LV|3/C+G|3/0</t>
        </is>
      </c>
      <c r="L5869" s="12" t="inlineStr">
        <is>
          <t>3/C+G</t>
        </is>
      </c>
      <c r="M5869" s="12" t="inlineStr">
        <is>
          <t>3/0</t>
        </is>
      </c>
      <c r="N5869" s="12" t="n">
        <v>1</v>
      </c>
      <c r="O5869" s="12" t="n">
        <v>1</v>
      </c>
      <c r="P5869" s="12" t="n">
        <v>480</v>
      </c>
      <c r="Q5869" s="12" t="n">
        <v>30</v>
      </c>
      <c r="R5869" s="12" t="n">
        <v>42.5</v>
      </c>
      <c r="S5869" s="12" t="inlineStr">
        <is>
          <t>Tray</t>
        </is>
      </c>
      <c r="T5869" s="17" t="n">
        <v>1744</v>
      </c>
      <c r="U5869" s="17" t="n">
        <v>161</v>
      </c>
      <c r="V5869" s="17">
        <f>ROUNDUP((T5869+U5869+2*'Read Me'!$B$13)*(1+'Read Me'!$B$12),-1)</f>
        <v/>
      </c>
      <c r="W5869" s="17">
        <f>V5869*N5869*O5869</f>
        <v/>
      </c>
      <c r="X5869" s="12">
        <f>IF(LEFT(I5869,2)="MV",2*N5869*IF(L5869="1/C",O5869,1),0)</f>
        <v/>
      </c>
      <c r="Y5869" s="12">
        <f>IF(OR(LEFT(K5869,4)="LVAX",LEFT(K5869,6)="MV15AX",LEFT(K5869,4)="CTAX",LEFT(K5869,2)="W|"),2*N5869*O5869,0)</f>
        <v/>
      </c>
      <c r="Z5869" s="12" t="inlineStr">
        <is>
          <t>VD 2.5 %</t>
        </is>
      </c>
      <c r="AA5869" s="12">
        <f>N5869*O5869</f>
        <v/>
      </c>
    </row>
    <row r="5870">
      <c r="A5870" s="12" t="inlineStr">
        <is>
          <t>C-P-0007</t>
        </is>
      </c>
      <c r="B5870" s="12" t="inlineStr">
        <is>
          <t>C</t>
        </is>
      </c>
      <c r="C5870" s="12" t="inlineStr">
        <is>
          <t>Grid interface</t>
        </is>
      </c>
      <c r="D5870" s="12" t="inlineStr">
        <is>
          <t>Motor 2 of 10, 30 kW</t>
        </is>
      </c>
      <c r="E5870" s="12" t="inlineStr">
        <is>
          <t>MCC-C1</t>
        </is>
      </c>
      <c r="F5870" s="12" t="inlineStr">
        <is>
          <t>R1 MCC-C1</t>
        </is>
      </c>
      <c r="G5870" s="12" t="inlineStr"/>
      <c r="H5870" s="12" t="inlineStr">
        <is>
          <t xml:space="preserve">CO2 compression 3 x ~19 MW + dehydration: rooftop HVAC, exhaust fans, </t>
        </is>
      </c>
      <c r="I5870" s="12" t="inlineStr">
        <is>
          <t>LV 600 V</t>
        </is>
      </c>
      <c r="J5870" s="12" t="inlineStr">
        <is>
          <t>Type TC-ER 600 V 3/C Cu XHHW-2 + ground, PVC jacket</t>
        </is>
      </c>
      <c r="K5870" s="12" t="inlineStr">
        <is>
          <t>LV|3/C+G|3/0</t>
        </is>
      </c>
      <c r="L5870" s="12" t="inlineStr">
        <is>
          <t>3/C+G</t>
        </is>
      </c>
      <c r="M5870" s="12" t="inlineStr">
        <is>
          <t>3/0</t>
        </is>
      </c>
      <c r="N5870" s="12" t="n">
        <v>1</v>
      </c>
      <c r="O5870" s="12" t="n">
        <v>1</v>
      </c>
      <c r="P5870" s="12" t="n">
        <v>480</v>
      </c>
      <c r="Q5870" s="12" t="n">
        <v>30</v>
      </c>
      <c r="R5870" s="12" t="n">
        <v>42.5</v>
      </c>
      <c r="S5870" s="12" t="inlineStr">
        <is>
          <t>Tray</t>
        </is>
      </c>
      <c r="T5870" s="17" t="n">
        <v>1744</v>
      </c>
      <c r="U5870" s="17" t="n">
        <v>161</v>
      </c>
      <c r="V5870" s="17">
        <f>ROUNDUP((T5870+U5870+2*'Read Me'!$B$13)*(1+'Read Me'!$B$12),-1)</f>
        <v/>
      </c>
      <c r="W5870" s="17">
        <f>V5870*N5870*O5870</f>
        <v/>
      </c>
      <c r="X5870" s="12">
        <f>IF(LEFT(I5870,2)="MV",2*N5870*IF(L5870="1/C",O5870,1),0)</f>
        <v/>
      </c>
      <c r="Y5870" s="12">
        <f>IF(OR(LEFT(K5870,4)="LVAX",LEFT(K5870,6)="MV15AX",LEFT(K5870,4)="CTAX",LEFT(K5870,2)="W|"),2*N5870*O5870,0)</f>
        <v/>
      </c>
      <c r="Z5870" s="12" t="inlineStr">
        <is>
          <t>VD 2.5 %</t>
        </is>
      </c>
      <c r="AA5870" s="12">
        <f>N5870*O5870</f>
        <v/>
      </c>
    </row>
    <row r="5871">
      <c r="A5871" s="12" t="inlineStr">
        <is>
          <t>C-P-0008</t>
        </is>
      </c>
      <c r="B5871" s="12" t="inlineStr">
        <is>
          <t>C</t>
        </is>
      </c>
      <c r="C5871" s="12" t="inlineStr">
        <is>
          <t>Grid interface</t>
        </is>
      </c>
      <c r="D5871" s="12" t="inlineStr">
        <is>
          <t>Motor 3 of 10, 30 kW</t>
        </is>
      </c>
      <c r="E5871" s="12" t="inlineStr">
        <is>
          <t>MCC-C1</t>
        </is>
      </c>
      <c r="F5871" s="12" t="inlineStr">
        <is>
          <t>R1 MCC-C1</t>
        </is>
      </c>
      <c r="G5871" s="12" t="inlineStr"/>
      <c r="H5871" s="12" t="inlineStr">
        <is>
          <t xml:space="preserve">CO2 compression 3 x ~19 MW + dehydration: rooftop HVAC, exhaust fans, </t>
        </is>
      </c>
      <c r="I5871" s="12" t="inlineStr">
        <is>
          <t>LV 600 V</t>
        </is>
      </c>
      <c r="J5871" s="12" t="inlineStr">
        <is>
          <t>Type TC-ER 600 V 3/C Cu XHHW-2 + ground, PVC jacket</t>
        </is>
      </c>
      <c r="K5871" s="12" t="inlineStr">
        <is>
          <t>LV|3/C+G|3/0</t>
        </is>
      </c>
      <c r="L5871" s="12" t="inlineStr">
        <is>
          <t>3/C+G</t>
        </is>
      </c>
      <c r="M5871" s="12" t="inlineStr">
        <is>
          <t>3/0</t>
        </is>
      </c>
      <c r="N5871" s="12" t="n">
        <v>1</v>
      </c>
      <c r="O5871" s="12" t="n">
        <v>1</v>
      </c>
      <c r="P5871" s="12" t="n">
        <v>480</v>
      </c>
      <c r="Q5871" s="12" t="n">
        <v>30</v>
      </c>
      <c r="R5871" s="12" t="n">
        <v>42.5</v>
      </c>
      <c r="S5871" s="12" t="inlineStr">
        <is>
          <t>Tray</t>
        </is>
      </c>
      <c r="T5871" s="17" t="n">
        <v>1744</v>
      </c>
      <c r="U5871" s="17" t="n">
        <v>161</v>
      </c>
      <c r="V5871" s="17">
        <f>ROUNDUP((T5871+U5871+2*'Read Me'!$B$13)*(1+'Read Me'!$B$12),-1)</f>
        <v/>
      </c>
      <c r="W5871" s="17">
        <f>V5871*N5871*O5871</f>
        <v/>
      </c>
      <c r="X5871" s="12">
        <f>IF(LEFT(I5871,2)="MV",2*N5871*IF(L5871="1/C",O5871,1),0)</f>
        <v/>
      </c>
      <c r="Y5871" s="12">
        <f>IF(OR(LEFT(K5871,4)="LVAX",LEFT(K5871,6)="MV15AX",LEFT(K5871,4)="CTAX",LEFT(K5871,2)="W|"),2*N5871*O5871,0)</f>
        <v/>
      </c>
      <c r="Z5871" s="12" t="inlineStr">
        <is>
          <t>VD 2.5 %</t>
        </is>
      </c>
      <c r="AA5871" s="12">
        <f>N5871*O5871</f>
        <v/>
      </c>
    </row>
    <row r="5872">
      <c r="A5872" s="12" t="inlineStr">
        <is>
          <t>C-P-0009</t>
        </is>
      </c>
      <c r="B5872" s="12" t="inlineStr">
        <is>
          <t>C</t>
        </is>
      </c>
      <c r="C5872" s="12" t="inlineStr">
        <is>
          <t>Grid interface</t>
        </is>
      </c>
      <c r="D5872" s="12" t="inlineStr">
        <is>
          <t>Motor 4 of 10, 30 kW</t>
        </is>
      </c>
      <c r="E5872" s="12" t="inlineStr">
        <is>
          <t>MCC-C1</t>
        </is>
      </c>
      <c r="F5872" s="12" t="inlineStr">
        <is>
          <t>R1 MCC-C1</t>
        </is>
      </c>
      <c r="G5872" s="12" t="inlineStr"/>
      <c r="H5872" s="12" t="inlineStr">
        <is>
          <t xml:space="preserve">CO2 compression 3 x ~19 MW + dehydration: rooftop HVAC, exhaust fans, </t>
        </is>
      </c>
      <c r="I5872" s="12" t="inlineStr">
        <is>
          <t>LV 600 V</t>
        </is>
      </c>
      <c r="J5872" s="12" t="inlineStr">
        <is>
          <t>Type TC-ER 600 V 3/C Cu XHHW-2 + ground, PVC jacket</t>
        </is>
      </c>
      <c r="K5872" s="12" t="inlineStr">
        <is>
          <t>LV|3/C+G|3/0</t>
        </is>
      </c>
      <c r="L5872" s="12" t="inlineStr">
        <is>
          <t>3/C+G</t>
        </is>
      </c>
      <c r="M5872" s="12" t="inlineStr">
        <is>
          <t>3/0</t>
        </is>
      </c>
      <c r="N5872" s="12" t="n">
        <v>1</v>
      </c>
      <c r="O5872" s="12" t="n">
        <v>1</v>
      </c>
      <c r="P5872" s="12" t="n">
        <v>480</v>
      </c>
      <c r="Q5872" s="12" t="n">
        <v>30</v>
      </c>
      <c r="R5872" s="12" t="n">
        <v>42.5</v>
      </c>
      <c r="S5872" s="12" t="inlineStr">
        <is>
          <t>Tray</t>
        </is>
      </c>
      <c r="T5872" s="17" t="n">
        <v>1744</v>
      </c>
      <c r="U5872" s="17" t="n">
        <v>161</v>
      </c>
      <c r="V5872" s="17">
        <f>ROUNDUP((T5872+U5872+2*'Read Me'!$B$13)*(1+'Read Me'!$B$12),-1)</f>
        <v/>
      </c>
      <c r="W5872" s="17">
        <f>V5872*N5872*O5872</f>
        <v/>
      </c>
      <c r="X5872" s="12">
        <f>IF(LEFT(I5872,2)="MV",2*N5872*IF(L5872="1/C",O5872,1),0)</f>
        <v/>
      </c>
      <c r="Y5872" s="12">
        <f>IF(OR(LEFT(K5872,4)="LVAX",LEFT(K5872,6)="MV15AX",LEFT(K5872,4)="CTAX",LEFT(K5872,2)="W|"),2*N5872*O5872,0)</f>
        <v/>
      </c>
      <c r="Z5872" s="12" t="inlineStr">
        <is>
          <t>VD 2.5 %</t>
        </is>
      </c>
      <c r="AA5872" s="12">
        <f>N5872*O5872</f>
        <v/>
      </c>
    </row>
    <row r="5873">
      <c r="A5873" s="12" t="inlineStr">
        <is>
          <t>C-P-0010</t>
        </is>
      </c>
      <c r="B5873" s="12" t="inlineStr">
        <is>
          <t>C</t>
        </is>
      </c>
      <c r="C5873" s="12" t="inlineStr">
        <is>
          <t>Grid interface</t>
        </is>
      </c>
      <c r="D5873" s="12" t="inlineStr">
        <is>
          <t>Motor 5 of 10, 30 kW</t>
        </is>
      </c>
      <c r="E5873" s="12" t="inlineStr">
        <is>
          <t>MCC-C1</t>
        </is>
      </c>
      <c r="F5873" s="12" t="inlineStr">
        <is>
          <t>R1 MCC-C1</t>
        </is>
      </c>
      <c r="G5873" s="12" t="inlineStr"/>
      <c r="H5873" s="12" t="inlineStr">
        <is>
          <t xml:space="preserve">CO2 compression 3 x ~19 MW + dehydration: rooftop HVAC, exhaust fans, </t>
        </is>
      </c>
      <c r="I5873" s="12" t="inlineStr">
        <is>
          <t>LV 600 V</t>
        </is>
      </c>
      <c r="J5873" s="12" t="inlineStr">
        <is>
          <t>Type TC-ER 600 V 3/C Cu XHHW-2 + ground, PVC jacket</t>
        </is>
      </c>
      <c r="K5873" s="12" t="inlineStr">
        <is>
          <t>LV|3/C+G|3/0</t>
        </is>
      </c>
      <c r="L5873" s="12" t="inlineStr">
        <is>
          <t>3/C+G</t>
        </is>
      </c>
      <c r="M5873" s="12" t="inlineStr">
        <is>
          <t>3/0</t>
        </is>
      </c>
      <c r="N5873" s="12" t="n">
        <v>1</v>
      </c>
      <c r="O5873" s="12" t="n">
        <v>1</v>
      </c>
      <c r="P5873" s="12" t="n">
        <v>480</v>
      </c>
      <c r="Q5873" s="12" t="n">
        <v>30</v>
      </c>
      <c r="R5873" s="12" t="n">
        <v>42.5</v>
      </c>
      <c r="S5873" s="12" t="inlineStr">
        <is>
          <t>Tray</t>
        </is>
      </c>
      <c r="T5873" s="17" t="n">
        <v>1744</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2.5 %</t>
        </is>
      </c>
      <c r="AA5873" s="12">
        <f>N5873*O5873</f>
        <v/>
      </c>
    </row>
    <row r="5874">
      <c r="A5874" s="12" t="inlineStr">
        <is>
          <t>C-P-0011</t>
        </is>
      </c>
      <c r="B5874" s="12" t="inlineStr">
        <is>
          <t>C</t>
        </is>
      </c>
      <c r="C5874" s="12" t="inlineStr">
        <is>
          <t>Grid interface</t>
        </is>
      </c>
      <c r="D5874" s="12" t="inlineStr">
        <is>
          <t>Motor 6 of 10, 30 kW</t>
        </is>
      </c>
      <c r="E5874" s="12" t="inlineStr">
        <is>
          <t>MCC-C1</t>
        </is>
      </c>
      <c r="F5874" s="12" t="inlineStr">
        <is>
          <t>R1 MCC-C1</t>
        </is>
      </c>
      <c r="G5874" s="12" t="inlineStr"/>
      <c r="H5874" s="12" t="inlineStr">
        <is>
          <t xml:space="preserve">CO2 compression 3 x ~19 MW + dehydration: rooftop HVAC, exhaust fans, </t>
        </is>
      </c>
      <c r="I5874" s="12" t="inlineStr">
        <is>
          <t>LV 600 V</t>
        </is>
      </c>
      <c r="J5874" s="12" t="inlineStr">
        <is>
          <t>Type TC-ER 600 V 3/C Cu XHHW-2 + ground, PVC jacket</t>
        </is>
      </c>
      <c r="K5874" s="12" t="inlineStr">
        <is>
          <t>LV|3/C+G|3/0</t>
        </is>
      </c>
      <c r="L5874" s="12" t="inlineStr">
        <is>
          <t>3/C+G</t>
        </is>
      </c>
      <c r="M5874" s="12" t="inlineStr">
        <is>
          <t>3/0</t>
        </is>
      </c>
      <c r="N5874" s="12" t="n">
        <v>1</v>
      </c>
      <c r="O5874" s="12" t="n">
        <v>1</v>
      </c>
      <c r="P5874" s="12" t="n">
        <v>480</v>
      </c>
      <c r="Q5874" s="12" t="n">
        <v>30</v>
      </c>
      <c r="R5874" s="12" t="n">
        <v>42.5</v>
      </c>
      <c r="S5874" s="12" t="inlineStr">
        <is>
          <t>Tray</t>
        </is>
      </c>
      <c r="T5874" s="17" t="n">
        <v>1744</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2.5 %</t>
        </is>
      </c>
      <c r="AA5874" s="12">
        <f>N5874*O5874</f>
        <v/>
      </c>
    </row>
    <row r="5875">
      <c r="A5875" s="12" t="inlineStr">
        <is>
          <t>C-P-0012</t>
        </is>
      </c>
      <c r="B5875" s="12" t="inlineStr">
        <is>
          <t>C</t>
        </is>
      </c>
      <c r="C5875" s="12" t="inlineStr">
        <is>
          <t>Grid interface</t>
        </is>
      </c>
      <c r="D5875" s="12" t="inlineStr">
        <is>
          <t>Motor 7 of 10, 30 kW</t>
        </is>
      </c>
      <c r="E5875" s="12" t="inlineStr">
        <is>
          <t>MCC-C1</t>
        </is>
      </c>
      <c r="F5875" s="12" t="inlineStr">
        <is>
          <t>R1 MCC-C1</t>
        </is>
      </c>
      <c r="G5875" s="12" t="inlineStr"/>
      <c r="H5875" s="12" t="inlineStr">
        <is>
          <t xml:space="preserve">CO2 compression 3 x ~19 MW + dehydration: rooftop HVAC, exhaust fans, </t>
        </is>
      </c>
      <c r="I5875" s="12" t="inlineStr">
        <is>
          <t>LV 600 V</t>
        </is>
      </c>
      <c r="J5875" s="12" t="inlineStr">
        <is>
          <t>Type TC-ER 600 V 3/C Cu XHHW-2 + ground, PVC jacket</t>
        </is>
      </c>
      <c r="K5875" s="12" t="inlineStr">
        <is>
          <t>LV|3/C+G|3/0</t>
        </is>
      </c>
      <c r="L5875" s="12" t="inlineStr">
        <is>
          <t>3/C+G</t>
        </is>
      </c>
      <c r="M5875" s="12" t="inlineStr">
        <is>
          <t>3/0</t>
        </is>
      </c>
      <c r="N5875" s="12" t="n">
        <v>1</v>
      </c>
      <c r="O5875" s="12" t="n">
        <v>1</v>
      </c>
      <c r="P5875" s="12" t="n">
        <v>480</v>
      </c>
      <c r="Q5875" s="12" t="n">
        <v>30</v>
      </c>
      <c r="R5875" s="12" t="n">
        <v>42.5</v>
      </c>
      <c r="S5875" s="12" t="inlineStr">
        <is>
          <t>Tray</t>
        </is>
      </c>
      <c r="T5875" s="17" t="n">
        <v>1744</v>
      </c>
      <c r="U5875" s="17" t="n">
        <v>161</v>
      </c>
      <c r="V5875" s="17">
        <f>ROUNDUP((T5875+U5875+2*'Read Me'!$B$13)*(1+'Read Me'!$B$12),-1)</f>
        <v/>
      </c>
      <c r="W5875" s="17">
        <f>V5875*N5875*O5875</f>
        <v/>
      </c>
      <c r="X5875" s="12">
        <f>IF(LEFT(I5875,2)="MV",2*N5875*IF(L5875="1/C",O5875,1),0)</f>
        <v/>
      </c>
      <c r="Y5875" s="12">
        <f>IF(OR(LEFT(K5875,4)="LVAX",LEFT(K5875,6)="MV15AX",LEFT(K5875,4)="CTAX",LEFT(K5875,2)="W|"),2*N5875*O5875,0)</f>
        <v/>
      </c>
      <c r="Z5875" s="12" t="inlineStr">
        <is>
          <t>VD 2.5 %</t>
        </is>
      </c>
      <c r="AA5875" s="12">
        <f>N5875*O5875</f>
        <v/>
      </c>
    </row>
    <row r="5876">
      <c r="A5876" s="12" t="inlineStr">
        <is>
          <t>C-P-0013</t>
        </is>
      </c>
      <c r="B5876" s="12" t="inlineStr">
        <is>
          <t>C</t>
        </is>
      </c>
      <c r="C5876" s="12" t="inlineStr">
        <is>
          <t>Grid interface</t>
        </is>
      </c>
      <c r="D5876" s="12" t="inlineStr">
        <is>
          <t>Motor 8 of 10, 30 kW</t>
        </is>
      </c>
      <c r="E5876" s="12" t="inlineStr">
        <is>
          <t>MCC-C1</t>
        </is>
      </c>
      <c r="F5876" s="12" t="inlineStr">
        <is>
          <t>R1 MCC-C1</t>
        </is>
      </c>
      <c r="G5876" s="12" t="inlineStr"/>
      <c r="H5876" s="12" t="inlineStr">
        <is>
          <t xml:space="preserve">CO2 compression 3 x ~19 MW + dehydration: rooftop HVAC, exhaust fans, </t>
        </is>
      </c>
      <c r="I5876" s="12" t="inlineStr">
        <is>
          <t>LV 600 V</t>
        </is>
      </c>
      <c r="J5876" s="12" t="inlineStr">
        <is>
          <t>Type TC-ER 600 V 3/C Cu XHHW-2 + ground, PVC jacket</t>
        </is>
      </c>
      <c r="K5876" s="12" t="inlineStr">
        <is>
          <t>LV|3/C+G|3/0</t>
        </is>
      </c>
      <c r="L5876" s="12" t="inlineStr">
        <is>
          <t>3/C+G</t>
        </is>
      </c>
      <c r="M5876" s="12" t="inlineStr">
        <is>
          <t>3/0</t>
        </is>
      </c>
      <c r="N5876" s="12" t="n">
        <v>1</v>
      </c>
      <c r="O5876" s="12" t="n">
        <v>1</v>
      </c>
      <c r="P5876" s="12" t="n">
        <v>480</v>
      </c>
      <c r="Q5876" s="12" t="n">
        <v>30</v>
      </c>
      <c r="R5876" s="12" t="n">
        <v>42.5</v>
      </c>
      <c r="S5876" s="12" t="inlineStr">
        <is>
          <t>Tray</t>
        </is>
      </c>
      <c r="T5876" s="17" t="n">
        <v>1744</v>
      </c>
      <c r="U5876" s="17" t="n">
        <v>161</v>
      </c>
      <c r="V5876" s="17">
        <f>ROUNDUP((T5876+U5876+2*'Read Me'!$B$13)*(1+'Read Me'!$B$12),-1)</f>
        <v/>
      </c>
      <c r="W5876" s="17">
        <f>V5876*N5876*O5876</f>
        <v/>
      </c>
      <c r="X5876" s="12">
        <f>IF(LEFT(I5876,2)="MV",2*N5876*IF(L5876="1/C",O5876,1),0)</f>
        <v/>
      </c>
      <c r="Y5876" s="12">
        <f>IF(OR(LEFT(K5876,4)="LVAX",LEFT(K5876,6)="MV15AX",LEFT(K5876,4)="CTAX",LEFT(K5876,2)="W|"),2*N5876*O5876,0)</f>
        <v/>
      </c>
      <c r="Z5876" s="12" t="inlineStr">
        <is>
          <t>VD 2.5 %</t>
        </is>
      </c>
      <c r="AA5876" s="12">
        <f>N5876*O5876</f>
        <v/>
      </c>
    </row>
    <row r="5877">
      <c r="A5877" s="12" t="inlineStr">
        <is>
          <t>C-P-0014</t>
        </is>
      </c>
      <c r="B5877" s="12" t="inlineStr">
        <is>
          <t>C</t>
        </is>
      </c>
      <c r="C5877" s="12" t="inlineStr">
        <is>
          <t>Grid interface</t>
        </is>
      </c>
      <c r="D5877" s="12" t="inlineStr">
        <is>
          <t>Motor 9 of 10, 30 kW</t>
        </is>
      </c>
      <c r="E5877" s="12" t="inlineStr">
        <is>
          <t>MCC-C1</t>
        </is>
      </c>
      <c r="F5877" s="12" t="inlineStr">
        <is>
          <t>R1 MCC-C1</t>
        </is>
      </c>
      <c r="G5877" s="12" t="inlineStr"/>
      <c r="H5877" s="12" t="inlineStr">
        <is>
          <t xml:space="preserve">CO2 compression 3 x ~19 MW + dehydration: rooftop HVAC, exhaust fans, </t>
        </is>
      </c>
      <c r="I5877" s="12" t="inlineStr">
        <is>
          <t>LV 600 V</t>
        </is>
      </c>
      <c r="J5877" s="12" t="inlineStr">
        <is>
          <t>Type TC-ER 600 V 3/C Cu XHHW-2 + ground, PVC jacket</t>
        </is>
      </c>
      <c r="K5877" s="12" t="inlineStr">
        <is>
          <t>LV|3/C+G|3/0</t>
        </is>
      </c>
      <c r="L5877" s="12" t="inlineStr">
        <is>
          <t>3/C+G</t>
        </is>
      </c>
      <c r="M5877" s="12" t="inlineStr">
        <is>
          <t>3/0</t>
        </is>
      </c>
      <c r="N5877" s="12" t="n">
        <v>1</v>
      </c>
      <c r="O5877" s="12" t="n">
        <v>1</v>
      </c>
      <c r="P5877" s="12" t="n">
        <v>480</v>
      </c>
      <c r="Q5877" s="12" t="n">
        <v>30</v>
      </c>
      <c r="R5877" s="12" t="n">
        <v>42.5</v>
      </c>
      <c r="S5877" s="12" t="inlineStr">
        <is>
          <t>Tray</t>
        </is>
      </c>
      <c r="T5877" s="17" t="n">
        <v>1744</v>
      </c>
      <c r="U5877" s="17" t="n">
        <v>161</v>
      </c>
      <c r="V5877" s="17">
        <f>ROUNDUP((T5877+U5877+2*'Read Me'!$B$13)*(1+'Read Me'!$B$12),-1)</f>
        <v/>
      </c>
      <c r="W5877" s="17">
        <f>V5877*N5877*O5877</f>
        <v/>
      </c>
      <c r="X5877" s="12">
        <f>IF(LEFT(I5877,2)="MV",2*N5877*IF(L5877="1/C",O5877,1),0)</f>
        <v/>
      </c>
      <c r="Y5877" s="12">
        <f>IF(OR(LEFT(K5877,4)="LVAX",LEFT(K5877,6)="MV15AX",LEFT(K5877,4)="CTAX",LEFT(K5877,2)="W|"),2*N5877*O5877,0)</f>
        <v/>
      </c>
      <c r="Z5877" s="12" t="inlineStr">
        <is>
          <t>VD 2.5 %</t>
        </is>
      </c>
      <c r="AA5877" s="12">
        <f>N5877*O5877</f>
        <v/>
      </c>
    </row>
    <row r="5878">
      <c r="A5878" s="12" t="inlineStr">
        <is>
          <t>C-P-0015</t>
        </is>
      </c>
      <c r="B5878" s="12" t="inlineStr">
        <is>
          <t>C</t>
        </is>
      </c>
      <c r="C5878" s="12" t="inlineStr">
        <is>
          <t>Grid interface</t>
        </is>
      </c>
      <c r="D5878" s="12" t="inlineStr">
        <is>
          <t>Motor 10 of 10, 30 kW</t>
        </is>
      </c>
      <c r="E5878" s="12" t="inlineStr">
        <is>
          <t>MCC-C1</t>
        </is>
      </c>
      <c r="F5878" s="12" t="inlineStr">
        <is>
          <t>R1 MCC-C1</t>
        </is>
      </c>
      <c r="G5878" s="12" t="inlineStr"/>
      <c r="H5878" s="12" t="inlineStr">
        <is>
          <t xml:space="preserve">CO2 compression 3 x ~19 MW + dehydration: rooftop HVAC, exhaust fans, </t>
        </is>
      </c>
      <c r="I5878" s="12" t="inlineStr">
        <is>
          <t>LV 600 V</t>
        </is>
      </c>
      <c r="J5878" s="12" t="inlineStr">
        <is>
          <t>Type TC-ER 600 V 3/C Cu XHHW-2 + ground, PVC jacket</t>
        </is>
      </c>
      <c r="K5878" s="12" t="inlineStr">
        <is>
          <t>LV|3/C+G|3/0</t>
        </is>
      </c>
      <c r="L5878" s="12" t="inlineStr">
        <is>
          <t>3/C+G</t>
        </is>
      </c>
      <c r="M5878" s="12" t="inlineStr">
        <is>
          <t>3/0</t>
        </is>
      </c>
      <c r="N5878" s="12" t="n">
        <v>1</v>
      </c>
      <c r="O5878" s="12" t="n">
        <v>1</v>
      </c>
      <c r="P5878" s="12" t="n">
        <v>480</v>
      </c>
      <c r="Q5878" s="12" t="n">
        <v>30</v>
      </c>
      <c r="R5878" s="12" t="n">
        <v>42.5</v>
      </c>
      <c r="S5878" s="12" t="inlineStr">
        <is>
          <t>Tray</t>
        </is>
      </c>
      <c r="T5878" s="17" t="n">
        <v>1744</v>
      </c>
      <c r="U5878" s="17" t="n">
        <v>161</v>
      </c>
      <c r="V5878" s="17">
        <f>ROUNDUP((T5878+U5878+2*'Read Me'!$B$13)*(1+'Read Me'!$B$12),-1)</f>
        <v/>
      </c>
      <c r="W5878" s="17">
        <f>V5878*N5878*O5878</f>
        <v/>
      </c>
      <c r="X5878" s="12">
        <f>IF(LEFT(I5878,2)="MV",2*N5878*IF(L5878="1/C",O5878,1),0)</f>
        <v/>
      </c>
      <c r="Y5878" s="12">
        <f>IF(OR(LEFT(K5878,4)="LVAX",LEFT(K5878,6)="MV15AX",LEFT(K5878,4)="CTAX",LEFT(K5878,2)="W|"),2*N5878*O5878,0)</f>
        <v/>
      </c>
      <c r="Z5878" s="12" t="inlineStr">
        <is>
          <t>VD 2.5 %</t>
        </is>
      </c>
      <c r="AA5878" s="12">
        <f>N5878*O5878</f>
        <v/>
      </c>
    </row>
    <row r="5879">
      <c r="A5879" s="12" t="inlineStr">
        <is>
          <t>C-P-0016</t>
        </is>
      </c>
      <c r="B5879" s="12" t="inlineStr">
        <is>
          <t>C</t>
        </is>
      </c>
      <c r="C5879" s="12" t="inlineStr">
        <is>
          <t>Grid interface</t>
        </is>
      </c>
      <c r="D5879" s="12" t="inlineStr">
        <is>
          <t>480 V welding receptacle 1</t>
        </is>
      </c>
      <c r="E5879" s="12" t="inlineStr">
        <is>
          <t>MCC-C1</t>
        </is>
      </c>
      <c r="F5879" s="12" t="inlineStr">
        <is>
          <t>R1 MCC-C1</t>
        </is>
      </c>
      <c r="G5879" s="12" t="inlineStr"/>
      <c r="H5879" s="12" t="inlineStr">
        <is>
          <t xml:space="preserve">CO2 compression 3 x ~19 MW + dehydration: rooftop HVAC, exhaust fans, </t>
        </is>
      </c>
      <c r="I5879" s="12" t="inlineStr">
        <is>
          <t>LV 600 V</t>
        </is>
      </c>
      <c r="J5879" s="12" t="inlineStr">
        <is>
          <t>Type TC-ER 600 V 3/C Cu XHHW-2 + ground, PVC jacket</t>
        </is>
      </c>
      <c r="K5879" s="12" t="inlineStr">
        <is>
          <t>LV|3/C+G|250</t>
        </is>
      </c>
      <c r="L5879" s="12" t="inlineStr">
        <is>
          <t>3/C+G</t>
        </is>
      </c>
      <c r="M5879" s="12" t="inlineStr">
        <is>
          <t>250 kcmil</t>
        </is>
      </c>
      <c r="N5879" s="12" t="n">
        <v>1</v>
      </c>
      <c r="O5879" s="12" t="n">
        <v>1</v>
      </c>
      <c r="P5879" s="12" t="n">
        <v>480</v>
      </c>
      <c r="Q5879" s="12" t="n">
        <v>60</v>
      </c>
      <c r="R5879" s="12" t="n">
        <v>76</v>
      </c>
      <c r="S5879" s="12" t="inlineStr">
        <is>
          <t>Tray</t>
        </is>
      </c>
      <c r="T5879" s="17" t="n">
        <v>1744</v>
      </c>
      <c r="U5879" s="17" t="n">
        <v>161</v>
      </c>
      <c r="V5879" s="17">
        <f>ROUNDUP((T5879+U5879+2*'Read Me'!$B$13)*(1+'Read Me'!$B$12),-1)</f>
        <v/>
      </c>
      <c r="W5879" s="17">
        <f>V5879*N5879*O5879</f>
        <v/>
      </c>
      <c r="X5879" s="12">
        <f>IF(LEFT(I5879,2)="MV",2*N5879*IF(L5879="1/C",O5879,1),0)</f>
        <v/>
      </c>
      <c r="Y5879" s="12">
        <f>IF(OR(LEFT(K5879,4)="LVAX",LEFT(K5879,6)="MV15AX",LEFT(K5879,4)="CTAX",LEFT(K5879,2)="W|"),2*N5879*O5879,0)</f>
        <v/>
      </c>
      <c r="Z5879" s="12" t="inlineStr">
        <is>
          <t>VD 3.0 %</t>
        </is>
      </c>
      <c r="AA5879" s="12">
        <f>N5879*O5879</f>
        <v/>
      </c>
    </row>
    <row r="5880">
      <c r="A5880" s="12" t="inlineStr">
        <is>
          <t>C-P-0017</t>
        </is>
      </c>
      <c r="B5880" s="12" t="inlineStr">
        <is>
          <t>C</t>
        </is>
      </c>
      <c r="C5880" s="12" t="inlineStr">
        <is>
          <t>Grid interface</t>
        </is>
      </c>
      <c r="D5880" s="12" t="inlineStr">
        <is>
          <t>480 V welding receptacle 2</t>
        </is>
      </c>
      <c r="E5880" s="12" t="inlineStr">
        <is>
          <t>MCC-C1</t>
        </is>
      </c>
      <c r="F5880" s="12" t="inlineStr">
        <is>
          <t>R1 MCC-C1</t>
        </is>
      </c>
      <c r="G5880" s="12" t="inlineStr"/>
      <c r="H5880" s="12" t="inlineStr">
        <is>
          <t xml:space="preserve">CO2 compression 3 x ~19 MW + dehydration: rooftop HVAC, exhaust fans, </t>
        </is>
      </c>
      <c r="I5880" s="12" t="inlineStr">
        <is>
          <t>LV 600 V</t>
        </is>
      </c>
      <c r="J5880" s="12" t="inlineStr">
        <is>
          <t>Type TC-ER 600 V 3/C Cu XHHW-2 + ground, PVC jacket</t>
        </is>
      </c>
      <c r="K5880" s="12" t="inlineStr">
        <is>
          <t>LV|3/C+G|250</t>
        </is>
      </c>
      <c r="L5880" s="12" t="inlineStr">
        <is>
          <t>3/C+G</t>
        </is>
      </c>
      <c r="M5880" s="12" t="inlineStr">
        <is>
          <t>250 kcmil</t>
        </is>
      </c>
      <c r="N5880" s="12" t="n">
        <v>1</v>
      </c>
      <c r="O5880" s="12" t="n">
        <v>1</v>
      </c>
      <c r="P5880" s="12" t="n">
        <v>480</v>
      </c>
      <c r="Q5880" s="12" t="n">
        <v>60</v>
      </c>
      <c r="R5880" s="12" t="n">
        <v>76</v>
      </c>
      <c r="S5880" s="12" t="inlineStr">
        <is>
          <t>Tray</t>
        </is>
      </c>
      <c r="T5880" s="17" t="n">
        <v>1744</v>
      </c>
      <c r="U5880" s="17" t="n">
        <v>161</v>
      </c>
      <c r="V5880" s="17">
        <f>ROUNDUP((T5880+U5880+2*'Read Me'!$B$13)*(1+'Read Me'!$B$12),-1)</f>
        <v/>
      </c>
      <c r="W5880" s="17">
        <f>V5880*N5880*O5880</f>
        <v/>
      </c>
      <c r="X5880" s="12">
        <f>IF(LEFT(I5880,2)="MV",2*N5880*IF(L5880="1/C",O5880,1),0)</f>
        <v/>
      </c>
      <c r="Y5880" s="12">
        <f>IF(OR(LEFT(K5880,4)="LVAX",LEFT(K5880,6)="MV15AX",LEFT(K5880,4)="CTAX",LEFT(K5880,2)="W|"),2*N5880*O5880,0)</f>
        <v/>
      </c>
      <c r="Z5880" s="12" t="inlineStr">
        <is>
          <t>VD 3.0 %</t>
        </is>
      </c>
      <c r="AA5880" s="12">
        <f>N5880*O5880</f>
        <v/>
      </c>
    </row>
    <row r="5881">
      <c r="A5881" s="12" t="inlineStr">
        <is>
          <t>C-P-0018</t>
        </is>
      </c>
      <c r="B5881" s="12" t="inlineStr">
        <is>
          <t>C</t>
        </is>
      </c>
      <c r="C5881" s="12" t="inlineStr">
        <is>
          <t>Grid interface</t>
        </is>
      </c>
      <c r="D5881" s="12" t="inlineStr">
        <is>
          <t>480 V welding receptacle 3</t>
        </is>
      </c>
      <c r="E5881" s="12" t="inlineStr">
        <is>
          <t>MCC-C1</t>
        </is>
      </c>
      <c r="F5881" s="12" t="inlineStr">
        <is>
          <t>R1 MCC-C1</t>
        </is>
      </c>
      <c r="G5881" s="12" t="inlineStr"/>
      <c r="H5881" s="12" t="inlineStr">
        <is>
          <t xml:space="preserve">CO2 compression 3 x ~19 MW + dehydration: rooftop HVAC, exhaust fans, </t>
        </is>
      </c>
      <c r="I5881" s="12" t="inlineStr">
        <is>
          <t>LV 600 V</t>
        </is>
      </c>
      <c r="J5881" s="12" t="inlineStr">
        <is>
          <t>Type TC-ER 600 V 3/C Cu XHHW-2 + ground, PVC jacket</t>
        </is>
      </c>
      <c r="K5881" s="12" t="inlineStr">
        <is>
          <t>LV|3/C+G|250</t>
        </is>
      </c>
      <c r="L5881" s="12" t="inlineStr">
        <is>
          <t>3/C+G</t>
        </is>
      </c>
      <c r="M5881" s="12" t="inlineStr">
        <is>
          <t>250 kcmil</t>
        </is>
      </c>
      <c r="N5881" s="12" t="n">
        <v>1</v>
      </c>
      <c r="O5881" s="12" t="n">
        <v>1</v>
      </c>
      <c r="P5881" s="12" t="n">
        <v>480</v>
      </c>
      <c r="Q5881" s="12" t="n">
        <v>60</v>
      </c>
      <c r="R5881" s="12" t="n">
        <v>76</v>
      </c>
      <c r="S5881" s="12" t="inlineStr">
        <is>
          <t>Tray</t>
        </is>
      </c>
      <c r="T5881" s="17" t="n">
        <v>1744</v>
      </c>
      <c r="U5881" s="17" t="n">
        <v>161</v>
      </c>
      <c r="V5881" s="17">
        <f>ROUNDUP((T5881+U5881+2*'Read Me'!$B$13)*(1+'Read Me'!$B$12),-1)</f>
        <v/>
      </c>
      <c r="W5881" s="17">
        <f>V5881*N5881*O5881</f>
        <v/>
      </c>
      <c r="X5881" s="12">
        <f>IF(LEFT(I5881,2)="MV",2*N5881*IF(L5881="1/C",O5881,1),0)</f>
        <v/>
      </c>
      <c r="Y5881" s="12">
        <f>IF(OR(LEFT(K5881,4)="LVAX",LEFT(K5881,6)="MV15AX",LEFT(K5881,4)="CTAX",LEFT(K5881,2)="W|"),2*N5881*O5881,0)</f>
        <v/>
      </c>
      <c r="Z5881" s="12" t="inlineStr">
        <is>
          <t>VD 3.0 %</t>
        </is>
      </c>
      <c r="AA5881" s="12">
        <f>N5881*O5881</f>
        <v/>
      </c>
    </row>
    <row r="5882">
      <c r="A5882" s="12" t="inlineStr">
        <is>
          <t>C-P-0019</t>
        </is>
      </c>
      <c r="B5882" s="12" t="inlineStr">
        <is>
          <t>C</t>
        </is>
      </c>
      <c r="C5882" s="12" t="inlineStr">
        <is>
          <t>Grid interface</t>
        </is>
      </c>
      <c r="D5882" s="12" t="inlineStr">
        <is>
          <t>480 V welding receptacle 4</t>
        </is>
      </c>
      <c r="E5882" s="12" t="inlineStr">
        <is>
          <t>MCC-C1</t>
        </is>
      </c>
      <c r="F5882" s="12" t="inlineStr">
        <is>
          <t>R1 MCC-C1</t>
        </is>
      </c>
      <c r="G5882" s="12" t="inlineStr"/>
      <c r="H5882" s="12" t="inlineStr">
        <is>
          <t xml:space="preserve">CO2 compression 3 x ~19 MW + dehydration: rooftop HVAC, exhaust fans, </t>
        </is>
      </c>
      <c r="I5882" s="12" t="inlineStr">
        <is>
          <t>LV 600 V</t>
        </is>
      </c>
      <c r="J5882" s="12" t="inlineStr">
        <is>
          <t>Type TC-ER 600 V 3/C Cu XHHW-2 + ground, PVC jacket</t>
        </is>
      </c>
      <c r="K5882" s="12" t="inlineStr">
        <is>
          <t>LV|3/C+G|250</t>
        </is>
      </c>
      <c r="L5882" s="12" t="inlineStr">
        <is>
          <t>3/C+G</t>
        </is>
      </c>
      <c r="M5882" s="12" t="inlineStr">
        <is>
          <t>250 kcmil</t>
        </is>
      </c>
      <c r="N5882" s="12" t="n">
        <v>1</v>
      </c>
      <c r="O5882" s="12" t="n">
        <v>1</v>
      </c>
      <c r="P5882" s="12" t="n">
        <v>480</v>
      </c>
      <c r="Q5882" s="12" t="n">
        <v>60</v>
      </c>
      <c r="R5882" s="12" t="n">
        <v>76</v>
      </c>
      <c r="S5882" s="12" t="inlineStr">
        <is>
          <t>Tray</t>
        </is>
      </c>
      <c r="T5882" s="17" t="n">
        <v>1744</v>
      </c>
      <c r="U5882" s="17" t="n">
        <v>161</v>
      </c>
      <c r="V5882" s="17">
        <f>ROUNDUP((T5882+U5882+2*'Read Me'!$B$13)*(1+'Read Me'!$B$12),-1)</f>
        <v/>
      </c>
      <c r="W5882" s="17">
        <f>V5882*N5882*O5882</f>
        <v/>
      </c>
      <c r="X5882" s="12">
        <f>IF(LEFT(I5882,2)="MV",2*N5882*IF(L5882="1/C",O5882,1),0)</f>
        <v/>
      </c>
      <c r="Y5882" s="12">
        <f>IF(OR(LEFT(K5882,4)="LVAX",LEFT(K5882,6)="MV15AX",LEFT(K5882,4)="CTAX",LEFT(K5882,2)="W|"),2*N5882*O5882,0)</f>
        <v/>
      </c>
      <c r="Z5882" s="12" t="inlineStr">
        <is>
          <t>VD 3.0 %</t>
        </is>
      </c>
      <c r="AA5882" s="12">
        <f>N5882*O5882</f>
        <v/>
      </c>
    </row>
    <row r="5883">
      <c r="A5883" s="12" t="inlineStr">
        <is>
          <t>C-P-0020</t>
        </is>
      </c>
      <c r="B5883" s="12" t="inlineStr">
        <is>
          <t>C</t>
        </is>
      </c>
      <c r="C5883" s="12" t="inlineStr">
        <is>
          <t>Grid interface</t>
        </is>
      </c>
      <c r="D5883" s="12" t="inlineStr">
        <is>
          <t>Motor 1 of 2, 250 kW</t>
        </is>
      </c>
      <c r="E5883" s="12" t="inlineStr">
        <is>
          <t>MCC-C1</t>
        </is>
      </c>
      <c r="F5883" s="12" t="inlineStr">
        <is>
          <t>R1 MCC-C1</t>
        </is>
      </c>
      <c r="G5883" s="12" t="inlineStr"/>
      <c r="H5883" s="12" t="inlineStr">
        <is>
          <t>Small-bore piping: instrument air, service water, nitrogen, HRSG drain</t>
        </is>
      </c>
      <c r="I5883" s="12" t="inlineStr">
        <is>
          <t>LV 600 V</t>
        </is>
      </c>
      <c r="J5883" s="12" t="inlineStr">
        <is>
          <t>Type TC-ER 600 V 3/C Cu XHHW-2 + ground, PVC jacket</t>
        </is>
      </c>
      <c r="K5883" s="12" t="inlineStr">
        <is>
          <t>LV|3/C+G|250</t>
        </is>
      </c>
      <c r="L5883" s="12" t="inlineStr">
        <is>
          <t>3/C+G</t>
        </is>
      </c>
      <c r="M5883" s="12" t="inlineStr">
        <is>
          <t>250 kcmil</t>
        </is>
      </c>
      <c r="N5883" s="12" t="n">
        <v>2</v>
      </c>
      <c r="O5883" s="12" t="n">
        <v>1</v>
      </c>
      <c r="P5883" s="12" t="n">
        <v>480</v>
      </c>
      <c r="Q5883" s="12" t="n">
        <v>250</v>
      </c>
      <c r="R5883" s="12" t="n">
        <v>353.8</v>
      </c>
      <c r="S5883" s="12" t="inlineStr">
        <is>
          <t>Tray</t>
        </is>
      </c>
      <c r="T5883" s="17" t="n">
        <v>614</v>
      </c>
      <c r="U5883" s="17" t="n">
        <v>145</v>
      </c>
      <c r="V5883" s="17">
        <f>ROUNDUP((T5883+U5883+2*'Read Me'!$B$13)*(1+'Read Me'!$B$12),-1)</f>
        <v/>
      </c>
      <c r="W5883" s="17">
        <f>V5883*N5883*O5883</f>
        <v/>
      </c>
      <c r="X5883" s="12">
        <f>IF(LEFT(I5883,2)="MV",2*N5883*IF(L5883="1/C",O5883,1),0)</f>
        <v/>
      </c>
      <c r="Y5883" s="12">
        <f>IF(OR(LEFT(K5883,4)="LVAX",LEFT(K5883,6)="MV15AX",LEFT(K5883,4)="CTAX",LEFT(K5883,2)="W|"),2*N5883*O5883,0)</f>
        <v/>
      </c>
      <c r="Z5883" s="12" t="inlineStr">
        <is>
          <t>VD 2.7 %</t>
        </is>
      </c>
      <c r="AA5883" s="12">
        <f>N5883*O5883</f>
        <v/>
      </c>
    </row>
    <row r="5884">
      <c r="A5884" s="12" t="inlineStr">
        <is>
          <t>C-P-0021</t>
        </is>
      </c>
      <c r="B5884" s="12" t="inlineStr">
        <is>
          <t>C</t>
        </is>
      </c>
      <c r="C5884" s="12" t="inlineStr">
        <is>
          <t>Grid interface</t>
        </is>
      </c>
      <c r="D5884" s="12" t="inlineStr">
        <is>
          <t>Motor 2 of 2, 250 kW</t>
        </is>
      </c>
      <c r="E5884" s="12" t="inlineStr">
        <is>
          <t>MCC-C1</t>
        </is>
      </c>
      <c r="F5884" s="12" t="inlineStr">
        <is>
          <t>R1 MCC-C1</t>
        </is>
      </c>
      <c r="G5884" s="12" t="inlineStr"/>
      <c r="H5884" s="12" t="inlineStr">
        <is>
          <t>Small-bore piping: instrument air, service water, nitrogen, HRSG drain</t>
        </is>
      </c>
      <c r="I5884" s="12" t="inlineStr">
        <is>
          <t>LV 600 V</t>
        </is>
      </c>
      <c r="J5884" s="12" t="inlineStr">
        <is>
          <t>Type TC-ER 600 V 3/C Cu XHHW-2 + ground, PVC jacket</t>
        </is>
      </c>
      <c r="K5884" s="12" t="inlineStr">
        <is>
          <t>LV|3/C+G|250</t>
        </is>
      </c>
      <c r="L5884" s="12" t="inlineStr">
        <is>
          <t>3/C+G</t>
        </is>
      </c>
      <c r="M5884" s="12" t="inlineStr">
        <is>
          <t>250 kcmil</t>
        </is>
      </c>
      <c r="N5884" s="12" t="n">
        <v>2</v>
      </c>
      <c r="O5884" s="12" t="n">
        <v>1</v>
      </c>
      <c r="P5884" s="12" t="n">
        <v>480</v>
      </c>
      <c r="Q5884" s="12" t="n">
        <v>250</v>
      </c>
      <c r="R5884" s="12" t="n">
        <v>353.8</v>
      </c>
      <c r="S5884" s="12" t="inlineStr">
        <is>
          <t>Tray</t>
        </is>
      </c>
      <c r="T5884" s="17" t="n">
        <v>614</v>
      </c>
      <c r="U5884" s="17" t="n">
        <v>145</v>
      </c>
      <c r="V5884" s="17">
        <f>ROUNDUP((T5884+U5884+2*'Read Me'!$B$13)*(1+'Read Me'!$B$12),-1)</f>
        <v/>
      </c>
      <c r="W5884" s="17">
        <f>V5884*N5884*O5884</f>
        <v/>
      </c>
      <c r="X5884" s="12">
        <f>IF(LEFT(I5884,2)="MV",2*N5884*IF(L5884="1/C",O5884,1),0)</f>
        <v/>
      </c>
      <c r="Y5884" s="12">
        <f>IF(OR(LEFT(K5884,4)="LVAX",LEFT(K5884,6)="MV15AX",LEFT(K5884,4)="CTAX",LEFT(K5884,2)="W|"),2*N5884*O5884,0)</f>
        <v/>
      </c>
      <c r="Z5884" s="12" t="inlineStr">
        <is>
          <t>VD 2.7 %</t>
        </is>
      </c>
      <c r="AA5884" s="12">
        <f>N5884*O5884</f>
        <v/>
      </c>
    </row>
    <row r="5885">
      <c r="A5885" s="12" t="inlineStr">
        <is>
          <t>C-P-0022</t>
        </is>
      </c>
      <c r="B5885" s="12" t="inlineStr">
        <is>
          <t>C</t>
        </is>
      </c>
      <c r="C5885" s="12" t="inlineStr">
        <is>
          <t>Grid interface</t>
        </is>
      </c>
      <c r="D5885" s="12" t="inlineStr">
        <is>
          <t>Motor 1 of 8, 15 kW</t>
        </is>
      </c>
      <c r="E5885" s="12" t="inlineStr">
        <is>
          <t>MCC-C1</t>
        </is>
      </c>
      <c r="F5885" s="12" t="inlineStr">
        <is>
          <t>R1 MCC-C1</t>
        </is>
      </c>
      <c r="G5885" s="12" t="inlineStr"/>
      <c r="H5885" s="12" t="inlineStr">
        <is>
          <t>Wastewater treatment: rooftop HVAC, exhaust fans, vents</t>
        </is>
      </c>
      <c r="I5885" s="12" t="inlineStr">
        <is>
          <t>LV 600 V</t>
        </is>
      </c>
      <c r="J5885" s="12" t="inlineStr">
        <is>
          <t>Type TC-ER 600 V 3/C Cu XHHW-2 + ground, PVC jacket</t>
        </is>
      </c>
      <c r="K5885" s="12" t="inlineStr">
        <is>
          <t>LV|3/C+G|1</t>
        </is>
      </c>
      <c r="L5885" s="12" t="inlineStr">
        <is>
          <t>3/C+G</t>
        </is>
      </c>
      <c r="M5885" s="12" t="inlineStr">
        <is>
          <t>1</t>
        </is>
      </c>
      <c r="N5885" s="12" t="n">
        <v>1</v>
      </c>
      <c r="O5885" s="12" t="n">
        <v>1</v>
      </c>
      <c r="P5885" s="12" t="n">
        <v>480</v>
      </c>
      <c r="Q5885" s="12" t="n">
        <v>15</v>
      </c>
      <c r="R5885" s="12" t="n">
        <v>21.2</v>
      </c>
      <c r="S5885" s="12" t="inlineStr">
        <is>
          <t>Duct bank</t>
        </is>
      </c>
      <c r="T5885" s="17" t="n">
        <v>1859</v>
      </c>
      <c r="U5885" s="17" t="n">
        <v>228</v>
      </c>
      <c r="V5885" s="17">
        <f>ROUNDUP((T5885+U5885+2*'Read Me'!$B$13)*(1+'Read Me'!$B$12),-1)</f>
        <v/>
      </c>
      <c r="W5885" s="17">
        <f>V5885*N5885*O5885</f>
        <v/>
      </c>
      <c r="X5885" s="12">
        <f>IF(LEFT(I5885,2)="MV",2*N5885*IF(L5885="1/C",O5885,1),0)</f>
        <v/>
      </c>
      <c r="Y5885" s="12">
        <f>IF(OR(LEFT(K5885,4)="LVAX",LEFT(K5885,6)="MV15AX",LEFT(K5885,4)="CTAX",LEFT(K5885,2)="W|"),2*N5885*O5885,0)</f>
        <v/>
      </c>
      <c r="Z5885" s="12" t="inlineStr">
        <is>
          <t>VD 2.7 %</t>
        </is>
      </c>
      <c r="AA5885" s="12">
        <f>N5885*O5885</f>
        <v/>
      </c>
    </row>
    <row r="5886">
      <c r="A5886" s="12" t="inlineStr">
        <is>
          <t>C-P-0023</t>
        </is>
      </c>
      <c r="B5886" s="12" t="inlineStr">
        <is>
          <t>C</t>
        </is>
      </c>
      <c r="C5886" s="12" t="inlineStr">
        <is>
          <t>Grid interface</t>
        </is>
      </c>
      <c r="D5886" s="12" t="inlineStr">
        <is>
          <t>Motor 2 of 8, 15 kW</t>
        </is>
      </c>
      <c r="E5886" s="12" t="inlineStr">
        <is>
          <t>MCC-C1</t>
        </is>
      </c>
      <c r="F5886" s="12" t="inlineStr">
        <is>
          <t>R1 MCC-C1</t>
        </is>
      </c>
      <c r="G5886" s="12" t="inlineStr"/>
      <c r="H5886" s="12" t="inlineStr">
        <is>
          <t>Wastewater treatment: rooftop HVAC, exhaust fans, vents</t>
        </is>
      </c>
      <c r="I5886" s="12" t="inlineStr">
        <is>
          <t>LV 600 V</t>
        </is>
      </c>
      <c r="J5886" s="12" t="inlineStr">
        <is>
          <t>Type TC-ER 600 V 3/C Cu XHHW-2 + ground, PVC jacket</t>
        </is>
      </c>
      <c r="K5886" s="12" t="inlineStr">
        <is>
          <t>LV|3/C+G|1</t>
        </is>
      </c>
      <c r="L5886" s="12" t="inlineStr">
        <is>
          <t>3/C+G</t>
        </is>
      </c>
      <c r="M5886" s="12" t="inlineStr">
        <is>
          <t>1</t>
        </is>
      </c>
      <c r="N5886" s="12" t="n">
        <v>1</v>
      </c>
      <c r="O5886" s="12" t="n">
        <v>1</v>
      </c>
      <c r="P5886" s="12" t="n">
        <v>480</v>
      </c>
      <c r="Q5886" s="12" t="n">
        <v>15</v>
      </c>
      <c r="R5886" s="12" t="n">
        <v>21.2</v>
      </c>
      <c r="S5886" s="12" t="inlineStr">
        <is>
          <t>Duct bank</t>
        </is>
      </c>
      <c r="T5886" s="17" t="n">
        <v>1859</v>
      </c>
      <c r="U5886" s="17" t="n">
        <v>228</v>
      </c>
      <c r="V5886" s="17">
        <f>ROUNDUP((T5886+U5886+2*'Read Me'!$B$13)*(1+'Read Me'!$B$12),-1)</f>
        <v/>
      </c>
      <c r="W5886" s="17">
        <f>V5886*N5886*O5886</f>
        <v/>
      </c>
      <c r="X5886" s="12">
        <f>IF(LEFT(I5886,2)="MV",2*N5886*IF(L5886="1/C",O5886,1),0)</f>
        <v/>
      </c>
      <c r="Y5886" s="12">
        <f>IF(OR(LEFT(K5886,4)="LVAX",LEFT(K5886,6)="MV15AX",LEFT(K5886,4)="CTAX",LEFT(K5886,2)="W|"),2*N5886*O5886,0)</f>
        <v/>
      </c>
      <c r="Z5886" s="12" t="inlineStr">
        <is>
          <t>VD 2.7 %</t>
        </is>
      </c>
      <c r="AA5886" s="12">
        <f>N5886*O5886</f>
        <v/>
      </c>
    </row>
    <row r="5887">
      <c r="A5887" s="12" t="inlineStr">
        <is>
          <t>C-P-0024</t>
        </is>
      </c>
      <c r="B5887" s="12" t="inlineStr">
        <is>
          <t>C</t>
        </is>
      </c>
      <c r="C5887" s="12" t="inlineStr">
        <is>
          <t>Grid interface</t>
        </is>
      </c>
      <c r="D5887" s="12" t="inlineStr">
        <is>
          <t>Motor 3 of 8, 15 kW</t>
        </is>
      </c>
      <c r="E5887" s="12" t="inlineStr">
        <is>
          <t>MCC-C1</t>
        </is>
      </c>
      <c r="F5887" s="12" t="inlineStr">
        <is>
          <t>R1 MCC-C1</t>
        </is>
      </c>
      <c r="G5887" s="12" t="inlineStr"/>
      <c r="H5887" s="12" t="inlineStr">
        <is>
          <t>Wastewater treatment: rooftop HVAC, exhaust fans, vents</t>
        </is>
      </c>
      <c r="I5887" s="12" t="inlineStr">
        <is>
          <t>LV 600 V</t>
        </is>
      </c>
      <c r="J5887" s="12" t="inlineStr">
        <is>
          <t>Type TC-ER 600 V 3/C Cu XHHW-2 + ground, PVC jacket</t>
        </is>
      </c>
      <c r="K5887" s="12" t="inlineStr">
        <is>
          <t>LV|3/C+G|1</t>
        </is>
      </c>
      <c r="L5887" s="12" t="inlineStr">
        <is>
          <t>3/C+G</t>
        </is>
      </c>
      <c r="M5887" s="12" t="inlineStr">
        <is>
          <t>1</t>
        </is>
      </c>
      <c r="N5887" s="12" t="n">
        <v>1</v>
      </c>
      <c r="O5887" s="12" t="n">
        <v>1</v>
      </c>
      <c r="P5887" s="12" t="n">
        <v>480</v>
      </c>
      <c r="Q5887" s="12" t="n">
        <v>15</v>
      </c>
      <c r="R5887" s="12" t="n">
        <v>21.2</v>
      </c>
      <c r="S5887" s="12" t="inlineStr">
        <is>
          <t>Duct bank</t>
        </is>
      </c>
      <c r="T5887" s="17" t="n">
        <v>1859</v>
      </c>
      <c r="U5887" s="17" t="n">
        <v>228</v>
      </c>
      <c r="V5887" s="17">
        <f>ROUNDUP((T5887+U5887+2*'Read Me'!$B$13)*(1+'Read Me'!$B$12),-1)</f>
        <v/>
      </c>
      <c r="W5887" s="17">
        <f>V5887*N5887*O5887</f>
        <v/>
      </c>
      <c r="X5887" s="12">
        <f>IF(LEFT(I5887,2)="MV",2*N5887*IF(L5887="1/C",O5887,1),0)</f>
        <v/>
      </c>
      <c r="Y5887" s="12">
        <f>IF(OR(LEFT(K5887,4)="LVAX",LEFT(K5887,6)="MV15AX",LEFT(K5887,4)="CTAX",LEFT(K5887,2)="W|"),2*N5887*O5887,0)</f>
        <v/>
      </c>
      <c r="Z5887" s="12" t="inlineStr">
        <is>
          <t>VD 2.7 %</t>
        </is>
      </c>
      <c r="AA5887" s="12">
        <f>N5887*O5887</f>
        <v/>
      </c>
    </row>
    <row r="5888">
      <c r="A5888" s="12" t="inlineStr">
        <is>
          <t>C-P-0025</t>
        </is>
      </c>
      <c r="B5888" s="12" t="inlineStr">
        <is>
          <t>C</t>
        </is>
      </c>
      <c r="C5888" s="12" t="inlineStr">
        <is>
          <t>Grid interface</t>
        </is>
      </c>
      <c r="D5888" s="12" t="inlineStr">
        <is>
          <t>Motor 4 of 8, 15 kW</t>
        </is>
      </c>
      <c r="E5888" s="12" t="inlineStr">
        <is>
          <t>MCC-C1</t>
        </is>
      </c>
      <c r="F5888" s="12" t="inlineStr">
        <is>
          <t>R1 MCC-C1</t>
        </is>
      </c>
      <c r="G5888" s="12" t="inlineStr"/>
      <c r="H5888" s="12" t="inlineStr">
        <is>
          <t>Wastewater treatment: rooftop HVAC, exhaust fans, vents</t>
        </is>
      </c>
      <c r="I5888" s="12" t="inlineStr">
        <is>
          <t>LV 600 V</t>
        </is>
      </c>
      <c r="J5888" s="12" t="inlineStr">
        <is>
          <t>Type TC-ER 600 V 3/C Cu XHHW-2 + ground, PVC jacket</t>
        </is>
      </c>
      <c r="K5888" s="12" t="inlineStr">
        <is>
          <t>LV|3/C+G|1</t>
        </is>
      </c>
      <c r="L5888" s="12" t="inlineStr">
        <is>
          <t>3/C+G</t>
        </is>
      </c>
      <c r="M5888" s="12" t="inlineStr">
        <is>
          <t>1</t>
        </is>
      </c>
      <c r="N5888" s="12" t="n">
        <v>1</v>
      </c>
      <c r="O5888" s="12" t="n">
        <v>1</v>
      </c>
      <c r="P5888" s="12" t="n">
        <v>480</v>
      </c>
      <c r="Q5888" s="12" t="n">
        <v>15</v>
      </c>
      <c r="R5888" s="12" t="n">
        <v>21.2</v>
      </c>
      <c r="S5888" s="12" t="inlineStr">
        <is>
          <t>Duct bank</t>
        </is>
      </c>
      <c r="T5888" s="17" t="n">
        <v>1859</v>
      </c>
      <c r="U5888" s="17" t="n">
        <v>228</v>
      </c>
      <c r="V5888" s="17">
        <f>ROUNDUP((T5888+U5888+2*'Read Me'!$B$13)*(1+'Read Me'!$B$12),-1)</f>
        <v/>
      </c>
      <c r="W5888" s="17">
        <f>V5888*N5888*O5888</f>
        <v/>
      </c>
      <c r="X5888" s="12">
        <f>IF(LEFT(I5888,2)="MV",2*N5888*IF(L5888="1/C",O5888,1),0)</f>
        <v/>
      </c>
      <c r="Y5888" s="12">
        <f>IF(OR(LEFT(K5888,4)="LVAX",LEFT(K5888,6)="MV15AX",LEFT(K5888,4)="CTAX",LEFT(K5888,2)="W|"),2*N5888*O5888,0)</f>
        <v/>
      </c>
      <c r="Z5888" s="12" t="inlineStr">
        <is>
          <t>VD 2.7 %</t>
        </is>
      </c>
      <c r="AA5888" s="12">
        <f>N5888*O5888</f>
        <v/>
      </c>
    </row>
    <row r="5889">
      <c r="A5889" s="12" t="inlineStr">
        <is>
          <t>C-P-0026</t>
        </is>
      </c>
      <c r="B5889" s="12" t="inlineStr">
        <is>
          <t>C</t>
        </is>
      </c>
      <c r="C5889" s="12" t="inlineStr">
        <is>
          <t>Grid interface</t>
        </is>
      </c>
      <c r="D5889" s="12" t="inlineStr">
        <is>
          <t>Motor 5 of 8, 15 kW</t>
        </is>
      </c>
      <c r="E5889" s="12" t="inlineStr">
        <is>
          <t>MCC-C1</t>
        </is>
      </c>
      <c r="F5889" s="12" t="inlineStr">
        <is>
          <t>R1 MCC-C1</t>
        </is>
      </c>
      <c r="G5889" s="12" t="inlineStr"/>
      <c r="H5889" s="12" t="inlineStr">
        <is>
          <t>Wastewater treatment: rooftop HVAC, exhaust fans, vents</t>
        </is>
      </c>
      <c r="I5889" s="12" t="inlineStr">
        <is>
          <t>LV 600 V</t>
        </is>
      </c>
      <c r="J5889" s="12" t="inlineStr">
        <is>
          <t>Type TC-ER 600 V 3/C Cu XHHW-2 + ground, PVC jacket</t>
        </is>
      </c>
      <c r="K5889" s="12" t="inlineStr">
        <is>
          <t>LV|3/C+G|1</t>
        </is>
      </c>
      <c r="L5889" s="12" t="inlineStr">
        <is>
          <t>3/C+G</t>
        </is>
      </c>
      <c r="M5889" s="12" t="inlineStr">
        <is>
          <t>1</t>
        </is>
      </c>
      <c r="N5889" s="12" t="n">
        <v>1</v>
      </c>
      <c r="O5889" s="12" t="n">
        <v>1</v>
      </c>
      <c r="P5889" s="12" t="n">
        <v>480</v>
      </c>
      <c r="Q5889" s="12" t="n">
        <v>15</v>
      </c>
      <c r="R5889" s="12" t="n">
        <v>21.2</v>
      </c>
      <c r="S5889" s="12" t="inlineStr">
        <is>
          <t>Duct bank</t>
        </is>
      </c>
      <c r="T5889" s="17" t="n">
        <v>1859</v>
      </c>
      <c r="U5889" s="17" t="n">
        <v>228</v>
      </c>
      <c r="V5889" s="17">
        <f>ROUNDUP((T5889+U5889+2*'Read Me'!$B$13)*(1+'Read Me'!$B$12),-1)</f>
        <v/>
      </c>
      <c r="W5889" s="17">
        <f>V5889*N5889*O5889</f>
        <v/>
      </c>
      <c r="X5889" s="12">
        <f>IF(LEFT(I5889,2)="MV",2*N5889*IF(L5889="1/C",O5889,1),0)</f>
        <v/>
      </c>
      <c r="Y5889" s="12">
        <f>IF(OR(LEFT(K5889,4)="LVAX",LEFT(K5889,6)="MV15AX",LEFT(K5889,4)="CTAX",LEFT(K5889,2)="W|"),2*N5889*O5889,0)</f>
        <v/>
      </c>
      <c r="Z5889" s="12" t="inlineStr">
        <is>
          <t>VD 2.7 %</t>
        </is>
      </c>
      <c r="AA5889" s="12">
        <f>N5889*O5889</f>
        <v/>
      </c>
    </row>
    <row r="5890">
      <c r="A5890" s="12" t="inlineStr">
        <is>
          <t>C-P-0027</t>
        </is>
      </c>
      <c r="B5890" s="12" t="inlineStr">
        <is>
          <t>C</t>
        </is>
      </c>
      <c r="C5890" s="12" t="inlineStr">
        <is>
          <t>Grid interface</t>
        </is>
      </c>
      <c r="D5890" s="12" t="inlineStr">
        <is>
          <t>Motor 6 of 8, 15 kW</t>
        </is>
      </c>
      <c r="E5890" s="12" t="inlineStr">
        <is>
          <t>MCC-C1</t>
        </is>
      </c>
      <c r="F5890" s="12" t="inlineStr">
        <is>
          <t>R1 MCC-C1</t>
        </is>
      </c>
      <c r="G5890" s="12" t="inlineStr"/>
      <c r="H5890" s="12" t="inlineStr">
        <is>
          <t>Wastewater treatment: rooftop HVAC, exhaust fans, vents</t>
        </is>
      </c>
      <c r="I5890" s="12" t="inlineStr">
        <is>
          <t>LV 600 V</t>
        </is>
      </c>
      <c r="J5890" s="12" t="inlineStr">
        <is>
          <t>Type TC-ER 600 V 3/C Cu XHHW-2 + ground, PVC jacket</t>
        </is>
      </c>
      <c r="K5890" s="12" t="inlineStr">
        <is>
          <t>LV|3/C+G|1</t>
        </is>
      </c>
      <c r="L5890" s="12" t="inlineStr">
        <is>
          <t>3/C+G</t>
        </is>
      </c>
      <c r="M5890" s="12" t="inlineStr">
        <is>
          <t>1</t>
        </is>
      </c>
      <c r="N5890" s="12" t="n">
        <v>1</v>
      </c>
      <c r="O5890" s="12" t="n">
        <v>1</v>
      </c>
      <c r="P5890" s="12" t="n">
        <v>480</v>
      </c>
      <c r="Q5890" s="12" t="n">
        <v>15</v>
      </c>
      <c r="R5890" s="12" t="n">
        <v>21.2</v>
      </c>
      <c r="S5890" s="12" t="inlineStr">
        <is>
          <t>Duct bank</t>
        </is>
      </c>
      <c r="T5890" s="17" t="n">
        <v>1859</v>
      </c>
      <c r="U5890" s="17" t="n">
        <v>228</v>
      </c>
      <c r="V5890" s="17">
        <f>ROUNDUP((T5890+U5890+2*'Read Me'!$B$13)*(1+'Read Me'!$B$12),-1)</f>
        <v/>
      </c>
      <c r="W5890" s="17">
        <f>V5890*N5890*O5890</f>
        <v/>
      </c>
      <c r="X5890" s="12">
        <f>IF(LEFT(I5890,2)="MV",2*N5890*IF(L5890="1/C",O5890,1),0)</f>
        <v/>
      </c>
      <c r="Y5890" s="12">
        <f>IF(OR(LEFT(K5890,4)="LVAX",LEFT(K5890,6)="MV15AX",LEFT(K5890,4)="CTAX",LEFT(K5890,2)="W|"),2*N5890*O5890,0)</f>
        <v/>
      </c>
      <c r="Z5890" s="12" t="inlineStr">
        <is>
          <t>VD 2.7 %</t>
        </is>
      </c>
      <c r="AA5890" s="12">
        <f>N5890*O5890</f>
        <v/>
      </c>
    </row>
    <row r="5891">
      <c r="A5891" s="12" t="inlineStr">
        <is>
          <t>C-P-0028</t>
        </is>
      </c>
      <c r="B5891" s="12" t="inlineStr">
        <is>
          <t>C</t>
        </is>
      </c>
      <c r="C5891" s="12" t="inlineStr">
        <is>
          <t>Grid interface</t>
        </is>
      </c>
      <c r="D5891" s="12" t="inlineStr">
        <is>
          <t>Motor 7 of 8, 15 kW</t>
        </is>
      </c>
      <c r="E5891" s="12" t="inlineStr">
        <is>
          <t>MCC-C1</t>
        </is>
      </c>
      <c r="F5891" s="12" t="inlineStr">
        <is>
          <t>R1 MCC-C1</t>
        </is>
      </c>
      <c r="G5891" s="12" t="inlineStr"/>
      <c r="H5891" s="12" t="inlineStr">
        <is>
          <t>Wastewater treatment: rooftop HVAC, exhaust fans, vents</t>
        </is>
      </c>
      <c r="I5891" s="12" t="inlineStr">
        <is>
          <t>LV 600 V</t>
        </is>
      </c>
      <c r="J5891" s="12" t="inlineStr">
        <is>
          <t>Type TC-ER 600 V 3/C Cu XHHW-2 + ground, PVC jacket</t>
        </is>
      </c>
      <c r="K5891" s="12" t="inlineStr">
        <is>
          <t>LV|3/C+G|1</t>
        </is>
      </c>
      <c r="L5891" s="12" t="inlineStr">
        <is>
          <t>3/C+G</t>
        </is>
      </c>
      <c r="M5891" s="12" t="inlineStr">
        <is>
          <t>1</t>
        </is>
      </c>
      <c r="N5891" s="12" t="n">
        <v>1</v>
      </c>
      <c r="O5891" s="12" t="n">
        <v>1</v>
      </c>
      <c r="P5891" s="12" t="n">
        <v>480</v>
      </c>
      <c r="Q5891" s="12" t="n">
        <v>15</v>
      </c>
      <c r="R5891" s="12" t="n">
        <v>21.2</v>
      </c>
      <c r="S5891" s="12" t="inlineStr">
        <is>
          <t>Duct bank</t>
        </is>
      </c>
      <c r="T5891" s="17" t="n">
        <v>1859</v>
      </c>
      <c r="U5891" s="17" t="n">
        <v>228</v>
      </c>
      <c r="V5891" s="17">
        <f>ROUNDUP((T5891+U5891+2*'Read Me'!$B$13)*(1+'Read Me'!$B$12),-1)</f>
        <v/>
      </c>
      <c r="W5891" s="17">
        <f>V5891*N5891*O5891</f>
        <v/>
      </c>
      <c r="X5891" s="12">
        <f>IF(LEFT(I5891,2)="MV",2*N5891*IF(L5891="1/C",O5891,1),0)</f>
        <v/>
      </c>
      <c r="Y5891" s="12">
        <f>IF(OR(LEFT(K5891,4)="LVAX",LEFT(K5891,6)="MV15AX",LEFT(K5891,4)="CTAX",LEFT(K5891,2)="W|"),2*N5891*O5891,0)</f>
        <v/>
      </c>
      <c r="Z5891" s="12" t="inlineStr">
        <is>
          <t>VD 2.7 %</t>
        </is>
      </c>
      <c r="AA5891" s="12">
        <f>N5891*O5891</f>
        <v/>
      </c>
    </row>
    <row r="5892">
      <c r="A5892" s="12" t="inlineStr">
        <is>
          <t>C-P-0029</t>
        </is>
      </c>
      <c r="B5892" s="12" t="inlineStr">
        <is>
          <t>C</t>
        </is>
      </c>
      <c r="C5892" s="12" t="inlineStr">
        <is>
          <t>Grid interface</t>
        </is>
      </c>
      <c r="D5892" s="12" t="inlineStr">
        <is>
          <t>Motor 8 of 8, 15 kW</t>
        </is>
      </c>
      <c r="E5892" s="12" t="inlineStr">
        <is>
          <t>MCC-C1</t>
        </is>
      </c>
      <c r="F5892" s="12" t="inlineStr">
        <is>
          <t>R1 MCC-C1</t>
        </is>
      </c>
      <c r="G5892" s="12" t="inlineStr"/>
      <c r="H5892" s="12" t="inlineStr">
        <is>
          <t>Wastewater treatment: rooftop HVAC, exhaust fans, vents</t>
        </is>
      </c>
      <c r="I5892" s="12" t="inlineStr">
        <is>
          <t>LV 600 V</t>
        </is>
      </c>
      <c r="J5892" s="12" t="inlineStr">
        <is>
          <t>Type TC-ER 600 V 3/C Cu XHHW-2 + ground, PVC jacket</t>
        </is>
      </c>
      <c r="K5892" s="12" t="inlineStr">
        <is>
          <t>LV|3/C+G|1</t>
        </is>
      </c>
      <c r="L5892" s="12" t="inlineStr">
        <is>
          <t>3/C+G</t>
        </is>
      </c>
      <c r="M5892" s="12" t="inlineStr">
        <is>
          <t>1</t>
        </is>
      </c>
      <c r="N5892" s="12" t="n">
        <v>1</v>
      </c>
      <c r="O5892" s="12" t="n">
        <v>1</v>
      </c>
      <c r="P5892" s="12" t="n">
        <v>480</v>
      </c>
      <c r="Q5892" s="12" t="n">
        <v>15</v>
      </c>
      <c r="R5892" s="12" t="n">
        <v>21.2</v>
      </c>
      <c r="S5892" s="12" t="inlineStr">
        <is>
          <t>Duct bank</t>
        </is>
      </c>
      <c r="T5892" s="17" t="n">
        <v>1859</v>
      </c>
      <c r="U5892" s="17" t="n">
        <v>228</v>
      </c>
      <c r="V5892" s="17">
        <f>ROUNDUP((T5892+U5892+2*'Read Me'!$B$13)*(1+'Read Me'!$B$12),-1)</f>
        <v/>
      </c>
      <c r="W5892" s="17">
        <f>V5892*N5892*O5892</f>
        <v/>
      </c>
      <c r="X5892" s="12">
        <f>IF(LEFT(I5892,2)="MV",2*N5892*IF(L5892="1/C",O5892,1),0)</f>
        <v/>
      </c>
      <c r="Y5892" s="12">
        <f>IF(OR(LEFT(K5892,4)="LVAX",LEFT(K5892,6)="MV15AX",LEFT(K5892,4)="CTAX",LEFT(K5892,2)="W|"),2*N5892*O5892,0)</f>
        <v/>
      </c>
      <c r="Z5892" s="12" t="inlineStr">
        <is>
          <t>VD 2.7 %</t>
        </is>
      </c>
      <c r="AA5892" s="12">
        <f>N5892*O5892</f>
        <v/>
      </c>
    </row>
    <row r="5893">
      <c r="A5893" s="12" t="inlineStr">
        <is>
          <t>C-P-0030</t>
        </is>
      </c>
      <c r="B5893" s="12" t="inlineStr">
        <is>
          <t>C</t>
        </is>
      </c>
      <c r="C5893" s="12" t="inlineStr">
        <is>
          <t>Grid interface</t>
        </is>
      </c>
      <c r="D5893" s="12" t="inlineStr">
        <is>
          <t>Motor 1 of 20, 15 kW</t>
        </is>
      </c>
      <c r="E5893" s="12" t="inlineStr">
        <is>
          <t>MCC-C1</t>
        </is>
      </c>
      <c r="F5893" s="12" t="inlineStr">
        <is>
          <t>R1 MCC-C1</t>
        </is>
      </c>
      <c r="G5893" s="12" t="inlineStr"/>
      <c r="H5893" s="12" t="inlineStr">
        <is>
          <t>Water treatment building: rooftop HVAC, exhaust fans, vents</t>
        </is>
      </c>
      <c r="I5893" s="12" t="inlineStr">
        <is>
          <t>LV 600 V</t>
        </is>
      </c>
      <c r="J5893" s="12" t="inlineStr">
        <is>
          <t>Type TC-ER 600 V 3/C Cu XHHW-2 + ground, PVC jacket</t>
        </is>
      </c>
      <c r="K5893" s="12" t="inlineStr">
        <is>
          <t>LV|3/C+G|2</t>
        </is>
      </c>
      <c r="L5893" s="12" t="inlineStr">
        <is>
          <t>3/C+G</t>
        </is>
      </c>
      <c r="M5893" s="12" t="inlineStr">
        <is>
          <t>2</t>
        </is>
      </c>
      <c r="N5893" s="12" t="n">
        <v>1</v>
      </c>
      <c r="O5893" s="12" t="n">
        <v>1</v>
      </c>
      <c r="P5893" s="12" t="n">
        <v>480</v>
      </c>
      <c r="Q5893" s="12" t="n">
        <v>15</v>
      </c>
      <c r="R5893" s="12" t="n">
        <v>21.2</v>
      </c>
      <c r="S5893" s="12" t="inlineStr">
        <is>
          <t>Duct bank</t>
        </is>
      </c>
      <c r="T5893" s="17" t="n">
        <v>1629</v>
      </c>
      <c r="U5893" s="17" t="n">
        <v>161</v>
      </c>
      <c r="V5893" s="17">
        <f>ROUNDUP((T5893+U5893+2*'Read Me'!$B$13)*(1+'Read Me'!$B$12),-1)</f>
        <v/>
      </c>
      <c r="W5893" s="17">
        <f>V5893*N5893*O5893</f>
        <v/>
      </c>
      <c r="X5893" s="12">
        <f>IF(LEFT(I5893,2)="MV",2*N5893*IF(L5893="1/C",O5893,1),0)</f>
        <v/>
      </c>
      <c r="Y5893" s="12">
        <f>IF(OR(LEFT(K5893,4)="LVAX",LEFT(K5893,6)="MV15AX",LEFT(K5893,4)="CTAX",LEFT(K5893,2)="W|"),2*N5893*O5893,0)</f>
        <v/>
      </c>
      <c r="Z5893" s="12" t="inlineStr">
        <is>
          <t>VD 2.9 %</t>
        </is>
      </c>
      <c r="AA5893" s="12">
        <f>N5893*O5893</f>
        <v/>
      </c>
    </row>
    <row r="5894">
      <c r="A5894" s="12" t="inlineStr">
        <is>
          <t>C-P-0031</t>
        </is>
      </c>
      <c r="B5894" s="12" t="inlineStr">
        <is>
          <t>C</t>
        </is>
      </c>
      <c r="C5894" s="12" t="inlineStr">
        <is>
          <t>Grid interface</t>
        </is>
      </c>
      <c r="D5894" s="12" t="inlineStr">
        <is>
          <t>Motor 2 of 20, 15 kW</t>
        </is>
      </c>
      <c r="E5894" s="12" t="inlineStr">
        <is>
          <t>MCC-C1</t>
        </is>
      </c>
      <c r="F5894" s="12" t="inlineStr">
        <is>
          <t>R1 MCC-C1</t>
        </is>
      </c>
      <c r="G5894" s="12" t="inlineStr"/>
      <c r="H5894" s="12" t="inlineStr">
        <is>
          <t>Water treatment building: rooftop HVAC, exhaust fans, vents</t>
        </is>
      </c>
      <c r="I5894" s="12" t="inlineStr">
        <is>
          <t>LV 600 V</t>
        </is>
      </c>
      <c r="J5894" s="12" t="inlineStr">
        <is>
          <t>Type TC-ER 600 V 3/C Cu XHHW-2 + ground, PVC jacket</t>
        </is>
      </c>
      <c r="K5894" s="12" t="inlineStr">
        <is>
          <t>LV|3/C+G|2</t>
        </is>
      </c>
      <c r="L5894" s="12" t="inlineStr">
        <is>
          <t>3/C+G</t>
        </is>
      </c>
      <c r="M5894" s="12" t="inlineStr">
        <is>
          <t>2</t>
        </is>
      </c>
      <c r="N5894" s="12" t="n">
        <v>1</v>
      </c>
      <c r="O5894" s="12" t="n">
        <v>1</v>
      </c>
      <c r="P5894" s="12" t="n">
        <v>480</v>
      </c>
      <c r="Q5894" s="12" t="n">
        <v>15</v>
      </c>
      <c r="R5894" s="12" t="n">
        <v>21.2</v>
      </c>
      <c r="S5894" s="12" t="inlineStr">
        <is>
          <t>Duct bank</t>
        </is>
      </c>
      <c r="T5894" s="17" t="n">
        <v>1629</v>
      </c>
      <c r="U5894" s="17" t="n">
        <v>161</v>
      </c>
      <c r="V5894" s="17">
        <f>ROUNDUP((T5894+U5894+2*'Read Me'!$B$13)*(1+'Read Me'!$B$12),-1)</f>
        <v/>
      </c>
      <c r="W5894" s="17">
        <f>V5894*N5894*O5894</f>
        <v/>
      </c>
      <c r="X5894" s="12">
        <f>IF(LEFT(I5894,2)="MV",2*N5894*IF(L5894="1/C",O5894,1),0)</f>
        <v/>
      </c>
      <c r="Y5894" s="12">
        <f>IF(OR(LEFT(K5894,4)="LVAX",LEFT(K5894,6)="MV15AX",LEFT(K5894,4)="CTAX",LEFT(K5894,2)="W|"),2*N5894*O5894,0)</f>
        <v/>
      </c>
      <c r="Z5894" s="12" t="inlineStr">
        <is>
          <t>VD 2.9 %</t>
        </is>
      </c>
      <c r="AA5894" s="12">
        <f>N5894*O5894</f>
        <v/>
      </c>
    </row>
    <row r="5895">
      <c r="A5895" s="12" t="inlineStr">
        <is>
          <t>C-P-0032</t>
        </is>
      </c>
      <c r="B5895" s="12" t="inlineStr">
        <is>
          <t>C</t>
        </is>
      </c>
      <c r="C5895" s="12" t="inlineStr">
        <is>
          <t>Grid interface</t>
        </is>
      </c>
      <c r="D5895" s="12" t="inlineStr">
        <is>
          <t>Motor 3 of 20, 15 kW</t>
        </is>
      </c>
      <c r="E5895" s="12" t="inlineStr">
        <is>
          <t>MCC-C1</t>
        </is>
      </c>
      <c r="F5895" s="12" t="inlineStr">
        <is>
          <t>R1 MCC-C1</t>
        </is>
      </c>
      <c r="G5895" s="12" t="inlineStr"/>
      <c r="H5895" s="12" t="inlineStr">
        <is>
          <t>Water treatment building: rooftop HVAC, exhaust fans, vents</t>
        </is>
      </c>
      <c r="I5895" s="12" t="inlineStr">
        <is>
          <t>LV 600 V</t>
        </is>
      </c>
      <c r="J5895" s="12" t="inlineStr">
        <is>
          <t>Type TC-ER 600 V 3/C Cu XHHW-2 + ground, PVC jacket</t>
        </is>
      </c>
      <c r="K5895" s="12" t="inlineStr">
        <is>
          <t>LV|3/C+G|2</t>
        </is>
      </c>
      <c r="L5895" s="12" t="inlineStr">
        <is>
          <t>3/C+G</t>
        </is>
      </c>
      <c r="M5895" s="12" t="inlineStr">
        <is>
          <t>2</t>
        </is>
      </c>
      <c r="N5895" s="12" t="n">
        <v>1</v>
      </c>
      <c r="O5895" s="12" t="n">
        <v>1</v>
      </c>
      <c r="P5895" s="12" t="n">
        <v>480</v>
      </c>
      <c r="Q5895" s="12" t="n">
        <v>15</v>
      </c>
      <c r="R5895" s="12" t="n">
        <v>21.2</v>
      </c>
      <c r="S5895" s="12" t="inlineStr">
        <is>
          <t>Duct bank</t>
        </is>
      </c>
      <c r="T5895" s="17" t="n">
        <v>1629</v>
      </c>
      <c r="U5895" s="17" t="n">
        <v>161</v>
      </c>
      <c r="V5895" s="17">
        <f>ROUNDUP((T5895+U5895+2*'Read Me'!$B$13)*(1+'Read Me'!$B$12),-1)</f>
        <v/>
      </c>
      <c r="W5895" s="17">
        <f>V5895*N5895*O5895</f>
        <v/>
      </c>
      <c r="X5895" s="12">
        <f>IF(LEFT(I5895,2)="MV",2*N5895*IF(L5895="1/C",O5895,1),0)</f>
        <v/>
      </c>
      <c r="Y5895" s="12">
        <f>IF(OR(LEFT(K5895,4)="LVAX",LEFT(K5895,6)="MV15AX",LEFT(K5895,4)="CTAX",LEFT(K5895,2)="W|"),2*N5895*O5895,0)</f>
        <v/>
      </c>
      <c r="Z5895" s="12" t="inlineStr">
        <is>
          <t>VD 2.9 %</t>
        </is>
      </c>
      <c r="AA5895" s="12">
        <f>N5895*O5895</f>
        <v/>
      </c>
    </row>
    <row r="5896">
      <c r="A5896" s="12" t="inlineStr">
        <is>
          <t>C-P-0033</t>
        </is>
      </c>
      <c r="B5896" s="12" t="inlineStr">
        <is>
          <t>C</t>
        </is>
      </c>
      <c r="C5896" s="12" t="inlineStr">
        <is>
          <t>Grid interface</t>
        </is>
      </c>
      <c r="D5896" s="12" t="inlineStr">
        <is>
          <t>Motor 4 of 20, 15 kW</t>
        </is>
      </c>
      <c r="E5896" s="12" t="inlineStr">
        <is>
          <t>MCC-C1</t>
        </is>
      </c>
      <c r="F5896" s="12" t="inlineStr">
        <is>
          <t>R1 MCC-C1</t>
        </is>
      </c>
      <c r="G5896" s="12" t="inlineStr"/>
      <c r="H5896" s="12" t="inlineStr">
        <is>
          <t>Water treatment building: rooftop HVAC, exhaust fans, vents</t>
        </is>
      </c>
      <c r="I5896" s="12" t="inlineStr">
        <is>
          <t>LV 600 V</t>
        </is>
      </c>
      <c r="J5896" s="12" t="inlineStr">
        <is>
          <t>Type TC-ER 600 V 3/C Cu XHHW-2 + ground, PVC jacket</t>
        </is>
      </c>
      <c r="K5896" s="12" t="inlineStr">
        <is>
          <t>LV|3/C+G|2</t>
        </is>
      </c>
      <c r="L5896" s="12" t="inlineStr">
        <is>
          <t>3/C+G</t>
        </is>
      </c>
      <c r="M5896" s="12" t="inlineStr">
        <is>
          <t>2</t>
        </is>
      </c>
      <c r="N5896" s="12" t="n">
        <v>1</v>
      </c>
      <c r="O5896" s="12" t="n">
        <v>1</v>
      </c>
      <c r="P5896" s="12" t="n">
        <v>480</v>
      </c>
      <c r="Q5896" s="12" t="n">
        <v>15</v>
      </c>
      <c r="R5896" s="12" t="n">
        <v>21.2</v>
      </c>
      <c r="S5896" s="12" t="inlineStr">
        <is>
          <t>Duct bank</t>
        </is>
      </c>
      <c r="T5896" s="17" t="n">
        <v>1629</v>
      </c>
      <c r="U5896" s="17" t="n">
        <v>161</v>
      </c>
      <c r="V5896" s="17">
        <f>ROUNDUP((T5896+U5896+2*'Read Me'!$B$13)*(1+'Read Me'!$B$12),-1)</f>
        <v/>
      </c>
      <c r="W5896" s="17">
        <f>V5896*N5896*O5896</f>
        <v/>
      </c>
      <c r="X5896" s="12">
        <f>IF(LEFT(I5896,2)="MV",2*N5896*IF(L5896="1/C",O5896,1),0)</f>
        <v/>
      </c>
      <c r="Y5896" s="12">
        <f>IF(OR(LEFT(K5896,4)="LVAX",LEFT(K5896,6)="MV15AX",LEFT(K5896,4)="CTAX",LEFT(K5896,2)="W|"),2*N5896*O5896,0)</f>
        <v/>
      </c>
      <c r="Z5896" s="12" t="inlineStr">
        <is>
          <t>VD 2.9 %</t>
        </is>
      </c>
      <c r="AA5896" s="12">
        <f>N5896*O5896</f>
        <v/>
      </c>
    </row>
    <row r="5897">
      <c r="A5897" s="12" t="inlineStr">
        <is>
          <t>C-P-0034</t>
        </is>
      </c>
      <c r="B5897" s="12" t="inlineStr">
        <is>
          <t>C</t>
        </is>
      </c>
      <c r="C5897" s="12" t="inlineStr">
        <is>
          <t>Grid interface</t>
        </is>
      </c>
      <c r="D5897" s="12" t="inlineStr">
        <is>
          <t>Motor 5 of 20, 15 kW</t>
        </is>
      </c>
      <c r="E5897" s="12" t="inlineStr">
        <is>
          <t>MCC-C1</t>
        </is>
      </c>
      <c r="F5897" s="12" t="inlineStr">
        <is>
          <t>R1 MCC-C1</t>
        </is>
      </c>
      <c r="G5897" s="12" t="inlineStr"/>
      <c r="H5897" s="12" t="inlineStr">
        <is>
          <t>Water treatment building: rooftop HVAC, exhaust fans, vents</t>
        </is>
      </c>
      <c r="I5897" s="12" t="inlineStr">
        <is>
          <t>LV 600 V</t>
        </is>
      </c>
      <c r="J5897" s="12" t="inlineStr">
        <is>
          <t>Type TC-ER 600 V 3/C Cu XHHW-2 + ground, PVC jacket</t>
        </is>
      </c>
      <c r="K5897" s="12" t="inlineStr">
        <is>
          <t>LV|3/C+G|2</t>
        </is>
      </c>
      <c r="L5897" s="12" t="inlineStr">
        <is>
          <t>3/C+G</t>
        </is>
      </c>
      <c r="M5897" s="12" t="inlineStr">
        <is>
          <t>2</t>
        </is>
      </c>
      <c r="N5897" s="12" t="n">
        <v>1</v>
      </c>
      <c r="O5897" s="12" t="n">
        <v>1</v>
      </c>
      <c r="P5897" s="12" t="n">
        <v>480</v>
      </c>
      <c r="Q5897" s="12" t="n">
        <v>15</v>
      </c>
      <c r="R5897" s="12" t="n">
        <v>21.2</v>
      </c>
      <c r="S5897" s="12" t="inlineStr">
        <is>
          <t>Duct bank</t>
        </is>
      </c>
      <c r="T5897" s="17" t="n">
        <v>1629</v>
      </c>
      <c r="U5897" s="17" t="n">
        <v>161</v>
      </c>
      <c r="V5897" s="17">
        <f>ROUNDUP((T5897+U5897+2*'Read Me'!$B$13)*(1+'Read Me'!$B$12),-1)</f>
        <v/>
      </c>
      <c r="W5897" s="17">
        <f>V5897*N5897*O5897</f>
        <v/>
      </c>
      <c r="X5897" s="12">
        <f>IF(LEFT(I5897,2)="MV",2*N5897*IF(L5897="1/C",O5897,1),0)</f>
        <v/>
      </c>
      <c r="Y5897" s="12">
        <f>IF(OR(LEFT(K5897,4)="LVAX",LEFT(K5897,6)="MV15AX",LEFT(K5897,4)="CTAX",LEFT(K5897,2)="W|"),2*N5897*O5897,0)</f>
        <v/>
      </c>
      <c r="Z5897" s="12" t="inlineStr">
        <is>
          <t>VD 2.9 %</t>
        </is>
      </c>
      <c r="AA5897" s="12">
        <f>N5897*O5897</f>
        <v/>
      </c>
    </row>
    <row r="5898">
      <c r="A5898" s="12" t="inlineStr">
        <is>
          <t>C-P-0035</t>
        </is>
      </c>
      <c r="B5898" s="12" t="inlineStr">
        <is>
          <t>C</t>
        </is>
      </c>
      <c r="C5898" s="12" t="inlineStr">
        <is>
          <t>Grid interface</t>
        </is>
      </c>
      <c r="D5898" s="12" t="inlineStr">
        <is>
          <t>Motor 6 of 20, 15 kW</t>
        </is>
      </c>
      <c r="E5898" s="12" t="inlineStr">
        <is>
          <t>MCC-C1</t>
        </is>
      </c>
      <c r="F5898" s="12" t="inlineStr">
        <is>
          <t>R1 MCC-C1</t>
        </is>
      </c>
      <c r="G5898" s="12" t="inlineStr"/>
      <c r="H5898" s="12" t="inlineStr">
        <is>
          <t>Water treatment building: rooftop HVAC, exhaust fans, vents</t>
        </is>
      </c>
      <c r="I5898" s="12" t="inlineStr">
        <is>
          <t>LV 600 V</t>
        </is>
      </c>
      <c r="J5898" s="12" t="inlineStr">
        <is>
          <t>Type TC-ER 600 V 3/C Cu XHHW-2 + ground, PVC jacket</t>
        </is>
      </c>
      <c r="K5898" s="12" t="inlineStr">
        <is>
          <t>LV|3/C+G|2</t>
        </is>
      </c>
      <c r="L5898" s="12" t="inlineStr">
        <is>
          <t>3/C+G</t>
        </is>
      </c>
      <c r="M5898" s="12" t="inlineStr">
        <is>
          <t>2</t>
        </is>
      </c>
      <c r="N5898" s="12" t="n">
        <v>1</v>
      </c>
      <c r="O5898" s="12" t="n">
        <v>1</v>
      </c>
      <c r="P5898" s="12" t="n">
        <v>480</v>
      </c>
      <c r="Q5898" s="12" t="n">
        <v>15</v>
      </c>
      <c r="R5898" s="12" t="n">
        <v>21.2</v>
      </c>
      <c r="S5898" s="12" t="inlineStr">
        <is>
          <t>Duct bank</t>
        </is>
      </c>
      <c r="T5898" s="17" t="n">
        <v>1629</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is>
          <t>VD 2.9 %</t>
        </is>
      </c>
      <c r="AA5898" s="12">
        <f>N5898*O5898</f>
        <v/>
      </c>
    </row>
    <row r="5899">
      <c r="A5899" s="12" t="inlineStr">
        <is>
          <t>C-P-0036</t>
        </is>
      </c>
      <c r="B5899" s="12" t="inlineStr">
        <is>
          <t>C</t>
        </is>
      </c>
      <c r="C5899" s="12" t="inlineStr">
        <is>
          <t>Grid interface</t>
        </is>
      </c>
      <c r="D5899" s="12" t="inlineStr">
        <is>
          <t>Motor 7 of 20, 15 kW</t>
        </is>
      </c>
      <c r="E5899" s="12" t="inlineStr">
        <is>
          <t>MCC-C1</t>
        </is>
      </c>
      <c r="F5899" s="12" t="inlineStr">
        <is>
          <t>R1 MCC-C1</t>
        </is>
      </c>
      <c r="G5899" s="12" t="inlineStr"/>
      <c r="H5899" s="12" t="inlineStr">
        <is>
          <t>Water treatment building: rooftop HVAC, exhaust fans, vents</t>
        </is>
      </c>
      <c r="I5899" s="12" t="inlineStr">
        <is>
          <t>LV 600 V</t>
        </is>
      </c>
      <c r="J5899" s="12" t="inlineStr">
        <is>
          <t>Type TC-ER 600 V 3/C Cu XHHW-2 + ground, PVC jacket</t>
        </is>
      </c>
      <c r="K5899" s="12" t="inlineStr">
        <is>
          <t>LV|3/C+G|2</t>
        </is>
      </c>
      <c r="L5899" s="12" t="inlineStr">
        <is>
          <t>3/C+G</t>
        </is>
      </c>
      <c r="M5899" s="12" t="inlineStr">
        <is>
          <t>2</t>
        </is>
      </c>
      <c r="N5899" s="12" t="n">
        <v>1</v>
      </c>
      <c r="O5899" s="12" t="n">
        <v>1</v>
      </c>
      <c r="P5899" s="12" t="n">
        <v>480</v>
      </c>
      <c r="Q5899" s="12" t="n">
        <v>15</v>
      </c>
      <c r="R5899" s="12" t="n">
        <v>21.2</v>
      </c>
      <c r="S5899" s="12" t="inlineStr">
        <is>
          <t>Duct bank</t>
        </is>
      </c>
      <c r="T5899" s="17" t="n">
        <v>1629</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is>
          <t>VD 2.9 %</t>
        </is>
      </c>
      <c r="AA5899" s="12">
        <f>N5899*O5899</f>
        <v/>
      </c>
    </row>
    <row r="5900">
      <c r="A5900" s="12" t="inlineStr">
        <is>
          <t>C-P-0037</t>
        </is>
      </c>
      <c r="B5900" s="12" t="inlineStr">
        <is>
          <t>C</t>
        </is>
      </c>
      <c r="C5900" s="12" t="inlineStr">
        <is>
          <t>Grid interface</t>
        </is>
      </c>
      <c r="D5900" s="12" t="inlineStr">
        <is>
          <t>Motor 8 of 20, 15 kW</t>
        </is>
      </c>
      <c r="E5900" s="12" t="inlineStr">
        <is>
          <t>MCC-C1</t>
        </is>
      </c>
      <c r="F5900" s="12" t="inlineStr">
        <is>
          <t>R1 MCC-C1</t>
        </is>
      </c>
      <c r="G5900" s="12" t="inlineStr"/>
      <c r="H5900" s="12" t="inlineStr">
        <is>
          <t>Water treatment building: rooftop HVAC, exhaust fans, vents</t>
        </is>
      </c>
      <c r="I5900" s="12" t="inlineStr">
        <is>
          <t>LV 600 V</t>
        </is>
      </c>
      <c r="J5900" s="12" t="inlineStr">
        <is>
          <t>Type TC-ER 600 V 3/C Cu XHHW-2 + ground, PVC jacket</t>
        </is>
      </c>
      <c r="K5900" s="12" t="inlineStr">
        <is>
          <t>LV|3/C+G|2</t>
        </is>
      </c>
      <c r="L5900" s="12" t="inlineStr">
        <is>
          <t>3/C+G</t>
        </is>
      </c>
      <c r="M5900" s="12" t="inlineStr">
        <is>
          <t>2</t>
        </is>
      </c>
      <c r="N5900" s="12" t="n">
        <v>1</v>
      </c>
      <c r="O5900" s="12" t="n">
        <v>1</v>
      </c>
      <c r="P5900" s="12" t="n">
        <v>480</v>
      </c>
      <c r="Q5900" s="12" t="n">
        <v>15</v>
      </c>
      <c r="R5900" s="12" t="n">
        <v>21.2</v>
      </c>
      <c r="S5900" s="12" t="inlineStr">
        <is>
          <t>Duct bank</t>
        </is>
      </c>
      <c r="T5900" s="17" t="n">
        <v>1629</v>
      </c>
      <c r="U5900" s="17" t="n">
        <v>161</v>
      </c>
      <c r="V5900" s="17">
        <f>ROUNDUP((T5900+U5900+2*'Read Me'!$B$13)*(1+'Read Me'!$B$12),-1)</f>
        <v/>
      </c>
      <c r="W5900" s="17">
        <f>V5900*N5900*O5900</f>
        <v/>
      </c>
      <c r="X5900" s="12">
        <f>IF(LEFT(I5900,2)="MV",2*N5900*IF(L5900="1/C",O5900,1),0)</f>
        <v/>
      </c>
      <c r="Y5900" s="12">
        <f>IF(OR(LEFT(K5900,4)="LVAX",LEFT(K5900,6)="MV15AX",LEFT(K5900,4)="CTAX",LEFT(K5900,2)="W|"),2*N5900*O5900,0)</f>
        <v/>
      </c>
      <c r="Z5900" s="12" t="inlineStr">
        <is>
          <t>VD 2.9 %</t>
        </is>
      </c>
      <c r="AA5900" s="12">
        <f>N5900*O5900</f>
        <v/>
      </c>
    </row>
    <row r="5901">
      <c r="A5901" s="12" t="inlineStr">
        <is>
          <t>C-P-0038</t>
        </is>
      </c>
      <c r="B5901" s="12" t="inlineStr">
        <is>
          <t>C</t>
        </is>
      </c>
      <c r="C5901" s="12" t="inlineStr">
        <is>
          <t>Grid interface</t>
        </is>
      </c>
      <c r="D5901" s="12" t="inlineStr">
        <is>
          <t>Motor 9 of 20, 15 kW</t>
        </is>
      </c>
      <c r="E5901" s="12" t="inlineStr">
        <is>
          <t>MCC-C1</t>
        </is>
      </c>
      <c r="F5901" s="12" t="inlineStr">
        <is>
          <t>R1 MCC-C1</t>
        </is>
      </c>
      <c r="G5901" s="12" t="inlineStr"/>
      <c r="H5901" s="12" t="inlineStr">
        <is>
          <t>Water treatment building: rooftop HVAC, exhaust fans, vents</t>
        </is>
      </c>
      <c r="I5901" s="12" t="inlineStr">
        <is>
          <t>LV 600 V</t>
        </is>
      </c>
      <c r="J5901" s="12" t="inlineStr">
        <is>
          <t>Type TC-ER 600 V 3/C Cu XHHW-2 + ground, PVC jacket</t>
        </is>
      </c>
      <c r="K5901" s="12" t="inlineStr">
        <is>
          <t>LV|3/C+G|2</t>
        </is>
      </c>
      <c r="L5901" s="12" t="inlineStr">
        <is>
          <t>3/C+G</t>
        </is>
      </c>
      <c r="M5901" s="12" t="inlineStr">
        <is>
          <t>2</t>
        </is>
      </c>
      <c r="N5901" s="12" t="n">
        <v>1</v>
      </c>
      <c r="O5901" s="12" t="n">
        <v>1</v>
      </c>
      <c r="P5901" s="12" t="n">
        <v>480</v>
      </c>
      <c r="Q5901" s="12" t="n">
        <v>15</v>
      </c>
      <c r="R5901" s="12" t="n">
        <v>21.2</v>
      </c>
      <c r="S5901" s="12" t="inlineStr">
        <is>
          <t>Duct bank</t>
        </is>
      </c>
      <c r="T5901" s="17" t="n">
        <v>1629</v>
      </c>
      <c r="U5901" s="17" t="n">
        <v>161</v>
      </c>
      <c r="V5901" s="17">
        <f>ROUNDUP((T5901+U5901+2*'Read Me'!$B$13)*(1+'Read Me'!$B$12),-1)</f>
        <v/>
      </c>
      <c r="W5901" s="17">
        <f>V5901*N5901*O5901</f>
        <v/>
      </c>
      <c r="X5901" s="12">
        <f>IF(LEFT(I5901,2)="MV",2*N5901*IF(L5901="1/C",O5901,1),0)</f>
        <v/>
      </c>
      <c r="Y5901" s="12">
        <f>IF(OR(LEFT(K5901,4)="LVAX",LEFT(K5901,6)="MV15AX",LEFT(K5901,4)="CTAX",LEFT(K5901,2)="W|"),2*N5901*O5901,0)</f>
        <v/>
      </c>
      <c r="Z5901" s="12" t="inlineStr">
        <is>
          <t>VD 2.9 %</t>
        </is>
      </c>
      <c r="AA5901" s="12">
        <f>N5901*O5901</f>
        <v/>
      </c>
    </row>
    <row r="5902">
      <c r="A5902" s="12" t="inlineStr">
        <is>
          <t>C-P-0039</t>
        </is>
      </c>
      <c r="B5902" s="12" t="inlineStr">
        <is>
          <t>C</t>
        </is>
      </c>
      <c r="C5902" s="12" t="inlineStr">
        <is>
          <t>Grid interface</t>
        </is>
      </c>
      <c r="D5902" s="12" t="inlineStr">
        <is>
          <t>Motor 10 of 20, 15 kW</t>
        </is>
      </c>
      <c r="E5902" s="12" t="inlineStr">
        <is>
          <t>MCC-C1</t>
        </is>
      </c>
      <c r="F5902" s="12" t="inlineStr">
        <is>
          <t>R1 MCC-C1</t>
        </is>
      </c>
      <c r="G5902" s="12" t="inlineStr"/>
      <c r="H5902" s="12" t="inlineStr">
        <is>
          <t>Water treatment building: rooftop HVAC, exhaust fans, vents</t>
        </is>
      </c>
      <c r="I5902" s="12" t="inlineStr">
        <is>
          <t>LV 600 V</t>
        </is>
      </c>
      <c r="J5902" s="12" t="inlineStr">
        <is>
          <t>Type TC-ER 600 V 3/C Cu XHHW-2 + ground, PVC jacket</t>
        </is>
      </c>
      <c r="K5902" s="12" t="inlineStr">
        <is>
          <t>LV|3/C+G|2</t>
        </is>
      </c>
      <c r="L5902" s="12" t="inlineStr">
        <is>
          <t>3/C+G</t>
        </is>
      </c>
      <c r="M5902" s="12" t="inlineStr">
        <is>
          <t>2</t>
        </is>
      </c>
      <c r="N5902" s="12" t="n">
        <v>1</v>
      </c>
      <c r="O5902" s="12" t="n">
        <v>1</v>
      </c>
      <c r="P5902" s="12" t="n">
        <v>480</v>
      </c>
      <c r="Q5902" s="12" t="n">
        <v>15</v>
      </c>
      <c r="R5902" s="12" t="n">
        <v>21.2</v>
      </c>
      <c r="S5902" s="12" t="inlineStr">
        <is>
          <t>Duct bank</t>
        </is>
      </c>
      <c r="T5902" s="17" t="n">
        <v>1629</v>
      </c>
      <c r="U5902" s="17" t="n">
        <v>161</v>
      </c>
      <c r="V5902" s="17">
        <f>ROUNDUP((T5902+U5902+2*'Read Me'!$B$13)*(1+'Read Me'!$B$12),-1)</f>
        <v/>
      </c>
      <c r="W5902" s="17">
        <f>V5902*N5902*O5902</f>
        <v/>
      </c>
      <c r="X5902" s="12">
        <f>IF(LEFT(I5902,2)="MV",2*N5902*IF(L5902="1/C",O5902,1),0)</f>
        <v/>
      </c>
      <c r="Y5902" s="12">
        <f>IF(OR(LEFT(K5902,4)="LVAX",LEFT(K5902,6)="MV15AX",LEFT(K5902,4)="CTAX",LEFT(K5902,2)="W|"),2*N5902*O5902,0)</f>
        <v/>
      </c>
      <c r="Z5902" s="12" t="inlineStr">
        <is>
          <t>VD 2.9 %</t>
        </is>
      </c>
      <c r="AA5902" s="12">
        <f>N5902*O5902</f>
        <v/>
      </c>
    </row>
    <row r="5903">
      <c r="A5903" s="12" t="inlineStr">
        <is>
          <t>C-P-0040</t>
        </is>
      </c>
      <c r="B5903" s="12" t="inlineStr">
        <is>
          <t>C</t>
        </is>
      </c>
      <c r="C5903" s="12" t="inlineStr">
        <is>
          <t>Grid interface</t>
        </is>
      </c>
      <c r="D5903" s="12" t="inlineStr">
        <is>
          <t>Motor 11 of 20, 15 kW</t>
        </is>
      </c>
      <c r="E5903" s="12" t="inlineStr">
        <is>
          <t>MCC-C1</t>
        </is>
      </c>
      <c r="F5903" s="12" t="inlineStr">
        <is>
          <t>R1 MCC-C1</t>
        </is>
      </c>
      <c r="G5903" s="12" t="inlineStr"/>
      <c r="H5903" s="12" t="inlineStr">
        <is>
          <t>Water treatment building: rooftop HVAC, exhaust fans, vents</t>
        </is>
      </c>
      <c r="I5903" s="12" t="inlineStr">
        <is>
          <t>LV 600 V</t>
        </is>
      </c>
      <c r="J5903" s="12" t="inlineStr">
        <is>
          <t>Type TC-ER 600 V 3/C Cu XHHW-2 + ground, PVC jacket</t>
        </is>
      </c>
      <c r="K5903" s="12" t="inlineStr">
        <is>
          <t>LV|3/C+G|2</t>
        </is>
      </c>
      <c r="L5903" s="12" t="inlineStr">
        <is>
          <t>3/C+G</t>
        </is>
      </c>
      <c r="M5903" s="12" t="inlineStr">
        <is>
          <t>2</t>
        </is>
      </c>
      <c r="N5903" s="12" t="n">
        <v>1</v>
      </c>
      <c r="O5903" s="12" t="n">
        <v>1</v>
      </c>
      <c r="P5903" s="12" t="n">
        <v>480</v>
      </c>
      <c r="Q5903" s="12" t="n">
        <v>15</v>
      </c>
      <c r="R5903" s="12" t="n">
        <v>21.2</v>
      </c>
      <c r="S5903" s="12" t="inlineStr">
        <is>
          <t>Duct bank</t>
        </is>
      </c>
      <c r="T5903" s="17" t="n">
        <v>1629</v>
      </c>
      <c r="U5903" s="17" t="n">
        <v>161</v>
      </c>
      <c r="V5903" s="17">
        <f>ROUNDUP((T5903+U5903+2*'Read Me'!$B$13)*(1+'Read Me'!$B$12),-1)</f>
        <v/>
      </c>
      <c r="W5903" s="17">
        <f>V5903*N5903*O5903</f>
        <v/>
      </c>
      <c r="X5903" s="12">
        <f>IF(LEFT(I5903,2)="MV",2*N5903*IF(L5903="1/C",O5903,1),0)</f>
        <v/>
      </c>
      <c r="Y5903" s="12">
        <f>IF(OR(LEFT(K5903,4)="LVAX",LEFT(K5903,6)="MV15AX",LEFT(K5903,4)="CTAX",LEFT(K5903,2)="W|"),2*N5903*O5903,0)</f>
        <v/>
      </c>
      <c r="Z5903" s="12" t="inlineStr">
        <is>
          <t>VD 2.9 %</t>
        </is>
      </c>
      <c r="AA5903" s="12">
        <f>N5903*O5903</f>
        <v/>
      </c>
    </row>
    <row r="5904">
      <c r="A5904" s="12" t="inlineStr">
        <is>
          <t>C-P-0041</t>
        </is>
      </c>
      <c r="B5904" s="12" t="inlineStr">
        <is>
          <t>C</t>
        </is>
      </c>
      <c r="C5904" s="12" t="inlineStr">
        <is>
          <t>Grid interface</t>
        </is>
      </c>
      <c r="D5904" s="12" t="inlineStr">
        <is>
          <t>Motor 12 of 20, 15 kW</t>
        </is>
      </c>
      <c r="E5904" s="12" t="inlineStr">
        <is>
          <t>MCC-C1</t>
        </is>
      </c>
      <c r="F5904" s="12" t="inlineStr">
        <is>
          <t>R1 MCC-C1</t>
        </is>
      </c>
      <c r="G5904" s="12" t="inlineStr"/>
      <c r="H5904" s="12" t="inlineStr">
        <is>
          <t>Water treatment building: rooftop HVAC, exhaust fans, vents</t>
        </is>
      </c>
      <c r="I5904" s="12" t="inlineStr">
        <is>
          <t>LV 600 V</t>
        </is>
      </c>
      <c r="J5904" s="12" t="inlineStr">
        <is>
          <t>Type TC-ER 600 V 3/C Cu XHHW-2 + ground, PVC jacket</t>
        </is>
      </c>
      <c r="K5904" s="12" t="inlineStr">
        <is>
          <t>LV|3/C+G|2</t>
        </is>
      </c>
      <c r="L5904" s="12" t="inlineStr">
        <is>
          <t>3/C+G</t>
        </is>
      </c>
      <c r="M5904" s="12" t="inlineStr">
        <is>
          <t>2</t>
        </is>
      </c>
      <c r="N5904" s="12" t="n">
        <v>1</v>
      </c>
      <c r="O5904" s="12" t="n">
        <v>1</v>
      </c>
      <c r="P5904" s="12" t="n">
        <v>480</v>
      </c>
      <c r="Q5904" s="12" t="n">
        <v>15</v>
      </c>
      <c r="R5904" s="12" t="n">
        <v>21.2</v>
      </c>
      <c r="S5904" s="12" t="inlineStr">
        <is>
          <t>Duct bank</t>
        </is>
      </c>
      <c r="T5904" s="17" t="n">
        <v>1629</v>
      </c>
      <c r="U5904" s="17" t="n">
        <v>161</v>
      </c>
      <c r="V5904" s="17">
        <f>ROUNDUP((T5904+U5904+2*'Read Me'!$B$13)*(1+'Read Me'!$B$12),-1)</f>
        <v/>
      </c>
      <c r="W5904" s="17">
        <f>V5904*N5904*O5904</f>
        <v/>
      </c>
      <c r="X5904" s="12">
        <f>IF(LEFT(I5904,2)="MV",2*N5904*IF(L5904="1/C",O5904,1),0)</f>
        <v/>
      </c>
      <c r="Y5904" s="12">
        <f>IF(OR(LEFT(K5904,4)="LVAX",LEFT(K5904,6)="MV15AX",LEFT(K5904,4)="CTAX",LEFT(K5904,2)="W|"),2*N5904*O5904,0)</f>
        <v/>
      </c>
      <c r="Z5904" s="12" t="inlineStr">
        <is>
          <t>VD 2.9 %</t>
        </is>
      </c>
      <c r="AA5904" s="12">
        <f>N5904*O5904</f>
        <v/>
      </c>
    </row>
    <row r="5905">
      <c r="A5905" s="12" t="inlineStr">
        <is>
          <t>C-P-0042</t>
        </is>
      </c>
      <c r="B5905" s="12" t="inlineStr">
        <is>
          <t>C</t>
        </is>
      </c>
      <c r="C5905" s="12" t="inlineStr">
        <is>
          <t>Grid interface</t>
        </is>
      </c>
      <c r="D5905" s="12" t="inlineStr">
        <is>
          <t>Motor 13 of 20, 15 kW</t>
        </is>
      </c>
      <c r="E5905" s="12" t="inlineStr">
        <is>
          <t>MCC-C1</t>
        </is>
      </c>
      <c r="F5905" s="12" t="inlineStr">
        <is>
          <t>R1 MCC-C1</t>
        </is>
      </c>
      <c r="G5905" s="12" t="inlineStr"/>
      <c r="H5905" s="12" t="inlineStr">
        <is>
          <t>Water treatment building: rooftop HVAC, exhaust fans, vents</t>
        </is>
      </c>
      <c r="I5905" s="12" t="inlineStr">
        <is>
          <t>LV 600 V</t>
        </is>
      </c>
      <c r="J5905" s="12" t="inlineStr">
        <is>
          <t>Type TC-ER 600 V 3/C Cu XHHW-2 + ground, PVC jacket</t>
        </is>
      </c>
      <c r="K5905" s="12" t="inlineStr">
        <is>
          <t>LV|3/C+G|2</t>
        </is>
      </c>
      <c r="L5905" s="12" t="inlineStr">
        <is>
          <t>3/C+G</t>
        </is>
      </c>
      <c r="M5905" s="12" t="inlineStr">
        <is>
          <t>2</t>
        </is>
      </c>
      <c r="N5905" s="12" t="n">
        <v>1</v>
      </c>
      <c r="O5905" s="12" t="n">
        <v>1</v>
      </c>
      <c r="P5905" s="12" t="n">
        <v>480</v>
      </c>
      <c r="Q5905" s="12" t="n">
        <v>15</v>
      </c>
      <c r="R5905" s="12" t="n">
        <v>21.2</v>
      </c>
      <c r="S5905" s="12" t="inlineStr">
        <is>
          <t>Duct bank</t>
        </is>
      </c>
      <c r="T5905" s="17" t="n">
        <v>1629</v>
      </c>
      <c r="U5905" s="17" t="n">
        <v>161</v>
      </c>
      <c r="V5905" s="17">
        <f>ROUNDUP((T5905+U5905+2*'Read Me'!$B$13)*(1+'Read Me'!$B$12),-1)</f>
        <v/>
      </c>
      <c r="W5905" s="17">
        <f>V5905*N5905*O5905</f>
        <v/>
      </c>
      <c r="X5905" s="12">
        <f>IF(LEFT(I5905,2)="MV",2*N5905*IF(L5905="1/C",O5905,1),0)</f>
        <v/>
      </c>
      <c r="Y5905" s="12">
        <f>IF(OR(LEFT(K5905,4)="LVAX",LEFT(K5905,6)="MV15AX",LEFT(K5905,4)="CTAX",LEFT(K5905,2)="W|"),2*N5905*O5905,0)</f>
        <v/>
      </c>
      <c r="Z5905" s="12" t="inlineStr">
        <is>
          <t>VD 2.9 %</t>
        </is>
      </c>
      <c r="AA5905" s="12">
        <f>N5905*O5905</f>
        <v/>
      </c>
    </row>
    <row r="5906">
      <c r="A5906" s="12" t="inlineStr">
        <is>
          <t>C-P-0043</t>
        </is>
      </c>
      <c r="B5906" s="12" t="inlineStr">
        <is>
          <t>C</t>
        </is>
      </c>
      <c r="C5906" s="12" t="inlineStr">
        <is>
          <t>Grid interface</t>
        </is>
      </c>
      <c r="D5906" s="12" t="inlineStr">
        <is>
          <t>Motor 14 of 20, 15 kW</t>
        </is>
      </c>
      <c r="E5906" s="12" t="inlineStr">
        <is>
          <t>MCC-C1</t>
        </is>
      </c>
      <c r="F5906" s="12" t="inlineStr">
        <is>
          <t>R1 MCC-C1</t>
        </is>
      </c>
      <c r="G5906" s="12" t="inlineStr"/>
      <c r="H5906" s="12" t="inlineStr">
        <is>
          <t>Water treatment building: rooftop HVAC, exhaust fans, vents</t>
        </is>
      </c>
      <c r="I5906" s="12" t="inlineStr">
        <is>
          <t>LV 600 V</t>
        </is>
      </c>
      <c r="J5906" s="12" t="inlineStr">
        <is>
          <t>Type TC-ER 600 V 3/C Cu XHHW-2 + ground, PVC jacket</t>
        </is>
      </c>
      <c r="K5906" s="12" t="inlineStr">
        <is>
          <t>LV|3/C+G|2</t>
        </is>
      </c>
      <c r="L5906" s="12" t="inlineStr">
        <is>
          <t>3/C+G</t>
        </is>
      </c>
      <c r="M5906" s="12" t="inlineStr">
        <is>
          <t>2</t>
        </is>
      </c>
      <c r="N5906" s="12" t="n">
        <v>1</v>
      </c>
      <c r="O5906" s="12" t="n">
        <v>1</v>
      </c>
      <c r="P5906" s="12" t="n">
        <v>480</v>
      </c>
      <c r="Q5906" s="12" t="n">
        <v>15</v>
      </c>
      <c r="R5906" s="12" t="n">
        <v>21.2</v>
      </c>
      <c r="S5906" s="12" t="inlineStr">
        <is>
          <t>Duct bank</t>
        </is>
      </c>
      <c r="T5906" s="17" t="n">
        <v>1629</v>
      </c>
      <c r="U5906" s="17" t="n">
        <v>161</v>
      </c>
      <c r="V5906" s="17">
        <f>ROUNDUP((T5906+U5906+2*'Read Me'!$B$13)*(1+'Read Me'!$B$12),-1)</f>
        <v/>
      </c>
      <c r="W5906" s="17">
        <f>V5906*N5906*O5906</f>
        <v/>
      </c>
      <c r="X5906" s="12">
        <f>IF(LEFT(I5906,2)="MV",2*N5906*IF(L5906="1/C",O5906,1),0)</f>
        <v/>
      </c>
      <c r="Y5906" s="12">
        <f>IF(OR(LEFT(K5906,4)="LVAX",LEFT(K5906,6)="MV15AX",LEFT(K5906,4)="CTAX",LEFT(K5906,2)="W|"),2*N5906*O5906,0)</f>
        <v/>
      </c>
      <c r="Z5906" s="12" t="inlineStr">
        <is>
          <t>VD 2.9 %</t>
        </is>
      </c>
      <c r="AA5906" s="12">
        <f>N5906*O5906</f>
        <v/>
      </c>
    </row>
    <row r="5907">
      <c r="A5907" s="12" t="inlineStr">
        <is>
          <t>C-P-0044</t>
        </is>
      </c>
      <c r="B5907" s="12" t="inlineStr">
        <is>
          <t>C</t>
        </is>
      </c>
      <c r="C5907" s="12" t="inlineStr">
        <is>
          <t>Grid interface</t>
        </is>
      </c>
      <c r="D5907" s="12" t="inlineStr">
        <is>
          <t>Motor 15 of 20, 15 kW</t>
        </is>
      </c>
      <c r="E5907" s="12" t="inlineStr">
        <is>
          <t>MCC-C1</t>
        </is>
      </c>
      <c r="F5907" s="12" t="inlineStr">
        <is>
          <t>R1 MCC-C1</t>
        </is>
      </c>
      <c r="G5907" s="12" t="inlineStr"/>
      <c r="H5907" s="12" t="inlineStr">
        <is>
          <t>Water treatment building: rooftop HVAC, exhaust fans, vents</t>
        </is>
      </c>
      <c r="I5907" s="12" t="inlineStr">
        <is>
          <t>LV 600 V</t>
        </is>
      </c>
      <c r="J5907" s="12" t="inlineStr">
        <is>
          <t>Type TC-ER 600 V 3/C Cu XHHW-2 + ground, PVC jacket</t>
        </is>
      </c>
      <c r="K5907" s="12" t="inlineStr">
        <is>
          <t>LV|3/C+G|2</t>
        </is>
      </c>
      <c r="L5907" s="12" t="inlineStr">
        <is>
          <t>3/C+G</t>
        </is>
      </c>
      <c r="M5907" s="12" t="inlineStr">
        <is>
          <t>2</t>
        </is>
      </c>
      <c r="N5907" s="12" t="n">
        <v>1</v>
      </c>
      <c r="O5907" s="12" t="n">
        <v>1</v>
      </c>
      <c r="P5907" s="12" t="n">
        <v>480</v>
      </c>
      <c r="Q5907" s="12" t="n">
        <v>15</v>
      </c>
      <c r="R5907" s="12" t="n">
        <v>21.2</v>
      </c>
      <c r="S5907" s="12" t="inlineStr">
        <is>
          <t>Duct bank</t>
        </is>
      </c>
      <c r="T5907" s="17" t="n">
        <v>1629</v>
      </c>
      <c r="U5907" s="17" t="n">
        <v>161</v>
      </c>
      <c r="V5907" s="17">
        <f>ROUNDUP((T5907+U5907+2*'Read Me'!$B$13)*(1+'Read Me'!$B$12),-1)</f>
        <v/>
      </c>
      <c r="W5907" s="17">
        <f>V5907*N5907*O5907</f>
        <v/>
      </c>
      <c r="X5907" s="12">
        <f>IF(LEFT(I5907,2)="MV",2*N5907*IF(L5907="1/C",O5907,1),0)</f>
        <v/>
      </c>
      <c r="Y5907" s="12">
        <f>IF(OR(LEFT(K5907,4)="LVAX",LEFT(K5907,6)="MV15AX",LEFT(K5907,4)="CTAX",LEFT(K5907,2)="W|"),2*N5907*O5907,0)</f>
        <v/>
      </c>
      <c r="Z5907" s="12" t="inlineStr">
        <is>
          <t>VD 2.9 %</t>
        </is>
      </c>
      <c r="AA5907" s="12">
        <f>N5907*O5907</f>
        <v/>
      </c>
    </row>
    <row r="5908">
      <c r="A5908" s="12" t="inlineStr">
        <is>
          <t>C-P-0045</t>
        </is>
      </c>
      <c r="B5908" s="12" t="inlineStr">
        <is>
          <t>C</t>
        </is>
      </c>
      <c r="C5908" s="12" t="inlineStr">
        <is>
          <t>Grid interface</t>
        </is>
      </c>
      <c r="D5908" s="12" t="inlineStr">
        <is>
          <t>Motor 16 of 20, 15 kW</t>
        </is>
      </c>
      <c r="E5908" s="12" t="inlineStr">
        <is>
          <t>MCC-C1</t>
        </is>
      </c>
      <c r="F5908" s="12" t="inlineStr">
        <is>
          <t>R1 MCC-C1</t>
        </is>
      </c>
      <c r="G5908" s="12" t="inlineStr"/>
      <c r="H5908" s="12" t="inlineStr">
        <is>
          <t>Water treatment building: rooftop HVAC, exhaust fans, vents</t>
        </is>
      </c>
      <c r="I5908" s="12" t="inlineStr">
        <is>
          <t>LV 600 V</t>
        </is>
      </c>
      <c r="J5908" s="12" t="inlineStr">
        <is>
          <t>Type TC-ER 600 V 3/C Cu XHHW-2 + ground, PVC jacket</t>
        </is>
      </c>
      <c r="K5908" s="12" t="inlineStr">
        <is>
          <t>LV|3/C+G|2</t>
        </is>
      </c>
      <c r="L5908" s="12" t="inlineStr">
        <is>
          <t>3/C+G</t>
        </is>
      </c>
      <c r="M5908" s="12" t="inlineStr">
        <is>
          <t>2</t>
        </is>
      </c>
      <c r="N5908" s="12" t="n">
        <v>1</v>
      </c>
      <c r="O5908" s="12" t="n">
        <v>1</v>
      </c>
      <c r="P5908" s="12" t="n">
        <v>480</v>
      </c>
      <c r="Q5908" s="12" t="n">
        <v>15</v>
      </c>
      <c r="R5908" s="12" t="n">
        <v>21.2</v>
      </c>
      <c r="S5908" s="12" t="inlineStr">
        <is>
          <t>Duct bank</t>
        </is>
      </c>
      <c r="T5908" s="17" t="n">
        <v>1629</v>
      </c>
      <c r="U5908" s="17" t="n">
        <v>161</v>
      </c>
      <c r="V5908" s="17">
        <f>ROUNDUP((T5908+U5908+2*'Read Me'!$B$13)*(1+'Read Me'!$B$12),-1)</f>
        <v/>
      </c>
      <c r="W5908" s="17">
        <f>V5908*N5908*O5908</f>
        <v/>
      </c>
      <c r="X5908" s="12">
        <f>IF(LEFT(I5908,2)="MV",2*N5908*IF(L5908="1/C",O5908,1),0)</f>
        <v/>
      </c>
      <c r="Y5908" s="12">
        <f>IF(OR(LEFT(K5908,4)="LVAX",LEFT(K5908,6)="MV15AX",LEFT(K5908,4)="CTAX",LEFT(K5908,2)="W|"),2*N5908*O5908,0)</f>
        <v/>
      </c>
      <c r="Z5908" s="12" t="inlineStr">
        <is>
          <t>VD 2.9 %</t>
        </is>
      </c>
      <c r="AA5908" s="12">
        <f>N5908*O5908</f>
        <v/>
      </c>
    </row>
    <row r="5909">
      <c r="A5909" s="12" t="inlineStr">
        <is>
          <t>C-P-0046</t>
        </is>
      </c>
      <c r="B5909" s="12" t="inlineStr">
        <is>
          <t>C</t>
        </is>
      </c>
      <c r="C5909" s="12" t="inlineStr">
        <is>
          <t>Grid interface</t>
        </is>
      </c>
      <c r="D5909" s="12" t="inlineStr">
        <is>
          <t>Motor 17 of 20, 15 kW</t>
        </is>
      </c>
      <c r="E5909" s="12" t="inlineStr">
        <is>
          <t>MCC-C1</t>
        </is>
      </c>
      <c r="F5909" s="12" t="inlineStr">
        <is>
          <t>R1 MCC-C1</t>
        </is>
      </c>
      <c r="G5909" s="12" t="inlineStr"/>
      <c r="H5909" s="12" t="inlineStr">
        <is>
          <t>Water treatment building: rooftop HVAC, exhaust fans, vents</t>
        </is>
      </c>
      <c r="I5909" s="12" t="inlineStr">
        <is>
          <t>LV 600 V</t>
        </is>
      </c>
      <c r="J5909" s="12" t="inlineStr">
        <is>
          <t>Type TC-ER 600 V 3/C Cu XHHW-2 + ground, PVC jacket</t>
        </is>
      </c>
      <c r="K5909" s="12" t="inlineStr">
        <is>
          <t>LV|3/C+G|2</t>
        </is>
      </c>
      <c r="L5909" s="12" t="inlineStr">
        <is>
          <t>3/C+G</t>
        </is>
      </c>
      <c r="M5909" s="12" t="inlineStr">
        <is>
          <t>2</t>
        </is>
      </c>
      <c r="N5909" s="12" t="n">
        <v>1</v>
      </c>
      <c r="O5909" s="12" t="n">
        <v>1</v>
      </c>
      <c r="P5909" s="12" t="n">
        <v>480</v>
      </c>
      <c r="Q5909" s="12" t="n">
        <v>15</v>
      </c>
      <c r="R5909" s="12" t="n">
        <v>21.2</v>
      </c>
      <c r="S5909" s="12" t="inlineStr">
        <is>
          <t>Duct bank</t>
        </is>
      </c>
      <c r="T5909" s="17" t="n">
        <v>1629</v>
      </c>
      <c r="U5909" s="17" t="n">
        <v>161</v>
      </c>
      <c r="V5909" s="17">
        <f>ROUNDUP((T5909+U5909+2*'Read Me'!$B$13)*(1+'Read Me'!$B$12),-1)</f>
        <v/>
      </c>
      <c r="W5909" s="17">
        <f>V5909*N5909*O5909</f>
        <v/>
      </c>
      <c r="X5909" s="12">
        <f>IF(LEFT(I5909,2)="MV",2*N5909*IF(L5909="1/C",O5909,1),0)</f>
        <v/>
      </c>
      <c r="Y5909" s="12">
        <f>IF(OR(LEFT(K5909,4)="LVAX",LEFT(K5909,6)="MV15AX",LEFT(K5909,4)="CTAX",LEFT(K5909,2)="W|"),2*N5909*O5909,0)</f>
        <v/>
      </c>
      <c r="Z5909" s="12" t="inlineStr">
        <is>
          <t>VD 2.9 %</t>
        </is>
      </c>
      <c r="AA5909" s="12">
        <f>N5909*O5909</f>
        <v/>
      </c>
    </row>
    <row r="5910">
      <c r="A5910" s="12" t="inlineStr">
        <is>
          <t>C-P-0047</t>
        </is>
      </c>
      <c r="B5910" s="12" t="inlineStr">
        <is>
          <t>C</t>
        </is>
      </c>
      <c r="C5910" s="12" t="inlineStr">
        <is>
          <t>Grid interface</t>
        </is>
      </c>
      <c r="D5910" s="12" t="inlineStr">
        <is>
          <t>Motor 18 of 20, 15 kW</t>
        </is>
      </c>
      <c r="E5910" s="12" t="inlineStr">
        <is>
          <t>MCC-C1</t>
        </is>
      </c>
      <c r="F5910" s="12" t="inlineStr">
        <is>
          <t>R1 MCC-C1</t>
        </is>
      </c>
      <c r="G5910" s="12" t="inlineStr"/>
      <c r="H5910" s="12" t="inlineStr">
        <is>
          <t>Water treatment building: rooftop HVAC, exhaust fans, vents</t>
        </is>
      </c>
      <c r="I5910" s="12" t="inlineStr">
        <is>
          <t>LV 600 V</t>
        </is>
      </c>
      <c r="J5910" s="12" t="inlineStr">
        <is>
          <t>Type TC-ER 600 V 3/C Cu XHHW-2 + ground, PVC jacket</t>
        </is>
      </c>
      <c r="K5910" s="12" t="inlineStr">
        <is>
          <t>LV|3/C+G|2</t>
        </is>
      </c>
      <c r="L5910" s="12" t="inlineStr">
        <is>
          <t>3/C+G</t>
        </is>
      </c>
      <c r="M5910" s="12" t="inlineStr">
        <is>
          <t>2</t>
        </is>
      </c>
      <c r="N5910" s="12" t="n">
        <v>1</v>
      </c>
      <c r="O5910" s="12" t="n">
        <v>1</v>
      </c>
      <c r="P5910" s="12" t="n">
        <v>480</v>
      </c>
      <c r="Q5910" s="12" t="n">
        <v>15</v>
      </c>
      <c r="R5910" s="12" t="n">
        <v>21.2</v>
      </c>
      <c r="S5910" s="12" t="inlineStr">
        <is>
          <t>Duct bank</t>
        </is>
      </c>
      <c r="T5910" s="17" t="n">
        <v>1629</v>
      </c>
      <c r="U5910" s="17" t="n">
        <v>161</v>
      </c>
      <c r="V5910" s="17">
        <f>ROUNDUP((T5910+U5910+2*'Read Me'!$B$13)*(1+'Read Me'!$B$12),-1)</f>
        <v/>
      </c>
      <c r="W5910" s="17">
        <f>V5910*N5910*O5910</f>
        <v/>
      </c>
      <c r="X5910" s="12">
        <f>IF(LEFT(I5910,2)="MV",2*N5910*IF(L5910="1/C",O5910,1),0)</f>
        <v/>
      </c>
      <c r="Y5910" s="12">
        <f>IF(OR(LEFT(K5910,4)="LVAX",LEFT(K5910,6)="MV15AX",LEFT(K5910,4)="CTAX",LEFT(K5910,2)="W|"),2*N5910*O5910,0)</f>
        <v/>
      </c>
      <c r="Z5910" s="12" t="inlineStr">
        <is>
          <t>VD 2.9 %</t>
        </is>
      </c>
      <c r="AA5910" s="12">
        <f>N5910*O5910</f>
        <v/>
      </c>
    </row>
    <row r="5911">
      <c r="A5911" s="12" t="inlineStr">
        <is>
          <t>C-P-0048</t>
        </is>
      </c>
      <c r="B5911" s="12" t="inlineStr">
        <is>
          <t>C</t>
        </is>
      </c>
      <c r="C5911" s="12" t="inlineStr">
        <is>
          <t>Grid interface</t>
        </is>
      </c>
      <c r="D5911" s="12" t="inlineStr">
        <is>
          <t>Motor 19 of 20, 15 kW</t>
        </is>
      </c>
      <c r="E5911" s="12" t="inlineStr">
        <is>
          <t>MCC-C1</t>
        </is>
      </c>
      <c r="F5911" s="12" t="inlineStr">
        <is>
          <t>R1 MCC-C1</t>
        </is>
      </c>
      <c r="G5911" s="12" t="inlineStr"/>
      <c r="H5911" s="12" t="inlineStr">
        <is>
          <t>Water treatment building: rooftop HVAC, exhaust fans, vents</t>
        </is>
      </c>
      <c r="I5911" s="12" t="inlineStr">
        <is>
          <t>LV 600 V</t>
        </is>
      </c>
      <c r="J5911" s="12" t="inlineStr">
        <is>
          <t>Type TC-ER 600 V 3/C Cu XHHW-2 + ground, PVC jacket</t>
        </is>
      </c>
      <c r="K5911" s="12" t="inlineStr">
        <is>
          <t>LV|3/C+G|2</t>
        </is>
      </c>
      <c r="L5911" s="12" t="inlineStr">
        <is>
          <t>3/C+G</t>
        </is>
      </c>
      <c r="M5911" s="12" t="inlineStr">
        <is>
          <t>2</t>
        </is>
      </c>
      <c r="N5911" s="12" t="n">
        <v>1</v>
      </c>
      <c r="O5911" s="12" t="n">
        <v>1</v>
      </c>
      <c r="P5911" s="12" t="n">
        <v>480</v>
      </c>
      <c r="Q5911" s="12" t="n">
        <v>15</v>
      </c>
      <c r="R5911" s="12" t="n">
        <v>21.2</v>
      </c>
      <c r="S5911" s="12" t="inlineStr">
        <is>
          <t>Duct bank</t>
        </is>
      </c>
      <c r="T5911" s="17" t="n">
        <v>1629</v>
      </c>
      <c r="U5911" s="17" t="n">
        <v>161</v>
      </c>
      <c r="V5911" s="17">
        <f>ROUNDUP((T5911+U5911+2*'Read Me'!$B$13)*(1+'Read Me'!$B$12),-1)</f>
        <v/>
      </c>
      <c r="W5911" s="17">
        <f>V5911*N5911*O5911</f>
        <v/>
      </c>
      <c r="X5911" s="12">
        <f>IF(LEFT(I5911,2)="MV",2*N5911*IF(L5911="1/C",O5911,1),0)</f>
        <v/>
      </c>
      <c r="Y5911" s="12">
        <f>IF(OR(LEFT(K5911,4)="LVAX",LEFT(K5911,6)="MV15AX",LEFT(K5911,4)="CTAX",LEFT(K5911,2)="W|"),2*N5911*O5911,0)</f>
        <v/>
      </c>
      <c r="Z5911" s="12" t="inlineStr">
        <is>
          <t>VD 2.9 %</t>
        </is>
      </c>
      <c r="AA5911" s="12">
        <f>N5911*O5911</f>
        <v/>
      </c>
    </row>
    <row r="5912">
      <c r="A5912" s="12" t="inlineStr">
        <is>
          <t>C-P-0049</t>
        </is>
      </c>
      <c r="B5912" s="12" t="inlineStr">
        <is>
          <t>C</t>
        </is>
      </c>
      <c r="C5912" s="12" t="inlineStr">
        <is>
          <t>Grid interface</t>
        </is>
      </c>
      <c r="D5912" s="12" t="inlineStr">
        <is>
          <t>Motor 20 of 20, 15 kW</t>
        </is>
      </c>
      <c r="E5912" s="12" t="inlineStr">
        <is>
          <t>MCC-C1</t>
        </is>
      </c>
      <c r="F5912" s="12" t="inlineStr">
        <is>
          <t>R1 MCC-C1</t>
        </is>
      </c>
      <c r="G5912" s="12" t="inlineStr"/>
      <c r="H5912" s="12" t="inlineStr">
        <is>
          <t>Water treatment building: rooftop HVAC, exhaust fans, vents</t>
        </is>
      </c>
      <c r="I5912" s="12" t="inlineStr">
        <is>
          <t>LV 600 V</t>
        </is>
      </c>
      <c r="J5912" s="12" t="inlineStr">
        <is>
          <t>Type TC-ER 600 V 3/C Cu XHHW-2 + ground, PVC jacket</t>
        </is>
      </c>
      <c r="K5912" s="12" t="inlineStr">
        <is>
          <t>LV|3/C+G|2</t>
        </is>
      </c>
      <c r="L5912" s="12" t="inlineStr">
        <is>
          <t>3/C+G</t>
        </is>
      </c>
      <c r="M5912" s="12" t="inlineStr">
        <is>
          <t>2</t>
        </is>
      </c>
      <c r="N5912" s="12" t="n">
        <v>1</v>
      </c>
      <c r="O5912" s="12" t="n">
        <v>1</v>
      </c>
      <c r="P5912" s="12" t="n">
        <v>480</v>
      </c>
      <c r="Q5912" s="12" t="n">
        <v>15</v>
      </c>
      <c r="R5912" s="12" t="n">
        <v>21.2</v>
      </c>
      <c r="S5912" s="12" t="inlineStr">
        <is>
          <t>Duct bank</t>
        </is>
      </c>
      <c r="T5912" s="17" t="n">
        <v>1629</v>
      </c>
      <c r="U5912" s="17" t="n">
        <v>161</v>
      </c>
      <c r="V5912" s="17">
        <f>ROUNDUP((T5912+U5912+2*'Read Me'!$B$13)*(1+'Read Me'!$B$12),-1)</f>
        <v/>
      </c>
      <c r="W5912" s="17">
        <f>V5912*N5912*O5912</f>
        <v/>
      </c>
      <c r="X5912" s="12">
        <f>IF(LEFT(I5912,2)="MV",2*N5912*IF(L5912="1/C",O5912,1),0)</f>
        <v/>
      </c>
      <c r="Y5912" s="12">
        <f>IF(OR(LEFT(K5912,4)="LVAX",LEFT(K5912,6)="MV15AX",LEFT(K5912,4)="CTAX",LEFT(K5912,2)="W|"),2*N5912*O5912,0)</f>
        <v/>
      </c>
      <c r="Z5912" s="12" t="inlineStr">
        <is>
          <t>VD 2.9 %</t>
        </is>
      </c>
      <c r="AA5912" s="12">
        <f>N5912*O5912</f>
        <v/>
      </c>
    </row>
  </sheetData>
  <autoFilter ref="A1:AA59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Schedule'!$AA$2:$AA$5912,'Cable Schedule'!$K$2:$K$5912,A2)</f>
        <v/>
      </c>
      <c r="G2" s="19">
        <f>SUMIFS('Cable Schedule'!$W$2:$W$5912,'Cable Schedule'!$K$2:$K$5912,A2)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Schedule'!$AA$2:$AA$5912,'Cable Schedule'!$K$2:$K$5912,A3)</f>
        <v/>
      </c>
      <c r="G3" s="19">
        <f>SUMIFS('Cable Schedule'!$W$2:$W$5912,'Cable Schedule'!$K$2:$K$5912,A3)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Schedule'!$AA$2:$AA$5912,'Cable Schedule'!$K$2:$K$5912,A4)</f>
        <v/>
      </c>
      <c r="G4" s="19">
        <f>SUMIFS('Cable Schedule'!$W$2:$W$5912,'Cable Schedule'!$K$2:$K$5912,A4)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Schedule'!$AA$2:$AA$5912,'Cable Schedule'!$K$2:$K$5912,A5)</f>
        <v/>
      </c>
      <c r="G5" s="19">
        <f>SUMIFS('Cable Schedule'!$W$2:$W$5912,'Cable Schedule'!$K$2:$K$5912,A5)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Schedule'!$AA$2:$AA$5912,'Cable Schedule'!$K$2:$K$5912,A6)</f>
        <v/>
      </c>
      <c r="G6" s="19">
        <f>SUMIFS('Cable Schedule'!$W$2:$W$5912,'Cable Schedule'!$K$2:$K$5912,A6)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Schedule'!$AA$2:$AA$5912,'Cable Schedule'!$K$2:$K$5912,A7)</f>
        <v/>
      </c>
      <c r="G7" s="19">
        <f>SUMIFS('Cable Schedule'!$W$2:$W$5912,'Cable Schedule'!$K$2:$K$5912,A7)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Schedule'!$AA$2:$AA$5912,'Cable Schedule'!$K$2:$K$5912,A8)</f>
        <v/>
      </c>
      <c r="G8" s="19">
        <f>SUMIFS('Cable Schedule'!$W$2:$W$5912,'Cable Schedule'!$K$2:$K$5912,A8)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Schedule'!$AA$2:$AA$5912,'Cable Schedule'!$K$2:$K$5912,A9)</f>
        <v/>
      </c>
      <c r="G9" s="19">
        <f>SUMIFS('Cable Schedule'!$W$2:$W$5912,'Cable Schedule'!$K$2:$K$5912,A9)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Schedule'!$AA$2:$AA$5912,'Cable Schedule'!$K$2:$K$5912,A10)</f>
        <v/>
      </c>
      <c r="G10" s="19">
        <f>SUMIFS('Cable Schedule'!$W$2:$W$5912,'Cable Schedule'!$K$2:$K$5912,A10)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Schedule'!$AA$2:$AA$5912,'Cable Schedule'!$K$2:$K$5912,A11)</f>
        <v/>
      </c>
      <c r="G11" s="19">
        <f>SUMIFS('Cable Schedule'!$W$2:$W$5912,'Cable Schedule'!$K$2:$K$5912,A11)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Schedule'!$AA$2:$AA$5912,'Cable Schedule'!$K$2:$K$5912,A12)</f>
        <v/>
      </c>
      <c r="G12" s="19">
        <f>SUMIFS('Cable Schedule'!$W$2:$W$5912,'Cable Schedule'!$K$2:$K$5912,A12)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Schedule'!$AA$2:$AA$5912,'Cable Schedule'!$K$2:$K$5912,A13)</f>
        <v/>
      </c>
      <c r="G13" s="19">
        <f>SUMIFS('Cable Schedule'!$W$2:$W$5912,'Cable Schedule'!$K$2:$K$5912,A13)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Schedule'!$AA$2:$AA$5912,'Cable Schedule'!$K$2:$K$5912,A14)</f>
        <v/>
      </c>
      <c r="G14" s="19">
        <f>SUMIFS('Cable Schedule'!$W$2:$W$5912,'Cable Schedule'!$K$2:$K$5912,A14)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Schedule'!$AA$2:$AA$5912,'Cable Schedule'!$K$2:$K$5912,A15)</f>
        <v/>
      </c>
      <c r="G15" s="19">
        <f>SUMIFS('Cable Schedule'!$W$2:$W$5912,'Cable Schedule'!$K$2:$K$5912,A15)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Schedule'!$AA$2:$AA$5912,'Cable Schedule'!$K$2:$K$5912,A16)</f>
        <v/>
      </c>
      <c r="G16" s="19">
        <f>SUMIFS('Cable Schedule'!$W$2:$W$5912,'Cable Schedule'!$K$2:$K$5912,A16)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Schedule'!$AA$2:$AA$5912,'Cable Schedule'!$K$2:$K$5912,A17)</f>
        <v/>
      </c>
      <c r="G17" s="19">
        <f>SUMIFS('Cable Schedule'!$W$2:$W$5912,'Cable Schedule'!$K$2:$K$5912,A17)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Schedule'!$AA$2:$AA$5912,'Cable Schedule'!$K$2:$K$5912,A18)</f>
        <v/>
      </c>
      <c r="G18" s="19">
        <f>SUMIFS('Cable Schedule'!$W$2:$W$5912,'Cable Schedule'!$K$2:$K$5912,A18)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Schedule'!$AA$2:$AA$5912,'Cable Schedule'!$K$2:$K$5912,A19)</f>
        <v/>
      </c>
      <c r="G19" s="19">
        <f>SUMIFS('Cable Schedule'!$W$2:$W$5912,'Cable Schedule'!$K$2:$K$5912,A19)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Schedule'!$AA$2:$AA$5912,'Cable Schedule'!$K$2:$K$5912,A20)</f>
        <v/>
      </c>
      <c r="G20" s="19">
        <f>SUMIFS('Cable Schedule'!$W$2:$W$5912,'Cable Schedule'!$K$2:$K$5912,A20)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Schedule'!$AA$2:$AA$5912,'Cable Schedule'!$K$2:$K$5912,A21)</f>
        <v/>
      </c>
      <c r="G21" s="19">
        <f>SUMIFS('Cable Schedule'!$W$2:$W$5912,'Cable Schedule'!$K$2:$K$5912,A21)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Schedule'!$AA$2:$AA$5912,'Cable Schedule'!$K$2:$K$5912,A22)</f>
        <v/>
      </c>
      <c r="G22" s="19">
        <f>SUMIFS('Cable Schedule'!$W$2:$W$5912,'Cable Schedule'!$K$2:$K$5912,A22)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Schedule'!$AA$2:$AA$5912,'Cable Schedule'!$K$2:$K$5912,A23)</f>
        <v/>
      </c>
      <c r="G23" s="19">
        <f>SUMIFS('Cable Schedule'!$W$2:$W$5912,'Cable Schedule'!$K$2:$K$5912,A23)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Schedule'!$AA$2:$AA$5912,'Cable Schedule'!$K$2:$K$5912,A24)</f>
        <v/>
      </c>
      <c r="G24" s="19">
        <f>SUMIFS('Cable Schedule'!$W$2:$W$5912,'Cable Schedule'!$K$2:$K$5912,A24)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Schedule'!$AA$2:$AA$5912,'Cable Schedule'!$K$2:$K$5912,A25)</f>
        <v/>
      </c>
      <c r="G25" s="19">
        <f>SUMIFS('Cable Schedule'!$W$2:$W$5912,'Cable Schedule'!$K$2:$K$5912,A25)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Schedule'!$AA$2:$AA$5912,'Cable Schedule'!$K$2:$K$5912,A26)</f>
        <v/>
      </c>
      <c r="G26" s="19">
        <f>SUMIFS('Cable Schedule'!$W$2:$W$5912,'Cable Schedule'!$K$2:$K$5912,A26)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Schedule'!$AA$2:$AA$5912,'Cable Schedule'!$K$2:$K$5912,A27)</f>
        <v/>
      </c>
      <c r="G27" s="19">
        <f>SUMIFS('Cable Schedule'!$W$2:$W$5912,'Cable Schedule'!$K$2:$K$5912,A27)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Schedule'!$AA$2:$AA$5912,'Cable Schedule'!$K$2:$K$5912,A28)</f>
        <v/>
      </c>
      <c r="G28" s="19">
        <f>SUMIFS('Cable Schedule'!$W$2:$W$5912,'Cable Schedule'!$K$2:$K$5912,A28)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Schedule'!$AA$2:$AA$5912,'Cable Schedule'!$K$2:$K$5912,A29)</f>
        <v/>
      </c>
      <c r="G29" s="19">
        <f>SUMIFS('Cable Schedule'!$W$2:$W$5912,'Cable Schedule'!$K$2:$K$5912,A29)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Schedule'!$AA$2:$AA$5912,'Cable Schedule'!$K$2:$K$5912,A30)</f>
        <v/>
      </c>
      <c r="G30" s="19">
        <f>SUMIFS('Cable Schedule'!$W$2:$W$5912,'Cable Schedule'!$K$2:$K$5912,A30)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Schedule'!$AA$2:$AA$5912,'Cable Schedule'!$K$2:$K$5912,A31)</f>
        <v/>
      </c>
      <c r="G31" s="19">
        <f>SUMIFS('Cable Schedule'!$W$2:$W$5912,'Cable Schedule'!$K$2:$K$5912,A31)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Schedule'!$AA$2:$AA$5912,'Cable Schedule'!$K$2:$K$5912,A32)</f>
        <v/>
      </c>
      <c r="G32" s="19">
        <f>SUMIFS('Cable Schedule'!$W$2:$W$5912,'Cable Schedule'!$K$2:$K$5912,A32)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Schedule'!$AA$2:$AA$5912,'Cable Schedule'!$K$2:$K$5912,A33)</f>
        <v/>
      </c>
      <c r="G33" s="19">
        <f>SUMIFS('Cable Schedule'!$W$2:$W$5912,'Cable Schedule'!$K$2:$K$5912,A33)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Schedule'!$AA$2:$AA$5912,'Cable Schedule'!$K$2:$K$5912,A34)</f>
        <v/>
      </c>
      <c r="G34" s="19">
        <f>SUMIFS('Cable Schedule'!$W$2:$W$5912,'Cable Schedule'!$K$2:$K$5912,A34)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Schedule'!$AA$2:$AA$5912,'Cable Schedule'!$K$2:$K$5912,A35)</f>
        <v/>
      </c>
      <c r="G35" s="19">
        <f>SUMIFS('Cable Schedule'!$W$2:$W$5912,'Cable Schedule'!$K$2:$K$5912,A35)</f>
        <v/>
      </c>
      <c r="H35" s="20">
        <f>'Read Me'!$B$14</f>
        <v/>
      </c>
      <c r="I35" s="17">
        <f>ROUNDUP(G35*(1+H35),-2)</f>
        <v/>
      </c>
      <c r="J35" s="21" t="n">
        <v>2500</v>
      </c>
      <c r="K35" s="12">
        <f>IF(J35&gt;0,ROUNDUP(I35/J35,0),0)</f>
        <v/>
      </c>
      <c r="L35" s="22">
        <f>I35*0.3048/1000</f>
        <v/>
      </c>
    </row>
    <row r="36">
      <c r="A36" s="12" t="inlineStr">
        <is>
          <t>LV1C|1/C|6</t>
        </is>
      </c>
      <c r="B36" s="12" t="inlineStr">
        <is>
          <t>LV 600 V</t>
        </is>
      </c>
      <c r="C36" s="12" t="inlineStr">
        <is>
          <t>XHHW-2 600 V 1/C Cu (feeder sets in tray / duct)</t>
        </is>
      </c>
      <c r="D36" s="12" t="inlineStr">
        <is>
          <t>1/C</t>
        </is>
      </c>
      <c r="E36" s="12" t="inlineStr">
        <is>
          <t>6</t>
        </is>
      </c>
      <c r="F36" s="18">
        <f>SUMIFS('Cable Schedule'!$AA$2:$AA$5912,'Cable Schedule'!$K$2:$K$5912,A36)</f>
        <v/>
      </c>
      <c r="G36" s="19">
        <f>SUMIFS('Cable Schedule'!$W$2:$W$5912,'Cable Schedule'!$K$2:$K$5912,A36)</f>
        <v/>
      </c>
      <c r="H36" s="20">
        <f>'Read Me'!$B$14</f>
        <v/>
      </c>
      <c r="I36" s="17">
        <f>ROUNDUP(G36*(1+H36),-2)</f>
        <v/>
      </c>
      <c r="J36" s="21" t="n">
        <v>2500</v>
      </c>
      <c r="K36" s="12">
        <f>IF(J36&gt;0,ROUNDUP(I36/J36,0),0)</f>
        <v/>
      </c>
      <c r="L36" s="22">
        <f>I36*0.3048/1000</f>
        <v/>
      </c>
    </row>
    <row r="37">
      <c r="A37" s="12" t="inlineStr">
        <is>
          <t>LV1C|1/C|2</t>
        </is>
      </c>
      <c r="B37" s="12" t="inlineStr">
        <is>
          <t>LV 600 V</t>
        </is>
      </c>
      <c r="C37" s="12" t="inlineStr">
        <is>
          <t>XHHW-2 600 V 1/C Cu (feeder sets in tray / duct)</t>
        </is>
      </c>
      <c r="D37" s="12" t="inlineStr">
        <is>
          <t>1/C</t>
        </is>
      </c>
      <c r="E37" s="12" t="inlineStr">
        <is>
          <t>2</t>
        </is>
      </c>
      <c r="F37" s="18">
        <f>SUMIFS('Cable Schedule'!$AA$2:$AA$5912,'Cable Schedule'!$K$2:$K$5912,A37)</f>
        <v/>
      </c>
      <c r="G37" s="19">
        <f>SUMIFS('Cable Schedule'!$W$2:$W$5912,'Cable Schedule'!$K$2:$K$5912,A37)</f>
        <v/>
      </c>
      <c r="H37" s="20">
        <f>'Read Me'!$B$14</f>
        <v/>
      </c>
      <c r="I37" s="17">
        <f>ROUNDUP(G37*(1+H37),-2)</f>
        <v/>
      </c>
      <c r="J37" s="21" t="n">
        <v>2500</v>
      </c>
      <c r="K37" s="12">
        <f>IF(J37&gt;0,ROUNDUP(I37/J37,0),0)</f>
        <v/>
      </c>
      <c r="L37" s="22">
        <f>I37*0.3048/1000</f>
        <v/>
      </c>
    </row>
    <row r="38">
      <c r="A38" s="12" t="inlineStr">
        <is>
          <t>LV1C|1/C|4/0</t>
        </is>
      </c>
      <c r="B38" s="12" t="inlineStr">
        <is>
          <t>LV 600 V</t>
        </is>
      </c>
      <c r="C38" s="12" t="inlineStr">
        <is>
          <t>XHHW-2 600 V 1/C Cu (feeder sets in tray / duct)</t>
        </is>
      </c>
      <c r="D38" s="12" t="inlineStr">
        <is>
          <t>1/C</t>
        </is>
      </c>
      <c r="E38" s="12" t="inlineStr">
        <is>
          <t>4/0</t>
        </is>
      </c>
      <c r="F38" s="18">
        <f>SUMIFS('Cable Schedule'!$AA$2:$AA$5912,'Cable Schedule'!$K$2:$K$5912,A38)</f>
        <v/>
      </c>
      <c r="G38" s="19">
        <f>SUMIFS('Cable Schedule'!$W$2:$W$5912,'Cable Schedule'!$K$2:$K$5912,A38)</f>
        <v/>
      </c>
      <c r="H38" s="20">
        <f>'Read Me'!$B$14</f>
        <v/>
      </c>
      <c r="I38" s="17">
        <f>ROUNDUP(G38*(1+H38),-2)</f>
        <v/>
      </c>
      <c r="J38" s="21" t="n">
        <v>2500</v>
      </c>
      <c r="K38" s="12">
        <f>IF(J38&gt;0,ROUNDUP(I38/J38,0),0)</f>
        <v/>
      </c>
      <c r="L38" s="22">
        <f>I38*0.3048/1000</f>
        <v/>
      </c>
    </row>
    <row r="39">
      <c r="A39" s="12" t="inlineStr">
        <is>
          <t>LV1C|1/C|500</t>
        </is>
      </c>
      <c r="B39" s="12" t="inlineStr">
        <is>
          <t>LV 600 V</t>
        </is>
      </c>
      <c r="C39" s="12" t="inlineStr">
        <is>
          <t>XHHW-2 600 V 1/C Cu (feeder sets in tray / duct)</t>
        </is>
      </c>
      <c r="D39" s="12" t="inlineStr">
        <is>
          <t>1/C</t>
        </is>
      </c>
      <c r="E39" s="12" t="inlineStr">
        <is>
          <t>500 kcmil</t>
        </is>
      </c>
      <c r="F39" s="18">
        <f>SUMIFS('Cable Schedule'!$AA$2:$AA$5912,'Cable Schedule'!$K$2:$K$5912,A39)</f>
        <v/>
      </c>
      <c r="G39" s="19">
        <f>SUMIFS('Cable Schedule'!$W$2:$W$5912,'Cable Schedule'!$K$2:$K$5912,A39)</f>
        <v/>
      </c>
      <c r="H39" s="20">
        <f>'Read Me'!$B$14</f>
        <v/>
      </c>
      <c r="I39" s="17">
        <f>ROUNDUP(G39*(1+H39),-2)</f>
        <v/>
      </c>
      <c r="J39" s="21" t="n">
        <v>2500</v>
      </c>
      <c r="K39" s="12">
        <f>IF(J39&gt;0,ROUNDUP(I39/J39,0),0)</f>
        <v/>
      </c>
      <c r="L39" s="22">
        <f>I39*0.3048/1000</f>
        <v/>
      </c>
    </row>
    <row r="40">
      <c r="A40" s="12" t="inlineStr">
        <is>
          <t>LVAX|3/C+G|10</t>
        </is>
      </c>
      <c r="B40" s="12" t="inlineStr">
        <is>
          <t>LV 600 V</t>
        </is>
      </c>
      <c r="C40" s="12" t="inlineStr">
        <is>
          <t>ARMOR-X MC-HL 600 V 3/C Cu XHHW-2 + ground, CWA, black PVC (Class I Div 2)</t>
        </is>
      </c>
      <c r="D40" s="12" t="inlineStr">
        <is>
          <t>3/C+G</t>
        </is>
      </c>
      <c r="E40" s="12" t="inlineStr">
        <is>
          <t>10</t>
        </is>
      </c>
      <c r="F40" s="18">
        <f>SUMIFS('Cable Schedule'!$AA$2:$AA$5912,'Cable Schedule'!$K$2:$K$5912,A40)</f>
        <v/>
      </c>
      <c r="G40" s="19">
        <f>SUMIFS('Cable Schedule'!$W$2:$W$5912,'Cable Schedule'!$K$2:$K$5912,A40)</f>
        <v/>
      </c>
      <c r="H40" s="20">
        <f>'Read Me'!$B$14</f>
        <v/>
      </c>
      <c r="I40" s="17">
        <f>ROUNDUP(G40*(1+H40),-2)</f>
        <v/>
      </c>
      <c r="J40" s="21" t="n">
        <v>2000</v>
      </c>
      <c r="K40" s="12">
        <f>IF(J40&gt;0,ROUNDUP(I40/J40,0),0)</f>
        <v/>
      </c>
      <c r="L40" s="22">
        <f>I40*0.3048/1000</f>
        <v/>
      </c>
    </row>
    <row r="41">
      <c r="A41" s="12" t="inlineStr">
        <is>
          <t>LVAX|3/C+G|8</t>
        </is>
      </c>
      <c r="B41" s="12" t="inlineStr">
        <is>
          <t>LV 600 V</t>
        </is>
      </c>
      <c r="C41" s="12" t="inlineStr">
        <is>
          <t>ARMOR-X MC-HL 600 V 3/C Cu XHHW-2 + ground, CWA, black PVC (Class I Div 2)</t>
        </is>
      </c>
      <c r="D41" s="12" t="inlineStr">
        <is>
          <t>3/C+G</t>
        </is>
      </c>
      <c r="E41" s="12" t="inlineStr">
        <is>
          <t>8</t>
        </is>
      </c>
      <c r="F41" s="18">
        <f>SUMIFS('Cable Schedule'!$AA$2:$AA$5912,'Cable Schedule'!$K$2:$K$5912,A41)</f>
        <v/>
      </c>
      <c r="G41" s="19">
        <f>SUMIFS('Cable Schedule'!$W$2:$W$5912,'Cable Schedule'!$K$2:$K$5912,A41)</f>
        <v/>
      </c>
      <c r="H41" s="20">
        <f>'Read Me'!$B$14</f>
        <v/>
      </c>
      <c r="I41" s="17">
        <f>ROUNDUP(G41*(1+H41),-2)</f>
        <v/>
      </c>
      <c r="J41" s="21" t="n">
        <v>2000</v>
      </c>
      <c r="K41" s="12">
        <f>IF(J41&gt;0,ROUNDUP(I41/J41,0),0)</f>
        <v/>
      </c>
      <c r="L41" s="22">
        <f>I41*0.3048/1000</f>
        <v/>
      </c>
    </row>
    <row r="42">
      <c r="A42" s="12" t="inlineStr">
        <is>
          <t>LVAX|3/C+G|6</t>
        </is>
      </c>
      <c r="B42" s="12" t="inlineStr">
        <is>
          <t>LV 600 V</t>
        </is>
      </c>
      <c r="C42" s="12" t="inlineStr">
        <is>
          <t>ARMOR-X MC-HL 600 V 3/C Cu XHHW-2 + ground, CWA, black PVC (Class I Div 2)</t>
        </is>
      </c>
      <c r="D42" s="12" t="inlineStr">
        <is>
          <t>3/C+G</t>
        </is>
      </c>
      <c r="E42" s="12" t="inlineStr">
        <is>
          <t>6</t>
        </is>
      </c>
      <c r="F42" s="18">
        <f>SUMIFS('Cable Schedule'!$AA$2:$AA$5912,'Cable Schedule'!$K$2:$K$5912,A42)</f>
        <v/>
      </c>
      <c r="G42" s="19">
        <f>SUMIFS('Cable Schedule'!$W$2:$W$5912,'Cable Schedule'!$K$2:$K$5912,A42)</f>
        <v/>
      </c>
      <c r="H42" s="20">
        <f>'Read Me'!$B$14</f>
        <v/>
      </c>
      <c r="I42" s="17">
        <f>ROUNDUP(G42*(1+H42),-2)</f>
        <v/>
      </c>
      <c r="J42" s="21" t="n">
        <v>2000</v>
      </c>
      <c r="K42" s="12">
        <f>IF(J42&gt;0,ROUNDUP(I42/J42,0),0)</f>
        <v/>
      </c>
      <c r="L42" s="22">
        <f>I42*0.3048/1000</f>
        <v/>
      </c>
    </row>
    <row r="43">
      <c r="A43" s="12" t="inlineStr">
        <is>
          <t>LVAX|3/C+G|4</t>
        </is>
      </c>
      <c r="B43" s="12" t="inlineStr">
        <is>
          <t>LV 600 V</t>
        </is>
      </c>
      <c r="C43" s="12" t="inlineStr">
        <is>
          <t>ARMOR-X MC-HL 600 V 3/C Cu XHHW-2 + ground, CWA, black PVC (Class I Div 2)</t>
        </is>
      </c>
      <c r="D43" s="12" t="inlineStr">
        <is>
          <t>3/C+G</t>
        </is>
      </c>
      <c r="E43" s="12" t="inlineStr">
        <is>
          <t>4</t>
        </is>
      </c>
      <c r="F43" s="18">
        <f>SUMIFS('Cable Schedule'!$AA$2:$AA$5912,'Cable Schedule'!$K$2:$K$5912,A43)</f>
        <v/>
      </c>
      <c r="G43" s="19">
        <f>SUMIFS('Cable Schedule'!$W$2:$W$5912,'Cable Schedule'!$K$2:$K$5912,A43)</f>
        <v/>
      </c>
      <c r="H43" s="20">
        <f>'Read Me'!$B$14</f>
        <v/>
      </c>
      <c r="I43" s="17">
        <f>ROUNDUP(G43*(1+H43),-2)</f>
        <v/>
      </c>
      <c r="J43" s="21" t="n">
        <v>2000</v>
      </c>
      <c r="K43" s="12">
        <f>IF(J43&gt;0,ROUNDUP(I43/J43,0),0)</f>
        <v/>
      </c>
      <c r="L43" s="22">
        <f>I43*0.3048/1000</f>
        <v/>
      </c>
    </row>
    <row r="44">
      <c r="A44" s="12" t="inlineStr">
        <is>
          <t>LVAX|3/C+G|2</t>
        </is>
      </c>
      <c r="B44" s="12" t="inlineStr">
        <is>
          <t>LV 600 V</t>
        </is>
      </c>
      <c r="C44" s="12" t="inlineStr">
        <is>
          <t>ARMOR-X MC-HL 600 V 3/C Cu XHHW-2 + ground, CWA, black PVC (Class I Div 2)</t>
        </is>
      </c>
      <c r="D44" s="12" t="inlineStr">
        <is>
          <t>3/C+G</t>
        </is>
      </c>
      <c r="E44" s="12" t="inlineStr">
        <is>
          <t>2</t>
        </is>
      </c>
      <c r="F44" s="18">
        <f>SUMIFS('Cable Schedule'!$AA$2:$AA$5912,'Cable Schedule'!$K$2:$K$5912,A44)</f>
        <v/>
      </c>
      <c r="G44" s="19">
        <f>SUMIFS('Cable Schedule'!$W$2:$W$5912,'Cable Schedule'!$K$2:$K$5912,A44)</f>
        <v/>
      </c>
      <c r="H44" s="20">
        <f>'Read Me'!$B$14</f>
        <v/>
      </c>
      <c r="I44" s="17">
        <f>ROUNDUP(G44*(1+H44),-2)</f>
        <v/>
      </c>
      <c r="J44" s="21" t="n">
        <v>2000</v>
      </c>
      <c r="K44" s="12">
        <f>IF(J44&gt;0,ROUNDUP(I44/J44,0),0)</f>
        <v/>
      </c>
      <c r="L44" s="22">
        <f>I44*0.3048/1000</f>
        <v/>
      </c>
    </row>
    <row r="45">
      <c r="A45" s="12" t="inlineStr">
        <is>
          <t>LVAX|3/C+G|1</t>
        </is>
      </c>
      <c r="B45" s="12" t="inlineStr">
        <is>
          <t>LV 600 V</t>
        </is>
      </c>
      <c r="C45" s="12" t="inlineStr">
        <is>
          <t>ARMOR-X MC-HL 600 V 3/C Cu XHHW-2 + ground, CWA, black PVC (Class I Div 2)</t>
        </is>
      </c>
      <c r="D45" s="12" t="inlineStr">
        <is>
          <t>3/C+G</t>
        </is>
      </c>
      <c r="E45" s="12" t="inlineStr">
        <is>
          <t>1</t>
        </is>
      </c>
      <c r="F45" s="18">
        <f>SUMIFS('Cable Schedule'!$AA$2:$AA$5912,'Cable Schedule'!$K$2:$K$5912,A45)</f>
        <v/>
      </c>
      <c r="G45" s="19">
        <f>SUMIFS('Cable Schedule'!$W$2:$W$5912,'Cable Schedule'!$K$2:$K$5912,A45)</f>
        <v/>
      </c>
      <c r="H45" s="20">
        <f>'Read Me'!$B$14</f>
        <v/>
      </c>
      <c r="I45" s="17">
        <f>ROUNDUP(G45*(1+H45),-2)</f>
        <v/>
      </c>
      <c r="J45" s="21" t="n">
        <v>2000</v>
      </c>
      <c r="K45" s="12">
        <f>IF(J45&gt;0,ROUNDUP(I45/J45,0),0)</f>
        <v/>
      </c>
      <c r="L45" s="22">
        <f>I45*0.3048/1000</f>
        <v/>
      </c>
    </row>
    <row r="46">
      <c r="A46" s="12" t="inlineStr">
        <is>
          <t>LVAX|3/C+G|1/0</t>
        </is>
      </c>
      <c r="B46" s="12" t="inlineStr">
        <is>
          <t>LV 600 V</t>
        </is>
      </c>
      <c r="C46" s="12" t="inlineStr">
        <is>
          <t>ARMOR-X MC-HL 600 V 3/C Cu XHHW-2 + ground, CWA, black PVC (Class I Div 2)</t>
        </is>
      </c>
      <c r="D46" s="12" t="inlineStr">
        <is>
          <t>3/C+G</t>
        </is>
      </c>
      <c r="E46" s="12" t="inlineStr">
        <is>
          <t>1/0</t>
        </is>
      </c>
      <c r="F46" s="18">
        <f>SUMIFS('Cable Schedule'!$AA$2:$AA$5912,'Cable Schedule'!$K$2:$K$5912,A46)</f>
        <v/>
      </c>
      <c r="G46" s="19">
        <f>SUMIFS('Cable Schedule'!$W$2:$W$5912,'Cable Schedule'!$K$2:$K$5912,A46)</f>
        <v/>
      </c>
      <c r="H46" s="20">
        <f>'Read Me'!$B$14</f>
        <v/>
      </c>
      <c r="I46" s="17">
        <f>ROUNDUP(G46*(1+H46),-2)</f>
        <v/>
      </c>
      <c r="J46" s="21" t="n">
        <v>2000</v>
      </c>
      <c r="K46" s="12">
        <f>IF(J46&gt;0,ROUNDUP(I46/J46,0),0)</f>
        <v/>
      </c>
      <c r="L46" s="22">
        <f>I46*0.3048/1000</f>
        <v/>
      </c>
    </row>
    <row r="47">
      <c r="A47" s="12" t="inlineStr">
        <is>
          <t>LVAX|3/C+G|4/0</t>
        </is>
      </c>
      <c r="B47" s="12" t="inlineStr">
        <is>
          <t>LV 600 V</t>
        </is>
      </c>
      <c r="C47" s="12" t="inlineStr">
        <is>
          <t>ARMOR-X MC-HL 600 V 3/C Cu XHHW-2 + ground, CWA, black PVC (Class I Div 2)</t>
        </is>
      </c>
      <c r="D47" s="12" t="inlineStr">
        <is>
          <t>3/C+G</t>
        </is>
      </c>
      <c r="E47" s="12" t="inlineStr">
        <is>
          <t>4/0</t>
        </is>
      </c>
      <c r="F47" s="18">
        <f>SUMIFS('Cable Schedule'!$AA$2:$AA$5912,'Cable Schedule'!$K$2:$K$5912,A47)</f>
        <v/>
      </c>
      <c r="G47" s="19">
        <f>SUMIFS('Cable Schedule'!$W$2:$W$5912,'Cable Schedule'!$K$2:$K$5912,A47)</f>
        <v/>
      </c>
      <c r="H47" s="20">
        <f>'Read Me'!$B$14</f>
        <v/>
      </c>
      <c r="I47" s="17">
        <f>ROUNDUP(G47*(1+H47),-2)</f>
        <v/>
      </c>
      <c r="J47" s="21" t="n">
        <v>2000</v>
      </c>
      <c r="K47" s="12">
        <f>IF(J47&gt;0,ROUNDUP(I47/J47,0),0)</f>
        <v/>
      </c>
      <c r="L47" s="22">
        <f>I47*0.3048/1000</f>
        <v/>
      </c>
    </row>
    <row r="48">
      <c r="A48" s="12" t="inlineStr">
        <is>
          <t>LVAX|3/C+G|350</t>
        </is>
      </c>
      <c r="B48" s="12" t="inlineStr">
        <is>
          <t>LV 600 V</t>
        </is>
      </c>
      <c r="C48" s="12" t="inlineStr">
        <is>
          <t>ARMOR-X MC-HL 600 V 3/C Cu XHHW-2 + ground, CWA, black PVC (Class I Div 2)</t>
        </is>
      </c>
      <c r="D48" s="12" t="inlineStr">
        <is>
          <t>3/C+G</t>
        </is>
      </c>
      <c r="E48" s="12" t="inlineStr">
        <is>
          <t>350 kcmil</t>
        </is>
      </c>
      <c r="F48" s="18">
        <f>SUMIFS('Cable Schedule'!$AA$2:$AA$5912,'Cable Schedule'!$K$2:$K$5912,A48)</f>
        <v/>
      </c>
      <c r="G48" s="19">
        <f>SUMIFS('Cable Schedule'!$W$2:$W$5912,'Cable Schedule'!$K$2:$K$5912,A48)</f>
        <v/>
      </c>
      <c r="H48" s="20">
        <f>'Read Me'!$B$14</f>
        <v/>
      </c>
      <c r="I48" s="17">
        <f>ROUNDUP(G48*(1+H48),-2)</f>
        <v/>
      </c>
      <c r="J48" s="21" t="n">
        <v>2000</v>
      </c>
      <c r="K48" s="12">
        <f>IF(J48&gt;0,ROUNDUP(I48/J48,0),0)</f>
        <v/>
      </c>
      <c r="L48" s="22">
        <f>I48*0.3048/1000</f>
        <v/>
      </c>
    </row>
    <row r="49">
      <c r="A49" s="12" t="inlineStr">
        <is>
          <t>VFD|3/C+3G|6</t>
        </is>
      </c>
      <c r="B49" s="12" t="inlineStr">
        <is>
          <t>LV 600 V</t>
        </is>
      </c>
      <c r="C49" s="12" t="inlineStr">
        <is>
          <t>VFD cable 600 V 3/C Cu XHHW-2, 3 symmetrical grounds, overall Cu tape shield, TC-ER</t>
        </is>
      </c>
      <c r="D49" s="12" t="inlineStr">
        <is>
          <t>3/C+3G</t>
        </is>
      </c>
      <c r="E49" s="12" t="inlineStr">
        <is>
          <t>6</t>
        </is>
      </c>
      <c r="F49" s="18">
        <f>SUMIFS('Cable Schedule'!$AA$2:$AA$5912,'Cable Schedule'!$K$2:$K$5912,A49)</f>
        <v/>
      </c>
      <c r="G49" s="19">
        <f>SUMIFS('Cable Schedule'!$W$2:$W$5912,'Cable Schedule'!$K$2:$K$5912,A49)</f>
        <v/>
      </c>
      <c r="H49" s="20">
        <f>'Read Me'!$B$14</f>
        <v/>
      </c>
      <c r="I49" s="17">
        <f>ROUNDUP(G49*(1+H49),-2)</f>
        <v/>
      </c>
      <c r="J49" s="21" t="n">
        <v>2500</v>
      </c>
      <c r="K49" s="12">
        <f>IF(J49&gt;0,ROUNDUP(I49/J49,0),0)</f>
        <v/>
      </c>
      <c r="L49" s="22">
        <f>I49*0.3048/1000</f>
        <v/>
      </c>
    </row>
    <row r="50">
      <c r="A50" s="12" t="inlineStr">
        <is>
          <t>VFD|3/C+3G|2</t>
        </is>
      </c>
      <c r="B50" s="12" t="inlineStr">
        <is>
          <t>LV 600 V</t>
        </is>
      </c>
      <c r="C50" s="12" t="inlineStr">
        <is>
          <t>VFD cable 600 V 3/C Cu XHHW-2, 3 symmetrical grounds, overall Cu tape shield, TC-ER</t>
        </is>
      </c>
      <c r="D50" s="12" t="inlineStr">
        <is>
          <t>3/C+3G</t>
        </is>
      </c>
      <c r="E50" s="12" t="inlineStr">
        <is>
          <t>2</t>
        </is>
      </c>
      <c r="F50" s="18">
        <f>SUMIFS('Cable Schedule'!$AA$2:$AA$5912,'Cable Schedule'!$K$2:$K$5912,A50)</f>
        <v/>
      </c>
      <c r="G50" s="19">
        <f>SUMIFS('Cable Schedule'!$W$2:$W$5912,'Cable Schedule'!$K$2:$K$5912,A50)</f>
        <v/>
      </c>
      <c r="H50" s="20">
        <f>'Read Me'!$B$14</f>
        <v/>
      </c>
      <c r="I50" s="17">
        <f>ROUNDUP(G50*(1+H50),-2)</f>
        <v/>
      </c>
      <c r="J50" s="21" t="n">
        <v>2500</v>
      </c>
      <c r="K50" s="12">
        <f>IF(J50&gt;0,ROUNDUP(I50/J50,0),0)</f>
        <v/>
      </c>
      <c r="L50" s="22">
        <f>I50*0.3048/1000</f>
        <v/>
      </c>
    </row>
    <row r="51">
      <c r="A51" s="12" t="inlineStr">
        <is>
          <t>VFD|3/C+3G|1</t>
        </is>
      </c>
      <c r="B51" s="12" t="inlineStr">
        <is>
          <t>LV 600 V</t>
        </is>
      </c>
      <c r="C51" s="12" t="inlineStr">
        <is>
          <t>VFD cable 600 V 3/C Cu XHHW-2, 3 symmetrical grounds, overall Cu tape shield, TC-ER</t>
        </is>
      </c>
      <c r="D51" s="12" t="inlineStr">
        <is>
          <t>3/C+3G</t>
        </is>
      </c>
      <c r="E51" s="12" t="inlineStr">
        <is>
          <t>1</t>
        </is>
      </c>
      <c r="F51" s="18">
        <f>SUMIFS('Cable Schedule'!$AA$2:$AA$5912,'Cable Schedule'!$K$2:$K$5912,A51)</f>
        <v/>
      </c>
      <c r="G51" s="19">
        <f>SUMIFS('Cable Schedule'!$W$2:$W$5912,'Cable Schedule'!$K$2:$K$5912,A51)</f>
        <v/>
      </c>
      <c r="H51" s="20">
        <f>'Read Me'!$B$14</f>
        <v/>
      </c>
      <c r="I51" s="17">
        <f>ROUNDUP(G51*(1+H51),-2)</f>
        <v/>
      </c>
      <c r="J51" s="21" t="n">
        <v>2500</v>
      </c>
      <c r="K51" s="12">
        <f>IF(J51&gt;0,ROUNDUP(I51/J51,0),0)</f>
        <v/>
      </c>
      <c r="L51" s="22">
        <f>I51*0.3048/1000</f>
        <v/>
      </c>
    </row>
    <row r="52">
      <c r="A52" s="12" t="inlineStr">
        <is>
          <t>VFD|3/C+3G|2/0</t>
        </is>
      </c>
      <c r="B52" s="12" t="inlineStr">
        <is>
          <t>LV 600 V</t>
        </is>
      </c>
      <c r="C52" s="12" t="inlineStr">
        <is>
          <t>VFD cable 600 V 3/C Cu XHHW-2, 3 symmetrical grounds, overall Cu tape shield, TC-ER</t>
        </is>
      </c>
      <c r="D52" s="12" t="inlineStr">
        <is>
          <t>3/C+3G</t>
        </is>
      </c>
      <c r="E52" s="12" t="inlineStr">
        <is>
          <t>2/0</t>
        </is>
      </c>
      <c r="F52" s="18">
        <f>SUMIFS('Cable Schedule'!$AA$2:$AA$5912,'Cable Schedule'!$K$2:$K$5912,A52)</f>
        <v/>
      </c>
      <c r="G52" s="19">
        <f>SUMIFS('Cable Schedule'!$W$2:$W$5912,'Cable Schedule'!$K$2:$K$5912,A52)</f>
        <v/>
      </c>
      <c r="H52" s="20">
        <f>'Read Me'!$B$14</f>
        <v/>
      </c>
      <c r="I52" s="17">
        <f>ROUNDUP(G52*(1+H52),-2)</f>
        <v/>
      </c>
      <c r="J52" s="21" t="n">
        <v>2500</v>
      </c>
      <c r="K52" s="12">
        <f>IF(J52&gt;0,ROUNDUP(I52/J52,0),0)</f>
        <v/>
      </c>
      <c r="L52" s="22">
        <f>I52*0.3048/1000</f>
        <v/>
      </c>
    </row>
    <row r="53">
      <c r="A53" s="12" t="inlineStr">
        <is>
          <t>VFD|3/C+3G|3/0</t>
        </is>
      </c>
      <c r="B53" s="12" t="inlineStr">
        <is>
          <t>LV 600 V</t>
        </is>
      </c>
      <c r="C53" s="12" t="inlineStr">
        <is>
          <t>VFD cable 600 V 3/C Cu XHHW-2, 3 symmetrical grounds, overall Cu tape shield, TC-ER</t>
        </is>
      </c>
      <c r="D53" s="12" t="inlineStr">
        <is>
          <t>3/C+3G</t>
        </is>
      </c>
      <c r="E53" s="12" t="inlineStr">
        <is>
          <t>3/0</t>
        </is>
      </c>
      <c r="F53" s="18">
        <f>SUMIFS('Cable Schedule'!$AA$2:$AA$5912,'Cable Schedule'!$K$2:$K$5912,A53)</f>
        <v/>
      </c>
      <c r="G53" s="19">
        <f>SUMIFS('Cable Schedule'!$W$2:$W$5912,'Cable Schedule'!$K$2:$K$5912,A53)</f>
        <v/>
      </c>
      <c r="H53" s="20">
        <f>'Read Me'!$B$14</f>
        <v/>
      </c>
      <c r="I53" s="17">
        <f>ROUNDUP(G53*(1+H53),-2)</f>
        <v/>
      </c>
      <c r="J53" s="21" t="n">
        <v>2500</v>
      </c>
      <c r="K53" s="12">
        <f>IF(J53&gt;0,ROUNDUP(I53/J53,0),0)</f>
        <v/>
      </c>
      <c r="L53" s="22">
        <f>I53*0.3048/1000</f>
        <v/>
      </c>
    </row>
    <row r="54">
      <c r="A54" s="12" t="inlineStr">
        <is>
          <t>VFD|3/C+3G|350</t>
        </is>
      </c>
      <c r="B54" s="12" t="inlineStr">
        <is>
          <t>LV 600 V</t>
        </is>
      </c>
      <c r="C54" s="12" t="inlineStr">
        <is>
          <t>VFD cable 600 V 3/C Cu XHHW-2, 3 symmetrical grounds, overall Cu tape shield, TC-ER</t>
        </is>
      </c>
      <c r="D54" s="12" t="inlineStr">
        <is>
          <t>3/C+3G</t>
        </is>
      </c>
      <c r="E54" s="12" t="inlineStr">
        <is>
          <t>350 kcmil</t>
        </is>
      </c>
      <c r="F54" s="18">
        <f>SUMIFS('Cable Schedule'!$AA$2:$AA$5912,'Cable Schedule'!$K$2:$K$5912,A54)</f>
        <v/>
      </c>
      <c r="G54" s="19">
        <f>SUMIFS('Cable Schedule'!$W$2:$W$5912,'Cable Schedule'!$K$2:$K$5912,A54)</f>
        <v/>
      </c>
      <c r="H54" s="20">
        <f>'Read Me'!$B$14</f>
        <v/>
      </c>
      <c r="I54" s="17">
        <f>ROUNDUP(G54*(1+H54),-2)</f>
        <v/>
      </c>
      <c r="J54" s="21" t="n">
        <v>2500</v>
      </c>
      <c r="K54" s="12">
        <f>IF(J54&gt;0,ROUNDUP(I54/J54,0),0)</f>
        <v/>
      </c>
      <c r="L54" s="22">
        <f>I54*0.3048/1000</f>
        <v/>
      </c>
    </row>
    <row r="55">
      <c r="A55" s="12" t="inlineStr">
        <is>
          <t>CT|12/C|14</t>
        </is>
      </c>
      <c r="B55" s="12" t="inlineStr">
        <is>
          <t>Control</t>
        </is>
      </c>
      <c r="C55" s="12" t="inlineStr">
        <is>
          <t>Control cable 600 V Type TC-ER, Cu #14 AWG, PVC jacket</t>
        </is>
      </c>
      <c r="D55" s="12" t="inlineStr">
        <is>
          <t>12/C</t>
        </is>
      </c>
      <c r="E55" s="12" t="inlineStr">
        <is>
          <t>14</t>
        </is>
      </c>
      <c r="F55" s="18">
        <f>SUMIFS('Cable Schedule'!$AA$2:$AA$5912,'Cable Schedule'!$K$2:$K$5912,A55)</f>
        <v/>
      </c>
      <c r="G55" s="19">
        <f>SUMIFS('Cable Schedule'!$W$2:$W$5912,'Cable Schedule'!$K$2:$K$5912,A55)</f>
        <v/>
      </c>
      <c r="H55" s="20">
        <f>'Read Me'!$B$14</f>
        <v/>
      </c>
      <c r="I55" s="17">
        <f>ROUNDUP(G55*(1+H55),-2)</f>
        <v/>
      </c>
      <c r="J55" s="21" t="n">
        <v>5000</v>
      </c>
      <c r="K55" s="12">
        <f>IF(J55&gt;0,ROUNDUP(I55/J55,0),0)</f>
        <v/>
      </c>
      <c r="L55" s="22">
        <f>I55*0.3048/1000</f>
        <v/>
      </c>
    </row>
    <row r="56">
      <c r="A56" s="12" t="inlineStr">
        <is>
          <t>CT|2/C|14</t>
        </is>
      </c>
      <c r="B56" s="12" t="inlineStr">
        <is>
          <t>Control</t>
        </is>
      </c>
      <c r="C56" s="12" t="inlineStr">
        <is>
          <t>Control cable 600 V Type TC-ER, Cu #14 AWG, PVC jacket</t>
        </is>
      </c>
      <c r="D56" s="12" t="inlineStr">
        <is>
          <t>2/C</t>
        </is>
      </c>
      <c r="E56" s="12" t="inlineStr">
        <is>
          <t>14</t>
        </is>
      </c>
      <c r="F56" s="18">
        <f>SUMIFS('Cable Schedule'!$AA$2:$AA$5912,'Cable Schedule'!$K$2:$K$5912,A56)</f>
        <v/>
      </c>
      <c r="G56" s="19">
        <f>SUMIFS('Cable Schedule'!$W$2:$W$5912,'Cable Schedule'!$K$2:$K$5912,A56)</f>
        <v/>
      </c>
      <c r="H56" s="20">
        <f>'Read Me'!$B$14</f>
        <v/>
      </c>
      <c r="I56" s="17">
        <f>ROUNDUP(G56*(1+H56),-2)</f>
        <v/>
      </c>
      <c r="J56" s="21" t="n">
        <v>5000</v>
      </c>
      <c r="K56" s="12">
        <f>IF(J56&gt;0,ROUNDUP(I56/J56,0),0)</f>
        <v/>
      </c>
      <c r="L56" s="22">
        <f>I56*0.3048/1000</f>
        <v/>
      </c>
    </row>
    <row r="57">
      <c r="A57" s="12" t="inlineStr">
        <is>
          <t>CT|25/C|14</t>
        </is>
      </c>
      <c r="B57" s="12" t="inlineStr">
        <is>
          <t>Control</t>
        </is>
      </c>
      <c r="C57" s="12" t="inlineStr">
        <is>
          <t>Control cable 600 V Type TC-ER, Cu #14 AWG, PVC jacket</t>
        </is>
      </c>
      <c r="D57" s="12" t="inlineStr">
        <is>
          <t>25/C</t>
        </is>
      </c>
      <c r="E57" s="12" t="inlineStr">
        <is>
          <t>14</t>
        </is>
      </c>
      <c r="F57" s="18">
        <f>SUMIFS('Cable Schedule'!$AA$2:$AA$5912,'Cable Schedule'!$K$2:$K$5912,A57)</f>
        <v/>
      </c>
      <c r="G57" s="19">
        <f>SUMIFS('Cable Schedule'!$W$2:$W$5912,'Cable Schedule'!$K$2:$K$5912,A57)</f>
        <v/>
      </c>
      <c r="H57" s="20">
        <f>'Read Me'!$B$14</f>
        <v/>
      </c>
      <c r="I57" s="17">
        <f>ROUNDUP(G57*(1+H57),-2)</f>
        <v/>
      </c>
      <c r="J57" s="21" t="n">
        <v>5000</v>
      </c>
      <c r="K57" s="12">
        <f>IF(J57&gt;0,ROUNDUP(I57/J57,0),0)</f>
        <v/>
      </c>
      <c r="L57" s="22">
        <f>I57*0.3048/1000</f>
        <v/>
      </c>
    </row>
    <row r="58">
      <c r="A58" s="12" t="inlineStr">
        <is>
          <t>CT|7/C|14</t>
        </is>
      </c>
      <c r="B58" s="12" t="inlineStr">
        <is>
          <t>Control</t>
        </is>
      </c>
      <c r="C58" s="12" t="inlineStr">
        <is>
          <t>Control cable 600 V Type TC-ER, Cu #14 AWG, PVC jacket</t>
        </is>
      </c>
      <c r="D58" s="12" t="inlineStr">
        <is>
          <t>7/C</t>
        </is>
      </c>
      <c r="E58" s="12" t="inlineStr">
        <is>
          <t>14</t>
        </is>
      </c>
      <c r="F58" s="18">
        <f>SUMIFS('Cable Schedule'!$AA$2:$AA$5912,'Cable Schedule'!$K$2:$K$5912,A58)</f>
        <v/>
      </c>
      <c r="G58" s="19">
        <f>SUMIFS('Cable Schedule'!$W$2:$W$5912,'Cable Schedule'!$K$2:$K$5912,A58)</f>
        <v/>
      </c>
      <c r="H58" s="20">
        <f>'Read Me'!$B$14</f>
        <v/>
      </c>
      <c r="I58" s="17">
        <f>ROUNDUP(G58*(1+H58),-2)</f>
        <v/>
      </c>
      <c r="J58" s="21" t="n">
        <v>5000</v>
      </c>
      <c r="K58" s="12">
        <f>IF(J58&gt;0,ROUNDUP(I58/J58,0),0)</f>
        <v/>
      </c>
      <c r="L58" s="22">
        <f>I58*0.3048/1000</f>
        <v/>
      </c>
    </row>
    <row r="59">
      <c r="A59" s="12" t="inlineStr">
        <is>
          <t>CTAX|12/C|14</t>
        </is>
      </c>
      <c r="B59" s="12" t="inlineStr">
        <is>
          <t>Control</t>
        </is>
      </c>
      <c r="C59" s="12" t="inlineStr">
        <is>
          <t>ARMOR-X MC-HL 600 V control, Cu #14 AWG (Class I Div 2)</t>
        </is>
      </c>
      <c r="D59" s="12" t="inlineStr">
        <is>
          <t>12/C</t>
        </is>
      </c>
      <c r="E59" s="12" t="inlineStr">
        <is>
          <t>14</t>
        </is>
      </c>
      <c r="F59" s="18">
        <f>SUMIFS('Cable Schedule'!$AA$2:$AA$5912,'Cable Schedule'!$K$2:$K$5912,A59)</f>
        <v/>
      </c>
      <c r="G59" s="19">
        <f>SUMIFS('Cable Schedule'!$W$2:$W$5912,'Cable Schedule'!$K$2:$K$5912,A59)</f>
        <v/>
      </c>
      <c r="H59" s="20">
        <f>'Read Me'!$B$14</f>
        <v/>
      </c>
      <c r="I59" s="17">
        <f>ROUNDUP(G59*(1+H59),-2)</f>
        <v/>
      </c>
      <c r="J59" s="21" t="n">
        <v>3000</v>
      </c>
      <c r="K59" s="12">
        <f>IF(J59&gt;0,ROUNDUP(I59/J59,0),0)</f>
        <v/>
      </c>
      <c r="L59" s="22">
        <f>I59*0.3048/1000</f>
        <v/>
      </c>
    </row>
    <row r="60">
      <c r="A60" s="12" t="inlineStr">
        <is>
          <t>CTAX|2/C|14</t>
        </is>
      </c>
      <c r="B60" s="12" t="inlineStr">
        <is>
          <t>Control</t>
        </is>
      </c>
      <c r="C60" s="12" t="inlineStr">
        <is>
          <t>ARMOR-X MC-HL 600 V control, Cu #14 AWG (Class I Div 2)</t>
        </is>
      </c>
      <c r="D60" s="12" t="inlineStr">
        <is>
          <t>2/C</t>
        </is>
      </c>
      <c r="E60" s="12" t="inlineStr">
        <is>
          <t>14</t>
        </is>
      </c>
      <c r="F60" s="18">
        <f>SUMIFS('Cable Schedule'!$AA$2:$AA$5912,'Cable Schedule'!$K$2:$K$5912,A60)</f>
        <v/>
      </c>
      <c r="G60" s="19">
        <f>SUMIFS('Cable Schedule'!$W$2:$W$5912,'Cable Schedule'!$K$2:$K$5912,A60)</f>
        <v/>
      </c>
      <c r="H60" s="20">
        <f>'Read Me'!$B$14</f>
        <v/>
      </c>
      <c r="I60" s="17">
        <f>ROUNDUP(G60*(1+H60),-2)</f>
        <v/>
      </c>
      <c r="J60" s="21" t="n">
        <v>3000</v>
      </c>
      <c r="K60" s="12">
        <f>IF(J60&gt;0,ROUNDUP(I60/J60,0),0)</f>
        <v/>
      </c>
      <c r="L60" s="22">
        <f>I60*0.3048/1000</f>
        <v/>
      </c>
    </row>
    <row r="61">
      <c r="A61" s="12" t="inlineStr">
        <is>
          <t>CTAX|25/C|14</t>
        </is>
      </c>
      <c r="B61" s="12" t="inlineStr">
        <is>
          <t>Control</t>
        </is>
      </c>
      <c r="C61" s="12" t="inlineStr">
        <is>
          <t>ARMOR-X MC-HL 600 V control, Cu #14 AWG (Class I Div 2)</t>
        </is>
      </c>
      <c r="D61" s="12" t="inlineStr">
        <is>
          <t>25/C</t>
        </is>
      </c>
      <c r="E61" s="12" t="inlineStr">
        <is>
          <t>14</t>
        </is>
      </c>
      <c r="F61" s="18">
        <f>SUMIFS('Cable Schedule'!$AA$2:$AA$5912,'Cable Schedule'!$K$2:$K$5912,A61)</f>
        <v/>
      </c>
      <c r="G61" s="19">
        <f>SUMIFS('Cable Schedule'!$W$2:$W$5912,'Cable Schedule'!$K$2:$K$5912,A61)</f>
        <v/>
      </c>
      <c r="H61" s="20">
        <f>'Read Me'!$B$14</f>
        <v/>
      </c>
      <c r="I61" s="17">
        <f>ROUNDUP(G61*(1+H61),-2)</f>
        <v/>
      </c>
      <c r="J61" s="21" t="n">
        <v>3000</v>
      </c>
      <c r="K61" s="12">
        <f>IF(J61&gt;0,ROUNDUP(I61/J61,0),0)</f>
        <v/>
      </c>
      <c r="L61" s="22">
        <f>I61*0.3048/1000</f>
        <v/>
      </c>
    </row>
    <row r="62">
      <c r="A62" s="12" t="inlineStr">
        <is>
          <t>CTAX|7/C|14</t>
        </is>
      </c>
      <c r="B62" s="12" t="inlineStr">
        <is>
          <t>Control</t>
        </is>
      </c>
      <c r="C62" s="12" t="inlineStr">
        <is>
          <t>ARMOR-X MC-HL 600 V control, Cu #14 AWG (Class I Div 2)</t>
        </is>
      </c>
      <c r="D62" s="12" t="inlineStr">
        <is>
          <t>7/C</t>
        </is>
      </c>
      <c r="E62" s="12" t="inlineStr">
        <is>
          <t>14</t>
        </is>
      </c>
      <c r="F62" s="18">
        <f>SUMIFS('Cable Schedule'!$AA$2:$AA$5912,'Cable Schedule'!$K$2:$K$5912,A62)</f>
        <v/>
      </c>
      <c r="G62" s="19">
        <f>SUMIFS('Cable Schedule'!$W$2:$W$5912,'Cable Schedule'!$K$2:$K$5912,A62)</f>
        <v/>
      </c>
      <c r="H62" s="20">
        <f>'Read Me'!$B$14</f>
        <v/>
      </c>
      <c r="I62" s="17">
        <f>ROUNDUP(G62*(1+H62),-2)</f>
        <v/>
      </c>
      <c r="J62" s="21" t="n">
        <v>3000</v>
      </c>
      <c r="K62" s="12">
        <f>IF(J62&gt;0,ROUNDUP(I62/J62,0),0)</f>
        <v/>
      </c>
      <c r="L62" s="22">
        <f>I62*0.3048/1000</f>
        <v/>
      </c>
    </row>
    <row r="63">
      <c r="A63" s="12" t="inlineStr">
        <is>
          <t>CTCT|12/C|10</t>
        </is>
      </c>
      <c r="B63" s="12" t="inlineStr">
        <is>
          <t>Control</t>
        </is>
      </c>
      <c r="C63" s="12" t="inlineStr">
        <is>
          <t>Control cable 600 V Type TC-ER, Cu #10 AWG (CT / VT circuits)</t>
        </is>
      </c>
      <c r="D63" s="12" t="inlineStr">
        <is>
          <t>12/C</t>
        </is>
      </c>
      <c r="E63" s="12" t="inlineStr">
        <is>
          <t>10</t>
        </is>
      </c>
      <c r="F63" s="18">
        <f>SUMIFS('Cable Schedule'!$AA$2:$AA$5912,'Cable Schedule'!$K$2:$K$5912,A63)</f>
        <v/>
      </c>
      <c r="G63" s="19">
        <f>SUMIFS('Cable Schedule'!$W$2:$W$5912,'Cable Schedule'!$K$2:$K$5912,A63)</f>
        <v/>
      </c>
      <c r="H63" s="20">
        <f>'Read Me'!$B$14</f>
        <v/>
      </c>
      <c r="I63" s="17">
        <f>ROUNDUP(G63*(1+H63),-2)</f>
        <v/>
      </c>
      <c r="J63" s="21" t="n">
        <v>5000</v>
      </c>
      <c r="K63" s="12">
        <f>IF(J63&gt;0,ROUNDUP(I63/J63,0),0)</f>
        <v/>
      </c>
      <c r="L63" s="22">
        <f>I63*0.3048/1000</f>
        <v/>
      </c>
    </row>
    <row r="64">
      <c r="A64" s="12" t="inlineStr">
        <is>
          <t>CTCT|4/C|10</t>
        </is>
      </c>
      <c r="B64" s="12" t="inlineStr">
        <is>
          <t>Control</t>
        </is>
      </c>
      <c r="C64" s="12" t="inlineStr">
        <is>
          <t>Control cable 600 V Type TC-ER, Cu #10 AWG (CT / VT circuits)</t>
        </is>
      </c>
      <c r="D64" s="12" t="inlineStr">
        <is>
          <t>4/C</t>
        </is>
      </c>
      <c r="E64" s="12" t="inlineStr">
        <is>
          <t>10</t>
        </is>
      </c>
      <c r="F64" s="18">
        <f>SUMIFS('Cable Schedule'!$AA$2:$AA$5912,'Cable Schedule'!$K$2:$K$5912,A64)</f>
        <v/>
      </c>
      <c r="G64" s="19">
        <f>SUMIFS('Cable Schedule'!$W$2:$W$5912,'Cable Schedule'!$K$2:$K$5912,A64)</f>
        <v/>
      </c>
      <c r="H64" s="20">
        <f>'Read Me'!$B$14</f>
        <v/>
      </c>
      <c r="I64" s="17">
        <f>ROUNDUP(G64*(1+H64),-2)</f>
        <v/>
      </c>
      <c r="J64" s="21" t="n">
        <v>5000</v>
      </c>
      <c r="K64" s="12">
        <f>IF(J64&gt;0,ROUNDUP(I64/J64,0),0)</f>
        <v/>
      </c>
      <c r="L64" s="22">
        <f>I64*0.3048/1000</f>
        <v/>
      </c>
    </row>
    <row r="65">
      <c r="A65" s="12" t="inlineStr">
        <is>
          <t>ITC|1 pr|16</t>
        </is>
      </c>
      <c r="B65" s="12" t="inlineStr">
        <is>
          <t>Instrumentation</t>
        </is>
      </c>
      <c r="C65" s="12" t="inlineStr">
        <is>
          <t>Instrumentation ITC / PLTC, IS, #18 shielded pairs, blue jacket</t>
        </is>
      </c>
      <c r="D65" s="12" t="inlineStr">
        <is>
          <t>1 pr</t>
        </is>
      </c>
      <c r="E65" s="12" t="inlineStr">
        <is>
          <t>16</t>
        </is>
      </c>
      <c r="F65" s="18">
        <f>SUMIFS('Cable Schedule'!$AA$2:$AA$5912,'Cable Schedule'!$K$2:$K$5912,A65)</f>
        <v/>
      </c>
      <c r="G65" s="19">
        <f>SUMIFS('Cable Schedule'!$W$2:$W$5912,'Cable Schedule'!$K$2:$K$5912,A65)</f>
        <v/>
      </c>
      <c r="H65" s="20">
        <f>'Read Me'!$B$14</f>
        <v/>
      </c>
      <c r="I65" s="17">
        <f>ROUNDUP(G65*(1+H65),-2)</f>
        <v/>
      </c>
      <c r="J65" s="21" t="n">
        <v>5000</v>
      </c>
      <c r="K65" s="12">
        <f>IF(J65&gt;0,ROUNDUP(I65/J65,0),0)</f>
        <v/>
      </c>
      <c r="L65" s="22">
        <f>I65*0.3048/1000</f>
        <v/>
      </c>
    </row>
    <row r="66">
      <c r="A66" s="12" t="inlineStr">
        <is>
          <t>ITC|12 pr|18</t>
        </is>
      </c>
      <c r="B66" s="12" t="inlineStr">
        <is>
          <t>Instrumentation</t>
        </is>
      </c>
      <c r="C66" s="12" t="inlineStr">
        <is>
          <t>Instrumentation ITC / PLTC, IS, #18 shielded pairs, blue jacket</t>
        </is>
      </c>
      <c r="D66" s="12" t="inlineStr">
        <is>
          <t>12 pr</t>
        </is>
      </c>
      <c r="E66" s="12" t="inlineStr">
        <is>
          <t>18</t>
        </is>
      </c>
      <c r="F66" s="18">
        <f>SUMIFS('Cable Schedule'!$AA$2:$AA$5912,'Cable Schedule'!$K$2:$K$5912,A66)</f>
        <v/>
      </c>
      <c r="G66" s="19">
        <f>SUMIFS('Cable Schedule'!$W$2:$W$5912,'Cable Schedule'!$K$2:$K$5912,A66)</f>
        <v/>
      </c>
      <c r="H66" s="20">
        <f>'Read Me'!$B$14</f>
        <v/>
      </c>
      <c r="I66" s="17">
        <f>ROUNDUP(G66*(1+H66),-2)</f>
        <v/>
      </c>
      <c r="J66" s="21" t="n">
        <v>5000</v>
      </c>
      <c r="K66" s="12">
        <f>IF(J66&gt;0,ROUNDUP(I66/J66,0),0)</f>
        <v/>
      </c>
      <c r="L66" s="22">
        <f>I66*0.3048/1000</f>
        <v/>
      </c>
    </row>
    <row r="67">
      <c r="A67" s="12" t="inlineStr">
        <is>
          <t>ITC|24 pr|18</t>
        </is>
      </c>
      <c r="B67" s="12" t="inlineStr">
        <is>
          <t>Instrumentation</t>
        </is>
      </c>
      <c r="C67" s="12" t="inlineStr">
        <is>
          <t>Instrumentation ITC / PLTC, IS, #18 shielded pairs, blue jacket</t>
        </is>
      </c>
      <c r="D67" s="12" t="inlineStr">
        <is>
          <t>24 pr</t>
        </is>
      </c>
      <c r="E67" s="12" t="inlineStr">
        <is>
          <t>18</t>
        </is>
      </c>
      <c r="F67" s="18">
        <f>SUMIFS('Cable Schedule'!$AA$2:$AA$5912,'Cable Schedule'!$K$2:$K$5912,A67)</f>
        <v/>
      </c>
      <c r="G67" s="19">
        <f>SUMIFS('Cable Schedule'!$W$2:$W$5912,'Cable Schedule'!$K$2:$K$5912,A67)</f>
        <v/>
      </c>
      <c r="H67" s="20">
        <f>'Read Me'!$B$14</f>
        <v/>
      </c>
      <c r="I67" s="17">
        <f>ROUNDUP(G67*(1+H67),-2)</f>
        <v/>
      </c>
      <c r="J67" s="21" t="n">
        <v>5000</v>
      </c>
      <c r="K67" s="12">
        <f>IF(J67&gt;0,ROUNDUP(I67/J67,0),0)</f>
        <v/>
      </c>
      <c r="L67" s="22">
        <f>I67*0.3048/1000</f>
        <v/>
      </c>
    </row>
    <row r="68">
      <c r="A68" s="12" t="inlineStr">
        <is>
          <t>ITC|4 pr|18</t>
        </is>
      </c>
      <c r="B68" s="12" t="inlineStr">
        <is>
          <t>Instrumentation</t>
        </is>
      </c>
      <c r="C68" s="12" t="inlineStr">
        <is>
          <t>Instrumentation ITC / PLTC, IS, #18 shielded pairs, blue jacket</t>
        </is>
      </c>
      <c r="D68" s="12" t="inlineStr">
        <is>
          <t>4 pr</t>
        </is>
      </c>
      <c r="E68" s="12" t="inlineStr">
        <is>
          <t>18</t>
        </is>
      </c>
      <c r="F68" s="18">
        <f>SUMIFS('Cable Schedule'!$AA$2:$AA$5912,'Cable Schedule'!$K$2:$K$5912,A68)</f>
        <v/>
      </c>
      <c r="G68" s="19">
        <f>SUMIFS('Cable Schedule'!$W$2:$W$5912,'Cable Schedule'!$K$2:$K$5912,A68)</f>
        <v/>
      </c>
      <c r="H68" s="20">
        <f>'Read Me'!$B$14</f>
        <v/>
      </c>
      <c r="I68" s="17">
        <f>ROUNDUP(G68*(1+H68),-2)</f>
        <v/>
      </c>
      <c r="J68" s="21" t="n">
        <v>5000</v>
      </c>
      <c r="K68" s="12">
        <f>IF(J68&gt;0,ROUNDUP(I68/J68,0),0)</f>
        <v/>
      </c>
      <c r="L68" s="22">
        <f>I68*0.3048/1000</f>
        <v/>
      </c>
    </row>
    <row r="69">
      <c r="A69" s="12" t="inlineStr">
        <is>
          <t>PLTC|1 pr|16</t>
        </is>
      </c>
      <c r="B69" s="12" t="inlineStr">
        <is>
          <t>Instrumentation</t>
        </is>
      </c>
      <c r="C69" s="12" t="inlineStr">
        <is>
          <t>Instrumentation PLTC / TC-ER 300 V, #18 twisted shielded pairs, overall shield</t>
        </is>
      </c>
      <c r="D69" s="12" t="inlineStr">
        <is>
          <t>1 pr</t>
        </is>
      </c>
      <c r="E69" s="12" t="inlineStr">
        <is>
          <t>16</t>
        </is>
      </c>
      <c r="F69" s="18">
        <f>SUMIFS('Cable Schedule'!$AA$2:$AA$5912,'Cable Schedule'!$K$2:$K$5912,A69)</f>
        <v/>
      </c>
      <c r="G69" s="19">
        <f>SUMIFS('Cable Schedule'!$W$2:$W$5912,'Cable Schedule'!$K$2:$K$5912,A69)</f>
        <v/>
      </c>
      <c r="H69" s="20">
        <f>'Read Me'!$B$14</f>
        <v/>
      </c>
      <c r="I69" s="17">
        <f>ROUNDUP(G69*(1+H69),-2)</f>
        <v/>
      </c>
      <c r="J69" s="21" t="n">
        <v>5000</v>
      </c>
      <c r="K69" s="12">
        <f>IF(J69&gt;0,ROUNDUP(I69/J69,0),0)</f>
        <v/>
      </c>
      <c r="L69" s="22">
        <f>I69*0.3048/1000</f>
        <v/>
      </c>
    </row>
    <row r="70">
      <c r="A70" s="12" t="inlineStr">
        <is>
          <t>PLTC|12 pr|18</t>
        </is>
      </c>
      <c r="B70" s="12" t="inlineStr">
        <is>
          <t>Instrumentation</t>
        </is>
      </c>
      <c r="C70" s="12" t="inlineStr">
        <is>
          <t>Instrumentation PLTC / TC-ER 300 V, #18 twisted shielded pairs, overall shield</t>
        </is>
      </c>
      <c r="D70" s="12" t="inlineStr">
        <is>
          <t>12 pr</t>
        </is>
      </c>
      <c r="E70" s="12" t="inlineStr">
        <is>
          <t>18</t>
        </is>
      </c>
      <c r="F70" s="18">
        <f>SUMIFS('Cable Schedule'!$AA$2:$AA$5912,'Cable Schedule'!$K$2:$K$5912,A70)</f>
        <v/>
      </c>
      <c r="G70" s="19">
        <f>SUMIFS('Cable Schedule'!$W$2:$W$5912,'Cable Schedule'!$K$2:$K$5912,A70)</f>
        <v/>
      </c>
      <c r="H70" s="20">
        <f>'Read Me'!$B$14</f>
        <v/>
      </c>
      <c r="I70" s="17">
        <f>ROUNDUP(G70*(1+H70),-2)</f>
        <v/>
      </c>
      <c r="J70" s="21" t="n">
        <v>5000</v>
      </c>
      <c r="K70" s="12">
        <f>IF(J70&gt;0,ROUNDUP(I70/J70,0),0)</f>
        <v/>
      </c>
      <c r="L70" s="22">
        <f>I70*0.3048/1000</f>
        <v/>
      </c>
    </row>
    <row r="71">
      <c r="A71" s="12" t="inlineStr">
        <is>
          <t>PLTC|24 pr|18</t>
        </is>
      </c>
      <c r="B71" s="12" t="inlineStr">
        <is>
          <t>Instrumentation</t>
        </is>
      </c>
      <c r="C71" s="12" t="inlineStr">
        <is>
          <t>Instrumentation PLTC / TC-ER 300 V, #18 twisted shielded pairs, overall shield</t>
        </is>
      </c>
      <c r="D71" s="12" t="inlineStr">
        <is>
          <t>24 pr</t>
        </is>
      </c>
      <c r="E71" s="12" t="inlineStr">
        <is>
          <t>18</t>
        </is>
      </c>
      <c r="F71" s="18">
        <f>SUMIFS('Cable Schedule'!$AA$2:$AA$5912,'Cable Schedule'!$K$2:$K$5912,A71)</f>
        <v/>
      </c>
      <c r="G71" s="19">
        <f>SUMIFS('Cable Schedule'!$W$2:$W$5912,'Cable Schedule'!$K$2:$K$5912,A71)</f>
        <v/>
      </c>
      <c r="H71" s="20">
        <f>'Read Me'!$B$14</f>
        <v/>
      </c>
      <c r="I71" s="17">
        <f>ROUNDUP(G71*(1+H71),-2)</f>
        <v/>
      </c>
      <c r="J71" s="21" t="n">
        <v>5000</v>
      </c>
      <c r="K71" s="12">
        <f>IF(J71&gt;0,ROUNDUP(I71/J71,0),0)</f>
        <v/>
      </c>
      <c r="L71" s="22">
        <f>I71*0.3048/1000</f>
        <v/>
      </c>
    </row>
    <row r="72">
      <c r="A72" s="12" t="inlineStr">
        <is>
          <t>PLTC|4 pr|18</t>
        </is>
      </c>
      <c r="B72" s="12" t="inlineStr">
        <is>
          <t>Instrumentation</t>
        </is>
      </c>
      <c r="C72" s="12" t="inlineStr">
        <is>
          <t>Instrumentation PLTC / TC-ER 300 V, #18 twisted shielded pairs, overall shield</t>
        </is>
      </c>
      <c r="D72" s="12" t="inlineStr">
        <is>
          <t>4 pr</t>
        </is>
      </c>
      <c r="E72" s="12" t="inlineStr">
        <is>
          <t>18</t>
        </is>
      </c>
      <c r="F72" s="18">
        <f>SUMIFS('Cable Schedule'!$AA$2:$AA$5912,'Cable Schedule'!$K$2:$K$5912,A72)</f>
        <v/>
      </c>
      <c r="G72" s="19">
        <f>SUMIFS('Cable Schedule'!$W$2:$W$5912,'Cable Schedule'!$K$2:$K$5912,A72)</f>
        <v/>
      </c>
      <c r="H72" s="20">
        <f>'Read Me'!$B$14</f>
        <v/>
      </c>
      <c r="I72" s="17">
        <f>ROUNDUP(G72*(1+H72),-2)</f>
        <v/>
      </c>
      <c r="J72" s="21" t="n">
        <v>5000</v>
      </c>
      <c r="K72" s="12">
        <f>IF(J72&gt;0,ROUNDUP(I72/J72,0),0)</f>
        <v/>
      </c>
      <c r="L72" s="22">
        <f>I72*0.3048/1000</f>
        <v/>
      </c>
    </row>
    <row r="73">
      <c r="A73" s="12" t="inlineStr">
        <is>
          <t>RTD|1 tri|18</t>
        </is>
      </c>
      <c r="B73" s="12" t="inlineStr">
        <is>
          <t>Instrumentation</t>
        </is>
      </c>
      <c r="C73" s="12" t="inlineStr">
        <is>
          <t>RTD cable, #18 shielded triads, PLTC</t>
        </is>
      </c>
      <c r="D73" s="12" t="inlineStr">
        <is>
          <t>1 tri</t>
        </is>
      </c>
      <c r="E73" s="12" t="inlineStr">
        <is>
          <t>18</t>
        </is>
      </c>
      <c r="F73" s="18">
        <f>SUMIFS('Cable Schedule'!$AA$2:$AA$5912,'Cable Schedule'!$K$2:$K$5912,A73)</f>
        <v/>
      </c>
      <c r="G73" s="19">
        <f>SUMIFS('Cable Schedule'!$W$2:$W$5912,'Cable Schedule'!$K$2:$K$5912,A73)</f>
        <v/>
      </c>
      <c r="H73" s="20">
        <f>'Read Me'!$B$14</f>
        <v/>
      </c>
      <c r="I73" s="17">
        <f>ROUNDUP(G73*(1+H73),-2)</f>
        <v/>
      </c>
      <c r="J73" s="21" t="n">
        <v>5000</v>
      </c>
      <c r="K73" s="12">
        <f>IF(J73&gt;0,ROUNDUP(I73/J73,0),0)</f>
        <v/>
      </c>
      <c r="L73" s="22">
        <f>I73*0.3048/1000</f>
        <v/>
      </c>
    </row>
    <row r="74">
      <c r="A74" s="12" t="inlineStr">
        <is>
          <t>RTD|12 tri|18</t>
        </is>
      </c>
      <c r="B74" s="12" t="inlineStr">
        <is>
          <t>Instrumentation</t>
        </is>
      </c>
      <c r="C74" s="12" t="inlineStr">
        <is>
          <t>RTD cable, #18 shielded triads, PLTC</t>
        </is>
      </c>
      <c r="D74" s="12" t="inlineStr">
        <is>
          <t>12 tri</t>
        </is>
      </c>
      <c r="E74" s="12" t="inlineStr">
        <is>
          <t>18</t>
        </is>
      </c>
      <c r="F74" s="18">
        <f>SUMIFS('Cable Schedule'!$AA$2:$AA$5912,'Cable Schedule'!$K$2:$K$5912,A74)</f>
        <v/>
      </c>
      <c r="G74" s="19">
        <f>SUMIFS('Cable Schedule'!$W$2:$W$5912,'Cable Schedule'!$K$2:$K$5912,A74)</f>
        <v/>
      </c>
      <c r="H74" s="20">
        <f>'Read Me'!$B$14</f>
        <v/>
      </c>
      <c r="I74" s="17">
        <f>ROUNDUP(G74*(1+H74),-2)</f>
        <v/>
      </c>
      <c r="J74" s="21" t="n">
        <v>5000</v>
      </c>
      <c r="K74" s="12">
        <f>IF(J74&gt;0,ROUNDUP(I74/J74,0),0)</f>
        <v/>
      </c>
      <c r="L74" s="22">
        <f>I74*0.3048/1000</f>
        <v/>
      </c>
    </row>
    <row r="75">
      <c r="A75" s="12" t="inlineStr">
        <is>
          <t>TCX|1 pr|16</t>
        </is>
      </c>
      <c r="B75" s="12" t="inlineStr">
        <is>
          <t>Instrumentation</t>
        </is>
      </c>
      <c r="C75" s="12" t="inlineStr">
        <is>
          <t>Thermocouple extension KX, #16 shielded pairs, PLTC</t>
        </is>
      </c>
      <c r="D75" s="12" t="inlineStr">
        <is>
          <t>1 pr</t>
        </is>
      </c>
      <c r="E75" s="12" t="inlineStr">
        <is>
          <t>16</t>
        </is>
      </c>
      <c r="F75" s="18">
        <f>SUMIFS('Cable Schedule'!$AA$2:$AA$5912,'Cable Schedule'!$K$2:$K$5912,A75)</f>
        <v/>
      </c>
      <c r="G75" s="19">
        <f>SUMIFS('Cable Schedule'!$W$2:$W$5912,'Cable Schedule'!$K$2:$K$5912,A75)</f>
        <v/>
      </c>
      <c r="H75" s="20">
        <f>'Read Me'!$B$14</f>
        <v/>
      </c>
      <c r="I75" s="17">
        <f>ROUNDUP(G75*(1+H75),-2)</f>
        <v/>
      </c>
      <c r="J75" s="21" t="n">
        <v>5000</v>
      </c>
      <c r="K75" s="12">
        <f>IF(J75&gt;0,ROUNDUP(I75/J75,0),0)</f>
        <v/>
      </c>
      <c r="L75" s="22">
        <f>I75*0.3048/1000</f>
        <v/>
      </c>
    </row>
    <row r="76">
      <c r="A76" s="12" t="inlineStr">
        <is>
          <t>TCX|12 pr|16</t>
        </is>
      </c>
      <c r="B76" s="12" t="inlineStr">
        <is>
          <t>Instrumentation</t>
        </is>
      </c>
      <c r="C76" s="12" t="inlineStr">
        <is>
          <t>Thermocouple extension KX, #16 shielded pairs, PLTC</t>
        </is>
      </c>
      <c r="D76" s="12" t="inlineStr">
        <is>
          <t>12 pr</t>
        </is>
      </c>
      <c r="E76" s="12" t="inlineStr">
        <is>
          <t>16</t>
        </is>
      </c>
      <c r="F76" s="18">
        <f>SUMIFS('Cable Schedule'!$AA$2:$AA$5912,'Cable Schedule'!$K$2:$K$5912,A76)</f>
        <v/>
      </c>
      <c r="G76" s="19">
        <f>SUMIFS('Cable Schedule'!$W$2:$W$5912,'Cable Schedule'!$K$2:$K$5912,A76)</f>
        <v/>
      </c>
      <c r="H76" s="20">
        <f>'Read Me'!$B$14</f>
        <v/>
      </c>
      <c r="I76" s="17">
        <f>ROUNDUP(G76*(1+H76),-2)</f>
        <v/>
      </c>
      <c r="J76" s="21" t="n">
        <v>5000</v>
      </c>
      <c r="K76" s="12">
        <f>IF(J76&gt;0,ROUNDUP(I76/J76,0),0)</f>
        <v/>
      </c>
      <c r="L76" s="22">
        <f>I76*0.3048/1000</f>
        <v/>
      </c>
    </row>
    <row r="77">
      <c r="A77" s="12" t="inlineStr">
        <is>
          <t>TCX|24 pr|16</t>
        </is>
      </c>
      <c r="B77" s="12" t="inlineStr">
        <is>
          <t>Instrumentation</t>
        </is>
      </c>
      <c r="C77" s="12" t="inlineStr">
        <is>
          <t>Thermocouple extension KX, #16 shielded pairs, PLTC</t>
        </is>
      </c>
      <c r="D77" s="12" t="inlineStr">
        <is>
          <t>24 pr</t>
        </is>
      </c>
      <c r="E77" s="12" t="inlineStr">
        <is>
          <t>16</t>
        </is>
      </c>
      <c r="F77" s="18">
        <f>SUMIFS('Cable Schedule'!$AA$2:$AA$5912,'Cable Schedule'!$K$2:$K$5912,A77)</f>
        <v/>
      </c>
      <c r="G77" s="19">
        <f>SUMIFS('Cable Schedule'!$W$2:$W$5912,'Cable Schedule'!$K$2:$K$5912,A77)</f>
        <v/>
      </c>
      <c r="H77" s="20">
        <f>'Read Me'!$B$14</f>
        <v/>
      </c>
      <c r="I77" s="17">
        <f>ROUNDUP(G77*(1+H77),-2)</f>
        <v/>
      </c>
      <c r="J77" s="21" t="n">
        <v>5000</v>
      </c>
      <c r="K77" s="12">
        <f>IF(J77&gt;0,ROUNDUP(I77/J77,0),0)</f>
        <v/>
      </c>
      <c r="L77" s="22">
        <f>I77*0.3048/1000</f>
        <v/>
      </c>
    </row>
    <row r="78">
      <c r="A78" s="12" t="inlineStr">
        <is>
          <t>FA|2/C|14</t>
        </is>
      </c>
      <c r="B78" s="12" t="inlineStr">
        <is>
          <t>Fire alarm</t>
        </is>
      </c>
      <c r="C78" s="12" t="inlineStr">
        <is>
          <t>Fire alarm FPLR 2/C #14 shielded, red jacket (NEC 760)</t>
        </is>
      </c>
      <c r="D78" s="12" t="inlineStr">
        <is>
          <t>2/C</t>
        </is>
      </c>
      <c r="E78" s="12" t="inlineStr">
        <is>
          <t>14</t>
        </is>
      </c>
      <c r="F78" s="18">
        <f>SUMIFS('Cable Schedule'!$AA$2:$AA$5912,'Cable Schedule'!$K$2:$K$5912,A78)</f>
        <v/>
      </c>
      <c r="G78" s="19">
        <f>SUMIFS('Cable Schedule'!$W$2:$W$5912,'Cable Schedule'!$K$2:$K$5912,A78)</f>
        <v/>
      </c>
      <c r="H78" s="20">
        <f>'Read Me'!$B$14</f>
        <v/>
      </c>
      <c r="I78" s="17">
        <f>ROUNDUP(G78*(1+H78),-2)</f>
        <v/>
      </c>
      <c r="J78" s="21" t="n">
        <v>5000</v>
      </c>
      <c r="K78" s="12">
        <f>IF(J78&gt;0,ROUNDUP(I78/J78,0),0)</f>
        <v/>
      </c>
      <c r="L78" s="22">
        <f>I78*0.3048/1000</f>
        <v/>
      </c>
    </row>
    <row r="79">
      <c r="A79" s="12" t="inlineStr">
        <is>
          <t>CAT6|4-pr|23</t>
        </is>
      </c>
      <c r="B79" s="12" t="inlineStr">
        <is>
          <t>Fibre / data</t>
        </is>
      </c>
      <c r="C79" s="12" t="inlineStr">
        <is>
          <t>Cat 6A U/FTP 4-pair 23 AWG, plenum CMP (data drops)</t>
        </is>
      </c>
      <c r="D79" s="12" t="inlineStr">
        <is>
          <t>4-pr</t>
        </is>
      </c>
      <c r="E79" s="12" t="inlineStr">
        <is>
          <t>23</t>
        </is>
      </c>
      <c r="F79" s="18">
        <f>SUMIFS('Cable Schedule'!$AA$2:$AA$5912,'Cable Schedule'!$K$2:$K$5912,A79)</f>
        <v/>
      </c>
      <c r="G79" s="19">
        <f>SUMIFS('Cable Schedule'!$W$2:$W$5912,'Cable Schedule'!$K$2:$K$5912,A79)</f>
        <v/>
      </c>
      <c r="H79" s="20">
        <f>'Read Me'!$B$14</f>
        <v/>
      </c>
      <c r="I79" s="17">
        <f>ROUNDUP(G79*(1+H79),-2)</f>
        <v/>
      </c>
      <c r="J79" s="21" t="n">
        <v>1000</v>
      </c>
      <c r="K79" s="12">
        <f>IF(J79&gt;0,ROUNDUP(I79/J79,0),0)</f>
        <v/>
      </c>
      <c r="L79" s="22">
        <f>I79*0.3048/1000</f>
        <v/>
      </c>
    </row>
    <row r="80">
      <c r="A80" s="12" t="inlineStr">
        <is>
          <t>FO|12 SM|-</t>
        </is>
      </c>
      <c r="B80" s="12" t="inlineStr">
        <is>
          <t>Fibre / data</t>
        </is>
      </c>
      <c r="C80" s="12" t="inlineStr">
        <is>
          <t>Fibre optic, single-mode, 12-fibre, armored, orange jacket</t>
        </is>
      </c>
      <c r="D80" s="12" t="inlineStr">
        <is>
          <t>12 SM</t>
        </is>
      </c>
      <c r="E80" s="12" t="inlineStr">
        <is>
          <t>-</t>
        </is>
      </c>
      <c r="F80" s="18">
        <f>SUMIFS('Cable Schedule'!$AA$2:$AA$5912,'Cable Schedule'!$K$2:$K$5912,A80)</f>
        <v/>
      </c>
      <c r="G80" s="19">
        <f>SUMIFS('Cable Schedule'!$W$2:$W$5912,'Cable Schedule'!$K$2:$K$5912,A80)</f>
        <v/>
      </c>
      <c r="H80" s="20">
        <f>'Read Me'!$B$14</f>
        <v/>
      </c>
      <c r="I80" s="17">
        <f>ROUNDUP(G80*(1+H80),-2)</f>
        <v/>
      </c>
      <c r="J80" s="21" t="n">
        <v>10000</v>
      </c>
      <c r="K80" s="12">
        <f>IF(J80&gt;0,ROUNDUP(I80/J80,0),0)</f>
        <v/>
      </c>
      <c r="L80" s="22">
        <f>I80*0.3048/1000</f>
        <v/>
      </c>
    </row>
    <row r="81">
      <c r="A81" s="12" t="inlineStr">
        <is>
          <t>PV|1/C|500</t>
        </is>
      </c>
      <c r="B81" s="12" t="inlineStr">
        <is>
          <t>DC 2 kV</t>
        </is>
      </c>
      <c r="C81" s="12" t="inlineStr">
        <is>
          <t>PV / RHW-2 2 kV 1/C Cu, XLPE (DC)</t>
        </is>
      </c>
      <c r="D81" s="12" t="inlineStr">
        <is>
          <t>1/C</t>
        </is>
      </c>
      <c r="E81" s="12" t="inlineStr">
        <is>
          <t>500 kcmil</t>
        </is>
      </c>
      <c r="F81" s="18">
        <f>SUMIFS('Cable Schedule'!$AA$2:$AA$5912,'Cable Schedule'!$K$2:$K$5912,A81)</f>
        <v/>
      </c>
      <c r="G81" s="19">
        <f>SUMIFS('Cable Schedule'!$W$2:$W$5912,'Cable Schedule'!$K$2:$K$5912,A81)</f>
        <v/>
      </c>
      <c r="H81" s="20">
        <f>'Read Me'!$B$14</f>
        <v/>
      </c>
      <c r="I81" s="17">
        <f>ROUNDUP(G81*(1+H81),-2)</f>
        <v/>
      </c>
      <c r="J81" s="21" t="n">
        <v>2500</v>
      </c>
      <c r="K81" s="12">
        <f>IF(J81&gt;0,ROUNDUP(I81/J81,0),0)</f>
        <v/>
      </c>
      <c r="L81" s="22">
        <f>I81*0.3048/1000</f>
        <v/>
      </c>
    </row>
    <row r="82">
      <c r="A82" s="12" t="inlineStr">
        <is>
          <t>SHD|3/C|2</t>
        </is>
      </c>
      <c r="B82" s="12" t="inlineStr">
        <is>
          <t>Portable MV</t>
        </is>
      </c>
      <c r="C82" s="12" t="inlineStr">
        <is>
          <t>Type SHD-GC 15 kV 3/C Cu, 2 grounds + GC, yellow CPE (portable)</t>
        </is>
      </c>
      <c r="D82" s="12" t="inlineStr">
        <is>
          <t>3/C</t>
        </is>
      </c>
      <c r="E82" s="12" t="inlineStr">
        <is>
          <t>2</t>
        </is>
      </c>
      <c r="F82" s="18">
        <f>SUMIFS('Cable Schedule'!$AA$2:$AA$5912,'Cable Schedule'!$K$2:$K$5912,A82)</f>
        <v/>
      </c>
      <c r="G82" s="19">
        <f>SUMIFS('Cable Schedule'!$W$2:$W$5912,'Cable Schedule'!$K$2:$K$5912,A82)</f>
        <v/>
      </c>
      <c r="H82" s="20">
        <f>'Read Me'!$B$14</f>
        <v/>
      </c>
      <c r="I82" s="17">
        <f>ROUNDUP(G82*(1+H82),-2)</f>
        <v/>
      </c>
      <c r="J82" s="21" t="n">
        <v>1000</v>
      </c>
      <c r="K82" s="12">
        <f>IF(J82&gt;0,ROUNDUP(I82/J82,0),0)</f>
        <v/>
      </c>
      <c r="L82" s="22">
        <f>I82*0.3048/1000</f>
        <v/>
      </c>
    </row>
    <row r="83">
      <c r="A83" s="12" t="inlineStr">
        <is>
          <t>W|1/C|4/0</t>
        </is>
      </c>
      <c r="B83" s="12" t="inlineStr">
        <is>
          <t>Portable LV</t>
        </is>
      </c>
      <c r="C83" s="12" t="inlineStr">
        <is>
          <t>Type W 2 kV 1/C Cu, EPDM / CPE (portable, cam-lock)</t>
        </is>
      </c>
      <c r="D83" s="12" t="inlineStr">
        <is>
          <t>1/C</t>
        </is>
      </c>
      <c r="E83" s="12" t="inlineStr">
        <is>
          <t>4/0</t>
        </is>
      </c>
      <c r="F83" s="18">
        <f>SUMIFS('Cable Schedule'!$AA$2:$AA$5912,'Cable Schedule'!$K$2:$K$5912,A83)</f>
        <v/>
      </c>
      <c r="G83" s="19">
        <f>SUMIFS('Cable Schedule'!$W$2:$W$5912,'Cable Schedule'!$K$2:$K$5912,A83)</f>
        <v/>
      </c>
      <c r="H83" s="20">
        <f>'Read Me'!$B$14</f>
        <v/>
      </c>
      <c r="I83" s="17">
        <f>ROUNDUP(G83*(1+H83),-2)</f>
        <v/>
      </c>
      <c r="J83" s="21" t="n">
        <v>1000</v>
      </c>
      <c r="K83" s="12">
        <f>IF(J83&gt;0,ROUNDUP(I83/J83,0),0)</f>
        <v/>
      </c>
      <c r="L83" s="22">
        <f>I83*0.3048/1000</f>
        <v/>
      </c>
    </row>
    <row r="84">
      <c r="A84" s="12" t="inlineStr">
        <is>
          <t>MC|2/C+G|12</t>
        </is>
      </c>
      <c r="B84" s="12" t="inlineStr">
        <is>
          <t>Building wire</t>
        </is>
      </c>
      <c r="C84" s="12" t="inlineStr">
        <is>
          <t>Southwire MC 600 V, Cu THHN, Al interlocked armour (branch circuits)</t>
        </is>
      </c>
      <c r="D84" s="12" t="inlineStr">
        <is>
          <t>2/C+G</t>
        </is>
      </c>
      <c r="E84" s="12" t="inlineStr">
        <is>
          <t>12</t>
        </is>
      </c>
      <c r="F84" s="18">
        <f>SUMIFS('Cable Schedule'!$AA$2:$AA$5912,'Cable Schedule'!$K$2:$K$5912,A84)</f>
        <v/>
      </c>
      <c r="G84" s="19">
        <f>SUMIFS('Cable Schedule'!$W$2:$W$5912,'Cable Schedule'!$K$2:$K$5912,A84)</f>
        <v/>
      </c>
      <c r="H84" s="20">
        <f>'Read Me'!$B$14</f>
        <v/>
      </c>
      <c r="I84" s="17">
        <f>ROUNDUP(G84*(1+H84),-2)</f>
        <v/>
      </c>
      <c r="J84" s="21" t="n">
        <v>1000</v>
      </c>
      <c r="K84" s="12">
        <f>IF(J84&gt;0,ROUNDUP(I84/J84,0),0)</f>
        <v/>
      </c>
      <c r="L84" s="22">
        <f>I84*0.3048/1000</f>
        <v/>
      </c>
    </row>
    <row r="85">
      <c r="A85" s="12" t="inlineStr">
        <is>
          <t>MC|3/C+G|12</t>
        </is>
      </c>
      <c r="B85" s="12" t="inlineStr">
        <is>
          <t>Building wire</t>
        </is>
      </c>
      <c r="C85" s="12" t="inlineStr">
        <is>
          <t>Southwire MC 600 V, Cu THHN, Al interlocked armour (branch circuits)</t>
        </is>
      </c>
      <c r="D85" s="12" t="inlineStr">
        <is>
          <t>3/C+G</t>
        </is>
      </c>
      <c r="E85" s="12" t="inlineStr">
        <is>
          <t>12</t>
        </is>
      </c>
      <c r="F85" s="18">
        <f>SUMIFS('Cable Schedule'!$AA$2:$AA$5912,'Cable Schedule'!$K$2:$K$5912,A85)</f>
        <v/>
      </c>
      <c r="G85" s="19">
        <f>SUMIFS('Cable Schedule'!$W$2:$W$5912,'Cable Schedule'!$K$2:$K$5912,A85)</f>
        <v/>
      </c>
      <c r="H85" s="20">
        <f>'Read Me'!$B$14</f>
        <v/>
      </c>
      <c r="I85" s="17">
        <f>ROUNDUP(G85*(1+H85),-2)</f>
        <v/>
      </c>
      <c r="J85" s="21" t="n">
        <v>1000</v>
      </c>
      <c r="K85" s="12">
        <f>IF(J85&gt;0,ROUNDUP(I85/J85,0),0)</f>
        <v/>
      </c>
      <c r="L85" s="22">
        <f>I85*0.3048/1000</f>
        <v/>
      </c>
    </row>
    <row r="86">
      <c r="A86" s="12" t="inlineStr">
        <is>
          <t>THHN|1/C|12</t>
        </is>
      </c>
      <c r="B86" s="12" t="inlineStr">
        <is>
          <t>Building wire</t>
        </is>
      </c>
      <c r="C86" s="12" t="inlineStr">
        <is>
          <t>SIMpull THHN/THWN-2 600 V 1/C Cu (lighting, receptacles, small power)</t>
        </is>
      </c>
      <c r="D86" s="12" t="inlineStr">
        <is>
          <t>1/C</t>
        </is>
      </c>
      <c r="E86" s="12" t="inlineStr">
        <is>
          <t>12</t>
        </is>
      </c>
      <c r="F86" s="18">
        <f>SUMIFS('Cable Schedule'!$AA$2:$AA$5912,'Cable Schedule'!$K$2:$K$5912,A86)</f>
        <v/>
      </c>
      <c r="G86" s="19">
        <f>SUMIFS('Cable Schedule'!$W$2:$W$5912,'Cable Schedule'!$K$2:$K$5912,A86)</f>
        <v/>
      </c>
      <c r="H86" s="20">
        <f>'Read Me'!$B$14</f>
        <v/>
      </c>
      <c r="I86" s="17">
        <f>ROUNDUP(G86*(1+H86),-2)</f>
        <v/>
      </c>
      <c r="J86" s="21" t="n">
        <v>5000</v>
      </c>
      <c r="K86" s="12">
        <f>IF(J86&gt;0,ROUNDUP(I86/J86,0),0)</f>
        <v/>
      </c>
      <c r="L86" s="22">
        <f>I86*0.3048/1000</f>
        <v/>
      </c>
    </row>
    <row r="87">
      <c r="A87" s="12" t="inlineStr">
        <is>
          <t>THHN|1/C|4</t>
        </is>
      </c>
      <c r="B87" s="12" t="inlineStr">
        <is>
          <t>Building wire</t>
        </is>
      </c>
      <c r="C87" s="12" t="inlineStr">
        <is>
          <t>SIMpull THHN/THWN-2 600 V 1/C Cu (lighting, receptacles, small power)</t>
        </is>
      </c>
      <c r="D87" s="12" t="inlineStr">
        <is>
          <t>1/C</t>
        </is>
      </c>
      <c r="E87" s="12" t="inlineStr">
        <is>
          <t>4</t>
        </is>
      </c>
      <c r="F87" s="18">
        <f>SUMIFS('Cable Schedule'!$AA$2:$AA$5912,'Cable Schedule'!$K$2:$K$5912,A87)</f>
        <v/>
      </c>
      <c r="G87" s="19">
        <f>SUMIFS('Cable Schedule'!$W$2:$W$5912,'Cable Schedule'!$K$2:$K$5912,A87)</f>
        <v/>
      </c>
      <c r="H87" s="20">
        <f>'Read Me'!$B$14</f>
        <v/>
      </c>
      <c r="I87" s="17">
        <f>ROUNDUP(G87*(1+H87),-2)</f>
        <v/>
      </c>
      <c r="J87" s="21" t="n">
        <v>5000</v>
      </c>
      <c r="K87" s="12">
        <f>IF(J87&gt;0,ROUNDUP(I87/J87,0),0)</f>
        <v/>
      </c>
      <c r="L87" s="22">
        <f>I87*0.3048/1000</f>
        <v/>
      </c>
    </row>
    <row r="88">
      <c r="A88" s="12" t="inlineStr">
        <is>
          <t>THHN|1/C|2</t>
        </is>
      </c>
      <c r="B88" s="12" t="inlineStr">
        <is>
          <t>Building wire</t>
        </is>
      </c>
      <c r="C88" s="12" t="inlineStr">
        <is>
          <t>SIMpull THHN/THWN-2 600 V 1/C Cu (lighting, receptacles, small power)</t>
        </is>
      </c>
      <c r="D88" s="12" t="inlineStr">
        <is>
          <t>1/C</t>
        </is>
      </c>
      <c r="E88" s="12" t="inlineStr">
        <is>
          <t>2</t>
        </is>
      </c>
      <c r="F88" s="18">
        <f>SUMIFS('Cable Schedule'!$AA$2:$AA$5912,'Cable Schedule'!$K$2:$K$5912,A88)</f>
        <v/>
      </c>
      <c r="G88" s="19">
        <f>SUMIFS('Cable Schedule'!$W$2:$W$5912,'Cable Schedule'!$K$2:$K$5912,A88)</f>
        <v/>
      </c>
      <c r="H88" s="20">
        <f>'Read Me'!$B$14</f>
        <v/>
      </c>
      <c r="I88" s="17">
        <f>ROUNDUP(G88*(1+H88),-2)</f>
        <v/>
      </c>
      <c r="J88" s="21" t="n">
        <v>5000</v>
      </c>
      <c r="K88" s="12">
        <f>IF(J88&gt;0,ROUNDUP(I88/J88,0),0)</f>
        <v/>
      </c>
      <c r="L88" s="22">
        <f>I88*0.3048/1000</f>
        <v/>
      </c>
    </row>
    <row r="89">
      <c r="A89" s="12" t="inlineStr">
        <is>
          <t>THHN|1/C|1</t>
        </is>
      </c>
      <c r="B89" s="12" t="inlineStr">
        <is>
          <t>Building wire</t>
        </is>
      </c>
      <c r="C89" s="12" t="inlineStr">
        <is>
          <t>SIMpull THHN/THWN-2 600 V 1/C Cu (lighting, receptacles, small power)</t>
        </is>
      </c>
      <c r="D89" s="12" t="inlineStr">
        <is>
          <t>1/C</t>
        </is>
      </c>
      <c r="E89" s="12" t="inlineStr">
        <is>
          <t>1</t>
        </is>
      </c>
      <c r="F89" s="18">
        <f>SUMIFS('Cable Schedule'!$AA$2:$AA$5912,'Cable Schedule'!$K$2:$K$5912,A89)</f>
        <v/>
      </c>
      <c r="G89" s="19">
        <f>SUMIFS('Cable Schedule'!$W$2:$W$5912,'Cable Schedule'!$K$2:$K$5912,A89)</f>
        <v/>
      </c>
      <c r="H89" s="20">
        <f>'Read Me'!$B$14</f>
        <v/>
      </c>
      <c r="I89" s="17">
        <f>ROUNDUP(G89*(1+H89),-2)</f>
        <v/>
      </c>
      <c r="J89" s="21" t="n">
        <v>5000</v>
      </c>
      <c r="K89" s="12">
        <f>IF(J89&gt;0,ROUNDUP(I89/J89,0),0)</f>
        <v/>
      </c>
      <c r="L89" s="22">
        <f>I89*0.3048/1000</f>
        <v/>
      </c>
    </row>
    <row r="90">
      <c r="A90" s="12" t="inlineStr">
        <is>
          <t>THHN|1/C|4/0</t>
        </is>
      </c>
      <c r="B90" s="12" t="inlineStr">
        <is>
          <t>Building wire</t>
        </is>
      </c>
      <c r="C90" s="12" t="inlineStr">
        <is>
          <t>SIMpull THHN/THWN-2 600 V 1/C Cu (lighting, receptacles, small power)</t>
        </is>
      </c>
      <c r="D90" s="12" t="inlineStr">
        <is>
          <t>1/C</t>
        </is>
      </c>
      <c r="E90" s="12" t="inlineStr">
        <is>
          <t>4/0</t>
        </is>
      </c>
      <c r="F90" s="18">
        <f>SUMIFS('Cable Schedule'!$AA$2:$AA$5912,'Cable Schedule'!$K$2:$K$5912,A90)</f>
        <v/>
      </c>
      <c r="G90" s="19">
        <f>SUMIFS('Cable Schedule'!$W$2:$W$5912,'Cable Schedule'!$K$2:$K$5912,A90)</f>
        <v/>
      </c>
      <c r="H90" s="20">
        <f>'Read Me'!$B$14</f>
        <v/>
      </c>
      <c r="I90" s="17">
        <f>ROUNDUP(G90*(1+H90),-2)</f>
        <v/>
      </c>
      <c r="J90" s="21" t="n">
        <v>5000</v>
      </c>
      <c r="K90" s="12">
        <f>IF(J90&gt;0,ROUNDUP(I90/J90,0),0)</f>
        <v/>
      </c>
      <c r="L90" s="22">
        <f>I90*0.3048/1000</f>
        <v/>
      </c>
    </row>
    <row r="91">
      <c r="A91" s="12" t="inlineStr">
        <is>
          <t>THHN|1/C|3</t>
        </is>
      </c>
      <c r="B91" s="12" t="inlineStr">
        <is>
          <t>Building wire</t>
        </is>
      </c>
      <c r="C91" s="12" t="inlineStr">
        <is>
          <t>SIMpull THHN/THWN-2 600 V 1/C Cu (lighting, receptacles, small power)</t>
        </is>
      </c>
      <c r="D91" s="12" t="inlineStr">
        <is>
          <t>1/C</t>
        </is>
      </c>
      <c r="E91" s="12" t="inlineStr">
        <is>
          <t>3</t>
        </is>
      </c>
      <c r="F91" s="18">
        <f>SUMIFS('Cable Schedule'!$AA$2:$AA$5912,'Cable Schedule'!$K$2:$K$5912,A91)</f>
        <v/>
      </c>
      <c r="G91" s="19">
        <f>SUMIFS('Cable Schedule'!$W$2:$W$5912,'Cable Schedule'!$K$2:$K$5912,A91)</f>
        <v/>
      </c>
      <c r="H91" s="20">
        <f>'Read Me'!$B$14</f>
        <v/>
      </c>
      <c r="I91" s="17">
        <f>ROUNDUP(G91*(1+H91),-2)</f>
        <v/>
      </c>
      <c r="J91" s="21" t="n">
        <v>5000</v>
      </c>
      <c r="K91" s="12">
        <f>IF(J91&gt;0,ROUNDUP(I91/J91,0),0)</f>
        <v/>
      </c>
      <c r="L91" s="22">
        <f>I91*0.3048/1000</f>
        <v/>
      </c>
    </row>
    <row r="92">
      <c r="A92" s="12" t="inlineStr">
        <is>
          <t>BARE|1/C|4/0</t>
        </is>
      </c>
      <c r="B92" s="12" t="inlineStr">
        <is>
          <t>Grounding</t>
        </is>
      </c>
      <c r="C92" s="12" t="inlineStr">
        <is>
          <t>Bare Cu 4/0 AWG, 19 strand (ground grid and equipment grounds)</t>
        </is>
      </c>
      <c r="D92" s="12" t="inlineStr">
        <is>
          <t>1/C</t>
        </is>
      </c>
      <c r="E92" s="12" t="inlineStr">
        <is>
          <t>4/0</t>
        </is>
      </c>
      <c r="F92" s="18">
        <f>SUMIFS('Cable Schedule'!$AA$2:$AA$5912,'Cable Schedule'!$K$2:$K$5912,A92)</f>
        <v/>
      </c>
      <c r="G92" s="19">
        <f>SUMIFS('Cable Schedule'!$W$2:$W$5912,'Cable Schedule'!$K$2:$K$5912,A92)</f>
        <v/>
      </c>
      <c r="H92" s="20">
        <f>'Read Me'!$B$14</f>
        <v/>
      </c>
      <c r="I92" s="17">
        <f>ROUNDUP(G92*(1+H92),-2)</f>
        <v/>
      </c>
      <c r="J92" s="21" t="n">
        <v>5000</v>
      </c>
      <c r="K92" s="12">
        <f>IF(J92&gt;0,ROUNDUP(I92/J92,0),0)</f>
        <v/>
      </c>
      <c r="L92" s="22">
        <f>I92*0.3048/1000</f>
        <v/>
      </c>
    </row>
    <row r="93">
      <c r="A93" s="12" t="inlineStr">
        <is>
          <t>ACSR|1/C|1590</t>
        </is>
      </c>
      <c r="B93" s="12" t="inlineStr">
        <is>
          <t>Overhead</t>
        </is>
      </c>
      <c r="C93" s="12" t="inlineStr">
        <is>
          <t>Overhead conductor ACSR 1590 kcmil 'Falcon' (typ.)</t>
        </is>
      </c>
      <c r="D93" s="12" t="inlineStr">
        <is>
          <t>1/C</t>
        </is>
      </c>
      <c r="E93" s="12" t="inlineStr">
        <is>
          <t>1590 kcmil</t>
        </is>
      </c>
      <c r="F93" s="18">
        <f>SUMIFS('Cable Schedule'!$AA$2:$AA$5912,'Cable Schedule'!$K$2:$K$5912,A93)</f>
        <v/>
      </c>
      <c r="G93" s="19">
        <f>SUMIFS('Cable Schedule'!$W$2:$W$5912,'Cable Schedule'!$K$2:$K$5912,A93)</f>
        <v/>
      </c>
      <c r="H93" s="20">
        <f>'Read Me'!$B$14</f>
        <v/>
      </c>
      <c r="I93" s="17">
        <f>ROUNDUP(G93*(1+H93),-2)</f>
        <v/>
      </c>
      <c r="J93" s="21" t="n">
        <v>7000</v>
      </c>
      <c r="K93" s="12">
        <f>IF(J93&gt;0,ROUNDUP(I93/J93,0),0)</f>
        <v/>
      </c>
      <c r="L93" s="22">
        <f>I93*0.3048/1000</f>
        <v/>
      </c>
    </row>
    <row r="94">
      <c r="C94" s="23" t="inlineStr">
        <is>
          <t>Total</t>
        </is>
      </c>
      <c r="F94" s="24">
        <f>SUM(F2:F93)</f>
        <v/>
      </c>
      <c r="G94" s="24">
        <f>SUM(G2:G93)</f>
        <v/>
      </c>
      <c r="I94" s="24">
        <f>SUM(I2:I93)</f>
        <v/>
      </c>
      <c r="K94" s="24">
        <f>SUM(K2:K93)</f>
        <v/>
      </c>
      <c r="L94" s="25">
        <f>SUM(L2:L93)</f>
        <v/>
      </c>
    </row>
    <row r="96">
      <c r="A96"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Schedule'!X2:X5912)</f>
        <v/>
      </c>
    </row>
    <row r="3">
      <c r="A3" s="12" t="inlineStr">
        <is>
          <t>ARMOR-X / Type W connectors and glands</t>
        </is>
      </c>
      <c r="B3" s="19">
        <f>SUM('Cable Schedule'!Y2:Y5912)</f>
        <v/>
      </c>
    </row>
    <row r="4">
      <c r="A4" s="12" t="inlineStr">
        <is>
          <t>MV splice kits (allowance: 1 per 2,500 ft of MV 1/C)</t>
        </is>
      </c>
      <c r="B4" s="19">
        <f>ROUNDUP(SUMIFS('Cable Schedule'!W2:W5912,'Cable Schedule'!I2:I5912,"MV*",'Cable Schedule'!L2:L5912,"1/C")/2500,0)</f>
        <v/>
      </c>
    </row>
    <row r="5">
      <c r="A5" s="12" t="inlineStr">
        <is>
          <t>230 kV outdoor terminations</t>
        </is>
      </c>
      <c r="B5" s="19">
        <f>2*SUMIFS('Cable Schedule'!O2:O5912,'Cable Schedule'!I2:I5912,"HV 230 kV")</f>
        <v/>
      </c>
    </row>
    <row r="6">
      <c r="A6" s="12" t="inlineStr">
        <is>
          <t>600 V compression lugs (power, 4 per end)</t>
        </is>
      </c>
      <c r="B6" s="19">
        <f>2*4*SUMIFS('Cable Schedule'!N2:N5912,'Cable Schedule'!I2:I5912,"LV 600 V")</f>
        <v/>
      </c>
    </row>
    <row r="7">
      <c r="A7" s="12" t="inlineStr">
        <is>
          <t>Instrument / control cable glands (2 per run)</t>
        </is>
      </c>
      <c r="B7" s="19">
        <f>2*(COUNTIF('Cable Schedule'!I2:I5912,"Control")+COUNTIF('Cable Schedule'!I2:I5912,"Instrumentation"))</f>
        <v/>
      </c>
    </row>
    <row r="8">
      <c r="A8" s="12" t="inlineStr">
        <is>
          <t>Fibre patch / termination (2 per link)</t>
        </is>
      </c>
      <c r="B8" s="19">
        <f>2*COUNTIF('Cable Schedule'!I2:I5912,"Fibre / data")</f>
        <v/>
      </c>
    </row>
    <row r="9">
      <c r="A9" s="12" t="inlineStr">
        <is>
          <t>Ground connections: exothermic welds (allowance 1 per 25 ft of grid)</t>
        </is>
      </c>
      <c r="B9" s="19">
        <f>ROUNDUP(SUMIFS('Cable Schedule'!W2:W5912,'Cable Schedule'!I2:I5912,"Grounding")/25,0)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Schedule'!$W$2:$W$5912,'Cable Schedule'!$B$2:$B$5912,"A",'Cable Schedule'!$I$2:$I$5912,"MV 15 kV")</f>
        <v/>
      </c>
      <c r="C3" s="19">
        <f>SUMIFS('Cable Schedule'!$W$2:$W$5912,'Cable Schedule'!$B$2:$B$5912,"A",'Cable Schedule'!$I$2:$I$5912,"MV 5 kV")</f>
        <v/>
      </c>
      <c r="D3" s="19">
        <f>SUMIFS('Cable Schedule'!$W$2:$W$5912,'Cable Schedule'!$B$2:$B$5912,"A",'Cable Schedule'!$I$2:$I$5912,"MV 25 kV")</f>
        <v/>
      </c>
      <c r="E3" s="19">
        <f>SUMIFS('Cable Schedule'!$W$2:$W$5912,'Cable Schedule'!$B$2:$B$5912,"A",'Cable Schedule'!$I$2:$I$5912,"MV 35 kV")</f>
        <v/>
      </c>
      <c r="F3" s="19">
        <f>SUMIFS('Cable Schedule'!$W$2:$W$5912,'Cable Schedule'!$B$2:$B$5912,"A",'Cable Schedule'!$I$2:$I$5912,"HV 230 kV")</f>
        <v/>
      </c>
      <c r="G3" s="19">
        <f>SUMIFS('Cable Schedule'!$W$2:$W$5912,'Cable Schedule'!$B$2:$B$5912,"A",'Cable Schedule'!$I$2:$I$5912,"LV 600 V")</f>
        <v/>
      </c>
      <c r="H3" s="19">
        <f>SUMIFS('Cable Schedule'!$W$2:$W$5912,'Cable Schedule'!$B$2:$B$5912,"A",'Cable Schedule'!$I$2:$I$5912,"Control")</f>
        <v/>
      </c>
      <c r="I3" s="19">
        <f>SUMIFS('Cable Schedule'!$W$2:$W$5912,'Cable Schedule'!$B$2:$B$5912,"A",'Cable Schedule'!$I$2:$I$5912,"Instrumentation")</f>
        <v/>
      </c>
      <c r="J3" s="19">
        <f>SUMIFS('Cable Schedule'!$W$2:$W$5912,'Cable Schedule'!$B$2:$B$5912,"A",'Cable Schedule'!$I$2:$I$5912,"Fire alarm")</f>
        <v/>
      </c>
      <c r="K3" s="19">
        <f>SUMIFS('Cable Schedule'!$W$2:$W$5912,'Cable Schedule'!$B$2:$B$5912,"A",'Cable Schedule'!$I$2:$I$5912,"Fibre / data")</f>
        <v/>
      </c>
      <c r="L3" s="19">
        <f>SUMIFS('Cable Schedule'!$W$2:$W$5912,'Cable Schedule'!$B$2:$B$5912,"A",'Cable Schedule'!$I$2:$I$5912,"DC 2 kV")</f>
        <v/>
      </c>
      <c r="M3" s="19">
        <f>SUMIFS('Cable Schedule'!$W$2:$W$5912,'Cable Schedule'!$B$2:$B$5912,"A",'Cable Schedule'!$I$2:$I$5912,"Portable MV")</f>
        <v/>
      </c>
      <c r="N3" s="19">
        <f>SUMIFS('Cable Schedule'!$W$2:$W$5912,'Cable Schedule'!$B$2:$B$5912,"A",'Cable Schedule'!$I$2:$I$5912,"Portable LV")</f>
        <v/>
      </c>
      <c r="O3" s="19">
        <f>SUMIFS('Cable Schedule'!$W$2:$W$5912,'Cable Schedule'!$B$2:$B$5912,"A",'Cable Schedule'!$I$2:$I$5912,"Building wire")</f>
        <v/>
      </c>
      <c r="P3" s="19">
        <f>SUMIFS('Cable Schedule'!$W$2:$W$5912,'Cable Schedule'!$B$2:$B$5912,"A",'Cable Schedule'!$I$2:$I$5912,"Grounding")</f>
        <v/>
      </c>
      <c r="Q3" s="19">
        <f>SUMIFS('Cable Schedule'!$W$2:$W$5912,'Cable Schedule'!$B$2:$B$5912,"A",'Cable Schedule'!$I$2:$I$5912,"Overhead")</f>
        <v/>
      </c>
      <c r="R3" s="29">
        <f>SUM(B3:Q3)</f>
        <v/>
      </c>
    </row>
    <row r="4">
      <c r="A4" s="12" t="inlineStr">
        <is>
          <t>B  ACC</t>
        </is>
      </c>
      <c r="B4" s="19">
        <f>SUMIFS('Cable Schedule'!$W$2:$W$5912,'Cable Schedule'!$B$2:$B$5912,"B",'Cable Schedule'!$I$2:$I$5912,"MV 15 kV")</f>
        <v/>
      </c>
      <c r="C4" s="19">
        <f>SUMIFS('Cable Schedule'!$W$2:$W$5912,'Cable Schedule'!$B$2:$B$5912,"B",'Cable Schedule'!$I$2:$I$5912,"MV 5 kV")</f>
        <v/>
      </c>
      <c r="D4" s="19">
        <f>SUMIFS('Cable Schedule'!$W$2:$W$5912,'Cable Schedule'!$B$2:$B$5912,"B",'Cable Schedule'!$I$2:$I$5912,"MV 25 kV")</f>
        <v/>
      </c>
      <c r="E4" s="19">
        <f>SUMIFS('Cable Schedule'!$W$2:$W$5912,'Cable Schedule'!$B$2:$B$5912,"B",'Cable Schedule'!$I$2:$I$5912,"MV 35 kV")</f>
        <v/>
      </c>
      <c r="F4" s="19">
        <f>SUMIFS('Cable Schedule'!$W$2:$W$5912,'Cable Schedule'!$B$2:$B$5912,"B",'Cable Schedule'!$I$2:$I$5912,"HV 230 kV")</f>
        <v/>
      </c>
      <c r="G4" s="19">
        <f>SUMIFS('Cable Schedule'!$W$2:$W$5912,'Cable Schedule'!$B$2:$B$5912,"B",'Cable Schedule'!$I$2:$I$5912,"LV 600 V")</f>
        <v/>
      </c>
      <c r="H4" s="19">
        <f>SUMIFS('Cable Schedule'!$W$2:$W$5912,'Cable Schedule'!$B$2:$B$5912,"B",'Cable Schedule'!$I$2:$I$5912,"Control")</f>
        <v/>
      </c>
      <c r="I4" s="19">
        <f>SUMIFS('Cable Schedule'!$W$2:$W$5912,'Cable Schedule'!$B$2:$B$5912,"B",'Cable Schedule'!$I$2:$I$5912,"Instrumentation")</f>
        <v/>
      </c>
      <c r="J4" s="19">
        <f>SUMIFS('Cable Schedule'!$W$2:$W$5912,'Cable Schedule'!$B$2:$B$5912,"B",'Cable Schedule'!$I$2:$I$5912,"Fire alarm")</f>
        <v/>
      </c>
      <c r="K4" s="19">
        <f>SUMIFS('Cable Schedule'!$W$2:$W$5912,'Cable Schedule'!$B$2:$B$5912,"B",'Cable Schedule'!$I$2:$I$5912,"Fibre / data")</f>
        <v/>
      </c>
      <c r="L4" s="19">
        <f>SUMIFS('Cable Schedule'!$W$2:$W$5912,'Cable Schedule'!$B$2:$B$5912,"B",'Cable Schedule'!$I$2:$I$5912,"DC 2 kV")</f>
        <v/>
      </c>
      <c r="M4" s="19">
        <f>SUMIFS('Cable Schedule'!$W$2:$W$5912,'Cable Schedule'!$B$2:$B$5912,"B",'Cable Schedule'!$I$2:$I$5912,"Portable MV")</f>
        <v/>
      </c>
      <c r="N4" s="19">
        <f>SUMIFS('Cable Schedule'!$W$2:$W$5912,'Cable Schedule'!$B$2:$B$5912,"B",'Cable Schedule'!$I$2:$I$5912,"Portable LV")</f>
        <v/>
      </c>
      <c r="O4" s="19">
        <f>SUMIFS('Cable Schedule'!$W$2:$W$5912,'Cable Schedule'!$B$2:$B$5912,"B",'Cable Schedule'!$I$2:$I$5912,"Building wire")</f>
        <v/>
      </c>
      <c r="P4" s="19">
        <f>SUMIFS('Cable Schedule'!$W$2:$W$5912,'Cable Schedule'!$B$2:$B$5912,"B",'Cable Schedule'!$I$2:$I$5912,"Grounding")</f>
        <v/>
      </c>
      <c r="Q4" s="19">
        <f>SUMIFS('Cable Schedule'!$W$2:$W$5912,'Cable Schedule'!$B$2:$B$5912,"B",'Cable Schedule'!$I$2:$I$5912,"Overhead")</f>
        <v/>
      </c>
      <c r="R4" s="29">
        <f>SUM(B4:Q4)</f>
        <v/>
      </c>
    </row>
    <row r="5">
      <c r="A5" s="12" t="inlineStr">
        <is>
          <t>C  Grid interface</t>
        </is>
      </c>
      <c r="B5" s="19">
        <f>SUMIFS('Cable Schedule'!$W$2:$W$5912,'Cable Schedule'!$B$2:$B$5912,"C",'Cable Schedule'!$I$2:$I$5912,"MV 15 kV")</f>
        <v/>
      </c>
      <c r="C5" s="19">
        <f>SUMIFS('Cable Schedule'!$W$2:$W$5912,'Cable Schedule'!$B$2:$B$5912,"C",'Cable Schedule'!$I$2:$I$5912,"MV 5 kV")</f>
        <v/>
      </c>
      <c r="D5" s="19">
        <f>SUMIFS('Cable Schedule'!$W$2:$W$5912,'Cable Schedule'!$B$2:$B$5912,"C",'Cable Schedule'!$I$2:$I$5912,"MV 25 kV")</f>
        <v/>
      </c>
      <c r="E5" s="19">
        <f>SUMIFS('Cable Schedule'!$W$2:$W$5912,'Cable Schedule'!$B$2:$B$5912,"C",'Cable Schedule'!$I$2:$I$5912,"MV 35 kV")</f>
        <v/>
      </c>
      <c r="F5" s="19">
        <f>SUMIFS('Cable Schedule'!$W$2:$W$5912,'Cable Schedule'!$B$2:$B$5912,"C",'Cable Schedule'!$I$2:$I$5912,"HV 230 kV")</f>
        <v/>
      </c>
      <c r="G5" s="19">
        <f>SUMIFS('Cable Schedule'!$W$2:$W$5912,'Cable Schedule'!$B$2:$B$5912,"C",'Cable Schedule'!$I$2:$I$5912,"LV 600 V")</f>
        <v/>
      </c>
      <c r="H5" s="19">
        <f>SUMIFS('Cable Schedule'!$W$2:$W$5912,'Cable Schedule'!$B$2:$B$5912,"C",'Cable Schedule'!$I$2:$I$5912,"Control")</f>
        <v/>
      </c>
      <c r="I5" s="19">
        <f>SUMIFS('Cable Schedule'!$W$2:$W$5912,'Cable Schedule'!$B$2:$B$5912,"C",'Cable Schedule'!$I$2:$I$5912,"Instrumentation")</f>
        <v/>
      </c>
      <c r="J5" s="19">
        <f>SUMIFS('Cable Schedule'!$W$2:$W$5912,'Cable Schedule'!$B$2:$B$5912,"C",'Cable Schedule'!$I$2:$I$5912,"Fire alarm")</f>
        <v/>
      </c>
      <c r="K5" s="19">
        <f>SUMIFS('Cable Schedule'!$W$2:$W$5912,'Cable Schedule'!$B$2:$B$5912,"C",'Cable Schedule'!$I$2:$I$5912,"Fibre / data")</f>
        <v/>
      </c>
      <c r="L5" s="19">
        <f>SUMIFS('Cable Schedule'!$W$2:$W$5912,'Cable Schedule'!$B$2:$B$5912,"C",'Cable Schedule'!$I$2:$I$5912,"DC 2 kV")</f>
        <v/>
      </c>
      <c r="M5" s="19">
        <f>SUMIFS('Cable Schedule'!$W$2:$W$5912,'Cable Schedule'!$B$2:$B$5912,"C",'Cable Schedule'!$I$2:$I$5912,"Portable MV")</f>
        <v/>
      </c>
      <c r="N5" s="19">
        <f>SUMIFS('Cable Schedule'!$W$2:$W$5912,'Cable Schedule'!$B$2:$B$5912,"C",'Cable Schedule'!$I$2:$I$5912,"Portable LV")</f>
        <v/>
      </c>
      <c r="O5" s="19">
        <f>SUMIFS('Cable Schedule'!$W$2:$W$5912,'Cable Schedule'!$B$2:$B$5912,"C",'Cable Schedule'!$I$2:$I$5912,"Building wire")</f>
        <v/>
      </c>
      <c r="P5" s="19">
        <f>SUMIFS('Cable Schedule'!$W$2:$W$5912,'Cable Schedule'!$B$2:$B$5912,"C",'Cable Schedule'!$I$2:$I$5912,"Grounding")</f>
        <v/>
      </c>
      <c r="Q5" s="19">
        <f>SUMIFS('Cable Schedule'!$W$2:$W$5912,'Cable Schedule'!$B$2:$B$5912,"C",'Cable Schedule'!$I$2:$I$5912,"Overhead")</f>
        <v/>
      </c>
      <c r="R5" s="29">
        <f>SUM(B5:Q5)</f>
        <v/>
      </c>
    </row>
    <row r="6">
      <c r="A6" s="12" t="inlineStr">
        <is>
          <t>D  Fuel gas</t>
        </is>
      </c>
      <c r="B6" s="19">
        <f>SUMIFS('Cable Schedule'!$W$2:$W$5912,'Cable Schedule'!$B$2:$B$5912,"D",'Cable Schedule'!$I$2:$I$5912,"MV 15 kV")</f>
        <v/>
      </c>
      <c r="C6" s="19">
        <f>SUMIFS('Cable Schedule'!$W$2:$W$5912,'Cable Schedule'!$B$2:$B$5912,"D",'Cable Schedule'!$I$2:$I$5912,"MV 5 kV")</f>
        <v/>
      </c>
      <c r="D6" s="19">
        <f>SUMIFS('Cable Schedule'!$W$2:$W$5912,'Cable Schedule'!$B$2:$B$5912,"D",'Cable Schedule'!$I$2:$I$5912,"MV 25 kV")</f>
        <v/>
      </c>
      <c r="E6" s="19">
        <f>SUMIFS('Cable Schedule'!$W$2:$W$5912,'Cable Schedule'!$B$2:$B$5912,"D",'Cable Schedule'!$I$2:$I$5912,"MV 35 kV")</f>
        <v/>
      </c>
      <c r="F6" s="19">
        <f>SUMIFS('Cable Schedule'!$W$2:$W$5912,'Cable Schedule'!$B$2:$B$5912,"D",'Cable Schedule'!$I$2:$I$5912,"HV 230 kV")</f>
        <v/>
      </c>
      <c r="G6" s="19">
        <f>SUMIFS('Cable Schedule'!$W$2:$W$5912,'Cable Schedule'!$B$2:$B$5912,"D",'Cable Schedule'!$I$2:$I$5912,"LV 600 V")</f>
        <v/>
      </c>
      <c r="H6" s="19">
        <f>SUMIFS('Cable Schedule'!$W$2:$W$5912,'Cable Schedule'!$B$2:$B$5912,"D",'Cable Schedule'!$I$2:$I$5912,"Control")</f>
        <v/>
      </c>
      <c r="I6" s="19">
        <f>SUMIFS('Cable Schedule'!$W$2:$W$5912,'Cable Schedule'!$B$2:$B$5912,"D",'Cable Schedule'!$I$2:$I$5912,"Instrumentation")</f>
        <v/>
      </c>
      <c r="J6" s="19">
        <f>SUMIFS('Cable Schedule'!$W$2:$W$5912,'Cable Schedule'!$B$2:$B$5912,"D",'Cable Schedule'!$I$2:$I$5912,"Fire alarm")</f>
        <v/>
      </c>
      <c r="K6" s="19">
        <f>SUMIFS('Cable Schedule'!$W$2:$W$5912,'Cable Schedule'!$B$2:$B$5912,"D",'Cable Schedule'!$I$2:$I$5912,"Fibre / data")</f>
        <v/>
      </c>
      <c r="L6" s="19">
        <f>SUMIFS('Cable Schedule'!$W$2:$W$5912,'Cable Schedule'!$B$2:$B$5912,"D",'Cable Schedule'!$I$2:$I$5912,"DC 2 kV")</f>
        <v/>
      </c>
      <c r="M6" s="19">
        <f>SUMIFS('Cable Schedule'!$W$2:$W$5912,'Cable Schedule'!$B$2:$B$5912,"D",'Cable Schedule'!$I$2:$I$5912,"Portable MV")</f>
        <v/>
      </c>
      <c r="N6" s="19">
        <f>SUMIFS('Cable Schedule'!$W$2:$W$5912,'Cable Schedule'!$B$2:$B$5912,"D",'Cable Schedule'!$I$2:$I$5912,"Portable LV")</f>
        <v/>
      </c>
      <c r="O6" s="19">
        <f>SUMIFS('Cable Schedule'!$W$2:$W$5912,'Cable Schedule'!$B$2:$B$5912,"D",'Cable Schedule'!$I$2:$I$5912,"Building wire")</f>
        <v/>
      </c>
      <c r="P6" s="19">
        <f>SUMIFS('Cable Schedule'!$W$2:$W$5912,'Cable Schedule'!$B$2:$B$5912,"D",'Cable Schedule'!$I$2:$I$5912,"Grounding")</f>
        <v/>
      </c>
      <c r="Q6" s="19">
        <f>SUMIFS('Cable Schedule'!$W$2:$W$5912,'Cable Schedule'!$B$2:$B$5912,"D",'Cable Schedule'!$I$2:$I$5912,"Overhead")</f>
        <v/>
      </c>
      <c r="R6" s="29">
        <f>SUM(B6:Q6)</f>
        <v/>
      </c>
    </row>
    <row r="7">
      <c r="A7" s="12" t="inlineStr">
        <is>
          <t>E  Water / utilities</t>
        </is>
      </c>
      <c r="B7" s="19">
        <f>SUMIFS('Cable Schedule'!$W$2:$W$5912,'Cable Schedule'!$B$2:$B$5912,"E",'Cable Schedule'!$I$2:$I$5912,"MV 15 kV")</f>
        <v/>
      </c>
      <c r="C7" s="19">
        <f>SUMIFS('Cable Schedule'!$W$2:$W$5912,'Cable Schedule'!$B$2:$B$5912,"E",'Cable Schedule'!$I$2:$I$5912,"MV 5 kV")</f>
        <v/>
      </c>
      <c r="D7" s="19">
        <f>SUMIFS('Cable Schedule'!$W$2:$W$5912,'Cable Schedule'!$B$2:$B$5912,"E",'Cable Schedule'!$I$2:$I$5912,"MV 25 kV")</f>
        <v/>
      </c>
      <c r="E7" s="19">
        <f>SUMIFS('Cable Schedule'!$W$2:$W$5912,'Cable Schedule'!$B$2:$B$5912,"E",'Cable Schedule'!$I$2:$I$5912,"MV 35 kV")</f>
        <v/>
      </c>
      <c r="F7" s="19">
        <f>SUMIFS('Cable Schedule'!$W$2:$W$5912,'Cable Schedule'!$B$2:$B$5912,"E",'Cable Schedule'!$I$2:$I$5912,"HV 230 kV")</f>
        <v/>
      </c>
      <c r="G7" s="19">
        <f>SUMIFS('Cable Schedule'!$W$2:$W$5912,'Cable Schedule'!$B$2:$B$5912,"E",'Cable Schedule'!$I$2:$I$5912,"LV 600 V")</f>
        <v/>
      </c>
      <c r="H7" s="19">
        <f>SUMIFS('Cable Schedule'!$W$2:$W$5912,'Cable Schedule'!$B$2:$B$5912,"E",'Cable Schedule'!$I$2:$I$5912,"Control")</f>
        <v/>
      </c>
      <c r="I7" s="19">
        <f>SUMIFS('Cable Schedule'!$W$2:$W$5912,'Cable Schedule'!$B$2:$B$5912,"E",'Cable Schedule'!$I$2:$I$5912,"Instrumentation")</f>
        <v/>
      </c>
      <c r="J7" s="19">
        <f>SUMIFS('Cable Schedule'!$W$2:$W$5912,'Cable Schedule'!$B$2:$B$5912,"E",'Cable Schedule'!$I$2:$I$5912,"Fire alarm")</f>
        <v/>
      </c>
      <c r="K7" s="19">
        <f>SUMIFS('Cable Schedule'!$W$2:$W$5912,'Cable Schedule'!$B$2:$B$5912,"E",'Cable Schedule'!$I$2:$I$5912,"Fibre / data")</f>
        <v/>
      </c>
      <c r="L7" s="19">
        <f>SUMIFS('Cable Schedule'!$W$2:$W$5912,'Cable Schedule'!$B$2:$B$5912,"E",'Cable Schedule'!$I$2:$I$5912,"DC 2 kV")</f>
        <v/>
      </c>
      <c r="M7" s="19">
        <f>SUMIFS('Cable Schedule'!$W$2:$W$5912,'Cable Schedule'!$B$2:$B$5912,"E",'Cable Schedule'!$I$2:$I$5912,"Portable MV")</f>
        <v/>
      </c>
      <c r="N7" s="19">
        <f>SUMIFS('Cable Schedule'!$W$2:$W$5912,'Cable Schedule'!$B$2:$B$5912,"E",'Cable Schedule'!$I$2:$I$5912,"Portable LV")</f>
        <v/>
      </c>
      <c r="O7" s="19">
        <f>SUMIFS('Cable Schedule'!$W$2:$W$5912,'Cable Schedule'!$B$2:$B$5912,"E",'Cable Schedule'!$I$2:$I$5912,"Building wire")</f>
        <v/>
      </c>
      <c r="P7" s="19">
        <f>SUMIFS('Cable Schedule'!$W$2:$W$5912,'Cable Schedule'!$B$2:$B$5912,"E",'Cable Schedule'!$I$2:$I$5912,"Grounding")</f>
        <v/>
      </c>
      <c r="Q7" s="19">
        <f>SUMIFS('Cable Schedule'!$W$2:$W$5912,'Cable Schedule'!$B$2:$B$5912,"E",'Cable Schedule'!$I$2:$I$5912,"Overhead")</f>
        <v/>
      </c>
      <c r="R7" s="29">
        <f>SUM(B7:Q7)</f>
        <v/>
      </c>
    </row>
    <row r="8">
      <c r="A8" s="12" t="inlineStr">
        <is>
          <t>F  Controls / service</t>
        </is>
      </c>
      <c r="B8" s="19">
        <f>SUMIFS('Cable Schedule'!$W$2:$W$5912,'Cable Schedule'!$B$2:$B$5912,"F",'Cable Schedule'!$I$2:$I$5912,"MV 15 kV")</f>
        <v/>
      </c>
      <c r="C8" s="19">
        <f>SUMIFS('Cable Schedule'!$W$2:$W$5912,'Cable Schedule'!$B$2:$B$5912,"F",'Cable Schedule'!$I$2:$I$5912,"MV 5 kV")</f>
        <v/>
      </c>
      <c r="D8" s="19">
        <f>SUMIFS('Cable Schedule'!$W$2:$W$5912,'Cable Schedule'!$B$2:$B$5912,"F",'Cable Schedule'!$I$2:$I$5912,"MV 25 kV")</f>
        <v/>
      </c>
      <c r="E8" s="19">
        <f>SUMIFS('Cable Schedule'!$W$2:$W$5912,'Cable Schedule'!$B$2:$B$5912,"F",'Cable Schedule'!$I$2:$I$5912,"MV 35 kV")</f>
        <v/>
      </c>
      <c r="F8" s="19">
        <f>SUMIFS('Cable Schedule'!$W$2:$W$5912,'Cable Schedule'!$B$2:$B$5912,"F",'Cable Schedule'!$I$2:$I$5912,"HV 230 kV")</f>
        <v/>
      </c>
      <c r="G8" s="19">
        <f>SUMIFS('Cable Schedule'!$W$2:$W$5912,'Cable Schedule'!$B$2:$B$5912,"F",'Cable Schedule'!$I$2:$I$5912,"LV 600 V")</f>
        <v/>
      </c>
      <c r="H8" s="19">
        <f>SUMIFS('Cable Schedule'!$W$2:$W$5912,'Cable Schedule'!$B$2:$B$5912,"F",'Cable Schedule'!$I$2:$I$5912,"Control")</f>
        <v/>
      </c>
      <c r="I8" s="19">
        <f>SUMIFS('Cable Schedule'!$W$2:$W$5912,'Cable Schedule'!$B$2:$B$5912,"F",'Cable Schedule'!$I$2:$I$5912,"Instrumentation")</f>
        <v/>
      </c>
      <c r="J8" s="19">
        <f>SUMIFS('Cable Schedule'!$W$2:$W$5912,'Cable Schedule'!$B$2:$B$5912,"F",'Cable Schedule'!$I$2:$I$5912,"Fire alarm")</f>
        <v/>
      </c>
      <c r="K8" s="19">
        <f>SUMIFS('Cable Schedule'!$W$2:$W$5912,'Cable Schedule'!$B$2:$B$5912,"F",'Cable Schedule'!$I$2:$I$5912,"Fibre / data")</f>
        <v/>
      </c>
      <c r="L8" s="19">
        <f>SUMIFS('Cable Schedule'!$W$2:$W$5912,'Cable Schedule'!$B$2:$B$5912,"F",'Cable Schedule'!$I$2:$I$5912,"DC 2 kV")</f>
        <v/>
      </c>
      <c r="M8" s="19">
        <f>SUMIFS('Cable Schedule'!$W$2:$W$5912,'Cable Schedule'!$B$2:$B$5912,"F",'Cable Schedule'!$I$2:$I$5912,"Portable MV")</f>
        <v/>
      </c>
      <c r="N8" s="19">
        <f>SUMIFS('Cable Schedule'!$W$2:$W$5912,'Cable Schedule'!$B$2:$B$5912,"F",'Cable Schedule'!$I$2:$I$5912,"Portable LV")</f>
        <v/>
      </c>
      <c r="O8" s="19">
        <f>SUMIFS('Cable Schedule'!$W$2:$W$5912,'Cable Schedule'!$B$2:$B$5912,"F",'Cable Schedule'!$I$2:$I$5912,"Building wire")</f>
        <v/>
      </c>
      <c r="P8" s="19">
        <f>SUMIFS('Cable Schedule'!$W$2:$W$5912,'Cable Schedule'!$B$2:$B$5912,"F",'Cable Schedule'!$I$2:$I$5912,"Grounding")</f>
        <v/>
      </c>
      <c r="Q8" s="19">
        <f>SUMIFS('Cable Schedule'!$W$2:$W$5912,'Cable Schedule'!$B$2:$B$5912,"F",'Cable Schedule'!$I$2:$I$5912,"Overhead")</f>
        <v/>
      </c>
      <c r="R8" s="29">
        <f>SUM(B8:Q8)</f>
        <v/>
      </c>
    </row>
    <row r="9">
      <c r="A9" s="12" t="inlineStr">
        <is>
          <t>G  Carbon capture</t>
        </is>
      </c>
      <c r="B9" s="19">
        <f>SUMIFS('Cable Schedule'!$W$2:$W$5912,'Cable Schedule'!$B$2:$B$5912,"G",'Cable Schedule'!$I$2:$I$5912,"MV 15 kV")</f>
        <v/>
      </c>
      <c r="C9" s="19">
        <f>SUMIFS('Cable Schedule'!$W$2:$W$5912,'Cable Schedule'!$B$2:$B$5912,"G",'Cable Schedule'!$I$2:$I$5912,"MV 5 kV")</f>
        <v/>
      </c>
      <c r="D9" s="19">
        <f>SUMIFS('Cable Schedule'!$W$2:$W$5912,'Cable Schedule'!$B$2:$B$5912,"G",'Cable Schedule'!$I$2:$I$5912,"MV 25 kV")</f>
        <v/>
      </c>
      <c r="E9" s="19">
        <f>SUMIFS('Cable Schedule'!$W$2:$W$5912,'Cable Schedule'!$B$2:$B$5912,"G",'Cable Schedule'!$I$2:$I$5912,"MV 35 kV")</f>
        <v/>
      </c>
      <c r="F9" s="19">
        <f>SUMIFS('Cable Schedule'!$W$2:$W$5912,'Cable Schedule'!$B$2:$B$5912,"G",'Cable Schedule'!$I$2:$I$5912,"HV 230 kV")</f>
        <v/>
      </c>
      <c r="G9" s="19">
        <f>SUMIFS('Cable Schedule'!$W$2:$W$5912,'Cable Schedule'!$B$2:$B$5912,"G",'Cable Schedule'!$I$2:$I$5912,"LV 600 V")</f>
        <v/>
      </c>
      <c r="H9" s="19">
        <f>SUMIFS('Cable Schedule'!$W$2:$W$5912,'Cable Schedule'!$B$2:$B$5912,"G",'Cable Schedule'!$I$2:$I$5912,"Control")</f>
        <v/>
      </c>
      <c r="I9" s="19">
        <f>SUMIFS('Cable Schedule'!$W$2:$W$5912,'Cable Schedule'!$B$2:$B$5912,"G",'Cable Schedule'!$I$2:$I$5912,"Instrumentation")</f>
        <v/>
      </c>
      <c r="J9" s="19">
        <f>SUMIFS('Cable Schedule'!$W$2:$W$5912,'Cable Schedule'!$B$2:$B$5912,"G",'Cable Schedule'!$I$2:$I$5912,"Fire alarm")</f>
        <v/>
      </c>
      <c r="K9" s="19">
        <f>SUMIFS('Cable Schedule'!$W$2:$W$5912,'Cable Schedule'!$B$2:$B$5912,"G",'Cable Schedule'!$I$2:$I$5912,"Fibre / data")</f>
        <v/>
      </c>
      <c r="L9" s="19">
        <f>SUMIFS('Cable Schedule'!$W$2:$W$5912,'Cable Schedule'!$B$2:$B$5912,"G",'Cable Schedule'!$I$2:$I$5912,"DC 2 kV")</f>
        <v/>
      </c>
      <c r="M9" s="19">
        <f>SUMIFS('Cable Schedule'!$W$2:$W$5912,'Cable Schedule'!$B$2:$B$5912,"G",'Cable Schedule'!$I$2:$I$5912,"Portable MV")</f>
        <v/>
      </c>
      <c r="N9" s="19">
        <f>SUMIFS('Cable Schedule'!$W$2:$W$5912,'Cable Schedule'!$B$2:$B$5912,"G",'Cable Schedule'!$I$2:$I$5912,"Portable LV")</f>
        <v/>
      </c>
      <c r="O9" s="19">
        <f>SUMIFS('Cable Schedule'!$W$2:$W$5912,'Cable Schedule'!$B$2:$B$5912,"G",'Cable Schedule'!$I$2:$I$5912,"Building wire")</f>
        <v/>
      </c>
      <c r="P9" s="19">
        <f>SUMIFS('Cable Schedule'!$W$2:$W$5912,'Cable Schedule'!$B$2:$B$5912,"G",'Cable Schedule'!$I$2:$I$5912,"Grounding")</f>
        <v/>
      </c>
      <c r="Q9" s="19">
        <f>SUMIFS('Cable Schedule'!$W$2:$W$5912,'Cable Schedule'!$B$2:$B$5912,"G",'Cable Schedule'!$I$2:$I$5912,"Overhead")</f>
        <v/>
      </c>
      <c r="R9" s="29">
        <f>SUM(B9:Q9)</f>
        <v/>
      </c>
    </row>
    <row r="10">
      <c r="A10" s="12" t="inlineStr">
        <is>
          <t>H  BESS</t>
        </is>
      </c>
      <c r="B10" s="19">
        <f>SUMIFS('Cable Schedule'!$W$2:$W$5912,'Cable Schedule'!$B$2:$B$5912,"H",'Cable Schedule'!$I$2:$I$5912,"MV 15 kV")</f>
        <v/>
      </c>
      <c r="C10" s="19">
        <f>SUMIFS('Cable Schedule'!$W$2:$W$5912,'Cable Schedule'!$B$2:$B$5912,"H",'Cable Schedule'!$I$2:$I$5912,"MV 5 kV")</f>
        <v/>
      </c>
      <c r="D10" s="19">
        <f>SUMIFS('Cable Schedule'!$W$2:$W$5912,'Cable Schedule'!$B$2:$B$5912,"H",'Cable Schedule'!$I$2:$I$5912,"MV 25 kV")</f>
        <v/>
      </c>
      <c r="E10" s="19">
        <f>SUMIFS('Cable Schedule'!$W$2:$W$5912,'Cable Schedule'!$B$2:$B$5912,"H",'Cable Schedule'!$I$2:$I$5912,"MV 35 kV")</f>
        <v/>
      </c>
      <c r="F10" s="19">
        <f>SUMIFS('Cable Schedule'!$W$2:$W$5912,'Cable Schedule'!$B$2:$B$5912,"H",'Cable Schedule'!$I$2:$I$5912,"HV 230 kV")</f>
        <v/>
      </c>
      <c r="G10" s="19">
        <f>SUMIFS('Cable Schedule'!$W$2:$W$5912,'Cable Schedule'!$B$2:$B$5912,"H",'Cable Schedule'!$I$2:$I$5912,"LV 600 V")</f>
        <v/>
      </c>
      <c r="H10" s="19">
        <f>SUMIFS('Cable Schedule'!$W$2:$W$5912,'Cable Schedule'!$B$2:$B$5912,"H",'Cable Schedule'!$I$2:$I$5912,"Control")</f>
        <v/>
      </c>
      <c r="I10" s="19">
        <f>SUMIFS('Cable Schedule'!$W$2:$W$5912,'Cable Schedule'!$B$2:$B$5912,"H",'Cable Schedule'!$I$2:$I$5912,"Instrumentation")</f>
        <v/>
      </c>
      <c r="J10" s="19">
        <f>SUMIFS('Cable Schedule'!$W$2:$W$5912,'Cable Schedule'!$B$2:$B$5912,"H",'Cable Schedule'!$I$2:$I$5912,"Fire alarm")</f>
        <v/>
      </c>
      <c r="K10" s="19">
        <f>SUMIFS('Cable Schedule'!$W$2:$W$5912,'Cable Schedule'!$B$2:$B$5912,"H",'Cable Schedule'!$I$2:$I$5912,"Fibre / data")</f>
        <v/>
      </c>
      <c r="L10" s="19">
        <f>SUMIFS('Cable Schedule'!$W$2:$W$5912,'Cable Schedule'!$B$2:$B$5912,"H",'Cable Schedule'!$I$2:$I$5912,"DC 2 kV")</f>
        <v/>
      </c>
      <c r="M10" s="19">
        <f>SUMIFS('Cable Schedule'!$W$2:$W$5912,'Cable Schedule'!$B$2:$B$5912,"H",'Cable Schedule'!$I$2:$I$5912,"Portable MV")</f>
        <v/>
      </c>
      <c r="N10" s="19">
        <f>SUMIFS('Cable Schedule'!$W$2:$W$5912,'Cable Schedule'!$B$2:$B$5912,"H",'Cable Schedule'!$I$2:$I$5912,"Portable LV")</f>
        <v/>
      </c>
      <c r="O10" s="19">
        <f>SUMIFS('Cable Schedule'!$W$2:$W$5912,'Cable Schedule'!$B$2:$B$5912,"H",'Cable Schedule'!$I$2:$I$5912,"Building wire")</f>
        <v/>
      </c>
      <c r="P10" s="19">
        <f>SUMIFS('Cable Schedule'!$W$2:$W$5912,'Cable Schedule'!$B$2:$B$5912,"H",'Cable Schedule'!$I$2:$I$5912,"Grounding")</f>
        <v/>
      </c>
      <c r="Q10" s="19">
        <f>SUMIFS('Cable Schedule'!$W$2:$W$5912,'Cable Schedule'!$B$2:$B$5912,"H",'Cable Schedule'!$I$2:$I$5912,"Overhead")</f>
        <v/>
      </c>
      <c r="R10" s="29">
        <f>SUM(B10:Q10)</f>
        <v/>
      </c>
    </row>
    <row r="11">
      <c r="A11" s="12" t="inlineStr">
        <is>
          <t>I  Modular / portable power</t>
        </is>
      </c>
      <c r="B11" s="19">
        <f>SUMIFS('Cable Schedule'!$W$2:$W$5912,'Cable Schedule'!$B$2:$B$5912,"I",'Cable Schedule'!$I$2:$I$5912,"MV 15 kV")</f>
        <v/>
      </c>
      <c r="C11" s="19">
        <f>SUMIFS('Cable Schedule'!$W$2:$W$5912,'Cable Schedule'!$B$2:$B$5912,"I",'Cable Schedule'!$I$2:$I$5912,"MV 5 kV")</f>
        <v/>
      </c>
      <c r="D11" s="19">
        <f>SUMIFS('Cable Schedule'!$W$2:$W$5912,'Cable Schedule'!$B$2:$B$5912,"I",'Cable Schedule'!$I$2:$I$5912,"MV 25 kV")</f>
        <v/>
      </c>
      <c r="E11" s="19">
        <f>SUMIFS('Cable Schedule'!$W$2:$W$5912,'Cable Schedule'!$B$2:$B$5912,"I",'Cable Schedule'!$I$2:$I$5912,"MV 35 kV")</f>
        <v/>
      </c>
      <c r="F11" s="19">
        <f>SUMIFS('Cable Schedule'!$W$2:$W$5912,'Cable Schedule'!$B$2:$B$5912,"I",'Cable Schedule'!$I$2:$I$5912,"HV 230 kV")</f>
        <v/>
      </c>
      <c r="G11" s="19">
        <f>SUMIFS('Cable Schedule'!$W$2:$W$5912,'Cable Schedule'!$B$2:$B$5912,"I",'Cable Schedule'!$I$2:$I$5912,"LV 600 V")</f>
        <v/>
      </c>
      <c r="H11" s="19">
        <f>SUMIFS('Cable Schedule'!$W$2:$W$5912,'Cable Schedule'!$B$2:$B$5912,"I",'Cable Schedule'!$I$2:$I$5912,"Control")</f>
        <v/>
      </c>
      <c r="I11" s="19">
        <f>SUMIFS('Cable Schedule'!$W$2:$W$5912,'Cable Schedule'!$B$2:$B$5912,"I",'Cable Schedule'!$I$2:$I$5912,"Instrumentation")</f>
        <v/>
      </c>
      <c r="J11" s="19">
        <f>SUMIFS('Cable Schedule'!$W$2:$W$5912,'Cable Schedule'!$B$2:$B$5912,"I",'Cable Schedule'!$I$2:$I$5912,"Fire alarm")</f>
        <v/>
      </c>
      <c r="K11" s="19">
        <f>SUMIFS('Cable Schedule'!$W$2:$W$5912,'Cable Schedule'!$B$2:$B$5912,"I",'Cable Schedule'!$I$2:$I$5912,"Fibre / data")</f>
        <v/>
      </c>
      <c r="L11" s="19">
        <f>SUMIFS('Cable Schedule'!$W$2:$W$5912,'Cable Schedule'!$B$2:$B$5912,"I",'Cable Schedule'!$I$2:$I$5912,"DC 2 kV")</f>
        <v/>
      </c>
      <c r="M11" s="19">
        <f>SUMIFS('Cable Schedule'!$W$2:$W$5912,'Cable Schedule'!$B$2:$B$5912,"I",'Cable Schedule'!$I$2:$I$5912,"Portable MV")</f>
        <v/>
      </c>
      <c r="N11" s="19">
        <f>SUMIFS('Cable Schedule'!$W$2:$W$5912,'Cable Schedule'!$B$2:$B$5912,"I",'Cable Schedule'!$I$2:$I$5912,"Portable LV")</f>
        <v/>
      </c>
      <c r="O11" s="19">
        <f>SUMIFS('Cable Schedule'!$W$2:$W$5912,'Cable Schedule'!$B$2:$B$5912,"I",'Cable Schedule'!$I$2:$I$5912,"Building wire")</f>
        <v/>
      </c>
      <c r="P11" s="19">
        <f>SUMIFS('Cable Schedule'!$W$2:$W$5912,'Cable Schedule'!$B$2:$B$5912,"I",'Cable Schedule'!$I$2:$I$5912,"Grounding")</f>
        <v/>
      </c>
      <c r="Q11" s="19">
        <f>SUMIFS('Cable Schedule'!$W$2:$W$5912,'Cable Schedule'!$B$2:$B$5912,"I",'Cable Schedule'!$I$2:$I$5912,"Overhead")</f>
        <v/>
      </c>
      <c r="R11" s="29">
        <f>SUM(B11:Q11)</f>
        <v/>
      </c>
    </row>
    <row r="12">
      <c r="A12" s="12" t="inlineStr">
        <is>
          <t>J  GT inlet chilling</t>
        </is>
      </c>
      <c r="B12" s="19">
        <f>SUMIFS('Cable Schedule'!$W$2:$W$5912,'Cable Schedule'!$B$2:$B$5912,"J",'Cable Schedule'!$I$2:$I$5912,"MV 15 kV")</f>
        <v/>
      </c>
      <c r="C12" s="19">
        <f>SUMIFS('Cable Schedule'!$W$2:$W$5912,'Cable Schedule'!$B$2:$B$5912,"J",'Cable Schedule'!$I$2:$I$5912,"MV 5 kV")</f>
        <v/>
      </c>
      <c r="D12" s="19">
        <f>SUMIFS('Cable Schedule'!$W$2:$W$5912,'Cable Schedule'!$B$2:$B$5912,"J",'Cable Schedule'!$I$2:$I$5912,"MV 25 kV")</f>
        <v/>
      </c>
      <c r="E12" s="19">
        <f>SUMIFS('Cable Schedule'!$W$2:$W$5912,'Cable Schedule'!$B$2:$B$5912,"J",'Cable Schedule'!$I$2:$I$5912,"MV 35 kV")</f>
        <v/>
      </c>
      <c r="F12" s="19">
        <f>SUMIFS('Cable Schedule'!$W$2:$W$5912,'Cable Schedule'!$B$2:$B$5912,"J",'Cable Schedule'!$I$2:$I$5912,"HV 230 kV")</f>
        <v/>
      </c>
      <c r="G12" s="19">
        <f>SUMIFS('Cable Schedule'!$W$2:$W$5912,'Cable Schedule'!$B$2:$B$5912,"J",'Cable Schedule'!$I$2:$I$5912,"LV 600 V")</f>
        <v/>
      </c>
      <c r="H12" s="19">
        <f>SUMIFS('Cable Schedule'!$W$2:$W$5912,'Cable Schedule'!$B$2:$B$5912,"J",'Cable Schedule'!$I$2:$I$5912,"Control")</f>
        <v/>
      </c>
      <c r="I12" s="19">
        <f>SUMIFS('Cable Schedule'!$W$2:$W$5912,'Cable Schedule'!$B$2:$B$5912,"J",'Cable Schedule'!$I$2:$I$5912,"Instrumentation")</f>
        <v/>
      </c>
      <c r="J12" s="19">
        <f>SUMIFS('Cable Schedule'!$W$2:$W$5912,'Cable Schedule'!$B$2:$B$5912,"J",'Cable Schedule'!$I$2:$I$5912,"Fire alarm")</f>
        <v/>
      </c>
      <c r="K12" s="19">
        <f>SUMIFS('Cable Schedule'!$W$2:$W$5912,'Cable Schedule'!$B$2:$B$5912,"J",'Cable Schedule'!$I$2:$I$5912,"Fibre / data")</f>
        <v/>
      </c>
      <c r="L12" s="19">
        <f>SUMIFS('Cable Schedule'!$W$2:$W$5912,'Cable Schedule'!$B$2:$B$5912,"J",'Cable Schedule'!$I$2:$I$5912,"DC 2 kV")</f>
        <v/>
      </c>
      <c r="M12" s="19">
        <f>SUMIFS('Cable Schedule'!$W$2:$W$5912,'Cable Schedule'!$B$2:$B$5912,"J",'Cable Schedule'!$I$2:$I$5912,"Portable MV")</f>
        <v/>
      </c>
      <c r="N12" s="19">
        <f>SUMIFS('Cable Schedule'!$W$2:$W$5912,'Cable Schedule'!$B$2:$B$5912,"J",'Cable Schedule'!$I$2:$I$5912,"Portable LV")</f>
        <v/>
      </c>
      <c r="O12" s="19">
        <f>SUMIFS('Cable Schedule'!$W$2:$W$5912,'Cable Schedule'!$B$2:$B$5912,"J",'Cable Schedule'!$I$2:$I$5912,"Building wire")</f>
        <v/>
      </c>
      <c r="P12" s="19">
        <f>SUMIFS('Cable Schedule'!$W$2:$W$5912,'Cable Schedule'!$B$2:$B$5912,"J",'Cable Schedule'!$I$2:$I$5912,"Grounding")</f>
        <v/>
      </c>
      <c r="Q12" s="19">
        <f>SUMIFS('Cable Schedule'!$W$2:$W$5912,'Cable Schedule'!$B$2:$B$5912,"J",'Cable Schedule'!$I$2:$I$5912,"Overhead")</f>
        <v/>
      </c>
      <c r="R12" s="29">
        <f>SUM(B12:Q12)</f>
        <v/>
      </c>
    </row>
    <row r="13">
      <c r="A13" s="12" t="inlineStr">
        <is>
          <t>K  Fuel supply (adjacent market)</t>
        </is>
      </c>
      <c r="B13" s="19">
        <f>SUMIFS('Cable Schedule'!$W$2:$W$5912,'Cable Schedule'!$B$2:$B$5912,"K",'Cable Schedule'!$I$2:$I$5912,"MV 15 kV")</f>
        <v/>
      </c>
      <c r="C13" s="19">
        <f>SUMIFS('Cable Schedule'!$W$2:$W$5912,'Cable Schedule'!$B$2:$B$5912,"K",'Cable Schedule'!$I$2:$I$5912,"MV 5 kV")</f>
        <v/>
      </c>
      <c r="D13" s="19">
        <f>SUMIFS('Cable Schedule'!$W$2:$W$5912,'Cable Schedule'!$B$2:$B$5912,"K",'Cable Schedule'!$I$2:$I$5912,"MV 25 kV")</f>
        <v/>
      </c>
      <c r="E13" s="19">
        <f>SUMIFS('Cable Schedule'!$W$2:$W$5912,'Cable Schedule'!$B$2:$B$5912,"K",'Cable Schedule'!$I$2:$I$5912,"MV 35 kV")</f>
        <v/>
      </c>
      <c r="F13" s="19">
        <f>SUMIFS('Cable Schedule'!$W$2:$W$5912,'Cable Schedule'!$B$2:$B$5912,"K",'Cable Schedule'!$I$2:$I$5912,"HV 230 kV")</f>
        <v/>
      </c>
      <c r="G13" s="19">
        <f>SUMIFS('Cable Schedule'!$W$2:$W$5912,'Cable Schedule'!$B$2:$B$5912,"K",'Cable Schedule'!$I$2:$I$5912,"LV 600 V")</f>
        <v/>
      </c>
      <c r="H13" s="19">
        <f>SUMIFS('Cable Schedule'!$W$2:$W$5912,'Cable Schedule'!$B$2:$B$5912,"K",'Cable Schedule'!$I$2:$I$5912,"Control")</f>
        <v/>
      </c>
      <c r="I13" s="19">
        <f>SUMIFS('Cable Schedule'!$W$2:$W$5912,'Cable Schedule'!$B$2:$B$5912,"K",'Cable Schedule'!$I$2:$I$5912,"Instrumentation")</f>
        <v/>
      </c>
      <c r="J13" s="19">
        <f>SUMIFS('Cable Schedule'!$W$2:$W$5912,'Cable Schedule'!$B$2:$B$5912,"K",'Cable Schedule'!$I$2:$I$5912,"Fire alarm")</f>
        <v/>
      </c>
      <c r="K13" s="19">
        <f>SUMIFS('Cable Schedule'!$W$2:$W$5912,'Cable Schedule'!$B$2:$B$5912,"K",'Cable Schedule'!$I$2:$I$5912,"Fibre / data")</f>
        <v/>
      </c>
      <c r="L13" s="19">
        <f>SUMIFS('Cable Schedule'!$W$2:$W$5912,'Cable Schedule'!$B$2:$B$5912,"K",'Cable Schedule'!$I$2:$I$5912,"DC 2 kV")</f>
        <v/>
      </c>
      <c r="M13" s="19">
        <f>SUMIFS('Cable Schedule'!$W$2:$W$5912,'Cable Schedule'!$B$2:$B$5912,"K",'Cable Schedule'!$I$2:$I$5912,"Portable MV")</f>
        <v/>
      </c>
      <c r="N13" s="19">
        <f>SUMIFS('Cable Schedule'!$W$2:$W$5912,'Cable Schedule'!$B$2:$B$5912,"K",'Cable Schedule'!$I$2:$I$5912,"Portable LV")</f>
        <v/>
      </c>
      <c r="O13" s="19">
        <f>SUMIFS('Cable Schedule'!$W$2:$W$5912,'Cable Schedule'!$B$2:$B$5912,"K",'Cable Schedule'!$I$2:$I$5912,"Building wire")</f>
        <v/>
      </c>
      <c r="P13" s="19">
        <f>SUMIFS('Cable Schedule'!$W$2:$W$5912,'Cable Schedule'!$B$2:$B$5912,"K",'Cable Schedule'!$I$2:$I$5912,"Grounding")</f>
        <v/>
      </c>
      <c r="Q13" s="19">
        <f>SUMIFS('Cable Schedule'!$W$2:$W$5912,'Cable Schedule'!$B$2:$B$5912,"K",'Cable Schedule'!$I$2:$I$5912,"Overhead")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Schedule'!B2:B5912,"?")</f>
        <v/>
      </c>
    </row>
    <row r="18">
      <c r="A18" s="23" t="inlineStr">
        <is>
          <t>Cables (count)</t>
        </is>
      </c>
      <c r="B18" s="19">
        <f>SUM('Cable Schedule'!AA2:AA5912)</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2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Motor 1 of 2, 3.7 kW</t>
        </is>
      </c>
      <c r="E1284" s="12" t="n">
        <v>480</v>
      </c>
      <c r="F1284" s="12" t="n">
        <v>3.7</v>
      </c>
      <c r="G1284" s="12" t="n">
        <v>5.2</v>
      </c>
      <c r="H1284" s="12" t="inlineStr">
        <is>
          <t>SC-2 PCM + 15 kV GCB</t>
        </is>
      </c>
      <c r="I1284" s="12" t="inlineStr">
        <is>
          <t>LV 600 V</t>
        </is>
      </c>
      <c r="J1284" s="12" t="inlineStr">
        <is>
          <t>10</t>
        </is>
      </c>
      <c r="K1284" s="12" t="n">
        <v>1</v>
      </c>
    </row>
    <row r="1285">
      <c r="A1285" s="12" t="inlineStr">
        <is>
          <t>Aqueous ammonia (SC units)</t>
        </is>
      </c>
      <c r="B1285" s="12" t="inlineStr"/>
      <c r="C1285" s="12" t="inlineStr">
        <is>
          <t>I</t>
        </is>
      </c>
      <c r="D1285" s="12" t="inlineStr">
        <is>
          <t>Motor 2 of 2, 3.7 kW</t>
        </is>
      </c>
      <c r="E1285" s="12" t="n">
        <v>480</v>
      </c>
      <c r="F1285" s="12" t="n">
        <v>3.7</v>
      </c>
      <c r="G1285" s="12" t="n">
        <v>5.2</v>
      </c>
      <c r="H1285" s="12" t="inlineStr">
        <is>
          <t>SC-2 PCM + 15 kV GCB</t>
        </is>
      </c>
      <c r="I1285" s="12" t="inlineStr">
        <is>
          <t>LV 600 V</t>
        </is>
      </c>
      <c r="J1285" s="12" t="inlineStr">
        <is>
          <t>10</t>
        </is>
      </c>
      <c r="K1285" s="12" t="n">
        <v>1</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Black-start genset output</t>
        </is>
      </c>
      <c r="E1287" s="12" t="n">
        <v>480</v>
      </c>
      <c r="F1287" s="12" t="n">
        <v>2000</v>
      </c>
      <c r="G1287" s="12" t="n">
        <v>2532.3</v>
      </c>
      <c r="H1287" s="12" t="inlineStr">
        <is>
          <t>Black-start genset (proposed; requires study)</t>
        </is>
      </c>
      <c r="I1287" s="12" t="inlineStr">
        <is>
          <t>LV 600 V</t>
        </is>
      </c>
      <c r="J1287" s="12" t="inlineStr">
        <is>
          <t>500 kcmil</t>
        </is>
      </c>
      <c r="K1287" s="12" t="n">
        <v>10</v>
      </c>
    </row>
    <row r="1288">
      <c r="A1288" s="12" t="inlineStr">
        <is>
          <t>BS black-start switchgear</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BESS black-start alternative</t>
        </is>
      </c>
      <c r="B1289" s="12" t="inlineStr"/>
      <c r="C1289" s="12" t="inlineStr">
        <is>
          <t>I</t>
        </is>
      </c>
      <c r="D1289" s="12" t="inlineStr">
        <is>
          <t>LV power feeder</t>
        </is>
      </c>
      <c r="E1289" s="12" t="n">
        <v>480</v>
      </c>
      <c r="F1289" s="12" t="n">
        <v>15</v>
      </c>
      <c r="G1289" s="12" t="n">
        <v>21.2</v>
      </c>
      <c r="H1289" s="12" t="inlineStr">
        <is>
          <t>PCM: power control module</t>
        </is>
      </c>
      <c r="I1289" s="12" t="inlineStr">
        <is>
          <t>LV 600 V</t>
        </is>
      </c>
      <c r="J1289" s="12" t="inlineStr">
        <is>
          <t>6</t>
        </is>
      </c>
      <c r="K1289" s="12" t="n">
        <v>1</v>
      </c>
    </row>
    <row r="1290">
      <c r="A1290" s="12" t="inlineStr">
        <is>
          <t>CONDITIONAL: SC-1 inlet chiller / evaporative cooler</t>
        </is>
      </c>
      <c r="B1290" s="12" t="inlineStr"/>
      <c r="C1290" s="12" t="inlineStr">
        <is>
          <t>I</t>
        </is>
      </c>
      <c r="D1290" s="12" t="inlineStr">
        <is>
          <t>LV power feeder</t>
        </is>
      </c>
      <c r="E1290" s="12" t="n">
        <v>480</v>
      </c>
      <c r="F1290" s="12" t="n">
        <v>500</v>
      </c>
      <c r="G1290" s="12" t="n">
        <v>707.6</v>
      </c>
      <c r="H1290" s="12" t="inlineStr">
        <is>
          <t>SC-1 PCM + 15 kV GCB</t>
        </is>
      </c>
      <c r="I1290" s="12" t="inlineStr">
        <is>
          <t>LV 600 V</t>
        </is>
      </c>
      <c r="J1290" s="12" t="inlineStr">
        <is>
          <t>350 kcmil</t>
        </is>
      </c>
      <c r="K1290" s="12" t="n">
        <v>3</v>
      </c>
    </row>
    <row r="1291">
      <c r="A1291" s="12" t="inlineStr">
        <is>
          <t>CONDITIONAL: SC-2 inlet chiller / evaporative cooler</t>
        </is>
      </c>
      <c r="B1291" s="12" t="inlineStr"/>
      <c r="C1291" s="12" t="inlineStr">
        <is>
          <t>I</t>
        </is>
      </c>
      <c r="D1291" s="12" t="inlineStr">
        <is>
          <t>LV power feeder</t>
        </is>
      </c>
      <c r="E1291" s="12" t="n">
        <v>480</v>
      </c>
      <c r="F1291" s="12" t="n">
        <v>500</v>
      </c>
      <c r="G1291" s="12" t="n">
        <v>707.6</v>
      </c>
      <c r="H1291" s="12" t="inlineStr">
        <is>
          <t>SC-2 PCM + 15 kV GCB</t>
        </is>
      </c>
      <c r="I1291" s="12" t="inlineStr">
        <is>
          <t>LV 600 V</t>
        </is>
      </c>
      <c r="J1291" s="12" t="inlineStr">
        <is>
          <t>350 kcmil</t>
        </is>
      </c>
      <c r="K1291" s="12" t="n">
        <v>3</v>
      </c>
    </row>
    <row r="1292">
      <c r="A1292" s="12" t="inlineStr">
        <is>
          <t>FC-5..12 inverter / AC cabinet / desulfurizer</t>
        </is>
      </c>
      <c r="B1292" s="12" t="inlineStr"/>
      <c r="C1292" s="12" t="inlineStr">
        <is>
          <t>I</t>
        </is>
      </c>
      <c r="D1292" s="12" t="inlineStr">
        <is>
          <t>FC-5 SOFC output to inverter / AC cabinet</t>
        </is>
      </c>
      <c r="E1292" s="12" t="n">
        <v>480</v>
      </c>
      <c r="F1292" s="12" t="n">
        <v>250</v>
      </c>
      <c r="G1292" s="12" t="n">
        <v>316.5</v>
      </c>
      <c r="H1292" s="12" t="inlineStr">
        <is>
          <t>FC-5: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FC-6 SOFC output to inverter / AC cabinet</t>
        </is>
      </c>
      <c r="E1293" s="12" t="n">
        <v>480</v>
      </c>
      <c r="F1293" s="12" t="n">
        <v>250</v>
      </c>
      <c r="G1293" s="12" t="n">
        <v>316.5</v>
      </c>
      <c r="H1293" s="12" t="inlineStr">
        <is>
          <t>FC-6: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FC-7 SOFC output to inverter / AC cabinet</t>
        </is>
      </c>
      <c r="E1294" s="12" t="n">
        <v>480</v>
      </c>
      <c r="F1294" s="12" t="n">
        <v>250</v>
      </c>
      <c r="G1294" s="12" t="n">
        <v>316.5</v>
      </c>
      <c r="H1294" s="12" t="inlineStr">
        <is>
          <t>FC-7: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FC-8 SOFC output to inverter / AC cabinet</t>
        </is>
      </c>
      <c r="E1295" s="12" t="n">
        <v>480</v>
      </c>
      <c r="F1295" s="12" t="n">
        <v>250</v>
      </c>
      <c r="G1295" s="12" t="n">
        <v>316.5</v>
      </c>
      <c r="H1295" s="12" t="inlineStr">
        <is>
          <t>FC-8: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FC-9 SOFC output to inverter / AC cabinet</t>
        </is>
      </c>
      <c r="E1296" s="12" t="n">
        <v>480</v>
      </c>
      <c r="F1296" s="12" t="n">
        <v>250</v>
      </c>
      <c r="G1296" s="12" t="n">
        <v>316.5</v>
      </c>
      <c r="H1296" s="12" t="inlineStr">
        <is>
          <t>FC-9: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FC-10 SOFC output to inverter / AC cabinet</t>
        </is>
      </c>
      <c r="E1297" s="12" t="n">
        <v>480</v>
      </c>
      <c r="F1297" s="12" t="n">
        <v>250</v>
      </c>
      <c r="G1297" s="12" t="n">
        <v>316.5</v>
      </c>
      <c r="H1297" s="12" t="inlineStr">
        <is>
          <t>FC-10: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FC-11 SOFC output to inverter / AC cabinet</t>
        </is>
      </c>
      <c r="E1298" s="12" t="n">
        <v>480</v>
      </c>
      <c r="F1298" s="12" t="n">
        <v>250</v>
      </c>
      <c r="G1298" s="12" t="n">
        <v>316.5</v>
      </c>
      <c r="H1298" s="12" t="inlineStr">
        <is>
          <t>FC-11: SOFC module (Bloom ES5 class, 200-300 kW)</t>
        </is>
      </c>
      <c r="I1298" s="12" t="inlineStr">
        <is>
          <t>LV 600 V</t>
        </is>
      </c>
      <c r="J1298" s="12" t="inlineStr">
        <is>
          <t>3/0</t>
        </is>
      </c>
      <c r="K1298" s="12" t="n">
        <v>2</v>
      </c>
    </row>
    <row r="1299">
      <c r="A1299" s="12" t="inlineStr">
        <is>
          <t>FC-5..12 inverter / AC cabinet / desulfurizer</t>
        </is>
      </c>
      <c r="B1299" s="12" t="inlineStr"/>
      <c r="C1299" s="12" t="inlineStr">
        <is>
          <t>I</t>
        </is>
      </c>
      <c r="D1299" s="12" t="inlineStr">
        <is>
          <t>FC-12 SOFC output to inverter / AC cabinet</t>
        </is>
      </c>
      <c r="E1299" s="12" t="n">
        <v>480</v>
      </c>
      <c r="F1299" s="12" t="n">
        <v>250</v>
      </c>
      <c r="G1299" s="12" t="n">
        <v>316.5</v>
      </c>
      <c r="H1299" s="12" t="inlineStr">
        <is>
          <t>FC-12: SOFC module (Bloom ES5 class, 200-300 kW)</t>
        </is>
      </c>
      <c r="I1299" s="12" t="inlineStr">
        <is>
          <t>LV 600 V</t>
        </is>
      </c>
      <c r="J1299" s="12" t="inlineStr">
        <is>
          <t>3/0</t>
        </is>
      </c>
      <c r="K1299" s="12" t="n">
        <v>2</v>
      </c>
    </row>
    <row r="1300">
      <c r="A1300" s="12" t="inlineStr">
        <is>
          <t>Fuel-gas compressors 3 x 100% electric</t>
        </is>
      </c>
      <c r="B1300" s="12" t="inlineStr"/>
      <c r="C1300" s="12" t="inlineStr">
        <is>
          <t>I</t>
        </is>
      </c>
      <c r="D1300" s="12" t="inlineStr">
        <is>
          <t>Motor 1 of 6, 15 kW</t>
        </is>
      </c>
      <c r="E1300" s="12" t="n">
        <v>480</v>
      </c>
      <c r="F1300" s="12" t="n">
        <v>15</v>
      </c>
      <c r="G1300" s="12" t="n">
        <v>21.2</v>
      </c>
      <c r="H1300" s="12" t="inlineStr">
        <is>
          <t>SC-2 PCM + 15 kV GCB</t>
        </is>
      </c>
      <c r="I1300" s="12" t="inlineStr">
        <is>
          <t>LV 600 V</t>
        </is>
      </c>
      <c r="J1300" s="12" t="inlineStr">
        <is>
          <t>10</t>
        </is>
      </c>
      <c r="K1300" s="12" t="n">
        <v>1</v>
      </c>
    </row>
    <row r="1301">
      <c r="A1301" s="12" t="inlineStr">
        <is>
          <t>Fuel-gas compressors 3 x 100% electric</t>
        </is>
      </c>
      <c r="B1301" s="12" t="inlineStr"/>
      <c r="C1301" s="12" t="inlineStr">
        <is>
          <t>I</t>
        </is>
      </c>
      <c r="D1301" s="12" t="inlineStr">
        <is>
          <t>Motor 2 of 6, 15 kW</t>
        </is>
      </c>
      <c r="E1301" s="12" t="n">
        <v>480</v>
      </c>
      <c r="F1301" s="12" t="n">
        <v>15</v>
      </c>
      <c r="G1301" s="12" t="n">
        <v>21.2</v>
      </c>
      <c r="H1301" s="12" t="inlineStr">
        <is>
          <t>SC-2 PCM + 15 kV GCB</t>
        </is>
      </c>
      <c r="I1301" s="12" t="inlineStr">
        <is>
          <t>LV 600 V</t>
        </is>
      </c>
      <c r="J1301" s="12" t="inlineStr">
        <is>
          <t>10</t>
        </is>
      </c>
      <c r="K1301" s="12" t="n">
        <v>1</v>
      </c>
    </row>
    <row r="1302">
      <c r="A1302" s="12" t="inlineStr">
        <is>
          <t>Fuel-gas compressors 3 x 100% electric</t>
        </is>
      </c>
      <c r="B1302" s="12" t="inlineStr"/>
      <c r="C1302" s="12" t="inlineStr">
        <is>
          <t>I</t>
        </is>
      </c>
      <c r="D1302" s="12" t="inlineStr">
        <is>
          <t>Motor 3 of 6, 15 kW</t>
        </is>
      </c>
      <c r="E1302" s="12" t="n">
        <v>480</v>
      </c>
      <c r="F1302" s="12" t="n">
        <v>15</v>
      </c>
      <c r="G1302" s="12" t="n">
        <v>21.2</v>
      </c>
      <c r="H1302" s="12" t="inlineStr">
        <is>
          <t>SC-2 PCM + 15 kV GCB</t>
        </is>
      </c>
      <c r="I1302" s="12" t="inlineStr">
        <is>
          <t>LV 600 V</t>
        </is>
      </c>
      <c r="J1302" s="12" t="inlineStr">
        <is>
          <t>10</t>
        </is>
      </c>
      <c r="K1302" s="12" t="n">
        <v>1</v>
      </c>
    </row>
    <row r="1303">
      <c r="A1303" s="12" t="inlineStr">
        <is>
          <t>Fuel-gas compressors 3 x 100% electric</t>
        </is>
      </c>
      <c r="B1303" s="12" t="inlineStr"/>
      <c r="C1303" s="12" t="inlineStr">
        <is>
          <t>I</t>
        </is>
      </c>
      <c r="D1303" s="12" t="inlineStr">
        <is>
          <t>Motor 4 of 6, 15 kW</t>
        </is>
      </c>
      <c r="E1303" s="12" t="n">
        <v>480</v>
      </c>
      <c r="F1303" s="12" t="n">
        <v>15</v>
      </c>
      <c r="G1303" s="12" t="n">
        <v>21.2</v>
      </c>
      <c r="H1303" s="12" t="inlineStr">
        <is>
          <t>SC-2 PCM + 15 kV GCB</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5 of 6, 15 kW</t>
        </is>
      </c>
      <c r="E1304" s="12" t="n">
        <v>480</v>
      </c>
      <c r="F1304" s="12" t="n">
        <v>15</v>
      </c>
      <c r="G1304" s="12" t="n">
        <v>21.2</v>
      </c>
      <c r="H1304" s="12" t="inlineStr">
        <is>
          <t>SC-2 PCM + 15 kV GCB</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6 of 6, 15 kW</t>
        </is>
      </c>
      <c r="E1305" s="12" t="n">
        <v>480</v>
      </c>
      <c r="F1305" s="12" t="n">
        <v>15</v>
      </c>
      <c r="G1305" s="12" t="n">
        <v>21.2</v>
      </c>
      <c r="H1305" s="12" t="inlineStr">
        <is>
          <t>SC-2 PCM + 15 kV GCB</t>
        </is>
      </c>
      <c r="I1305" s="12" t="inlineStr">
        <is>
          <t>LV 600 V</t>
        </is>
      </c>
      <c r="J1305" s="12" t="inlineStr">
        <is>
          <t>10</t>
        </is>
      </c>
      <c r="K1305" s="12" t="n">
        <v>1</v>
      </c>
    </row>
    <row r="1306">
      <c r="A1306" s="12" t="inlineStr">
        <is>
          <t>Gas conditioning skid</t>
        </is>
      </c>
      <c r="B1306" s="12" t="inlineStr"/>
      <c r="C1306" s="12" t="inlineStr">
        <is>
          <t>I</t>
        </is>
      </c>
      <c r="D1306" s="12" t="inlineStr">
        <is>
          <t>LV power feeder</t>
        </is>
      </c>
      <c r="E1306" s="12" t="n">
        <v>480</v>
      </c>
      <c r="F1306" s="12" t="n">
        <v>30</v>
      </c>
      <c r="G1306" s="12" t="n">
        <v>42.5</v>
      </c>
      <c r="H1306" s="12" t="inlineStr">
        <is>
          <t>PCM: power control module</t>
        </is>
      </c>
      <c r="I1306" s="12" t="inlineStr">
        <is>
          <t>LV 600 V</t>
        </is>
      </c>
      <c r="J1306" s="12" t="inlineStr">
        <is>
          <t>6</t>
        </is>
      </c>
      <c r="K1306" s="12" t="n">
        <v>1</v>
      </c>
    </row>
    <row r="1307">
      <c r="A1307" s="12" t="inlineStr">
        <is>
          <t>Lube oil / starting air / oily water building</t>
        </is>
      </c>
      <c r="B1307" s="12" t="inlineStr"/>
      <c r="C1307" s="12" t="inlineStr">
        <is>
          <t>I</t>
        </is>
      </c>
      <c r="D1307" s="12" t="inlineStr">
        <is>
          <t>LV panel / distribution feeder</t>
        </is>
      </c>
      <c r="E1307" s="12" t="n">
        <v>480</v>
      </c>
      <c r="F1307" s="12" t="n">
        <v>79</v>
      </c>
      <c r="G1307" s="12" t="n">
        <v>111.8</v>
      </c>
      <c r="H1307" s="12" t="inlineStr">
        <is>
          <t>PCM: power control module</t>
        </is>
      </c>
      <c r="I1307" s="12" t="inlineStr">
        <is>
          <t>LV 600 V</t>
        </is>
      </c>
      <c r="J1307" s="12" t="inlineStr">
        <is>
          <t>1/0</t>
        </is>
      </c>
      <c r="K1307" s="12" t="n">
        <v>1</v>
      </c>
    </row>
    <row r="1308">
      <c r="A1308" s="12" t="inlineStr">
        <is>
          <t>MOD-EH: 13.8 kV modular collector e-house</t>
        </is>
      </c>
      <c r="B1308" s="12" t="inlineStr">
        <is>
          <t>MOD-EH</t>
        </is>
      </c>
      <c r="C1308" s="12" t="inlineStr">
        <is>
          <t>I</t>
        </is>
      </c>
      <c r="D1308" s="12" t="inlineStr">
        <is>
          <t>LV panel / distribution feeder</t>
        </is>
      </c>
      <c r="E1308" s="12" t="n">
        <v>480</v>
      </c>
      <c r="F1308" s="12" t="n">
        <v>30</v>
      </c>
      <c r="G1308" s="12" t="n">
        <v>42.5</v>
      </c>
      <c r="H1308" s="12" t="inlineStr">
        <is>
          <t>MOD-LV 480 V board + 480 V : 13.8 kV step-up</t>
        </is>
      </c>
      <c r="I1308" s="12" t="inlineStr">
        <is>
          <t>LV 600 V</t>
        </is>
      </c>
      <c r="J1308" s="12" t="inlineStr">
        <is>
          <t>4</t>
        </is>
      </c>
      <c r="K1308" s="12" t="n">
        <v>1</v>
      </c>
    </row>
    <row r="1309">
      <c r="A1309" s="12" t="inlineStr">
        <is>
          <t>MOD-LV 480 V board + 480 V : 13.8 kV step-up</t>
        </is>
      </c>
      <c r="B1309" s="12" t="inlineStr"/>
      <c r="C1309" s="12" t="inlineStr">
        <is>
          <t>I</t>
        </is>
      </c>
      <c r="D1309" s="12" t="inlineStr">
        <is>
          <t>Fuel-cell AC cabinet to MOD-LV</t>
        </is>
      </c>
      <c r="E1309" s="12" t="n">
        <v>480</v>
      </c>
      <c r="F1309" s="12" t="n">
        <v>2000</v>
      </c>
      <c r="G1309" s="12" t="n">
        <v>2532.3</v>
      </c>
      <c r="H1309" s="12" t="inlineStr">
        <is>
          <t>FC-5..12 inverter / AC cabinet / desulfurizer</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MT-4 microturbine output</t>
        </is>
      </c>
      <c r="E1310" s="12" t="n">
        <v>480</v>
      </c>
      <c r="F1310" s="12" t="n">
        <v>1000</v>
      </c>
      <c r="G1310" s="12" t="n">
        <v>1266.2</v>
      </c>
      <c r="H1310" s="12" t="inlineStr">
        <is>
          <t>MT-4: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MT-5 microturbine output</t>
        </is>
      </c>
      <c r="E1311" s="12" t="n">
        <v>480</v>
      </c>
      <c r="F1311" s="12" t="n">
        <v>1000</v>
      </c>
      <c r="G1311" s="12" t="n">
        <v>1266.2</v>
      </c>
      <c r="H1311" s="12" t="inlineStr">
        <is>
          <t>MT-5: microturbine 1 MW (Capstone C1000 class)</t>
        </is>
      </c>
      <c r="I1311" s="12" t="inlineStr">
        <is>
          <t>LV 600 V</t>
        </is>
      </c>
      <c r="J1311" s="12" t="inlineStr">
        <is>
          <t>500 kcmil</t>
        </is>
      </c>
      <c r="K1311" s="12" t="n">
        <v>12</v>
      </c>
    </row>
    <row r="1312">
      <c r="A1312" s="12" t="inlineStr">
        <is>
          <t>MOD-LV 480 V board + 480 V : 13.8 kV step-up</t>
        </is>
      </c>
      <c r="B1312" s="12" t="inlineStr"/>
      <c r="C1312" s="12" t="inlineStr">
        <is>
          <t>I</t>
        </is>
      </c>
      <c r="D1312" s="12" t="inlineStr">
        <is>
          <t>MT-6 microturbine output</t>
        </is>
      </c>
      <c r="E1312" s="12" t="n">
        <v>480</v>
      </c>
      <c r="F1312" s="12" t="n">
        <v>1000</v>
      </c>
      <c r="G1312" s="12" t="n">
        <v>1266.2</v>
      </c>
      <c r="H1312" s="12" t="inlineStr">
        <is>
          <t>MT-6: microturbine 1 MW (Capstone C1000 class)</t>
        </is>
      </c>
      <c r="I1312" s="12" t="inlineStr">
        <is>
          <t>LV 600 V</t>
        </is>
      </c>
      <c r="J1312" s="12" t="inlineStr">
        <is>
          <t>500 kcmil</t>
        </is>
      </c>
      <c r="K1312" s="12" t="n">
        <v>12</v>
      </c>
    </row>
    <row r="1313">
      <c r="A1313" s="12" t="inlineStr">
        <is>
          <t>PAD-TX 480 V : 13.8 kV</t>
        </is>
      </c>
      <c r="B1313" s="12" t="inlineStr">
        <is>
          <t>PAD-TX</t>
        </is>
      </c>
      <c r="C1313" s="12" t="inlineStr">
        <is>
          <t>I</t>
        </is>
      </c>
      <c r="D1313" s="12" t="inlineStr">
        <is>
          <t>PAD-LV to PAD-TX</t>
        </is>
      </c>
      <c r="E1313" s="12" t="n">
        <v>480</v>
      </c>
      <c r="F1313" s="12" t="n">
        <v>3000</v>
      </c>
      <c r="G1313" s="12" t="n">
        <v>3600</v>
      </c>
      <c r="H1313" s="12" t="inlineStr">
        <is>
          <t>PAD-LV 480 V paralleling switchboard</t>
        </is>
      </c>
      <c r="I1313" s="12" t="inlineStr">
        <is>
          <t>LV 600 V</t>
        </is>
      </c>
      <c r="J1313" s="12" t="inlineStr">
        <is>
          <t>500 kcmil</t>
        </is>
      </c>
      <c r="K1313" s="12" t="n">
        <v>12</v>
      </c>
    </row>
    <row r="1314">
      <c r="A1314" s="12" t="inlineStr">
        <is>
          <t>PCM: power control module</t>
        </is>
      </c>
      <c r="B1314" s="12" t="inlineStr"/>
      <c r="C1314" s="12" t="inlineStr">
        <is>
          <t>I</t>
        </is>
      </c>
      <c r="D1314" s="12" t="inlineStr">
        <is>
          <t>LV panel / distribution feeder</t>
        </is>
      </c>
      <c r="E1314" s="12" t="n">
        <v>480</v>
      </c>
      <c r="F1314" s="12" t="n">
        <v>38</v>
      </c>
      <c r="G1314" s="12" t="n">
        <v>53.8</v>
      </c>
      <c r="H1314" s="12" t="inlineStr">
        <is>
          <t>PCM: power control module</t>
        </is>
      </c>
      <c r="I1314" s="12" t="inlineStr">
        <is>
          <t>LV 600 V</t>
        </is>
      </c>
      <c r="J1314" s="12" t="inlineStr">
        <is>
          <t>4</t>
        </is>
      </c>
      <c r="K1314" s="12" t="n">
        <v>1</v>
      </c>
    </row>
    <row r="1315">
      <c r="A1315" s="12" t="inlineStr">
        <is>
          <t>RICE 1 SCR + oxidation catalyst and stack</t>
        </is>
      </c>
      <c r="B1315" s="12" t="inlineStr"/>
      <c r="C1315" s="12" t="inlineStr">
        <is>
          <t>I</t>
        </is>
      </c>
      <c r="D1315" s="12" t="inlineStr">
        <is>
          <t>Motor 1 of 1, 15 kW</t>
        </is>
      </c>
      <c r="E1315" s="12" t="n">
        <v>480</v>
      </c>
      <c r="F1315" s="12" t="n">
        <v>15</v>
      </c>
      <c r="G1315" s="12" t="n">
        <v>21.2</v>
      </c>
      <c r="H1315" s="12" t="inlineStr">
        <is>
          <t>PCM: power control module</t>
        </is>
      </c>
      <c r="I1315" s="12" t="inlineStr">
        <is>
          <t>LV 600 V</t>
        </is>
      </c>
      <c r="J1315" s="12" t="inlineStr">
        <is>
          <t>6</t>
        </is>
      </c>
      <c r="K1315" s="12" t="n">
        <v>1</v>
      </c>
    </row>
    <row r="1316">
      <c r="A1316" s="12" t="inlineStr">
        <is>
          <t>RICE 1 SCR + oxidation catalyst and stack</t>
        </is>
      </c>
      <c r="B1316" s="12" t="inlineStr"/>
      <c r="C1316" s="12" t="inlineStr">
        <is>
          <t>I</t>
        </is>
      </c>
      <c r="D1316" s="12" t="inlineStr">
        <is>
          <t>Area / platform lighting circuit 1 (6 fixtures)</t>
        </is>
      </c>
      <c r="E1316" s="12" t="n">
        <v>480</v>
      </c>
      <c r="F1316" s="12" t="n">
        <v>3</v>
      </c>
      <c r="G1316" s="12" t="n">
        <v>5</v>
      </c>
      <c r="H1316" s="12" t="inlineStr">
        <is>
          <t>PCM: power control module</t>
        </is>
      </c>
      <c r="I1316" s="12" t="inlineStr">
        <is>
          <t>LV 600 V</t>
        </is>
      </c>
      <c r="J1316" s="12" t="inlineStr">
        <is>
          <t>10</t>
        </is>
      </c>
      <c r="K1316" s="12" t="n">
        <v>1</v>
      </c>
    </row>
    <row r="1317">
      <c r="A1317" s="12" t="inlineStr">
        <is>
          <t>RICE 1 radiators (5)</t>
        </is>
      </c>
      <c r="B1317" s="12" t="inlineStr"/>
      <c r="C1317" s="12" t="inlineStr">
        <is>
          <t>I</t>
        </is>
      </c>
      <c r="D1317" s="12" t="inlineStr">
        <is>
          <t>Motor 1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2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3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4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1 radiators (5)</t>
        </is>
      </c>
      <c r="B1321" s="12" t="inlineStr"/>
      <c r="C1321" s="12" t="inlineStr">
        <is>
          <t>I</t>
        </is>
      </c>
      <c r="D1321" s="12" t="inlineStr">
        <is>
          <t>Motor 5 of 5, 30 kW (VFD output)</t>
        </is>
      </c>
      <c r="E1321" s="12" t="n">
        <v>480</v>
      </c>
      <c r="F1321" s="12" t="n">
        <v>30</v>
      </c>
      <c r="G1321" s="12" t="n">
        <v>42</v>
      </c>
      <c r="H1321" s="12" t="inlineStr">
        <is>
          <t>PCM: power control module</t>
        </is>
      </c>
      <c r="I1321" s="12" t="inlineStr">
        <is>
          <t>LV 600 V</t>
        </is>
      </c>
      <c r="J1321" s="12" t="inlineStr">
        <is>
          <t>1</t>
        </is>
      </c>
      <c r="K1321" s="12" t="n">
        <v>1</v>
      </c>
    </row>
    <row r="1322">
      <c r="A1322" s="12" t="inlineStr">
        <is>
          <t>RICE 2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2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2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2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2</t>
        </is>
      </c>
      <c r="K1328" s="12" t="n">
        <v>1</v>
      </c>
    </row>
    <row r="1329">
      <c r="A1329" s="12" t="inlineStr">
        <is>
          <t>RICE 3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3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3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3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4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4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5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5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6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6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7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8</t>
        </is>
      </c>
      <c r="K1357" s="12" t="n">
        <v>1</v>
      </c>
    </row>
    <row r="1358">
      <c r="A1358" s="12" t="inlineStr">
        <is>
          <t>RICE 7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7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8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8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8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CEMS</t>
        </is>
      </c>
      <c r="B1371" s="12" t="inlineStr"/>
      <c r="C1371" s="12" t="inlineStr">
        <is>
          <t>I</t>
        </is>
      </c>
      <c r="D1371" s="12" t="inlineStr">
        <is>
          <t>LV panel / distribution feeder</t>
        </is>
      </c>
      <c r="E1371" s="12" t="n">
        <v>480</v>
      </c>
      <c r="F1371" s="12" t="n">
        <v>30</v>
      </c>
      <c r="G1371" s="12" t="n">
        <v>42.5</v>
      </c>
      <c r="H1371" s="12" t="inlineStr">
        <is>
          <t>PCM: power control module</t>
        </is>
      </c>
      <c r="I1371" s="12" t="inlineStr">
        <is>
          <t>LV 600 V</t>
        </is>
      </c>
      <c r="J1371" s="12" t="inlineStr">
        <is>
          <t>4</t>
        </is>
      </c>
      <c r="K1371" s="12" t="n">
        <v>1</v>
      </c>
    </row>
    <row r="1372">
      <c r="A1372" s="12" t="inlineStr">
        <is>
          <t>RICE engine hall (8 engines)</t>
        </is>
      </c>
      <c r="B1372" s="12" t="inlineStr">
        <is>
          <t>RICE</t>
        </is>
      </c>
      <c r="C1372" s="12" t="inlineStr">
        <is>
          <t>I</t>
        </is>
      </c>
      <c r="D1372" s="12" t="inlineStr">
        <is>
          <t>LV power feeder</t>
        </is>
      </c>
      <c r="E1372" s="12" t="n">
        <v>480</v>
      </c>
      <c r="F1372" s="12" t="n">
        <v>15</v>
      </c>
      <c r="G1372" s="12" t="n">
        <v>21.2</v>
      </c>
      <c r="H1372" s="12" t="inlineStr">
        <is>
          <t>PCM: power control module</t>
        </is>
      </c>
      <c r="I1372" s="12" t="inlineStr">
        <is>
          <t>LV 600 V</t>
        </is>
      </c>
      <c r="J1372" s="12" t="inlineStr">
        <is>
          <t>8</t>
        </is>
      </c>
      <c r="K1372" s="12" t="n">
        <v>1</v>
      </c>
    </row>
    <row r="1373">
      <c r="A1373" s="12" t="inlineStr">
        <is>
          <t>RICE engine-generator 1</t>
        </is>
      </c>
      <c r="B1373" s="12" t="inlineStr">
        <is>
          <t>RICE-1</t>
        </is>
      </c>
      <c r="C1373" s="12" t="inlineStr">
        <is>
          <t>I</t>
        </is>
      </c>
      <c r="D1373" s="12" t="inlineStr">
        <is>
          <t>Motor 1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2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3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4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5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Motor 6 of 6, 22 kW</t>
        </is>
      </c>
      <c r="E1378" s="12" t="n">
        <v>480</v>
      </c>
      <c r="F1378" s="12" t="n">
        <v>22</v>
      </c>
      <c r="G1378" s="12" t="n">
        <v>31.1</v>
      </c>
      <c r="H1378" s="12" t="inlineStr">
        <is>
          <t>PCM: power control module</t>
        </is>
      </c>
      <c r="I1378" s="12" t="inlineStr">
        <is>
          <t>LV 600 V</t>
        </is>
      </c>
      <c r="J1378" s="12" t="inlineStr">
        <is>
          <t>4</t>
        </is>
      </c>
      <c r="K1378" s="12" t="n">
        <v>1</v>
      </c>
    </row>
    <row r="1379">
      <c r="A1379" s="12" t="inlineStr">
        <is>
          <t>RICE engine-generator 1</t>
        </is>
      </c>
      <c r="B1379" s="12" t="inlineStr">
        <is>
          <t>RICE-1</t>
        </is>
      </c>
      <c r="C1379" s="12" t="inlineStr">
        <is>
          <t>I</t>
        </is>
      </c>
      <c r="D1379" s="12" t="inlineStr">
        <is>
          <t>480 V welding receptacle 1</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2</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3</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1</t>
        </is>
      </c>
      <c r="B1382" s="12" t="inlineStr">
        <is>
          <t>RICE-1</t>
        </is>
      </c>
      <c r="C1382" s="12" t="inlineStr">
        <is>
          <t>I</t>
        </is>
      </c>
      <c r="D1382" s="12" t="inlineStr">
        <is>
          <t>480 V welding receptacle 4</t>
        </is>
      </c>
      <c r="E1382" s="12" t="n">
        <v>480</v>
      </c>
      <c r="F1382" s="12" t="n">
        <v>60</v>
      </c>
      <c r="G1382" s="12" t="n">
        <v>76</v>
      </c>
      <c r="H1382" s="12" t="inlineStr">
        <is>
          <t>PCM: power control module</t>
        </is>
      </c>
      <c r="I1382" s="12" t="inlineStr">
        <is>
          <t>LV 600 V</t>
        </is>
      </c>
      <c r="J1382" s="12" t="inlineStr">
        <is>
          <t>1/0</t>
        </is>
      </c>
      <c r="K1382" s="12" t="n">
        <v>1</v>
      </c>
    </row>
    <row r="1383">
      <c r="A1383" s="12" t="inlineStr">
        <is>
          <t>RICE engine-generator 2</t>
        </is>
      </c>
      <c r="B1383" s="12" t="inlineStr">
        <is>
          <t>RICE-2</t>
        </is>
      </c>
      <c r="C1383" s="12" t="inlineStr">
        <is>
          <t>I</t>
        </is>
      </c>
      <c r="D1383" s="12" t="inlineStr">
        <is>
          <t>Motor 1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2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3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4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5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Motor 6 of 6, 22 kW</t>
        </is>
      </c>
      <c r="E1388" s="12" t="n">
        <v>480</v>
      </c>
      <c r="F1388" s="12" t="n">
        <v>22</v>
      </c>
      <c r="G1388" s="12" t="n">
        <v>31.1</v>
      </c>
      <c r="H1388" s="12" t="inlineStr">
        <is>
          <t>PCM: power control module</t>
        </is>
      </c>
      <c r="I1388" s="12" t="inlineStr">
        <is>
          <t>LV 600 V</t>
        </is>
      </c>
      <c r="J1388" s="12" t="inlineStr">
        <is>
          <t>4</t>
        </is>
      </c>
      <c r="K1388" s="12" t="n">
        <v>1</v>
      </c>
    </row>
    <row r="1389">
      <c r="A1389" s="12" t="inlineStr">
        <is>
          <t>RICE engine-generator 2</t>
        </is>
      </c>
      <c r="B1389" s="12" t="inlineStr">
        <is>
          <t>RICE-2</t>
        </is>
      </c>
      <c r="C1389" s="12" t="inlineStr">
        <is>
          <t>I</t>
        </is>
      </c>
      <c r="D1389" s="12" t="inlineStr">
        <is>
          <t>480 V welding receptacle 1</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2</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3</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480 V welding receptacle 4</t>
        </is>
      </c>
      <c r="E1392" s="12" t="n">
        <v>480</v>
      </c>
      <c r="F1392" s="12" t="n">
        <v>60</v>
      </c>
      <c r="G1392" s="12" t="n">
        <v>76</v>
      </c>
      <c r="H1392" s="12" t="inlineStr">
        <is>
          <t>PCM: power control module</t>
        </is>
      </c>
      <c r="I1392" s="12" t="inlineStr">
        <is>
          <t>LV 600 V</t>
        </is>
      </c>
      <c r="J1392" s="12" t="inlineStr">
        <is>
          <t>1/0</t>
        </is>
      </c>
      <c r="K1392" s="12" t="n">
        <v>1</v>
      </c>
    </row>
    <row r="1393">
      <c r="A1393" s="12" t="inlineStr">
        <is>
          <t>RICE engine-generator 3</t>
        </is>
      </c>
      <c r="B1393" s="12" t="inlineStr">
        <is>
          <t>RICE-3</t>
        </is>
      </c>
      <c r="C1393" s="12" t="inlineStr">
        <is>
          <t>I</t>
        </is>
      </c>
      <c r="D1393" s="12" t="inlineStr">
        <is>
          <t>Motor 1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2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3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4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5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Motor 6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3</t>
        </is>
      </c>
      <c r="B1399" s="12" t="inlineStr">
        <is>
          <t>RICE-3</t>
        </is>
      </c>
      <c r="C1399" s="12" t="inlineStr">
        <is>
          <t>I</t>
        </is>
      </c>
      <c r="D1399" s="12" t="inlineStr">
        <is>
          <t>480 V welding receptacle 1</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2</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3</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3</t>
        </is>
      </c>
      <c r="B1402" s="12" t="inlineStr">
        <is>
          <t>RICE-3</t>
        </is>
      </c>
      <c r="C1402" s="12" t="inlineStr">
        <is>
          <t>I</t>
        </is>
      </c>
      <c r="D1402" s="12" t="inlineStr">
        <is>
          <t>480 V welding receptacle 4</t>
        </is>
      </c>
      <c r="E1402" s="12" t="n">
        <v>480</v>
      </c>
      <c r="F1402" s="12" t="n">
        <v>60</v>
      </c>
      <c r="G1402" s="12" t="n">
        <v>76</v>
      </c>
      <c r="H1402" s="12" t="inlineStr">
        <is>
          <t>PCM: power control module</t>
        </is>
      </c>
      <c r="I1402" s="12" t="inlineStr">
        <is>
          <t>LV 600 V</t>
        </is>
      </c>
      <c r="J1402" s="12" t="inlineStr">
        <is>
          <t>1</t>
        </is>
      </c>
      <c r="K1402" s="12" t="n">
        <v>1</v>
      </c>
    </row>
    <row r="1403">
      <c r="A1403" s="12" t="inlineStr">
        <is>
          <t>RICE engine-generator 4</t>
        </is>
      </c>
      <c r="B1403" s="12" t="inlineStr">
        <is>
          <t>RICE-4</t>
        </is>
      </c>
      <c r="C1403" s="12" t="inlineStr">
        <is>
          <t>I</t>
        </is>
      </c>
      <c r="D1403" s="12" t="inlineStr">
        <is>
          <t>Motor 1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2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3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4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5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Motor 6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4</t>
        </is>
      </c>
      <c r="B1409" s="12" t="inlineStr">
        <is>
          <t>RICE-4</t>
        </is>
      </c>
      <c r="C1409" s="12" t="inlineStr">
        <is>
          <t>I</t>
        </is>
      </c>
      <c r="D1409" s="12" t="inlineStr">
        <is>
          <t>480 V welding receptacle 1</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2</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3</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480 V welding receptacle 4</t>
        </is>
      </c>
      <c r="E1412" s="12" t="n">
        <v>480</v>
      </c>
      <c r="F1412" s="12" t="n">
        <v>60</v>
      </c>
      <c r="G1412" s="12" t="n">
        <v>76</v>
      </c>
      <c r="H1412" s="12" t="inlineStr">
        <is>
          <t>PCM: power control module</t>
        </is>
      </c>
      <c r="I1412" s="12" t="inlineStr">
        <is>
          <t>LV 600 V</t>
        </is>
      </c>
      <c r="J1412" s="12" t="inlineStr">
        <is>
          <t>1</t>
        </is>
      </c>
      <c r="K1412" s="12" t="n">
        <v>1</v>
      </c>
    </row>
    <row r="1413">
      <c r="A1413" s="12" t="inlineStr">
        <is>
          <t>RICE engine-generator 5</t>
        </is>
      </c>
      <c r="B1413" s="12" t="inlineStr">
        <is>
          <t>RICE-5</t>
        </is>
      </c>
      <c r="C1413" s="12" t="inlineStr">
        <is>
          <t>I</t>
        </is>
      </c>
      <c r="D1413" s="12" t="inlineStr">
        <is>
          <t>Motor 1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2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3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4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5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Motor 6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5</t>
        </is>
      </c>
      <c r="B1419" s="12" t="inlineStr">
        <is>
          <t>RICE-5</t>
        </is>
      </c>
      <c r="C1419" s="12" t="inlineStr">
        <is>
          <t>I</t>
        </is>
      </c>
      <c r="D1419" s="12" t="inlineStr">
        <is>
          <t>480 V welding receptacle 1</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2</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3</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480 V welding receptacle 4</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6</t>
        </is>
      </c>
      <c r="B1423" s="12" t="inlineStr">
        <is>
          <t>RICE-6</t>
        </is>
      </c>
      <c r="C1423" s="12" t="inlineStr">
        <is>
          <t>I</t>
        </is>
      </c>
      <c r="D1423" s="12" t="inlineStr">
        <is>
          <t>Motor 1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2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3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4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5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Motor 6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6</t>
        </is>
      </c>
      <c r="B1429" s="12" t="inlineStr">
        <is>
          <t>RICE-6</t>
        </is>
      </c>
      <c r="C1429" s="12" t="inlineStr">
        <is>
          <t>I</t>
        </is>
      </c>
      <c r="D1429" s="12" t="inlineStr">
        <is>
          <t>480 V welding receptacle 1</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2</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3</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480 V welding receptacle 4</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7</t>
        </is>
      </c>
      <c r="B1433" s="12" t="inlineStr">
        <is>
          <t>RICE-7</t>
        </is>
      </c>
      <c r="C1433" s="12" t="inlineStr">
        <is>
          <t>I</t>
        </is>
      </c>
      <c r="D1433" s="12" t="inlineStr">
        <is>
          <t>Motor 1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2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3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4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5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Motor 6 of 6, 22 kW</t>
        </is>
      </c>
      <c r="E1438" s="12" t="n">
        <v>480</v>
      </c>
      <c r="F1438" s="12" t="n">
        <v>22</v>
      </c>
      <c r="G1438" s="12" t="n">
        <v>31.1</v>
      </c>
      <c r="H1438" s="12" t="inlineStr">
        <is>
          <t>PCM: power control module</t>
        </is>
      </c>
      <c r="I1438" s="12" t="inlineStr">
        <is>
          <t>LV 600 V</t>
        </is>
      </c>
      <c r="J1438" s="12" t="inlineStr">
        <is>
          <t>8</t>
        </is>
      </c>
      <c r="K1438" s="12" t="n">
        <v>1</v>
      </c>
    </row>
    <row r="1439">
      <c r="A1439" s="12" t="inlineStr">
        <is>
          <t>RICE engine-generator 7</t>
        </is>
      </c>
      <c r="B1439" s="12" t="inlineStr">
        <is>
          <t>RICE-7</t>
        </is>
      </c>
      <c r="C1439" s="12" t="inlineStr">
        <is>
          <t>I</t>
        </is>
      </c>
      <c r="D1439" s="12" t="inlineStr">
        <is>
          <t>480 V welding receptacle 1</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2</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3</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7</t>
        </is>
      </c>
      <c r="B1442" s="12" t="inlineStr">
        <is>
          <t>RICE-7</t>
        </is>
      </c>
      <c r="C1442" s="12" t="inlineStr">
        <is>
          <t>I</t>
        </is>
      </c>
      <c r="D1442" s="12" t="inlineStr">
        <is>
          <t>480 V welding receptacle 4</t>
        </is>
      </c>
      <c r="E1442" s="12" t="n">
        <v>480</v>
      </c>
      <c r="F1442" s="12" t="n">
        <v>60</v>
      </c>
      <c r="G1442" s="12" t="n">
        <v>76</v>
      </c>
      <c r="H1442" s="12" t="inlineStr">
        <is>
          <t>PCM: power control module</t>
        </is>
      </c>
      <c r="I1442" s="12" t="inlineStr">
        <is>
          <t>LV 600 V</t>
        </is>
      </c>
      <c r="J1442" s="12" t="inlineStr">
        <is>
          <t>2</t>
        </is>
      </c>
      <c r="K1442" s="12" t="n">
        <v>1</v>
      </c>
    </row>
    <row r="1443">
      <c r="A1443" s="12" t="inlineStr">
        <is>
          <t>RICE engine-generator 8</t>
        </is>
      </c>
      <c r="B1443" s="12" t="inlineStr">
        <is>
          <t>RICE-8</t>
        </is>
      </c>
      <c r="C1443" s="12" t="inlineStr">
        <is>
          <t>I</t>
        </is>
      </c>
      <c r="D1443" s="12" t="inlineStr">
        <is>
          <t>Motor 1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2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3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4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5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Motor 6 of 6, 22 kW</t>
        </is>
      </c>
      <c r="E1448" s="12" t="n">
        <v>480</v>
      </c>
      <c r="F1448" s="12" t="n">
        <v>22</v>
      </c>
      <c r="G1448" s="12" t="n">
        <v>31.1</v>
      </c>
      <c r="H1448" s="12" t="inlineStr">
        <is>
          <t>PCM: power control module</t>
        </is>
      </c>
      <c r="I1448" s="12" t="inlineStr">
        <is>
          <t>LV 600 V</t>
        </is>
      </c>
      <c r="J1448" s="12" t="inlineStr">
        <is>
          <t>8</t>
        </is>
      </c>
      <c r="K1448" s="12" t="n">
        <v>1</v>
      </c>
    </row>
    <row r="1449">
      <c r="A1449" s="12" t="inlineStr">
        <is>
          <t>RICE engine-generator 8</t>
        </is>
      </c>
      <c r="B1449" s="12" t="inlineStr">
        <is>
          <t>RICE-8</t>
        </is>
      </c>
      <c r="C1449" s="12" t="inlineStr">
        <is>
          <t>I</t>
        </is>
      </c>
      <c r="D1449" s="12" t="inlineStr">
        <is>
          <t>480 V welding receptacle 1</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2</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3</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480 V welding receptacle 4</t>
        </is>
      </c>
      <c r="E1452" s="12" t="n">
        <v>480</v>
      </c>
      <c r="F1452" s="12" t="n">
        <v>60</v>
      </c>
      <c r="G1452" s="12" t="n">
        <v>76</v>
      </c>
      <c r="H1452" s="12" t="inlineStr">
        <is>
          <t>PCM: power control module</t>
        </is>
      </c>
      <c r="I1452" s="12" t="inlineStr">
        <is>
          <t>LV 600 V</t>
        </is>
      </c>
      <c r="J1452" s="12" t="inlineStr">
        <is>
          <t>2</t>
        </is>
      </c>
      <c r="K1452" s="12" t="n">
        <v>1</v>
      </c>
    </row>
    <row r="1453">
      <c r="A1453" s="12" t="inlineStr">
        <is>
          <t>Reagent storage</t>
        </is>
      </c>
      <c r="B1453" s="12" t="inlineStr"/>
      <c r="C1453" s="12" t="inlineStr">
        <is>
          <t>I</t>
        </is>
      </c>
      <c r="D1453" s="12" t="inlineStr">
        <is>
          <t>LV power feeder</t>
        </is>
      </c>
      <c r="E1453" s="12" t="n">
        <v>480</v>
      </c>
      <c r="F1453" s="12" t="n">
        <v>15</v>
      </c>
      <c r="G1453" s="12" t="n">
        <v>21.2</v>
      </c>
      <c r="H1453" s="12" t="inlineStr">
        <is>
          <t>PCM: power control module</t>
        </is>
      </c>
      <c r="I1453" s="12" t="inlineStr">
        <is>
          <t>LV 600 V</t>
        </is>
      </c>
      <c r="J1453" s="12" t="inlineStr">
        <is>
          <t>10</t>
        </is>
      </c>
      <c r="K1453" s="12" t="n">
        <v>1</v>
      </c>
    </row>
    <row r="1454">
      <c r="A1454" s="12" t="inlineStr">
        <is>
          <t>SC-1 CEMS shelter</t>
        </is>
      </c>
      <c r="B1454" s="12" t="inlineStr"/>
      <c r="C1454" s="12" t="inlineStr">
        <is>
          <t>I</t>
        </is>
      </c>
      <c r="D1454" s="12" t="inlineStr">
        <is>
          <t>SC-1 CEMS shelter panel: analysers, heated sample line, lighting</t>
        </is>
      </c>
      <c r="E1454" s="12" t="n">
        <v>480</v>
      </c>
      <c r="F1454" s="12" t="n">
        <v>15</v>
      </c>
      <c r="G1454" s="12" t="n">
        <v>19</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1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CEMS shelter</t>
        </is>
      </c>
      <c r="B1456" s="12" t="inlineStr"/>
      <c r="C1456" s="12" t="inlineStr">
        <is>
          <t>I</t>
        </is>
      </c>
      <c r="D1456" s="12" t="inlineStr">
        <is>
          <t>Motor 2 of 2, 5 kW</t>
        </is>
      </c>
      <c r="E1456" s="12" t="n">
        <v>480</v>
      </c>
      <c r="F1456" s="12" t="n">
        <v>5</v>
      </c>
      <c r="G1456" s="12" t="n">
        <v>7.1</v>
      </c>
      <c r="H1456" s="12" t="inlineStr">
        <is>
          <t>SC-1 PCM + 15 kV GCB</t>
        </is>
      </c>
      <c r="I1456" s="12" t="inlineStr">
        <is>
          <t>LV 600 V</t>
        </is>
      </c>
      <c r="J1456" s="12" t="inlineStr">
        <is>
          <t>10</t>
        </is>
      </c>
      <c r="K1456" s="12" t="n">
        <v>1</v>
      </c>
    </row>
    <row r="1457">
      <c r="A1457" s="12" t="inlineStr">
        <is>
          <t>SC-1 PCM + 15 kV GCB</t>
        </is>
      </c>
      <c r="B1457" s="12" t="inlineStr"/>
      <c r="C1457" s="12" t="inlineStr">
        <is>
          <t>I</t>
        </is>
      </c>
      <c r="D1457" s="12" t="inlineStr">
        <is>
          <t>SC-1 PCM lighting, receptacles and HVAC (from its own 480 V board)</t>
        </is>
      </c>
      <c r="E1457" s="12" t="n">
        <v>480</v>
      </c>
      <c r="F1457" s="12" t="n">
        <v>40</v>
      </c>
      <c r="G1457" s="12" t="n"/>
      <c r="H1457" s="12" t="inlineStr">
        <is>
          <t>SC-1 PCM + 15 kV GCB</t>
        </is>
      </c>
      <c r="I1457" s="12" t="inlineStr">
        <is>
          <t>LV 600 V</t>
        </is>
      </c>
      <c r="J1457" s="12" t="inlineStr">
        <is>
          <t>2</t>
        </is>
      </c>
      <c r="K1457" s="12" t="n">
        <v>1</v>
      </c>
    </row>
    <row r="1458">
      <c r="A1458" s="12" t="inlineStr">
        <is>
          <t>SC-1 SCR / CO catalyst</t>
        </is>
      </c>
      <c r="B1458" s="12" t="inlineStr"/>
      <c r="C1458" s="12" t="inlineStr">
        <is>
          <t>I</t>
        </is>
      </c>
      <c r="D1458" s="12" t="inlineStr">
        <is>
          <t>Area / platform lighting circuit 1 (10 fixtures)</t>
        </is>
      </c>
      <c r="E1458" s="12" t="n">
        <v>480</v>
      </c>
      <c r="F1458" s="12" t="n">
        <v>3</v>
      </c>
      <c r="G1458" s="12" t="n">
        <v>5</v>
      </c>
      <c r="H1458" s="12" t="inlineStr">
        <is>
          <t>SC-1 PCM + 15 kV GCB</t>
        </is>
      </c>
      <c r="I1458" s="12" t="inlineStr">
        <is>
          <t>LV 600 V</t>
        </is>
      </c>
      <c r="J1458" s="12" t="inlineStr">
        <is>
          <t>10</t>
        </is>
      </c>
      <c r="K1458" s="12" t="n">
        <v>1</v>
      </c>
    </row>
    <row r="1459">
      <c r="A1459" s="12" t="inlineStr">
        <is>
          <t>SC-1 ammonia flow-control unit</t>
        </is>
      </c>
      <c r="B1459" s="12" t="inlineStr"/>
      <c r="C1459" s="12" t="inlineStr">
        <is>
          <t>I</t>
        </is>
      </c>
      <c r="D1459" s="12" t="inlineStr">
        <is>
          <t>SC-1 ammonia vaporiser electric heater</t>
        </is>
      </c>
      <c r="E1459" s="12" t="n">
        <v>480</v>
      </c>
      <c r="F1459" s="12" t="n">
        <v>45</v>
      </c>
      <c r="G1459" s="12" t="n">
        <v>57</v>
      </c>
      <c r="H1459" s="12" t="inlineStr">
        <is>
          <t>SC-1 PCM + 15 kV GCB</t>
        </is>
      </c>
      <c r="I1459" s="12" t="inlineStr">
        <is>
          <t>LV 600 V</t>
        </is>
      </c>
      <c r="J1459" s="12" t="inlineStr">
        <is>
          <t>4</t>
        </is>
      </c>
      <c r="K1459" s="12" t="n">
        <v>1</v>
      </c>
    </row>
    <row r="1460">
      <c r="A1460" s="12" t="inlineStr">
        <is>
          <t>SC-1 ammonia flow-control unit</t>
        </is>
      </c>
      <c r="B1460" s="12" t="inlineStr"/>
      <c r="C1460" s="12" t="inlineStr">
        <is>
          <t>I</t>
        </is>
      </c>
      <c r="D1460" s="12" t="inlineStr">
        <is>
          <t>Motor 1 of 2,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ammonia flow-control unit</t>
        </is>
      </c>
      <c r="B1461" s="12" t="inlineStr"/>
      <c r="C1461" s="12" t="inlineStr">
        <is>
          <t>I</t>
        </is>
      </c>
      <c r="D1461" s="12" t="inlineStr">
        <is>
          <t>Motor 2 of 2, 7.5 kW</t>
        </is>
      </c>
      <c r="E1461" s="12" t="n">
        <v>480</v>
      </c>
      <c r="F1461" s="12" t="n">
        <v>7.5</v>
      </c>
      <c r="G1461" s="12" t="n">
        <v>10.6</v>
      </c>
      <c r="H1461" s="12" t="inlineStr">
        <is>
          <t>SC-1 PCM + 15 kV GCB</t>
        </is>
      </c>
      <c r="I1461" s="12" t="inlineStr">
        <is>
          <t>LV 600 V</t>
        </is>
      </c>
      <c r="J1461" s="12" t="inlineStr">
        <is>
          <t>10</t>
        </is>
      </c>
      <c r="K1461" s="12" t="n">
        <v>1</v>
      </c>
    </row>
    <row r="1462">
      <c r="A1462" s="12" t="inlineStr">
        <is>
          <t>SC-1 auxiliary skids: fuel-gas module, water-wash skid</t>
        </is>
      </c>
      <c r="B1462" s="12" t="inlineStr"/>
      <c r="C1462" s="12" t="inlineStr">
        <is>
          <t>I</t>
        </is>
      </c>
      <c r="D1462" s="12" t="inlineStr">
        <is>
          <t>SC-1 water-wash tank heater</t>
        </is>
      </c>
      <c r="E1462" s="12" t="n">
        <v>480</v>
      </c>
      <c r="F1462" s="12" t="n">
        <v>6</v>
      </c>
      <c r="G1462" s="12" t="n">
        <v>7.6</v>
      </c>
      <c r="H1462" s="12" t="inlineStr">
        <is>
          <t>SC-1 PCM + 15 kV GCB</t>
        </is>
      </c>
      <c r="I1462" s="12" t="inlineStr">
        <is>
          <t>LV 600 V</t>
        </is>
      </c>
      <c r="J1462" s="12" t="inlineStr">
        <is>
          <t>10</t>
        </is>
      </c>
      <c r="K1462" s="12" t="n">
        <v>1</v>
      </c>
    </row>
    <row r="1463">
      <c r="A1463" s="12" t="inlineStr">
        <is>
          <t>SC-1 auxiliary skids: fuel-gas module, water-wash skid</t>
        </is>
      </c>
      <c r="B1463" s="12" t="inlineStr"/>
      <c r="C1463" s="12" t="inlineStr">
        <is>
          <t>I</t>
        </is>
      </c>
      <c r="D1463" s="12" t="inlineStr">
        <is>
          <t>Motor 1 of 1, 7.5 kW</t>
        </is>
      </c>
      <c r="E1463" s="12" t="n">
        <v>480</v>
      </c>
      <c r="F1463" s="12" t="n">
        <v>7.5</v>
      </c>
      <c r="G1463" s="12" t="n">
        <v>10.6</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1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lube-oil fin-fan cooler</t>
        </is>
      </c>
      <c r="B1465" s="12" t="inlineStr"/>
      <c r="C1465" s="12" t="inlineStr">
        <is>
          <t>I</t>
        </is>
      </c>
      <c r="D1465" s="12" t="inlineStr">
        <is>
          <t>Motor 2 of 4, 15 kW</t>
        </is>
      </c>
      <c r="E1465" s="12" t="n">
        <v>480</v>
      </c>
      <c r="F1465" s="12" t="n">
        <v>15</v>
      </c>
      <c r="G1465" s="12" t="n">
        <v>21.2</v>
      </c>
      <c r="H1465" s="12" t="inlineStr">
        <is>
          <t>SC-1 PCM + 15 kV GCB</t>
        </is>
      </c>
      <c r="I1465" s="12" t="inlineStr">
        <is>
          <t>LV 600 V</t>
        </is>
      </c>
      <c r="J1465" s="12" t="inlineStr">
        <is>
          <t>10</t>
        </is>
      </c>
      <c r="K1465" s="12" t="n">
        <v>1</v>
      </c>
    </row>
    <row r="1466">
      <c r="A1466" s="12" t="inlineStr">
        <is>
          <t>SC-1 lube-oil fin-fan cooler</t>
        </is>
      </c>
      <c r="B1466" s="12" t="inlineStr"/>
      <c r="C1466" s="12" t="inlineStr">
        <is>
          <t>I</t>
        </is>
      </c>
      <c r="D1466" s="12" t="inlineStr">
        <is>
          <t>Motor 3 of 4, 15 kW</t>
        </is>
      </c>
      <c r="E1466" s="12" t="n">
        <v>480</v>
      </c>
      <c r="F1466" s="12" t="n">
        <v>15</v>
      </c>
      <c r="G1466" s="12" t="n">
        <v>21.2</v>
      </c>
      <c r="H1466" s="12" t="inlineStr">
        <is>
          <t>SC-1 PCM + 15 kV GCB</t>
        </is>
      </c>
      <c r="I1466" s="12" t="inlineStr">
        <is>
          <t>LV 600 V</t>
        </is>
      </c>
      <c r="J1466" s="12" t="inlineStr">
        <is>
          <t>10</t>
        </is>
      </c>
      <c r="K1466" s="12" t="n">
        <v>1</v>
      </c>
    </row>
    <row r="1467">
      <c r="A1467" s="12" t="inlineStr">
        <is>
          <t>SC-1 lube-oil fin-fan cooler</t>
        </is>
      </c>
      <c r="B1467" s="12" t="inlineStr"/>
      <c r="C1467" s="12" t="inlineStr">
        <is>
          <t>I</t>
        </is>
      </c>
      <c r="D1467" s="12" t="inlineStr">
        <is>
          <t>Motor 4 of 4, 15 kW</t>
        </is>
      </c>
      <c r="E1467" s="12" t="n">
        <v>480</v>
      </c>
      <c r="F1467" s="12" t="n">
        <v>15</v>
      </c>
      <c r="G1467" s="12" t="n">
        <v>21.2</v>
      </c>
      <c r="H1467" s="12" t="inlineStr">
        <is>
          <t>SC-1 PCM + 15 kV GCB</t>
        </is>
      </c>
      <c r="I1467" s="12" t="inlineStr">
        <is>
          <t>LV 600 V</t>
        </is>
      </c>
      <c r="J1467" s="12" t="inlineStr">
        <is>
          <t>10</t>
        </is>
      </c>
      <c r="K1467" s="12" t="n">
        <v>1</v>
      </c>
    </row>
    <row r="1468">
      <c r="A1468" s="12" t="inlineStr">
        <is>
          <t>SC-1 stack (80 ft)</t>
        </is>
      </c>
      <c r="B1468" s="12" t="inlineStr"/>
      <c r="C1468" s="12" t="inlineStr">
        <is>
          <t>I</t>
        </is>
      </c>
      <c r="D1468" s="12" t="inlineStr">
        <is>
          <t>Area / platform lighting circuit 1 (4 fixtures)</t>
        </is>
      </c>
      <c r="E1468" s="12" t="n">
        <v>480</v>
      </c>
      <c r="F1468" s="12" t="n">
        <v>3</v>
      </c>
      <c r="G1468" s="12" t="n">
        <v>5</v>
      </c>
      <c r="H1468" s="12" t="inlineStr">
        <is>
          <t>SC-1 PCM + 15 kV GCB</t>
        </is>
      </c>
      <c r="I1468" s="12" t="inlineStr">
        <is>
          <t>LV 600 V</t>
        </is>
      </c>
      <c r="J1468" s="12" t="inlineStr">
        <is>
          <t>10</t>
        </is>
      </c>
      <c r="K1468" s="12" t="n">
        <v>1</v>
      </c>
    </row>
    <row r="1469">
      <c r="A1469" s="12" t="inlineStr">
        <is>
          <t>SC-1 tempering-air fans (2 x 100 %)</t>
        </is>
      </c>
      <c r="B1469" s="12" t="inlineStr"/>
      <c r="C1469" s="12" t="inlineStr">
        <is>
          <t>I</t>
        </is>
      </c>
      <c r="D1469" s="12" t="inlineStr">
        <is>
          <t>Motor 1 of 2, 185 kW</t>
        </is>
      </c>
      <c r="E1469" s="12" t="n">
        <v>480</v>
      </c>
      <c r="F1469" s="12" t="n">
        <v>185</v>
      </c>
      <c r="G1469" s="12" t="n">
        <v>261.8</v>
      </c>
      <c r="H1469" s="12" t="inlineStr">
        <is>
          <t>SC-1 PCM + 15 kV GCB</t>
        </is>
      </c>
      <c r="I1469" s="12" t="inlineStr">
        <is>
          <t>LV 600 V</t>
        </is>
      </c>
      <c r="J1469" s="12" t="inlineStr">
        <is>
          <t>500 kcmil</t>
        </is>
      </c>
      <c r="K1469" s="12" t="n">
        <v>1</v>
      </c>
    </row>
    <row r="1470">
      <c r="A1470" s="12" t="inlineStr">
        <is>
          <t>SC-1 tempering-air fans (2 x 100 %)</t>
        </is>
      </c>
      <c r="B1470" s="12" t="inlineStr"/>
      <c r="C1470" s="12" t="inlineStr">
        <is>
          <t>I</t>
        </is>
      </c>
      <c r="D1470" s="12" t="inlineStr">
        <is>
          <t>Motor 2 of 2, 185 kW</t>
        </is>
      </c>
      <c r="E1470" s="12" t="n">
        <v>480</v>
      </c>
      <c r="F1470" s="12" t="n">
        <v>185</v>
      </c>
      <c r="G1470" s="12" t="n">
        <v>261.8</v>
      </c>
      <c r="H1470" s="12" t="inlineStr">
        <is>
          <t>SC-1 PCM + 15 kV GCB</t>
        </is>
      </c>
      <c r="I1470" s="12" t="inlineStr">
        <is>
          <t>LV 600 V</t>
        </is>
      </c>
      <c r="J1470" s="12" t="inlineStr">
        <is>
          <t>500 kcmil</t>
        </is>
      </c>
      <c r="K1470" s="12" t="n">
        <v>1</v>
      </c>
    </row>
    <row r="1471">
      <c r="A1471" s="12" t="inlineStr">
        <is>
          <t>SC-1 tempering-air fans (2 x 100 %)</t>
        </is>
      </c>
      <c r="B1471" s="12" t="inlineStr"/>
      <c r="C1471" s="12" t="inlineStr">
        <is>
          <t>I</t>
        </is>
      </c>
      <c r="D1471" s="12" t="inlineStr">
        <is>
          <t>Area / platform lighting circuit 1 (4 fixtures)</t>
        </is>
      </c>
      <c r="E1471" s="12" t="n">
        <v>480</v>
      </c>
      <c r="F1471" s="12" t="n">
        <v>3</v>
      </c>
      <c r="G1471" s="12" t="n">
        <v>5</v>
      </c>
      <c r="H1471" s="12" t="inlineStr">
        <is>
          <t>SC-1 PCM + 15 kV GCB</t>
        </is>
      </c>
      <c r="I1471" s="12" t="inlineStr">
        <is>
          <t>LV 600 V</t>
        </is>
      </c>
      <c r="J1471" s="12" t="inlineStr">
        <is>
          <t>10</t>
        </is>
      </c>
      <c r="K1471" s="12" t="n">
        <v>1</v>
      </c>
    </row>
    <row r="1472">
      <c r="A1472" s="12" t="inlineStr">
        <is>
          <t>SC-1: aeroderivative simple-cycle unit (LM6000 class)</t>
        </is>
      </c>
      <c r="B1472" s="12" t="inlineStr">
        <is>
          <t>SC-1</t>
        </is>
      </c>
      <c r="C1472" s="12" t="inlineStr">
        <is>
          <t>I</t>
        </is>
      </c>
      <c r="D1472" s="12" t="inlineStr">
        <is>
          <t>SC-1 emergency DC lube-oil pump (125 V DC, coast-down)</t>
        </is>
      </c>
      <c r="E1472" s="12" t="n">
        <v>125</v>
      </c>
      <c r="F1472" s="12" t="n">
        <v>7.5</v>
      </c>
      <c r="G1472" s="12" t="n">
        <v>65</v>
      </c>
      <c r="H1472" s="12" t="inlineStr">
        <is>
          <t>SC-1 PCM + 15 kV GCB</t>
        </is>
      </c>
      <c r="I1472" s="12" t="inlineStr">
        <is>
          <t>LV 600 V</t>
        </is>
      </c>
      <c r="J1472" s="12" t="inlineStr">
        <is>
          <t>2</t>
        </is>
      </c>
      <c r="K1472" s="12" t="n">
        <v>1</v>
      </c>
    </row>
    <row r="1473">
      <c r="A1473" s="12" t="inlineStr">
        <is>
          <t>SC-1: aeroderivative simple-cycle unit (LM6000 class)</t>
        </is>
      </c>
      <c r="B1473" s="12" t="inlineStr">
        <is>
          <t>SC-1</t>
        </is>
      </c>
      <c r="C1473" s="12" t="inlineStr">
        <is>
          <t>I</t>
        </is>
      </c>
      <c r="D1473" s="12" t="inlineStr">
        <is>
          <t>SC-1 120 V AC UPS to the unit control and protection</t>
        </is>
      </c>
      <c r="E1473" s="12" t="n">
        <v>120</v>
      </c>
      <c r="F1473" s="12" t="n">
        <v>5</v>
      </c>
      <c r="G1473" s="12" t="n"/>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SC-1 hydraulic starter pump motor (start sequence only)</t>
        </is>
      </c>
      <c r="E1474" s="12" t="n">
        <v>480</v>
      </c>
      <c r="F1474" s="12" t="n">
        <v>225</v>
      </c>
      <c r="G1474" s="12" t="n">
        <v>318.4</v>
      </c>
      <c r="H1474" s="12" t="inlineStr">
        <is>
          <t>SC-1 PCM + 15 kV GCB</t>
        </is>
      </c>
      <c r="I1474" s="12" t="inlineStr">
        <is>
          <t>LV 600 V</t>
        </is>
      </c>
      <c r="J1474" s="12" t="inlineStr">
        <is>
          <t>3/0</t>
        </is>
      </c>
      <c r="K1474" s="12" t="n">
        <v>2</v>
      </c>
    </row>
    <row r="1475">
      <c r="A1475" s="12" t="inlineStr">
        <is>
          <t>SC-1: aeroderivative simple-cycle unit (LM6000 class)</t>
        </is>
      </c>
      <c r="B1475" s="12" t="inlineStr">
        <is>
          <t>SC-1</t>
        </is>
      </c>
      <c r="C1475" s="12" t="inlineStr">
        <is>
          <t>I</t>
        </is>
      </c>
      <c r="D1475" s="12" t="inlineStr">
        <is>
          <t>SC-1 480 V welding receptacle 1</t>
        </is>
      </c>
      <c r="E1475" s="12" t="n">
        <v>480</v>
      </c>
      <c r="F1475" s="12" t="n">
        <v>60</v>
      </c>
      <c r="G1475" s="12" t="n">
        <v>76</v>
      </c>
      <c r="H1475" s="12" t="inlineStr">
        <is>
          <t>SC-1 PCM + 15 kV GCB</t>
        </is>
      </c>
      <c r="I1475" s="12" t="inlineStr">
        <is>
          <t>LV 600 V</t>
        </is>
      </c>
      <c r="J1475" s="12" t="inlineStr">
        <is>
          <t>2</t>
        </is>
      </c>
      <c r="K1475" s="12" t="n">
        <v>1</v>
      </c>
    </row>
    <row r="1476">
      <c r="A1476" s="12" t="inlineStr">
        <is>
          <t>SC-1: aeroderivative simple-cycle unit (LM6000 class)</t>
        </is>
      </c>
      <c r="B1476" s="12" t="inlineStr">
        <is>
          <t>SC-1</t>
        </is>
      </c>
      <c r="C1476" s="12" t="inlineStr">
        <is>
          <t>I</t>
        </is>
      </c>
      <c r="D1476" s="12" t="inlineStr">
        <is>
          <t>SC-1 480 V welding receptacle 2</t>
        </is>
      </c>
      <c r="E1476" s="12" t="n">
        <v>480</v>
      </c>
      <c r="F1476" s="12" t="n">
        <v>60</v>
      </c>
      <c r="G1476" s="12" t="n">
        <v>76</v>
      </c>
      <c r="H1476" s="12" t="inlineStr">
        <is>
          <t>SC-1 PCM + 15 kV GCB</t>
        </is>
      </c>
      <c r="I1476" s="12" t="inlineStr">
        <is>
          <t>LV 600 V</t>
        </is>
      </c>
      <c r="J1476" s="12" t="inlineStr">
        <is>
          <t>2</t>
        </is>
      </c>
      <c r="K1476" s="12" t="n">
        <v>1</v>
      </c>
    </row>
    <row r="1477">
      <c r="A1477" s="12" t="inlineStr">
        <is>
          <t>SC-1: aeroderivative simple-cycle unit (LM6000 class)</t>
        </is>
      </c>
      <c r="B1477" s="12" t="inlineStr">
        <is>
          <t>SC-1</t>
        </is>
      </c>
      <c r="C1477" s="12" t="inlineStr">
        <is>
          <t>I</t>
        </is>
      </c>
      <c r="D1477" s="12" t="inlineStr">
        <is>
          <t>Motor 1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SC-1: aeroderivative simple-cycle unit (LM6000 class)</t>
        </is>
      </c>
      <c r="B1478" s="12" t="inlineStr">
        <is>
          <t>SC-1</t>
        </is>
      </c>
      <c r="C1478" s="12" t="inlineStr">
        <is>
          <t>I</t>
        </is>
      </c>
      <c r="D1478" s="12" t="inlineStr">
        <is>
          <t>Motor 2 of 10, 30 kW</t>
        </is>
      </c>
      <c r="E1478" s="12" t="n">
        <v>480</v>
      </c>
      <c r="F1478" s="12" t="n">
        <v>30</v>
      </c>
      <c r="G1478" s="12" t="n">
        <v>42.5</v>
      </c>
      <c r="H1478" s="12" t="inlineStr">
        <is>
          <t>SC-1 PCM + 15 kV GCB</t>
        </is>
      </c>
      <c r="I1478" s="12" t="inlineStr">
        <is>
          <t>LV 600 V</t>
        </is>
      </c>
      <c r="J1478" s="12" t="inlineStr">
        <is>
          <t>6</t>
        </is>
      </c>
      <c r="K1478" s="12" t="n">
        <v>1</v>
      </c>
    </row>
    <row r="1479">
      <c r="A1479" s="12" t="inlineStr">
        <is>
          <t>SC-1: aeroderivative simple-cycle unit (LM6000 class)</t>
        </is>
      </c>
      <c r="B1479" s="12" t="inlineStr">
        <is>
          <t>SC-1</t>
        </is>
      </c>
      <c r="C1479" s="12" t="inlineStr">
        <is>
          <t>I</t>
        </is>
      </c>
      <c r="D1479" s="12" t="inlineStr">
        <is>
          <t>Motor 3 of 10, 30 kW</t>
        </is>
      </c>
      <c r="E1479" s="12" t="n">
        <v>480</v>
      </c>
      <c r="F1479" s="12" t="n">
        <v>30</v>
      </c>
      <c r="G1479" s="12" t="n">
        <v>42.5</v>
      </c>
      <c r="H1479" s="12" t="inlineStr">
        <is>
          <t>SC-1 PCM + 15 kV GCB</t>
        </is>
      </c>
      <c r="I1479" s="12" t="inlineStr">
        <is>
          <t>LV 600 V</t>
        </is>
      </c>
      <c r="J1479" s="12" t="inlineStr">
        <is>
          <t>6</t>
        </is>
      </c>
      <c r="K1479" s="12" t="n">
        <v>1</v>
      </c>
    </row>
    <row r="1480">
      <c r="A1480" s="12" t="inlineStr">
        <is>
          <t>SC-1: aeroderivative simple-cycle unit (LM6000 class)</t>
        </is>
      </c>
      <c r="B1480" s="12" t="inlineStr">
        <is>
          <t>SC-1</t>
        </is>
      </c>
      <c r="C1480" s="12" t="inlineStr">
        <is>
          <t>I</t>
        </is>
      </c>
      <c r="D1480" s="12" t="inlineStr">
        <is>
          <t>Motor 4 of 10, 30 kW</t>
        </is>
      </c>
      <c r="E1480" s="12" t="n">
        <v>480</v>
      </c>
      <c r="F1480" s="12" t="n">
        <v>30</v>
      </c>
      <c r="G1480" s="12" t="n">
        <v>42.5</v>
      </c>
      <c r="H1480" s="12" t="inlineStr">
        <is>
          <t>SC-1 PCM + 15 kV GCB</t>
        </is>
      </c>
      <c r="I1480" s="12" t="inlineStr">
        <is>
          <t>LV 600 V</t>
        </is>
      </c>
      <c r="J1480" s="12" t="inlineStr">
        <is>
          <t>6</t>
        </is>
      </c>
      <c r="K1480" s="12" t="n">
        <v>1</v>
      </c>
    </row>
    <row r="1481">
      <c r="A1481" s="12" t="inlineStr">
        <is>
          <t>SC-1: aeroderivative simple-cycle unit (LM6000 class)</t>
        </is>
      </c>
      <c r="B1481" s="12" t="inlineStr">
        <is>
          <t>SC-1</t>
        </is>
      </c>
      <c r="C1481" s="12" t="inlineStr">
        <is>
          <t>I</t>
        </is>
      </c>
      <c r="D1481" s="12" t="inlineStr">
        <is>
          <t>Motor 5 of 10, 30 kW</t>
        </is>
      </c>
      <c r="E1481" s="12" t="n">
        <v>480</v>
      </c>
      <c r="F1481" s="12" t="n">
        <v>30</v>
      </c>
      <c r="G1481" s="12" t="n">
        <v>42.5</v>
      </c>
      <c r="H1481" s="12" t="inlineStr">
        <is>
          <t>SC-1 PCM + 15 kV GCB</t>
        </is>
      </c>
      <c r="I1481" s="12" t="inlineStr">
        <is>
          <t>LV 600 V</t>
        </is>
      </c>
      <c r="J1481" s="12" t="inlineStr">
        <is>
          <t>6</t>
        </is>
      </c>
      <c r="K1481" s="12" t="n">
        <v>1</v>
      </c>
    </row>
    <row r="1482">
      <c r="A1482" s="12" t="inlineStr">
        <is>
          <t>SC-1: aeroderivative simple-cycle unit (LM6000 class)</t>
        </is>
      </c>
      <c r="B1482" s="12" t="inlineStr">
        <is>
          <t>SC-1</t>
        </is>
      </c>
      <c r="C1482" s="12" t="inlineStr">
        <is>
          <t>I</t>
        </is>
      </c>
      <c r="D1482" s="12" t="inlineStr">
        <is>
          <t>Motor 6 of 10, 30 kW</t>
        </is>
      </c>
      <c r="E1482" s="12" t="n">
        <v>480</v>
      </c>
      <c r="F1482" s="12" t="n">
        <v>30</v>
      </c>
      <c r="G1482" s="12" t="n">
        <v>42.5</v>
      </c>
      <c r="H1482" s="12" t="inlineStr">
        <is>
          <t>SC-1 PCM + 15 kV GCB</t>
        </is>
      </c>
      <c r="I1482" s="12" t="inlineStr">
        <is>
          <t>LV 600 V</t>
        </is>
      </c>
      <c r="J1482" s="12" t="inlineStr">
        <is>
          <t>6</t>
        </is>
      </c>
      <c r="K1482" s="12" t="n">
        <v>1</v>
      </c>
    </row>
    <row r="1483">
      <c r="A1483" s="12" t="inlineStr">
        <is>
          <t>SC-1: aeroderivative simple-cycle unit (LM6000 class)</t>
        </is>
      </c>
      <c r="B1483" s="12" t="inlineStr">
        <is>
          <t>SC-1</t>
        </is>
      </c>
      <c r="C1483" s="12" t="inlineStr">
        <is>
          <t>I</t>
        </is>
      </c>
      <c r="D1483" s="12" t="inlineStr">
        <is>
          <t>Motor 7 of 10, 30 kW</t>
        </is>
      </c>
      <c r="E1483" s="12" t="n">
        <v>480</v>
      </c>
      <c r="F1483" s="12" t="n">
        <v>30</v>
      </c>
      <c r="G1483" s="12" t="n">
        <v>42.5</v>
      </c>
      <c r="H1483" s="12" t="inlineStr">
        <is>
          <t>SC-1 PCM + 15 kV GCB</t>
        </is>
      </c>
      <c r="I1483" s="12" t="inlineStr">
        <is>
          <t>LV 600 V</t>
        </is>
      </c>
      <c r="J1483" s="12" t="inlineStr">
        <is>
          <t>6</t>
        </is>
      </c>
      <c r="K1483" s="12" t="n">
        <v>1</v>
      </c>
    </row>
    <row r="1484">
      <c r="A1484" s="12" t="inlineStr">
        <is>
          <t>SC-1: aeroderivative simple-cycle unit (LM6000 class)</t>
        </is>
      </c>
      <c r="B1484" s="12" t="inlineStr">
        <is>
          <t>SC-1</t>
        </is>
      </c>
      <c r="C1484" s="12" t="inlineStr">
        <is>
          <t>I</t>
        </is>
      </c>
      <c r="D1484" s="12" t="inlineStr">
        <is>
          <t>Motor 8 of 10, 30 kW</t>
        </is>
      </c>
      <c r="E1484" s="12" t="n">
        <v>480</v>
      </c>
      <c r="F1484" s="12" t="n">
        <v>30</v>
      </c>
      <c r="G1484" s="12" t="n">
        <v>42.5</v>
      </c>
      <c r="H1484" s="12" t="inlineStr">
        <is>
          <t>SC-1 PCM + 15 kV GCB</t>
        </is>
      </c>
      <c r="I1484" s="12" t="inlineStr">
        <is>
          <t>LV 600 V</t>
        </is>
      </c>
      <c r="J1484" s="12" t="inlineStr">
        <is>
          <t>6</t>
        </is>
      </c>
      <c r="K1484" s="12" t="n">
        <v>1</v>
      </c>
    </row>
    <row r="1485">
      <c r="A1485" s="12" t="inlineStr">
        <is>
          <t>SC-1: aeroderivative simple-cycle unit (LM6000 class)</t>
        </is>
      </c>
      <c r="B1485" s="12" t="inlineStr">
        <is>
          <t>SC-1</t>
        </is>
      </c>
      <c r="C1485" s="12" t="inlineStr">
        <is>
          <t>I</t>
        </is>
      </c>
      <c r="D1485" s="12" t="inlineStr">
        <is>
          <t>Motor 9 of 10, 30 kW</t>
        </is>
      </c>
      <c r="E1485" s="12" t="n">
        <v>480</v>
      </c>
      <c r="F1485" s="12" t="n">
        <v>30</v>
      </c>
      <c r="G1485" s="12" t="n">
        <v>42.5</v>
      </c>
      <c r="H1485" s="12" t="inlineStr">
        <is>
          <t>SC-1 PCM + 15 kV GCB</t>
        </is>
      </c>
      <c r="I1485" s="12" t="inlineStr">
        <is>
          <t>LV 600 V</t>
        </is>
      </c>
      <c r="J1485" s="12" t="inlineStr">
        <is>
          <t>6</t>
        </is>
      </c>
      <c r="K1485" s="12" t="n">
        <v>1</v>
      </c>
    </row>
    <row r="1486">
      <c r="A1486" s="12" t="inlineStr">
        <is>
          <t>SC-1: aeroderivative simple-cycle unit (LM6000 class)</t>
        </is>
      </c>
      <c r="B1486" s="12" t="inlineStr">
        <is>
          <t>SC-1</t>
        </is>
      </c>
      <c r="C1486" s="12" t="inlineStr">
        <is>
          <t>I</t>
        </is>
      </c>
      <c r="D1486" s="12" t="inlineStr">
        <is>
          <t>Motor 10 of 10, 30 kW</t>
        </is>
      </c>
      <c r="E1486" s="12" t="n">
        <v>480</v>
      </c>
      <c r="F1486" s="12" t="n">
        <v>30</v>
      </c>
      <c r="G1486" s="12" t="n">
        <v>42.5</v>
      </c>
      <c r="H1486" s="12" t="inlineStr">
        <is>
          <t>SC-1 PCM + 15 kV GCB</t>
        </is>
      </c>
      <c r="I1486" s="12" t="inlineStr">
        <is>
          <t>LV 600 V</t>
        </is>
      </c>
      <c r="J1486" s="12" t="inlineStr">
        <is>
          <t>6</t>
        </is>
      </c>
      <c r="K1486" s="12" t="n">
        <v>1</v>
      </c>
    </row>
    <row r="1487">
      <c r="A1487" s="12" t="inlineStr">
        <is>
          <t>SC-1: aeroderivative simple-cycle unit (LM6000 class)</t>
        </is>
      </c>
      <c r="B1487" s="12" t="inlineStr">
        <is>
          <t>SC-1</t>
        </is>
      </c>
      <c r="C1487" s="12" t="inlineStr">
        <is>
          <t>I</t>
        </is>
      </c>
      <c r="D1487" s="12" t="inlineStr">
        <is>
          <t>Area / platform lighting circuit 1 (8 fixtures)</t>
        </is>
      </c>
      <c r="E1487" s="12" t="n">
        <v>480</v>
      </c>
      <c r="F1487" s="12" t="n">
        <v>3</v>
      </c>
      <c r="G1487" s="12" t="n">
        <v>5</v>
      </c>
      <c r="H1487" s="12" t="inlineStr">
        <is>
          <t>SC-1 PCM + 15 kV GCB</t>
        </is>
      </c>
      <c r="I1487" s="12" t="inlineStr">
        <is>
          <t>LV 600 V</t>
        </is>
      </c>
      <c r="J1487" s="12" t="inlineStr">
        <is>
          <t>10</t>
        </is>
      </c>
      <c r="K1487" s="12" t="n">
        <v>1</v>
      </c>
    </row>
    <row r="1488">
      <c r="A1488" s="12" t="inlineStr">
        <is>
          <t>SC-2 CEMS shelter</t>
        </is>
      </c>
      <c r="B1488" s="12" t="inlineStr"/>
      <c r="C1488" s="12" t="inlineStr">
        <is>
          <t>I</t>
        </is>
      </c>
      <c r="D1488" s="12" t="inlineStr">
        <is>
          <t>SC-2 CEMS shelter panel: analysers, heated sample line, lighting</t>
        </is>
      </c>
      <c r="E1488" s="12" t="n">
        <v>480</v>
      </c>
      <c r="F1488" s="12" t="n">
        <v>15</v>
      </c>
      <c r="G1488" s="12" t="n">
        <v>19</v>
      </c>
      <c r="H1488" s="12" t="inlineStr">
        <is>
          <t>SC-2 PCM + 15 kV GCB</t>
        </is>
      </c>
      <c r="I1488" s="12" t="inlineStr">
        <is>
          <t>LV 600 V</t>
        </is>
      </c>
      <c r="J1488" s="12" t="inlineStr">
        <is>
          <t>10</t>
        </is>
      </c>
      <c r="K1488" s="12" t="n">
        <v>1</v>
      </c>
    </row>
    <row r="1489">
      <c r="A1489" s="12" t="inlineStr">
        <is>
          <t>SC-2 CEMS shelter</t>
        </is>
      </c>
      <c r="B1489" s="12" t="inlineStr"/>
      <c r="C1489" s="12" t="inlineStr">
        <is>
          <t>I</t>
        </is>
      </c>
      <c r="D1489" s="12" t="inlineStr">
        <is>
          <t>Motor 1 of 2, 5 kW</t>
        </is>
      </c>
      <c r="E1489" s="12" t="n">
        <v>480</v>
      </c>
      <c r="F1489" s="12" t="n">
        <v>5</v>
      </c>
      <c r="G1489" s="12" t="n">
        <v>7.1</v>
      </c>
      <c r="H1489" s="12" t="inlineStr">
        <is>
          <t>SC-2 PCM + 15 kV GCB</t>
        </is>
      </c>
      <c r="I1489" s="12" t="inlineStr">
        <is>
          <t>LV 600 V</t>
        </is>
      </c>
      <c r="J1489" s="12" t="inlineStr">
        <is>
          <t>10</t>
        </is>
      </c>
      <c r="K1489" s="12" t="n">
        <v>1</v>
      </c>
    </row>
    <row r="1490">
      <c r="A1490" s="12" t="inlineStr">
        <is>
          <t>SC-2 CEMS shelter</t>
        </is>
      </c>
      <c r="B1490" s="12" t="inlineStr"/>
      <c r="C1490" s="12" t="inlineStr">
        <is>
          <t>I</t>
        </is>
      </c>
      <c r="D1490" s="12" t="inlineStr">
        <is>
          <t>Motor 2 of 2, 5 kW</t>
        </is>
      </c>
      <c r="E1490" s="12" t="n">
        <v>480</v>
      </c>
      <c r="F1490" s="12" t="n">
        <v>5</v>
      </c>
      <c r="G1490" s="12" t="n">
        <v>7.1</v>
      </c>
      <c r="H1490" s="12" t="inlineStr">
        <is>
          <t>SC-2 PCM + 15 kV GCB</t>
        </is>
      </c>
      <c r="I1490" s="12" t="inlineStr">
        <is>
          <t>LV 600 V</t>
        </is>
      </c>
      <c r="J1490" s="12" t="inlineStr">
        <is>
          <t>10</t>
        </is>
      </c>
      <c r="K1490" s="12" t="n">
        <v>1</v>
      </c>
    </row>
    <row r="1491">
      <c r="A1491" s="12" t="inlineStr">
        <is>
          <t>SC-2 PCM + 15 kV GCB</t>
        </is>
      </c>
      <c r="B1491" s="12" t="inlineStr"/>
      <c r="C1491" s="12" t="inlineStr">
        <is>
          <t>I</t>
        </is>
      </c>
      <c r="D1491" s="12" t="inlineStr">
        <is>
          <t>SC-2 PCM lighting, receptacles and HVAC (from its own 480 V board)</t>
        </is>
      </c>
      <c r="E1491" s="12" t="n">
        <v>480</v>
      </c>
      <c r="F1491" s="12" t="n">
        <v>40</v>
      </c>
      <c r="G1491" s="12" t="n"/>
      <c r="H1491" s="12" t="inlineStr">
        <is>
          <t>SC-2 PCM + 15 kV GCB</t>
        </is>
      </c>
      <c r="I1491" s="12" t="inlineStr">
        <is>
          <t>LV 600 V</t>
        </is>
      </c>
      <c r="J1491" s="12" t="inlineStr">
        <is>
          <t>2</t>
        </is>
      </c>
      <c r="K1491" s="12" t="n">
        <v>1</v>
      </c>
    </row>
    <row r="1492">
      <c r="A1492" s="12" t="inlineStr">
        <is>
          <t>SC-2 SCR / CO catalyst</t>
        </is>
      </c>
      <c r="B1492" s="12" t="inlineStr"/>
      <c r="C1492" s="12" t="inlineStr">
        <is>
          <t>I</t>
        </is>
      </c>
      <c r="D1492" s="12" t="inlineStr">
        <is>
          <t>Area / platform lighting circuit 1 (10 fixtures)</t>
        </is>
      </c>
      <c r="E1492" s="12" t="n">
        <v>480</v>
      </c>
      <c r="F1492" s="12" t="n">
        <v>3</v>
      </c>
      <c r="G1492" s="12" t="n">
        <v>5</v>
      </c>
      <c r="H1492" s="12" t="inlineStr">
        <is>
          <t>SC-2 PCM + 15 kV GCB</t>
        </is>
      </c>
      <c r="I1492" s="12" t="inlineStr">
        <is>
          <t>LV 600 V</t>
        </is>
      </c>
      <c r="J1492" s="12" t="inlineStr">
        <is>
          <t>10</t>
        </is>
      </c>
      <c r="K1492" s="12" t="n">
        <v>1</v>
      </c>
    </row>
    <row r="1493">
      <c r="A1493" s="12" t="inlineStr">
        <is>
          <t>SC-2 ammonia flow-control unit</t>
        </is>
      </c>
      <c r="B1493" s="12" t="inlineStr"/>
      <c r="C1493" s="12" t="inlineStr">
        <is>
          <t>I</t>
        </is>
      </c>
      <c r="D1493" s="12" t="inlineStr">
        <is>
          <t>SC-2 ammonia vaporiser electric heater</t>
        </is>
      </c>
      <c r="E1493" s="12" t="n">
        <v>480</v>
      </c>
      <c r="F1493" s="12" t="n">
        <v>45</v>
      </c>
      <c r="G1493" s="12" t="n">
        <v>57</v>
      </c>
      <c r="H1493" s="12" t="inlineStr">
        <is>
          <t>SC-2 PCM + 15 kV GCB</t>
        </is>
      </c>
      <c r="I1493" s="12" t="inlineStr">
        <is>
          <t>LV 600 V</t>
        </is>
      </c>
      <c r="J1493" s="12" t="inlineStr">
        <is>
          <t>4</t>
        </is>
      </c>
      <c r="K1493" s="12" t="n">
        <v>1</v>
      </c>
    </row>
    <row r="1494">
      <c r="A1494" s="12" t="inlineStr">
        <is>
          <t>SC-2 ammonia flow-control unit</t>
        </is>
      </c>
      <c r="B1494" s="12" t="inlineStr"/>
      <c r="C1494" s="12" t="inlineStr">
        <is>
          <t>I</t>
        </is>
      </c>
      <c r="D1494" s="12" t="inlineStr">
        <is>
          <t>Motor 1 of 2, 7.5 kW</t>
        </is>
      </c>
      <c r="E1494" s="12" t="n">
        <v>480</v>
      </c>
      <c r="F1494" s="12" t="n">
        <v>7.5</v>
      </c>
      <c r="G1494" s="12" t="n">
        <v>10.6</v>
      </c>
      <c r="H1494" s="12" t="inlineStr">
        <is>
          <t>SC-2 PCM + 15 kV GCB</t>
        </is>
      </c>
      <c r="I1494" s="12" t="inlineStr">
        <is>
          <t>LV 600 V</t>
        </is>
      </c>
      <c r="J1494" s="12" t="inlineStr">
        <is>
          <t>10</t>
        </is>
      </c>
      <c r="K1494" s="12" t="n">
        <v>1</v>
      </c>
    </row>
    <row r="1495">
      <c r="A1495" s="12" t="inlineStr">
        <is>
          <t>SC-2 ammonia flow-control unit</t>
        </is>
      </c>
      <c r="B1495" s="12" t="inlineStr"/>
      <c r="C1495" s="12" t="inlineStr">
        <is>
          <t>I</t>
        </is>
      </c>
      <c r="D1495" s="12" t="inlineStr">
        <is>
          <t>Motor 2 of 2, 7.5 kW</t>
        </is>
      </c>
      <c r="E1495" s="12" t="n">
        <v>480</v>
      </c>
      <c r="F1495" s="12" t="n">
        <v>7.5</v>
      </c>
      <c r="G1495" s="12" t="n">
        <v>10.6</v>
      </c>
      <c r="H1495" s="12" t="inlineStr">
        <is>
          <t>SC-2 PCM + 15 kV GCB</t>
        </is>
      </c>
      <c r="I1495" s="12" t="inlineStr">
        <is>
          <t>LV 600 V</t>
        </is>
      </c>
      <c r="J1495" s="12" t="inlineStr">
        <is>
          <t>10</t>
        </is>
      </c>
      <c r="K1495" s="12" t="n">
        <v>1</v>
      </c>
    </row>
    <row r="1496">
      <c r="A1496" s="12" t="inlineStr">
        <is>
          <t>SC-2 auxiliary skids: fuel-gas module, water-wash skid</t>
        </is>
      </c>
      <c r="B1496" s="12" t="inlineStr"/>
      <c r="C1496" s="12" t="inlineStr">
        <is>
          <t>I</t>
        </is>
      </c>
      <c r="D1496" s="12" t="inlineStr">
        <is>
          <t>SC-2 water-wash tank heater</t>
        </is>
      </c>
      <c r="E1496" s="12" t="n">
        <v>480</v>
      </c>
      <c r="F1496" s="12" t="n">
        <v>6</v>
      </c>
      <c r="G1496" s="12" t="n">
        <v>7.6</v>
      </c>
      <c r="H1496" s="12" t="inlineStr">
        <is>
          <t>SC-2 PCM + 15 kV GCB</t>
        </is>
      </c>
      <c r="I1496" s="12" t="inlineStr">
        <is>
          <t>LV 600 V</t>
        </is>
      </c>
      <c r="J1496" s="12" t="inlineStr">
        <is>
          <t>10</t>
        </is>
      </c>
      <c r="K1496" s="12" t="n">
        <v>1</v>
      </c>
    </row>
    <row r="1497">
      <c r="A1497" s="12" t="inlineStr">
        <is>
          <t>SC-2 auxiliary skids: fuel-gas module, water-wash skid</t>
        </is>
      </c>
      <c r="B1497" s="12" t="inlineStr"/>
      <c r="C1497" s="12" t="inlineStr">
        <is>
          <t>I</t>
        </is>
      </c>
      <c r="D1497" s="12" t="inlineStr">
        <is>
          <t>Motor 1 of 1, 7.5 kW</t>
        </is>
      </c>
      <c r="E1497" s="12" t="n">
        <v>480</v>
      </c>
      <c r="F1497" s="12" t="n">
        <v>7.5</v>
      </c>
      <c r="G1497" s="12" t="n">
        <v>10.6</v>
      </c>
      <c r="H1497" s="12" t="inlineStr">
        <is>
          <t>SC-2 PCM + 15 kV GCB</t>
        </is>
      </c>
      <c r="I1497" s="12" t="inlineStr">
        <is>
          <t>LV 600 V</t>
        </is>
      </c>
      <c r="J1497" s="12" t="inlineStr">
        <is>
          <t>10</t>
        </is>
      </c>
      <c r="K1497" s="12" t="n">
        <v>1</v>
      </c>
    </row>
    <row r="1498">
      <c r="A1498" s="12" t="inlineStr">
        <is>
          <t>SC-2 lube-oil fin-fan cooler</t>
        </is>
      </c>
      <c r="B1498" s="12" t="inlineStr"/>
      <c r="C1498" s="12" t="inlineStr">
        <is>
          <t>I</t>
        </is>
      </c>
      <c r="D1498" s="12" t="inlineStr">
        <is>
          <t>Motor 1 of 4, 15 kW</t>
        </is>
      </c>
      <c r="E1498" s="12" t="n">
        <v>480</v>
      </c>
      <c r="F1498" s="12" t="n">
        <v>15</v>
      </c>
      <c r="G1498" s="12" t="n">
        <v>21.2</v>
      </c>
      <c r="H1498" s="12" t="inlineStr">
        <is>
          <t>SC-2 PCM + 15 kV GCB</t>
        </is>
      </c>
      <c r="I1498" s="12" t="inlineStr">
        <is>
          <t>LV 600 V</t>
        </is>
      </c>
      <c r="J1498" s="12" t="inlineStr">
        <is>
          <t>10</t>
        </is>
      </c>
      <c r="K1498" s="12" t="n">
        <v>1</v>
      </c>
    </row>
    <row r="1499">
      <c r="A1499" s="12" t="inlineStr">
        <is>
          <t>SC-2 lube-oil fin-fan cooler</t>
        </is>
      </c>
      <c r="B1499" s="12" t="inlineStr"/>
      <c r="C1499" s="12" t="inlineStr">
        <is>
          <t>I</t>
        </is>
      </c>
      <c r="D1499" s="12" t="inlineStr">
        <is>
          <t>Motor 2 of 4, 15 kW</t>
        </is>
      </c>
      <c r="E1499" s="12" t="n">
        <v>480</v>
      </c>
      <c r="F1499" s="12" t="n">
        <v>15</v>
      </c>
      <c r="G1499" s="12" t="n">
        <v>21.2</v>
      </c>
      <c r="H1499" s="12" t="inlineStr">
        <is>
          <t>SC-2 PCM + 15 kV GCB</t>
        </is>
      </c>
      <c r="I1499" s="12" t="inlineStr">
        <is>
          <t>LV 600 V</t>
        </is>
      </c>
      <c r="J1499" s="12" t="inlineStr">
        <is>
          <t>10</t>
        </is>
      </c>
      <c r="K1499" s="12" t="n">
        <v>1</v>
      </c>
    </row>
    <row r="1500">
      <c r="A1500" s="12" t="inlineStr">
        <is>
          <t>SC-2 lube-oil fin-fan cooler</t>
        </is>
      </c>
      <c r="B1500" s="12" t="inlineStr"/>
      <c r="C1500" s="12" t="inlineStr">
        <is>
          <t>I</t>
        </is>
      </c>
      <c r="D1500" s="12" t="inlineStr">
        <is>
          <t>Motor 3 of 4, 15 kW</t>
        </is>
      </c>
      <c r="E1500" s="12" t="n">
        <v>480</v>
      </c>
      <c r="F1500" s="12" t="n">
        <v>15</v>
      </c>
      <c r="G1500" s="12" t="n">
        <v>21.2</v>
      </c>
      <c r="H1500" s="12" t="inlineStr">
        <is>
          <t>SC-2 PCM + 15 kV GCB</t>
        </is>
      </c>
      <c r="I1500" s="12" t="inlineStr">
        <is>
          <t>LV 600 V</t>
        </is>
      </c>
      <c r="J1500" s="12" t="inlineStr">
        <is>
          <t>10</t>
        </is>
      </c>
      <c r="K1500" s="12" t="n">
        <v>1</v>
      </c>
    </row>
    <row r="1501">
      <c r="A1501" s="12" t="inlineStr">
        <is>
          <t>SC-2 lube-oil fin-fan cooler</t>
        </is>
      </c>
      <c r="B1501" s="12" t="inlineStr"/>
      <c r="C1501" s="12" t="inlineStr">
        <is>
          <t>I</t>
        </is>
      </c>
      <c r="D1501" s="12" t="inlineStr">
        <is>
          <t>Motor 4 of 4, 15 kW</t>
        </is>
      </c>
      <c r="E1501" s="12" t="n">
        <v>480</v>
      </c>
      <c r="F1501" s="12" t="n">
        <v>15</v>
      </c>
      <c r="G1501" s="12" t="n">
        <v>21.2</v>
      </c>
      <c r="H1501" s="12" t="inlineStr">
        <is>
          <t>SC-2 PCM + 15 kV GCB</t>
        </is>
      </c>
      <c r="I1501" s="12" t="inlineStr">
        <is>
          <t>LV 600 V</t>
        </is>
      </c>
      <c r="J1501" s="12" t="inlineStr">
        <is>
          <t>10</t>
        </is>
      </c>
      <c r="K1501" s="12" t="n">
        <v>1</v>
      </c>
    </row>
    <row r="1502">
      <c r="A1502" s="12" t="inlineStr">
        <is>
          <t>SC-2 stack (80 ft)</t>
        </is>
      </c>
      <c r="B1502" s="12" t="inlineStr"/>
      <c r="C1502" s="12" t="inlineStr">
        <is>
          <t>I</t>
        </is>
      </c>
      <c r="D1502" s="12" t="inlineStr">
        <is>
          <t>Area / platform lighting circuit 1 (4 fixtures)</t>
        </is>
      </c>
      <c r="E1502" s="12" t="n">
        <v>480</v>
      </c>
      <c r="F1502" s="12" t="n">
        <v>3</v>
      </c>
      <c r="G1502" s="12" t="n">
        <v>5</v>
      </c>
      <c r="H1502" s="12" t="inlineStr">
        <is>
          <t>SC-2 PCM + 15 kV GCB</t>
        </is>
      </c>
      <c r="I1502" s="12" t="inlineStr">
        <is>
          <t>LV 600 V</t>
        </is>
      </c>
      <c r="J1502" s="12" t="inlineStr">
        <is>
          <t>10</t>
        </is>
      </c>
      <c r="K1502" s="12" t="n">
        <v>1</v>
      </c>
    </row>
    <row r="1503">
      <c r="A1503" s="12" t="inlineStr">
        <is>
          <t>SC-2 tempering-air fans (2 x 100 %)</t>
        </is>
      </c>
      <c r="B1503" s="12" t="inlineStr"/>
      <c r="C1503" s="12" t="inlineStr">
        <is>
          <t>I</t>
        </is>
      </c>
      <c r="D1503" s="12" t="inlineStr">
        <is>
          <t>Motor 1 of 2, 185 kW</t>
        </is>
      </c>
      <c r="E1503" s="12" t="n">
        <v>480</v>
      </c>
      <c r="F1503" s="12" t="n">
        <v>185</v>
      </c>
      <c r="G1503" s="12" t="n">
        <v>261.8</v>
      </c>
      <c r="H1503" s="12" t="inlineStr">
        <is>
          <t>SC-2 PCM + 15 kV GCB</t>
        </is>
      </c>
      <c r="I1503" s="12" t="inlineStr">
        <is>
          <t>LV 600 V</t>
        </is>
      </c>
      <c r="J1503" s="12" t="inlineStr">
        <is>
          <t>500 kcmil</t>
        </is>
      </c>
      <c r="K1503" s="12" t="n">
        <v>1</v>
      </c>
    </row>
    <row r="1504">
      <c r="A1504" s="12" t="inlineStr">
        <is>
          <t>SC-2 tempering-air fans (2 x 100 %)</t>
        </is>
      </c>
      <c r="B1504" s="12" t="inlineStr"/>
      <c r="C1504" s="12" t="inlineStr">
        <is>
          <t>I</t>
        </is>
      </c>
      <c r="D1504" s="12" t="inlineStr">
        <is>
          <t>Motor 2 of 2, 185 kW</t>
        </is>
      </c>
      <c r="E1504" s="12" t="n">
        <v>480</v>
      </c>
      <c r="F1504" s="12" t="n">
        <v>185</v>
      </c>
      <c r="G1504" s="12" t="n">
        <v>261.8</v>
      </c>
      <c r="H1504" s="12" t="inlineStr">
        <is>
          <t>SC-2 PCM + 15 kV GCB</t>
        </is>
      </c>
      <c r="I1504" s="12" t="inlineStr">
        <is>
          <t>LV 600 V</t>
        </is>
      </c>
      <c r="J1504" s="12" t="inlineStr">
        <is>
          <t>500 kcmil</t>
        </is>
      </c>
      <c r="K1504" s="12" t="n">
        <v>1</v>
      </c>
    </row>
    <row r="1505">
      <c r="A1505" s="12" t="inlineStr">
        <is>
          <t>SC-2 tempering-air fans (2 x 100 %)</t>
        </is>
      </c>
      <c r="B1505" s="12" t="inlineStr"/>
      <c r="C1505" s="12" t="inlineStr">
        <is>
          <t>I</t>
        </is>
      </c>
      <c r="D1505" s="12" t="inlineStr">
        <is>
          <t>Area / platform lighting circuit 1 (4 fixtures)</t>
        </is>
      </c>
      <c r="E1505" s="12" t="n">
        <v>480</v>
      </c>
      <c r="F1505" s="12" t="n">
        <v>3</v>
      </c>
      <c r="G1505" s="12" t="n">
        <v>5</v>
      </c>
      <c r="H1505" s="12" t="inlineStr">
        <is>
          <t>SC-2 PCM + 15 kV GCB</t>
        </is>
      </c>
      <c r="I1505" s="12" t="inlineStr">
        <is>
          <t>LV 600 V</t>
        </is>
      </c>
      <c r="J1505" s="12" t="inlineStr">
        <is>
          <t>10</t>
        </is>
      </c>
      <c r="K1505" s="12" t="n">
        <v>1</v>
      </c>
    </row>
    <row r="1506">
      <c r="A1506" s="12" t="inlineStr">
        <is>
          <t>SC-2: aeroderivative simple-cycle unit (LM6000 class)</t>
        </is>
      </c>
      <c r="B1506" s="12" t="inlineStr">
        <is>
          <t>SC-2</t>
        </is>
      </c>
      <c r="C1506" s="12" t="inlineStr">
        <is>
          <t>I</t>
        </is>
      </c>
      <c r="D1506" s="12" t="inlineStr">
        <is>
          <t>SC-2 emergency DC lube-oil pump (125 V DC, coast-down)</t>
        </is>
      </c>
      <c r="E1506" s="12" t="n">
        <v>125</v>
      </c>
      <c r="F1506" s="12" t="n">
        <v>7.5</v>
      </c>
      <c r="G1506" s="12" t="n">
        <v>65</v>
      </c>
      <c r="H1506" s="12" t="inlineStr">
        <is>
          <t>SC-2 PCM + 15 kV GCB</t>
        </is>
      </c>
      <c r="I1506" s="12" t="inlineStr">
        <is>
          <t>LV 600 V</t>
        </is>
      </c>
      <c r="J1506" s="12" t="inlineStr">
        <is>
          <t>2</t>
        </is>
      </c>
      <c r="K1506" s="12" t="n">
        <v>1</v>
      </c>
    </row>
    <row r="1507">
      <c r="A1507" s="12" t="inlineStr">
        <is>
          <t>SC-2: aeroderivative simple-cycle unit (LM6000 class)</t>
        </is>
      </c>
      <c r="B1507" s="12" t="inlineStr">
        <is>
          <t>SC-2</t>
        </is>
      </c>
      <c r="C1507" s="12" t="inlineStr">
        <is>
          <t>I</t>
        </is>
      </c>
      <c r="D1507" s="12" t="inlineStr">
        <is>
          <t>SC-2 120 V AC UPS to the unit control and protection</t>
        </is>
      </c>
      <c r="E1507" s="12" t="n">
        <v>120</v>
      </c>
      <c r="F1507" s="12" t="n">
        <v>5</v>
      </c>
      <c r="G1507" s="12" t="n"/>
      <c r="H1507" s="12" t="inlineStr">
        <is>
          <t>SC-2 PCM + 15 kV GCB</t>
        </is>
      </c>
      <c r="I1507" s="12" t="inlineStr">
        <is>
          <t>LV 600 V</t>
        </is>
      </c>
      <c r="J1507" s="12" t="inlineStr">
        <is>
          <t>6</t>
        </is>
      </c>
      <c r="K1507" s="12" t="n">
        <v>1</v>
      </c>
    </row>
    <row r="1508">
      <c r="A1508" s="12" t="inlineStr">
        <is>
          <t>SC-2: aeroderivative simple-cycle unit (LM6000 class)</t>
        </is>
      </c>
      <c r="B1508" s="12" t="inlineStr">
        <is>
          <t>SC-2</t>
        </is>
      </c>
      <c r="C1508" s="12" t="inlineStr">
        <is>
          <t>I</t>
        </is>
      </c>
      <c r="D1508" s="12" t="inlineStr">
        <is>
          <t>SC-2 hydraulic starter pump motor (start sequence only)</t>
        </is>
      </c>
      <c r="E1508" s="12" t="n">
        <v>480</v>
      </c>
      <c r="F1508" s="12" t="n">
        <v>225</v>
      </c>
      <c r="G1508" s="12" t="n">
        <v>318.4</v>
      </c>
      <c r="H1508" s="12" t="inlineStr">
        <is>
          <t>SC-2 PCM + 15 kV GCB</t>
        </is>
      </c>
      <c r="I1508" s="12" t="inlineStr">
        <is>
          <t>LV 600 V</t>
        </is>
      </c>
      <c r="J1508" s="12" t="inlineStr">
        <is>
          <t>3/0</t>
        </is>
      </c>
      <c r="K1508" s="12" t="n">
        <v>2</v>
      </c>
    </row>
    <row r="1509">
      <c r="A1509" s="12" t="inlineStr">
        <is>
          <t>SC-2: aeroderivative simple-cycle unit (LM6000 class)</t>
        </is>
      </c>
      <c r="B1509" s="12" t="inlineStr">
        <is>
          <t>SC-2</t>
        </is>
      </c>
      <c r="C1509" s="12" t="inlineStr">
        <is>
          <t>I</t>
        </is>
      </c>
      <c r="D1509" s="12" t="inlineStr">
        <is>
          <t>SC-2 480 V welding receptacle 1</t>
        </is>
      </c>
      <c r="E1509" s="12" t="n">
        <v>480</v>
      </c>
      <c r="F1509" s="12" t="n">
        <v>60</v>
      </c>
      <c r="G1509" s="12" t="n">
        <v>76</v>
      </c>
      <c r="H1509" s="12" t="inlineStr">
        <is>
          <t>SC-2 PCM + 15 kV GCB</t>
        </is>
      </c>
      <c r="I1509" s="12" t="inlineStr">
        <is>
          <t>LV 600 V</t>
        </is>
      </c>
      <c r="J1509" s="12" t="inlineStr">
        <is>
          <t>2</t>
        </is>
      </c>
      <c r="K1509" s="12" t="n">
        <v>1</v>
      </c>
    </row>
    <row r="1510">
      <c r="A1510" s="12" t="inlineStr">
        <is>
          <t>SC-2: aeroderivative simple-cycle unit (LM6000 class)</t>
        </is>
      </c>
      <c r="B1510" s="12" t="inlineStr">
        <is>
          <t>SC-2</t>
        </is>
      </c>
      <c r="C1510" s="12" t="inlineStr">
        <is>
          <t>I</t>
        </is>
      </c>
      <c r="D1510" s="12" t="inlineStr">
        <is>
          <t>SC-2 480 V welding receptacle 2</t>
        </is>
      </c>
      <c r="E1510" s="12" t="n">
        <v>480</v>
      </c>
      <c r="F1510" s="12" t="n">
        <v>60</v>
      </c>
      <c r="G1510" s="12" t="n">
        <v>76</v>
      </c>
      <c r="H1510" s="12" t="inlineStr">
        <is>
          <t>SC-2 PCM + 15 kV GCB</t>
        </is>
      </c>
      <c r="I1510" s="12" t="inlineStr">
        <is>
          <t>LV 600 V</t>
        </is>
      </c>
      <c r="J1510" s="12" t="inlineStr">
        <is>
          <t>2</t>
        </is>
      </c>
      <c r="K1510" s="12" t="n">
        <v>1</v>
      </c>
    </row>
    <row r="1511">
      <c r="A1511" s="12" t="inlineStr">
        <is>
          <t>SC-2: aeroderivative simple-cycle unit (LM6000 class)</t>
        </is>
      </c>
      <c r="B1511" s="12" t="inlineStr">
        <is>
          <t>SC-2</t>
        </is>
      </c>
      <c r="C1511" s="12" t="inlineStr">
        <is>
          <t>I</t>
        </is>
      </c>
      <c r="D1511" s="12" t="inlineStr">
        <is>
          <t>Motor 1 of 10, 30 kW</t>
        </is>
      </c>
      <c r="E1511" s="12" t="n">
        <v>480</v>
      </c>
      <c r="F1511" s="12" t="n">
        <v>30</v>
      </c>
      <c r="G1511" s="12" t="n">
        <v>42.5</v>
      </c>
      <c r="H1511" s="12" t="inlineStr">
        <is>
          <t>SC-2 PCM + 15 kV GCB</t>
        </is>
      </c>
      <c r="I1511" s="12" t="inlineStr">
        <is>
          <t>LV 600 V</t>
        </is>
      </c>
      <c r="J1511" s="12" t="inlineStr">
        <is>
          <t>6</t>
        </is>
      </c>
      <c r="K1511" s="12" t="n">
        <v>1</v>
      </c>
    </row>
    <row r="1512">
      <c r="A1512" s="12" t="inlineStr">
        <is>
          <t>SC-2: aeroderivative simple-cycle unit (LM6000 class)</t>
        </is>
      </c>
      <c r="B1512" s="12" t="inlineStr">
        <is>
          <t>SC-2</t>
        </is>
      </c>
      <c r="C1512" s="12" t="inlineStr">
        <is>
          <t>I</t>
        </is>
      </c>
      <c r="D1512" s="12" t="inlineStr">
        <is>
          <t>Motor 2 of 10, 30 kW</t>
        </is>
      </c>
      <c r="E1512" s="12" t="n">
        <v>480</v>
      </c>
      <c r="F1512" s="12" t="n">
        <v>30</v>
      </c>
      <c r="G1512" s="12" t="n">
        <v>42.5</v>
      </c>
      <c r="H1512" s="12" t="inlineStr">
        <is>
          <t>SC-2 PCM + 15 kV GCB</t>
        </is>
      </c>
      <c r="I1512" s="12" t="inlineStr">
        <is>
          <t>LV 600 V</t>
        </is>
      </c>
      <c r="J1512" s="12" t="inlineStr">
        <is>
          <t>6</t>
        </is>
      </c>
      <c r="K1512" s="12" t="n">
        <v>1</v>
      </c>
    </row>
    <row r="1513">
      <c r="A1513" s="12" t="inlineStr">
        <is>
          <t>SC-2: aeroderivative simple-cycle unit (LM6000 class)</t>
        </is>
      </c>
      <c r="B1513" s="12" t="inlineStr">
        <is>
          <t>SC-2</t>
        </is>
      </c>
      <c r="C1513" s="12" t="inlineStr">
        <is>
          <t>I</t>
        </is>
      </c>
      <c r="D1513" s="12" t="inlineStr">
        <is>
          <t>Motor 3 of 10, 30 kW</t>
        </is>
      </c>
      <c r="E1513" s="12" t="n">
        <v>480</v>
      </c>
      <c r="F1513" s="12" t="n">
        <v>30</v>
      </c>
      <c r="G1513" s="12" t="n">
        <v>42.5</v>
      </c>
      <c r="H1513" s="12" t="inlineStr">
        <is>
          <t>SC-2 PCM + 15 kV GCB</t>
        </is>
      </c>
      <c r="I1513" s="12" t="inlineStr">
        <is>
          <t>LV 600 V</t>
        </is>
      </c>
      <c r="J1513" s="12" t="inlineStr">
        <is>
          <t>6</t>
        </is>
      </c>
      <c r="K1513" s="12" t="n">
        <v>1</v>
      </c>
    </row>
    <row r="1514">
      <c r="A1514" s="12" t="inlineStr">
        <is>
          <t>SC-2: aeroderivative simple-cycle unit (LM6000 class)</t>
        </is>
      </c>
      <c r="B1514" s="12" t="inlineStr">
        <is>
          <t>SC-2</t>
        </is>
      </c>
      <c r="C1514" s="12" t="inlineStr">
        <is>
          <t>I</t>
        </is>
      </c>
      <c r="D1514" s="12" t="inlineStr">
        <is>
          <t>Motor 4 of 10, 30 kW</t>
        </is>
      </c>
      <c r="E1514" s="12" t="n">
        <v>480</v>
      </c>
      <c r="F1514" s="12" t="n">
        <v>30</v>
      </c>
      <c r="G1514" s="12" t="n">
        <v>42.5</v>
      </c>
      <c r="H1514" s="12" t="inlineStr">
        <is>
          <t>SC-2 PCM + 15 kV GCB</t>
        </is>
      </c>
      <c r="I1514" s="12" t="inlineStr">
        <is>
          <t>LV 600 V</t>
        </is>
      </c>
      <c r="J1514" s="12" t="inlineStr">
        <is>
          <t>6</t>
        </is>
      </c>
      <c r="K1514" s="12" t="n">
        <v>1</v>
      </c>
    </row>
    <row r="1515">
      <c r="A1515" s="12" t="inlineStr">
        <is>
          <t>SC-2: aeroderivative simple-cycle unit (LM6000 class)</t>
        </is>
      </c>
      <c r="B1515" s="12" t="inlineStr">
        <is>
          <t>SC-2</t>
        </is>
      </c>
      <c r="C1515" s="12" t="inlineStr">
        <is>
          <t>I</t>
        </is>
      </c>
      <c r="D1515" s="12" t="inlineStr">
        <is>
          <t>Motor 5 of 10, 30 kW</t>
        </is>
      </c>
      <c r="E1515" s="12" t="n">
        <v>480</v>
      </c>
      <c r="F1515" s="12" t="n">
        <v>30</v>
      </c>
      <c r="G1515" s="12" t="n">
        <v>42.5</v>
      </c>
      <c r="H1515" s="12" t="inlineStr">
        <is>
          <t>SC-2 PCM + 15 kV GCB</t>
        </is>
      </c>
      <c r="I1515" s="12" t="inlineStr">
        <is>
          <t>LV 600 V</t>
        </is>
      </c>
      <c r="J1515" s="12" t="inlineStr">
        <is>
          <t>6</t>
        </is>
      </c>
      <c r="K1515" s="12" t="n">
        <v>1</v>
      </c>
    </row>
    <row r="1516">
      <c r="A1516" s="12" t="inlineStr">
        <is>
          <t>SC-2: aeroderivative simple-cycle unit (LM6000 class)</t>
        </is>
      </c>
      <c r="B1516" s="12" t="inlineStr">
        <is>
          <t>SC-2</t>
        </is>
      </c>
      <c r="C1516" s="12" t="inlineStr">
        <is>
          <t>I</t>
        </is>
      </c>
      <c r="D1516" s="12" t="inlineStr">
        <is>
          <t>Motor 6 of 10, 30 kW</t>
        </is>
      </c>
      <c r="E1516" s="12" t="n">
        <v>480</v>
      </c>
      <c r="F1516" s="12" t="n">
        <v>30</v>
      </c>
      <c r="G1516" s="12" t="n">
        <v>42.5</v>
      </c>
      <c r="H1516" s="12" t="inlineStr">
        <is>
          <t>SC-2 PCM + 15 kV GCB</t>
        </is>
      </c>
      <c r="I1516" s="12" t="inlineStr">
        <is>
          <t>LV 600 V</t>
        </is>
      </c>
      <c r="J1516" s="12" t="inlineStr">
        <is>
          <t>6</t>
        </is>
      </c>
      <c r="K1516" s="12" t="n">
        <v>1</v>
      </c>
    </row>
    <row r="1517">
      <c r="A1517" s="12" t="inlineStr">
        <is>
          <t>SC-2: aeroderivative simple-cycle unit (LM6000 class)</t>
        </is>
      </c>
      <c r="B1517" s="12" t="inlineStr">
        <is>
          <t>SC-2</t>
        </is>
      </c>
      <c r="C1517" s="12" t="inlineStr">
        <is>
          <t>I</t>
        </is>
      </c>
      <c r="D1517" s="12" t="inlineStr">
        <is>
          <t>Motor 7 of 10, 30 kW</t>
        </is>
      </c>
      <c r="E1517" s="12" t="n">
        <v>480</v>
      </c>
      <c r="F1517" s="12" t="n">
        <v>30</v>
      </c>
      <c r="G1517" s="12" t="n">
        <v>42.5</v>
      </c>
      <c r="H1517" s="12" t="inlineStr">
        <is>
          <t>SC-2 PCM + 15 kV GCB</t>
        </is>
      </c>
      <c r="I1517" s="12" t="inlineStr">
        <is>
          <t>LV 600 V</t>
        </is>
      </c>
      <c r="J1517" s="12" t="inlineStr">
        <is>
          <t>6</t>
        </is>
      </c>
      <c r="K1517" s="12" t="n">
        <v>1</v>
      </c>
    </row>
    <row r="1518">
      <c r="A1518" s="12" t="inlineStr">
        <is>
          <t>SC-2: aeroderivative simple-cycle unit (LM6000 class)</t>
        </is>
      </c>
      <c r="B1518" s="12" t="inlineStr">
        <is>
          <t>SC-2</t>
        </is>
      </c>
      <c r="C1518" s="12" t="inlineStr">
        <is>
          <t>I</t>
        </is>
      </c>
      <c r="D1518" s="12" t="inlineStr">
        <is>
          <t>Motor 8 of 10, 30 kW</t>
        </is>
      </c>
      <c r="E1518" s="12" t="n">
        <v>480</v>
      </c>
      <c r="F1518" s="12" t="n">
        <v>30</v>
      </c>
      <c r="G1518" s="12" t="n">
        <v>42.5</v>
      </c>
      <c r="H1518" s="12" t="inlineStr">
        <is>
          <t>SC-2 PCM + 15 kV GCB</t>
        </is>
      </c>
      <c r="I1518" s="12" t="inlineStr">
        <is>
          <t>LV 600 V</t>
        </is>
      </c>
      <c r="J1518" s="12" t="inlineStr">
        <is>
          <t>6</t>
        </is>
      </c>
      <c r="K1518" s="12" t="n">
        <v>1</v>
      </c>
    </row>
    <row r="1519">
      <c r="A1519" s="12" t="inlineStr">
        <is>
          <t>SC-2: aeroderivative simple-cycle unit (LM6000 class)</t>
        </is>
      </c>
      <c r="B1519" s="12" t="inlineStr">
        <is>
          <t>SC-2</t>
        </is>
      </c>
      <c r="C1519" s="12" t="inlineStr">
        <is>
          <t>I</t>
        </is>
      </c>
      <c r="D1519" s="12" t="inlineStr">
        <is>
          <t>Motor 9 of 10, 30 kW</t>
        </is>
      </c>
      <c r="E1519" s="12" t="n">
        <v>480</v>
      </c>
      <c r="F1519" s="12" t="n">
        <v>30</v>
      </c>
      <c r="G1519" s="12" t="n">
        <v>42.5</v>
      </c>
      <c r="H1519" s="12" t="inlineStr">
        <is>
          <t>SC-2 PCM + 15 kV GCB</t>
        </is>
      </c>
      <c r="I1519" s="12" t="inlineStr">
        <is>
          <t>LV 600 V</t>
        </is>
      </c>
      <c r="J1519" s="12" t="inlineStr">
        <is>
          <t>6</t>
        </is>
      </c>
      <c r="K1519" s="12" t="n">
        <v>1</v>
      </c>
    </row>
    <row r="1520">
      <c r="A1520" s="12" t="inlineStr">
        <is>
          <t>SC-2: aeroderivative simple-cycle unit (LM6000 class)</t>
        </is>
      </c>
      <c r="B1520" s="12" t="inlineStr">
        <is>
          <t>SC-2</t>
        </is>
      </c>
      <c r="C1520" s="12" t="inlineStr">
        <is>
          <t>I</t>
        </is>
      </c>
      <c r="D1520" s="12" t="inlineStr">
        <is>
          <t>Motor 10 of 10, 30 kW</t>
        </is>
      </c>
      <c r="E1520" s="12" t="n">
        <v>480</v>
      </c>
      <c r="F1520" s="12" t="n">
        <v>30</v>
      </c>
      <c r="G1520" s="12" t="n">
        <v>42.5</v>
      </c>
      <c r="H1520" s="12" t="inlineStr">
        <is>
          <t>SC-2 PCM + 15 kV GCB</t>
        </is>
      </c>
      <c r="I1520" s="12" t="inlineStr">
        <is>
          <t>LV 600 V</t>
        </is>
      </c>
      <c r="J1520" s="12" t="inlineStr">
        <is>
          <t>6</t>
        </is>
      </c>
      <c r="K1520" s="12" t="n">
        <v>1</v>
      </c>
    </row>
    <row r="1521">
      <c r="A1521" s="12" t="inlineStr">
        <is>
          <t>SC-2: aeroderivative simple-cycle unit (LM6000 class)</t>
        </is>
      </c>
      <c r="B1521" s="12" t="inlineStr">
        <is>
          <t>SC-2</t>
        </is>
      </c>
      <c r="C1521" s="12" t="inlineStr">
        <is>
          <t>I</t>
        </is>
      </c>
      <c r="D1521" s="12" t="inlineStr">
        <is>
          <t>Area / platform lighting circuit 1 (8 fixtures)</t>
        </is>
      </c>
      <c r="E1521" s="12" t="n">
        <v>480</v>
      </c>
      <c r="F1521" s="12" t="n">
        <v>3</v>
      </c>
      <c r="G1521" s="12" t="n">
        <v>5</v>
      </c>
      <c r="H1521" s="12" t="inlineStr">
        <is>
          <t>SC-2 PCM + 15 kV GCB</t>
        </is>
      </c>
      <c r="I1521" s="12" t="inlineStr">
        <is>
          <t>LV 600 V</t>
        </is>
      </c>
      <c r="J1521" s="12" t="inlineStr">
        <is>
          <t>10</t>
        </is>
      </c>
      <c r="K1521" s="12" t="n">
        <v>1</v>
      </c>
    </row>
    <row r="1522">
      <c r="A1522" s="12" t="inlineStr">
        <is>
          <t>T-MOD 230 kV take-off gantry with arresters</t>
        </is>
      </c>
      <c r="B1522" s="12" t="inlineStr"/>
      <c r="C1522" s="12" t="inlineStr">
        <is>
          <t>I</t>
        </is>
      </c>
      <c r="D1522" s="12" t="inlineStr">
        <is>
          <t>Motor 1 of 6, 2 kW</t>
        </is>
      </c>
      <c r="E1522" s="12" t="n">
        <v>480</v>
      </c>
      <c r="F1522" s="12" t="n">
        <v>2</v>
      </c>
      <c r="G1522" s="12" t="n">
        <v>2.8</v>
      </c>
      <c r="H1522" s="12" t="inlineStr">
        <is>
          <t>MOD-LV 480 V board + 480 V : 13.8 kV step-up</t>
        </is>
      </c>
      <c r="I1522" s="12" t="inlineStr">
        <is>
          <t>LV 600 V</t>
        </is>
      </c>
      <c r="J1522" s="12" t="inlineStr">
        <is>
          <t>10</t>
        </is>
      </c>
      <c r="K1522" s="12" t="n">
        <v>1</v>
      </c>
    </row>
    <row r="1523">
      <c r="A1523" s="12" t="inlineStr">
        <is>
          <t>T-MOD 230 kV take-off gantry with arresters</t>
        </is>
      </c>
      <c r="B1523" s="12" t="inlineStr"/>
      <c r="C1523" s="12" t="inlineStr">
        <is>
          <t>I</t>
        </is>
      </c>
      <c r="D1523" s="12" t="inlineStr">
        <is>
          <t>Motor 2 of 6, 2 kW</t>
        </is>
      </c>
      <c r="E1523" s="12" t="n">
        <v>480</v>
      </c>
      <c r="F1523" s="12" t="n">
        <v>2</v>
      </c>
      <c r="G1523" s="12" t="n">
        <v>2.8</v>
      </c>
      <c r="H1523" s="12" t="inlineStr">
        <is>
          <t>MOD-LV 480 V board + 480 V : 13.8 kV step-up</t>
        </is>
      </c>
      <c r="I1523" s="12" t="inlineStr">
        <is>
          <t>LV 600 V</t>
        </is>
      </c>
      <c r="J1523" s="12" t="inlineStr">
        <is>
          <t>10</t>
        </is>
      </c>
      <c r="K1523" s="12" t="n">
        <v>1</v>
      </c>
    </row>
    <row r="1524">
      <c r="A1524" s="12" t="inlineStr">
        <is>
          <t>T-MOD 230 kV take-off gantry with arresters</t>
        </is>
      </c>
      <c r="B1524" s="12" t="inlineStr"/>
      <c r="C1524" s="12" t="inlineStr">
        <is>
          <t>I</t>
        </is>
      </c>
      <c r="D1524" s="12" t="inlineStr">
        <is>
          <t>Motor 3 of 6, 2 kW</t>
        </is>
      </c>
      <c r="E1524" s="12" t="n">
        <v>480</v>
      </c>
      <c r="F1524" s="12" t="n">
        <v>2</v>
      </c>
      <c r="G1524" s="12" t="n">
        <v>2.8</v>
      </c>
      <c r="H1524" s="12" t="inlineStr">
        <is>
          <t>MOD-LV 480 V board + 480 V : 13.8 kV step-up</t>
        </is>
      </c>
      <c r="I1524" s="12" t="inlineStr">
        <is>
          <t>LV 600 V</t>
        </is>
      </c>
      <c r="J1524" s="12" t="inlineStr">
        <is>
          <t>10</t>
        </is>
      </c>
      <c r="K1524" s="12" t="n">
        <v>1</v>
      </c>
    </row>
    <row r="1525">
      <c r="A1525" s="12" t="inlineStr">
        <is>
          <t>T-MOD 230 kV take-off gantry with arresters</t>
        </is>
      </c>
      <c r="B1525" s="12" t="inlineStr"/>
      <c r="C1525" s="12" t="inlineStr">
        <is>
          <t>I</t>
        </is>
      </c>
      <c r="D1525" s="12" t="inlineStr">
        <is>
          <t>Motor 4 of 6, 2 kW</t>
        </is>
      </c>
      <c r="E1525" s="12" t="n">
        <v>480</v>
      </c>
      <c r="F1525" s="12" t="n">
        <v>2</v>
      </c>
      <c r="G1525" s="12" t="n">
        <v>2.8</v>
      </c>
      <c r="H1525" s="12" t="inlineStr">
        <is>
          <t>MOD-LV 480 V board + 480 V : 13.8 kV step-up</t>
        </is>
      </c>
      <c r="I1525" s="12" t="inlineStr">
        <is>
          <t>LV 600 V</t>
        </is>
      </c>
      <c r="J1525" s="12" t="inlineStr">
        <is>
          <t>10</t>
        </is>
      </c>
      <c r="K1525" s="12" t="n">
        <v>1</v>
      </c>
    </row>
    <row r="1526">
      <c r="A1526" s="12" t="inlineStr">
        <is>
          <t>T-MOD 230 kV take-off gantry with arresters</t>
        </is>
      </c>
      <c r="B1526" s="12" t="inlineStr"/>
      <c r="C1526" s="12" t="inlineStr">
        <is>
          <t>I</t>
        </is>
      </c>
      <c r="D1526" s="12" t="inlineStr">
        <is>
          <t>Motor 5 of 6, 2 kW</t>
        </is>
      </c>
      <c r="E1526" s="12" t="n">
        <v>480</v>
      </c>
      <c r="F1526" s="12" t="n">
        <v>2</v>
      </c>
      <c r="G1526" s="12" t="n">
        <v>2.8</v>
      </c>
      <c r="H1526" s="12" t="inlineStr">
        <is>
          <t>MOD-LV 480 V board + 480 V : 13.8 kV step-up</t>
        </is>
      </c>
      <c r="I1526" s="12" t="inlineStr">
        <is>
          <t>LV 600 V</t>
        </is>
      </c>
      <c r="J1526" s="12" t="inlineStr">
        <is>
          <t>10</t>
        </is>
      </c>
      <c r="K1526" s="12" t="n">
        <v>1</v>
      </c>
    </row>
    <row r="1527">
      <c r="A1527" s="12" t="inlineStr">
        <is>
          <t>T-MOD 230 kV take-off gantry with arresters</t>
        </is>
      </c>
      <c r="B1527" s="12" t="inlineStr"/>
      <c r="C1527" s="12" t="inlineStr">
        <is>
          <t>I</t>
        </is>
      </c>
      <c r="D1527" s="12" t="inlineStr">
        <is>
          <t>Motor 6 of 6, 2 kW</t>
        </is>
      </c>
      <c r="E1527" s="12" t="n">
        <v>480</v>
      </c>
      <c r="F1527" s="12" t="n">
        <v>2</v>
      </c>
      <c r="G1527" s="12" t="n">
        <v>2.8</v>
      </c>
      <c r="H1527" s="12" t="inlineStr">
        <is>
          <t>MOD-LV 480 V board + 480 V : 13.8 kV step-up</t>
        </is>
      </c>
      <c r="I1527" s="12" t="inlineStr">
        <is>
          <t>LV 600 V</t>
        </is>
      </c>
      <c r="J1527" s="12" t="inlineStr">
        <is>
          <t>10</t>
        </is>
      </c>
      <c r="K1527" s="12" t="n">
        <v>1</v>
      </c>
    </row>
    <row r="1528">
      <c r="A1528" s="12" t="inlineStr">
        <is>
          <t>T-MOD-1 / T-MOD-2 firewall</t>
        </is>
      </c>
      <c r="B1528" s="12" t="inlineStr"/>
      <c r="C1528" s="12" t="inlineStr">
        <is>
          <t>I</t>
        </is>
      </c>
      <c r="D1528" s="12" t="inlineStr">
        <is>
          <t>Motor 1 of 6, 2 kW</t>
        </is>
      </c>
      <c r="E1528" s="12" t="n">
        <v>480</v>
      </c>
      <c r="F1528" s="12" t="n">
        <v>2</v>
      </c>
      <c r="G1528" s="12" t="n">
        <v>2.8</v>
      </c>
      <c r="H1528" s="12" t="inlineStr">
        <is>
          <t>MOD-LV 480 V board + 480 V : 13.8 kV step-up</t>
        </is>
      </c>
      <c r="I1528" s="12" t="inlineStr">
        <is>
          <t>LV 600 V</t>
        </is>
      </c>
      <c r="J1528" s="12" t="inlineStr">
        <is>
          <t>10</t>
        </is>
      </c>
      <c r="K1528" s="12" t="n">
        <v>1</v>
      </c>
    </row>
    <row r="1529">
      <c r="A1529" s="12" t="inlineStr">
        <is>
          <t>T-MOD-1 / T-MOD-2 firewall</t>
        </is>
      </c>
      <c r="B1529" s="12" t="inlineStr"/>
      <c r="C1529" s="12" t="inlineStr">
        <is>
          <t>I</t>
        </is>
      </c>
      <c r="D1529" s="12" t="inlineStr">
        <is>
          <t>Motor 2 of 6, 2 kW</t>
        </is>
      </c>
      <c r="E1529" s="12" t="n">
        <v>480</v>
      </c>
      <c r="F1529" s="12" t="n">
        <v>2</v>
      </c>
      <c r="G1529" s="12" t="n">
        <v>2.8</v>
      </c>
      <c r="H1529" s="12" t="inlineStr">
        <is>
          <t>MOD-LV 480 V board + 480 V : 13.8 kV step-up</t>
        </is>
      </c>
      <c r="I1529" s="12" t="inlineStr">
        <is>
          <t>LV 600 V</t>
        </is>
      </c>
      <c r="J1529" s="12" t="inlineStr">
        <is>
          <t>10</t>
        </is>
      </c>
      <c r="K1529" s="12" t="n">
        <v>1</v>
      </c>
    </row>
    <row r="1530">
      <c r="A1530" s="12" t="inlineStr">
        <is>
          <t>T-MOD-1 / T-MOD-2 firewall</t>
        </is>
      </c>
      <c r="B1530" s="12" t="inlineStr"/>
      <c r="C1530" s="12" t="inlineStr">
        <is>
          <t>I</t>
        </is>
      </c>
      <c r="D1530" s="12" t="inlineStr">
        <is>
          <t>Motor 3 of 6, 2 kW</t>
        </is>
      </c>
      <c r="E1530" s="12" t="n">
        <v>480</v>
      </c>
      <c r="F1530" s="12" t="n">
        <v>2</v>
      </c>
      <c r="G1530" s="12" t="n">
        <v>2.8</v>
      </c>
      <c r="H1530" s="12" t="inlineStr">
        <is>
          <t>MOD-LV 480 V board + 480 V : 13.8 kV step-up</t>
        </is>
      </c>
      <c r="I1530" s="12" t="inlineStr">
        <is>
          <t>LV 600 V</t>
        </is>
      </c>
      <c r="J1530" s="12" t="inlineStr">
        <is>
          <t>10</t>
        </is>
      </c>
      <c r="K1530" s="12" t="n">
        <v>1</v>
      </c>
    </row>
    <row r="1531">
      <c r="A1531" s="12" t="inlineStr">
        <is>
          <t>T-MOD-1 / T-MOD-2 firewall</t>
        </is>
      </c>
      <c r="B1531" s="12" t="inlineStr"/>
      <c r="C1531" s="12" t="inlineStr">
        <is>
          <t>I</t>
        </is>
      </c>
      <c r="D1531" s="12" t="inlineStr">
        <is>
          <t>Motor 4 of 6, 2 kW</t>
        </is>
      </c>
      <c r="E1531" s="12" t="n">
        <v>480</v>
      </c>
      <c r="F1531" s="12" t="n">
        <v>2</v>
      </c>
      <c r="G1531" s="12" t="n">
        <v>2.8</v>
      </c>
      <c r="H1531" s="12" t="inlineStr">
        <is>
          <t>MOD-LV 480 V board + 480 V : 13.8 kV step-up</t>
        </is>
      </c>
      <c r="I1531" s="12" t="inlineStr">
        <is>
          <t>LV 600 V</t>
        </is>
      </c>
      <c r="J1531" s="12" t="inlineStr">
        <is>
          <t>10</t>
        </is>
      </c>
      <c r="K1531" s="12" t="n">
        <v>1</v>
      </c>
    </row>
    <row r="1532">
      <c r="A1532" s="12" t="inlineStr">
        <is>
          <t>T-MOD-1 / T-MOD-2 firewall</t>
        </is>
      </c>
      <c r="B1532" s="12" t="inlineStr"/>
      <c r="C1532" s="12" t="inlineStr">
        <is>
          <t>I</t>
        </is>
      </c>
      <c r="D1532" s="12" t="inlineStr">
        <is>
          <t>Motor 5 of 6, 2 kW</t>
        </is>
      </c>
      <c r="E1532" s="12" t="n">
        <v>480</v>
      </c>
      <c r="F1532" s="12" t="n">
        <v>2</v>
      </c>
      <c r="G1532" s="12" t="n">
        <v>2.8</v>
      </c>
      <c r="H1532" s="12" t="inlineStr">
        <is>
          <t>MOD-LV 480 V board + 480 V : 13.8 kV step-up</t>
        </is>
      </c>
      <c r="I1532" s="12" t="inlineStr">
        <is>
          <t>LV 600 V</t>
        </is>
      </c>
      <c r="J1532" s="12" t="inlineStr">
        <is>
          <t>10</t>
        </is>
      </c>
      <c r="K1532" s="12" t="n">
        <v>1</v>
      </c>
    </row>
    <row r="1533">
      <c r="A1533" s="12" t="inlineStr">
        <is>
          <t>T-MOD-1 / T-MOD-2 firewall</t>
        </is>
      </c>
      <c r="B1533" s="12" t="inlineStr"/>
      <c r="C1533" s="12" t="inlineStr">
        <is>
          <t>I</t>
        </is>
      </c>
      <c r="D1533" s="12" t="inlineStr">
        <is>
          <t>Motor 6 of 6, 2 kW</t>
        </is>
      </c>
      <c r="E1533" s="12" t="n">
        <v>480</v>
      </c>
      <c r="F1533" s="12" t="n">
        <v>2</v>
      </c>
      <c r="G1533" s="12" t="n">
        <v>2.8</v>
      </c>
      <c r="H1533" s="12" t="inlineStr">
        <is>
          <t>MOD-LV 480 V board + 480 V : 13.8 kV step-up</t>
        </is>
      </c>
      <c r="I1533" s="12" t="inlineStr">
        <is>
          <t>LV 600 V</t>
        </is>
      </c>
      <c r="J1533" s="12" t="inlineStr">
        <is>
          <t>10</t>
        </is>
      </c>
      <c r="K1533" s="12" t="n">
        <v>1</v>
      </c>
    </row>
    <row r="1534">
      <c r="A1534" s="12" t="inlineStr">
        <is>
          <t>T-MOD-1: 13.8/230 kV</t>
        </is>
      </c>
      <c r="B1534" s="12" t="inlineStr">
        <is>
          <t>T-MOD-1</t>
        </is>
      </c>
      <c r="C1534" s="12" t="inlineStr">
        <is>
          <t>I</t>
        </is>
      </c>
      <c r="D1534" s="12" t="inlineStr">
        <is>
          <t>Motor 1 of 6, 2 kW</t>
        </is>
      </c>
      <c r="E1534" s="12" t="n">
        <v>480</v>
      </c>
      <c r="F1534" s="12" t="n">
        <v>2</v>
      </c>
      <c r="G1534" s="12" t="n">
        <v>2.8</v>
      </c>
      <c r="H1534" s="12" t="inlineStr">
        <is>
          <t>MOD-LV 480 V board + 480 V : 13.8 kV step-up</t>
        </is>
      </c>
      <c r="I1534" s="12" t="inlineStr">
        <is>
          <t>LV 600 V</t>
        </is>
      </c>
      <c r="J1534" s="12" t="inlineStr">
        <is>
          <t>10</t>
        </is>
      </c>
      <c r="K1534" s="12" t="n">
        <v>1</v>
      </c>
    </row>
    <row r="1535">
      <c r="A1535" s="12" t="inlineStr">
        <is>
          <t>T-MOD-1: 13.8/230 kV</t>
        </is>
      </c>
      <c r="B1535" s="12" t="inlineStr">
        <is>
          <t>T-MOD-1</t>
        </is>
      </c>
      <c r="C1535" s="12" t="inlineStr">
        <is>
          <t>I</t>
        </is>
      </c>
      <c r="D1535" s="12" t="inlineStr">
        <is>
          <t>Motor 2 of 6, 2 kW</t>
        </is>
      </c>
      <c r="E1535" s="12" t="n">
        <v>480</v>
      </c>
      <c r="F1535" s="12" t="n">
        <v>2</v>
      </c>
      <c r="G1535" s="12" t="n">
        <v>2.8</v>
      </c>
      <c r="H1535" s="12" t="inlineStr">
        <is>
          <t>MOD-LV 480 V board + 480 V : 13.8 kV step-up</t>
        </is>
      </c>
      <c r="I1535" s="12" t="inlineStr">
        <is>
          <t>LV 600 V</t>
        </is>
      </c>
      <c r="J1535" s="12" t="inlineStr">
        <is>
          <t>10</t>
        </is>
      </c>
      <c r="K1535" s="12" t="n">
        <v>1</v>
      </c>
    </row>
    <row r="1536">
      <c r="A1536" s="12" t="inlineStr">
        <is>
          <t>T-MOD-1: 13.8/230 kV</t>
        </is>
      </c>
      <c r="B1536" s="12" t="inlineStr">
        <is>
          <t>T-MOD-1</t>
        </is>
      </c>
      <c r="C1536" s="12" t="inlineStr">
        <is>
          <t>I</t>
        </is>
      </c>
      <c r="D1536" s="12" t="inlineStr">
        <is>
          <t>Motor 3 of 6, 2 kW</t>
        </is>
      </c>
      <c r="E1536" s="12" t="n">
        <v>480</v>
      </c>
      <c r="F1536" s="12" t="n">
        <v>2</v>
      </c>
      <c r="G1536" s="12" t="n">
        <v>2.8</v>
      </c>
      <c r="H1536" s="12" t="inlineStr">
        <is>
          <t>MOD-LV 480 V board + 480 V : 13.8 kV step-up</t>
        </is>
      </c>
      <c r="I1536" s="12" t="inlineStr">
        <is>
          <t>LV 600 V</t>
        </is>
      </c>
      <c r="J1536" s="12" t="inlineStr">
        <is>
          <t>10</t>
        </is>
      </c>
      <c r="K1536" s="12" t="n">
        <v>1</v>
      </c>
    </row>
    <row r="1537">
      <c r="A1537" s="12" t="inlineStr">
        <is>
          <t>T-MOD-1: 13.8/230 kV</t>
        </is>
      </c>
      <c r="B1537" s="12" t="inlineStr">
        <is>
          <t>T-MOD-1</t>
        </is>
      </c>
      <c r="C1537" s="12" t="inlineStr">
        <is>
          <t>I</t>
        </is>
      </c>
      <c r="D1537" s="12" t="inlineStr">
        <is>
          <t>Motor 4 of 6, 2 kW</t>
        </is>
      </c>
      <c r="E1537" s="12" t="n">
        <v>480</v>
      </c>
      <c r="F1537" s="12" t="n">
        <v>2</v>
      </c>
      <c r="G1537" s="12" t="n">
        <v>2.8</v>
      </c>
      <c r="H1537" s="12" t="inlineStr">
        <is>
          <t>MOD-LV 480 V board + 480 V : 13.8 kV step-up</t>
        </is>
      </c>
      <c r="I1537" s="12" t="inlineStr">
        <is>
          <t>LV 600 V</t>
        </is>
      </c>
      <c r="J1537" s="12" t="inlineStr">
        <is>
          <t>10</t>
        </is>
      </c>
      <c r="K1537" s="12" t="n">
        <v>1</v>
      </c>
    </row>
    <row r="1538">
      <c r="A1538" s="12" t="inlineStr">
        <is>
          <t>T-MOD-1: 13.8/230 kV</t>
        </is>
      </c>
      <c r="B1538" s="12" t="inlineStr">
        <is>
          <t>T-MOD-1</t>
        </is>
      </c>
      <c r="C1538" s="12" t="inlineStr">
        <is>
          <t>I</t>
        </is>
      </c>
      <c r="D1538" s="12" t="inlineStr">
        <is>
          <t>Motor 5 of 6, 2 kW</t>
        </is>
      </c>
      <c r="E1538" s="12" t="n">
        <v>480</v>
      </c>
      <c r="F1538" s="12" t="n">
        <v>2</v>
      </c>
      <c r="G1538" s="12" t="n">
        <v>2.8</v>
      </c>
      <c r="H1538" s="12" t="inlineStr">
        <is>
          <t>MOD-LV 480 V board + 480 V : 13.8 kV step-up</t>
        </is>
      </c>
      <c r="I1538" s="12" t="inlineStr">
        <is>
          <t>LV 600 V</t>
        </is>
      </c>
      <c r="J1538" s="12" t="inlineStr">
        <is>
          <t>10</t>
        </is>
      </c>
      <c r="K1538" s="12" t="n">
        <v>1</v>
      </c>
    </row>
    <row r="1539">
      <c r="A1539" s="12" t="inlineStr">
        <is>
          <t>T-MOD-1: 13.8/230 kV</t>
        </is>
      </c>
      <c r="B1539" s="12" t="inlineStr">
        <is>
          <t>T-MOD-1</t>
        </is>
      </c>
      <c r="C1539" s="12" t="inlineStr">
        <is>
          <t>I</t>
        </is>
      </c>
      <c r="D1539" s="12" t="inlineStr">
        <is>
          <t>Motor 6 of 6, 2 kW</t>
        </is>
      </c>
      <c r="E1539" s="12" t="n">
        <v>480</v>
      </c>
      <c r="F1539" s="12" t="n">
        <v>2</v>
      </c>
      <c r="G1539" s="12" t="n">
        <v>2.8</v>
      </c>
      <c r="H1539" s="12" t="inlineStr">
        <is>
          <t>MOD-LV 480 V board + 480 V : 13.8 kV step-up</t>
        </is>
      </c>
      <c r="I1539" s="12" t="inlineStr">
        <is>
          <t>LV 600 V</t>
        </is>
      </c>
      <c r="J1539" s="12" t="inlineStr">
        <is>
          <t>10</t>
        </is>
      </c>
      <c r="K1539" s="12" t="n">
        <v>1</v>
      </c>
    </row>
    <row r="1540">
      <c r="A1540" s="12" t="inlineStr">
        <is>
          <t>T-MOD-2: 13.8/230 kV</t>
        </is>
      </c>
      <c r="B1540" s="12" t="inlineStr">
        <is>
          <t>T-MOD-2</t>
        </is>
      </c>
      <c r="C1540" s="12" t="inlineStr">
        <is>
          <t>I</t>
        </is>
      </c>
      <c r="D1540" s="12" t="inlineStr">
        <is>
          <t>Motor 1 of 6, 2 kW</t>
        </is>
      </c>
      <c r="E1540" s="12" t="n">
        <v>480</v>
      </c>
      <c r="F1540" s="12" t="n">
        <v>2</v>
      </c>
      <c r="G1540" s="12" t="n">
        <v>2.8</v>
      </c>
      <c r="H1540" s="12" t="inlineStr">
        <is>
          <t>MOD-LV 480 V board + 480 V : 13.8 kV step-up</t>
        </is>
      </c>
      <c r="I1540" s="12" t="inlineStr">
        <is>
          <t>LV 600 V</t>
        </is>
      </c>
      <c r="J1540" s="12" t="inlineStr">
        <is>
          <t>8</t>
        </is>
      </c>
      <c r="K1540" s="12" t="n">
        <v>1</v>
      </c>
    </row>
    <row r="1541">
      <c r="A1541" s="12" t="inlineStr">
        <is>
          <t>T-MOD-2: 13.8/230 kV</t>
        </is>
      </c>
      <c r="B1541" s="12" t="inlineStr">
        <is>
          <t>T-MOD-2</t>
        </is>
      </c>
      <c r="C1541" s="12" t="inlineStr">
        <is>
          <t>I</t>
        </is>
      </c>
      <c r="D1541" s="12" t="inlineStr">
        <is>
          <t>Motor 2 of 6, 2 kW</t>
        </is>
      </c>
      <c r="E1541" s="12" t="n">
        <v>480</v>
      </c>
      <c r="F1541" s="12" t="n">
        <v>2</v>
      </c>
      <c r="G1541" s="12" t="n">
        <v>2.8</v>
      </c>
      <c r="H1541" s="12" t="inlineStr">
        <is>
          <t>MOD-LV 480 V board + 480 V : 13.8 kV step-up</t>
        </is>
      </c>
      <c r="I1541" s="12" t="inlineStr">
        <is>
          <t>LV 600 V</t>
        </is>
      </c>
      <c r="J1541" s="12" t="inlineStr">
        <is>
          <t>8</t>
        </is>
      </c>
      <c r="K1541" s="12" t="n">
        <v>1</v>
      </c>
    </row>
    <row r="1542">
      <c r="A1542" s="12" t="inlineStr">
        <is>
          <t>T-MOD-2: 13.8/230 kV</t>
        </is>
      </c>
      <c r="B1542" s="12" t="inlineStr">
        <is>
          <t>T-MOD-2</t>
        </is>
      </c>
      <c r="C1542" s="12" t="inlineStr">
        <is>
          <t>I</t>
        </is>
      </c>
      <c r="D1542" s="12" t="inlineStr">
        <is>
          <t>Motor 3 of 6, 2 kW</t>
        </is>
      </c>
      <c r="E1542" s="12" t="n">
        <v>480</v>
      </c>
      <c r="F1542" s="12" t="n">
        <v>2</v>
      </c>
      <c r="G1542" s="12" t="n">
        <v>2.8</v>
      </c>
      <c r="H1542" s="12" t="inlineStr">
        <is>
          <t>MOD-LV 480 V board + 480 V : 13.8 kV step-up</t>
        </is>
      </c>
      <c r="I1542" s="12" t="inlineStr">
        <is>
          <t>LV 600 V</t>
        </is>
      </c>
      <c r="J1542" s="12" t="inlineStr">
        <is>
          <t>8</t>
        </is>
      </c>
      <c r="K1542" s="12" t="n">
        <v>1</v>
      </c>
    </row>
    <row r="1543">
      <c r="A1543" s="12" t="inlineStr">
        <is>
          <t>T-MOD-2: 13.8/230 kV</t>
        </is>
      </c>
      <c r="B1543" s="12" t="inlineStr">
        <is>
          <t>T-MOD-2</t>
        </is>
      </c>
      <c r="C1543" s="12" t="inlineStr">
        <is>
          <t>I</t>
        </is>
      </c>
      <c r="D1543" s="12" t="inlineStr">
        <is>
          <t>Motor 4 of 6, 2 kW</t>
        </is>
      </c>
      <c r="E1543" s="12" t="n">
        <v>480</v>
      </c>
      <c r="F1543" s="12" t="n">
        <v>2</v>
      </c>
      <c r="G1543" s="12" t="n">
        <v>2.8</v>
      </c>
      <c r="H1543" s="12" t="inlineStr">
        <is>
          <t>MOD-LV 480 V board + 480 V : 13.8 kV step-up</t>
        </is>
      </c>
      <c r="I1543" s="12" t="inlineStr">
        <is>
          <t>LV 600 V</t>
        </is>
      </c>
      <c r="J1543" s="12" t="inlineStr">
        <is>
          <t>8</t>
        </is>
      </c>
      <c r="K1543" s="12" t="n">
        <v>1</v>
      </c>
    </row>
    <row r="1544">
      <c r="A1544" s="12" t="inlineStr">
        <is>
          <t>T-MOD-2: 13.8/230 kV</t>
        </is>
      </c>
      <c r="B1544" s="12" t="inlineStr">
        <is>
          <t>T-MOD-2</t>
        </is>
      </c>
      <c r="C1544" s="12" t="inlineStr">
        <is>
          <t>I</t>
        </is>
      </c>
      <c r="D1544" s="12" t="inlineStr">
        <is>
          <t>Motor 5 of 6, 2 kW</t>
        </is>
      </c>
      <c r="E1544" s="12" t="n">
        <v>480</v>
      </c>
      <c r="F1544" s="12" t="n">
        <v>2</v>
      </c>
      <c r="G1544" s="12" t="n">
        <v>2.8</v>
      </c>
      <c r="H1544" s="12" t="inlineStr">
        <is>
          <t>MOD-LV 480 V board + 480 V : 13.8 kV step-up</t>
        </is>
      </c>
      <c r="I1544" s="12" t="inlineStr">
        <is>
          <t>LV 600 V</t>
        </is>
      </c>
      <c r="J1544" s="12" t="inlineStr">
        <is>
          <t>8</t>
        </is>
      </c>
      <c r="K1544" s="12" t="n">
        <v>1</v>
      </c>
    </row>
    <row r="1545">
      <c r="A1545" s="12" t="inlineStr">
        <is>
          <t>T-MOD-2: 13.8/230 kV</t>
        </is>
      </c>
      <c r="B1545" s="12" t="inlineStr">
        <is>
          <t>T-MOD-2</t>
        </is>
      </c>
      <c r="C1545" s="12" t="inlineStr">
        <is>
          <t>I</t>
        </is>
      </c>
      <c r="D1545" s="12" t="inlineStr">
        <is>
          <t>Motor 6 of 6, 2 kW</t>
        </is>
      </c>
      <c r="E1545" s="12" t="n">
        <v>480</v>
      </c>
      <c r="F1545" s="12" t="n">
        <v>2</v>
      </c>
      <c r="G1545" s="12" t="n">
        <v>2.8</v>
      </c>
      <c r="H1545" s="12" t="inlineStr">
        <is>
          <t>MOD-LV 480 V board + 480 V : 13.8 kV step-up</t>
        </is>
      </c>
      <c r="I1545" s="12" t="inlineStr">
        <is>
          <t>LV 600 V</t>
        </is>
      </c>
      <c r="J1545" s="12" t="inlineStr">
        <is>
          <t>8</t>
        </is>
      </c>
      <c r="K1545" s="12" t="n">
        <v>1</v>
      </c>
    </row>
    <row r="1546">
      <c r="A1546" s="12" t="inlineStr">
        <is>
          <t>TM-1: trailer-mounted aeroderivative GT (TM2500 class, ~35 MW)</t>
        </is>
      </c>
      <c r="B1546" s="12" t="inlineStr">
        <is>
          <t>TM-1</t>
        </is>
      </c>
      <c r="C1546" s="12" t="inlineStr">
        <is>
          <t>I</t>
        </is>
      </c>
      <c r="D1546" s="12" t="inlineStr">
        <is>
          <t>Motor 1 of 6, 22 kW</t>
        </is>
      </c>
      <c r="E1546" s="12" t="n">
        <v>480</v>
      </c>
      <c r="F1546" s="12" t="n">
        <v>22</v>
      </c>
      <c r="G1546" s="12" t="n">
        <v>31.1</v>
      </c>
      <c r="H1546" s="12" t="inlineStr">
        <is>
          <t>MOD-LV 480 V board + 480 V : 13.8 kV step-up</t>
        </is>
      </c>
      <c r="I1546" s="12" t="inlineStr">
        <is>
          <t>LV 600 V</t>
        </is>
      </c>
      <c r="J1546" s="12" t="inlineStr">
        <is>
          <t>4/0</t>
        </is>
      </c>
      <c r="K1546" s="12" t="n">
        <v>1</v>
      </c>
    </row>
    <row r="1547">
      <c r="A1547" s="12" t="inlineStr">
        <is>
          <t>TM-1: trailer-mounted aeroderivative GT (TM2500 class, ~35 MW)</t>
        </is>
      </c>
      <c r="B1547" s="12" t="inlineStr">
        <is>
          <t>TM-1</t>
        </is>
      </c>
      <c r="C1547" s="12" t="inlineStr">
        <is>
          <t>I</t>
        </is>
      </c>
      <c r="D1547" s="12" t="inlineStr">
        <is>
          <t>Motor 2 of 6, 22 kW</t>
        </is>
      </c>
      <c r="E1547" s="12" t="n">
        <v>480</v>
      </c>
      <c r="F1547" s="12" t="n">
        <v>22</v>
      </c>
      <c r="G1547" s="12" t="n">
        <v>31.1</v>
      </c>
      <c r="H1547" s="12" t="inlineStr">
        <is>
          <t>MOD-LV 480 V board + 480 V : 13.8 kV step-up</t>
        </is>
      </c>
      <c r="I1547" s="12" t="inlineStr">
        <is>
          <t>LV 600 V</t>
        </is>
      </c>
      <c r="J1547" s="12" t="inlineStr">
        <is>
          <t>4/0</t>
        </is>
      </c>
      <c r="K1547" s="12" t="n">
        <v>1</v>
      </c>
    </row>
    <row r="1548">
      <c r="A1548" s="12" t="inlineStr">
        <is>
          <t>TM-1: trailer-mounted aeroderivative GT (TM2500 class, ~35 MW)</t>
        </is>
      </c>
      <c r="B1548" s="12" t="inlineStr">
        <is>
          <t>TM-1</t>
        </is>
      </c>
      <c r="C1548" s="12" t="inlineStr">
        <is>
          <t>I</t>
        </is>
      </c>
      <c r="D1548" s="12" t="inlineStr">
        <is>
          <t>Motor 3 of 6, 22 kW</t>
        </is>
      </c>
      <c r="E1548" s="12" t="n">
        <v>480</v>
      </c>
      <c r="F1548" s="12" t="n">
        <v>22</v>
      </c>
      <c r="G1548" s="12" t="n">
        <v>31.1</v>
      </c>
      <c r="H1548" s="12" t="inlineStr">
        <is>
          <t>MOD-LV 480 V board + 480 V : 13.8 kV step-up</t>
        </is>
      </c>
      <c r="I1548" s="12" t="inlineStr">
        <is>
          <t>LV 600 V</t>
        </is>
      </c>
      <c r="J1548" s="12" t="inlineStr">
        <is>
          <t>4/0</t>
        </is>
      </c>
      <c r="K1548" s="12" t="n">
        <v>1</v>
      </c>
    </row>
    <row r="1549">
      <c r="A1549" s="12" t="inlineStr">
        <is>
          <t>TM-1: trailer-mounted aeroderivative GT (TM2500 class, ~35 MW)</t>
        </is>
      </c>
      <c r="B1549" s="12" t="inlineStr">
        <is>
          <t>TM-1</t>
        </is>
      </c>
      <c r="C1549" s="12" t="inlineStr">
        <is>
          <t>I</t>
        </is>
      </c>
      <c r="D1549" s="12" t="inlineStr">
        <is>
          <t>Motor 4 of 6, 22 kW</t>
        </is>
      </c>
      <c r="E1549" s="12" t="n">
        <v>480</v>
      </c>
      <c r="F1549" s="12" t="n">
        <v>22</v>
      </c>
      <c r="G1549" s="12" t="n">
        <v>31.1</v>
      </c>
      <c r="H1549" s="12" t="inlineStr">
        <is>
          <t>MOD-LV 480 V board + 480 V : 13.8 kV step-up</t>
        </is>
      </c>
      <c r="I1549" s="12" t="inlineStr">
        <is>
          <t>LV 600 V</t>
        </is>
      </c>
      <c r="J1549" s="12" t="inlineStr">
        <is>
          <t>4/0</t>
        </is>
      </c>
      <c r="K1549" s="12" t="n">
        <v>1</v>
      </c>
    </row>
    <row r="1550">
      <c r="A1550" s="12" t="inlineStr">
        <is>
          <t>TM-1: trailer-mounted aeroderivative GT (TM2500 class, ~35 MW)</t>
        </is>
      </c>
      <c r="B1550" s="12" t="inlineStr">
        <is>
          <t>TM-1</t>
        </is>
      </c>
      <c r="C1550" s="12" t="inlineStr">
        <is>
          <t>I</t>
        </is>
      </c>
      <c r="D1550" s="12" t="inlineStr">
        <is>
          <t>Motor 5 of 6, 22 kW</t>
        </is>
      </c>
      <c r="E1550" s="12" t="n">
        <v>480</v>
      </c>
      <c r="F1550" s="12" t="n">
        <v>22</v>
      </c>
      <c r="G1550" s="12" t="n">
        <v>31.1</v>
      </c>
      <c r="H1550" s="12" t="inlineStr">
        <is>
          <t>MOD-LV 480 V board + 480 V : 13.8 kV step-up</t>
        </is>
      </c>
      <c r="I1550" s="12" t="inlineStr">
        <is>
          <t>LV 600 V</t>
        </is>
      </c>
      <c r="J1550" s="12" t="inlineStr">
        <is>
          <t>4/0</t>
        </is>
      </c>
      <c r="K1550" s="12" t="n">
        <v>1</v>
      </c>
    </row>
    <row r="1551">
      <c r="A1551" s="12" t="inlineStr">
        <is>
          <t>TM-1: trailer-mounted aeroderivative GT (TM2500 class, ~35 MW)</t>
        </is>
      </c>
      <c r="B1551" s="12" t="inlineStr">
        <is>
          <t>TM-1</t>
        </is>
      </c>
      <c r="C1551" s="12" t="inlineStr">
        <is>
          <t>I</t>
        </is>
      </c>
      <c r="D1551" s="12" t="inlineStr">
        <is>
          <t>Motor 6 of 6, 22 kW</t>
        </is>
      </c>
      <c r="E1551" s="12" t="n">
        <v>480</v>
      </c>
      <c r="F1551" s="12" t="n">
        <v>22</v>
      </c>
      <c r="G1551" s="12" t="n">
        <v>31.1</v>
      </c>
      <c r="H1551" s="12" t="inlineStr">
        <is>
          <t>MOD-LV 480 V board + 480 V : 13.8 kV step-up</t>
        </is>
      </c>
      <c r="I1551" s="12" t="inlineStr">
        <is>
          <t>LV 600 V</t>
        </is>
      </c>
      <c r="J1551" s="12" t="inlineStr">
        <is>
          <t>4/0</t>
        </is>
      </c>
      <c r="K1551" s="12" t="n">
        <v>1</v>
      </c>
    </row>
    <row r="1552">
      <c r="A1552" s="12" t="inlineStr">
        <is>
          <t>TM-2: trailer-mounted aeroderivative GT (TM2500 class, ~35 MW)</t>
        </is>
      </c>
      <c r="B1552" s="12" t="inlineStr">
        <is>
          <t>TM-2</t>
        </is>
      </c>
      <c r="C1552" s="12" t="inlineStr">
        <is>
          <t>I</t>
        </is>
      </c>
      <c r="D1552" s="12" t="inlineStr">
        <is>
          <t>Motor 1 of 6, 22 kW</t>
        </is>
      </c>
      <c r="E1552" s="12" t="n">
        <v>480</v>
      </c>
      <c r="F1552" s="12" t="n">
        <v>22</v>
      </c>
      <c r="G1552" s="12" t="n">
        <v>31.1</v>
      </c>
      <c r="H1552" s="12" t="inlineStr">
        <is>
          <t>MOD-LV 480 V board + 480 V : 13.8 kV step-up</t>
        </is>
      </c>
      <c r="I1552" s="12" t="inlineStr">
        <is>
          <t>LV 600 V</t>
        </is>
      </c>
      <c r="J1552" s="12" t="inlineStr">
        <is>
          <t>4/0</t>
        </is>
      </c>
      <c r="K1552" s="12" t="n">
        <v>1</v>
      </c>
    </row>
    <row r="1553">
      <c r="A1553" s="12" t="inlineStr">
        <is>
          <t>TM-2: trailer-mounted aeroderivative GT (TM2500 class, ~35 MW)</t>
        </is>
      </c>
      <c r="B1553" s="12" t="inlineStr">
        <is>
          <t>TM-2</t>
        </is>
      </c>
      <c r="C1553" s="12" t="inlineStr">
        <is>
          <t>I</t>
        </is>
      </c>
      <c r="D1553" s="12" t="inlineStr">
        <is>
          <t>Motor 2 of 6, 22 kW</t>
        </is>
      </c>
      <c r="E1553" s="12" t="n">
        <v>480</v>
      </c>
      <c r="F1553" s="12" t="n">
        <v>22</v>
      </c>
      <c r="G1553" s="12" t="n">
        <v>31.1</v>
      </c>
      <c r="H1553" s="12" t="inlineStr">
        <is>
          <t>MOD-LV 480 V board + 480 V : 13.8 kV step-up</t>
        </is>
      </c>
      <c r="I1553" s="12" t="inlineStr">
        <is>
          <t>LV 600 V</t>
        </is>
      </c>
      <c r="J1553" s="12" t="inlineStr">
        <is>
          <t>4/0</t>
        </is>
      </c>
      <c r="K1553" s="12" t="n">
        <v>1</v>
      </c>
    </row>
    <row r="1554">
      <c r="A1554" s="12" t="inlineStr">
        <is>
          <t>TM-2: trailer-mounted aeroderivative GT (TM2500 class, ~35 MW)</t>
        </is>
      </c>
      <c r="B1554" s="12" t="inlineStr">
        <is>
          <t>TM-2</t>
        </is>
      </c>
      <c r="C1554" s="12" t="inlineStr">
        <is>
          <t>I</t>
        </is>
      </c>
      <c r="D1554" s="12" t="inlineStr">
        <is>
          <t>Motor 3 of 6, 22 kW</t>
        </is>
      </c>
      <c r="E1554" s="12" t="n">
        <v>480</v>
      </c>
      <c r="F1554" s="12" t="n">
        <v>22</v>
      </c>
      <c r="G1554" s="12" t="n">
        <v>31.1</v>
      </c>
      <c r="H1554" s="12" t="inlineStr">
        <is>
          <t>MOD-LV 480 V board + 480 V : 13.8 kV step-up</t>
        </is>
      </c>
      <c r="I1554" s="12" t="inlineStr">
        <is>
          <t>LV 600 V</t>
        </is>
      </c>
      <c r="J1554" s="12" t="inlineStr">
        <is>
          <t>4/0</t>
        </is>
      </c>
      <c r="K1554" s="12" t="n">
        <v>1</v>
      </c>
    </row>
    <row r="1555">
      <c r="A1555" s="12" t="inlineStr">
        <is>
          <t>TM-2: trailer-mounted aeroderivative GT (TM2500 class, ~35 MW)</t>
        </is>
      </c>
      <c r="B1555" s="12" t="inlineStr">
        <is>
          <t>TM-2</t>
        </is>
      </c>
      <c r="C1555" s="12" t="inlineStr">
        <is>
          <t>I</t>
        </is>
      </c>
      <c r="D1555" s="12" t="inlineStr">
        <is>
          <t>Motor 4 of 6, 22 kW</t>
        </is>
      </c>
      <c r="E1555" s="12" t="n">
        <v>480</v>
      </c>
      <c r="F1555" s="12" t="n">
        <v>22</v>
      </c>
      <c r="G1555" s="12" t="n">
        <v>31.1</v>
      </c>
      <c r="H1555" s="12" t="inlineStr">
        <is>
          <t>MOD-LV 480 V board + 480 V : 13.8 kV step-up</t>
        </is>
      </c>
      <c r="I1555" s="12" t="inlineStr">
        <is>
          <t>LV 600 V</t>
        </is>
      </c>
      <c r="J1555" s="12" t="inlineStr">
        <is>
          <t>4/0</t>
        </is>
      </c>
      <c r="K1555" s="12" t="n">
        <v>1</v>
      </c>
    </row>
    <row r="1556">
      <c r="A1556" s="12" t="inlineStr">
        <is>
          <t>TM-2: trailer-mounted aeroderivative GT (TM2500 class, ~35 MW)</t>
        </is>
      </c>
      <c r="B1556" s="12" t="inlineStr">
        <is>
          <t>TM-2</t>
        </is>
      </c>
      <c r="C1556" s="12" t="inlineStr">
        <is>
          <t>I</t>
        </is>
      </c>
      <c r="D1556" s="12" t="inlineStr">
        <is>
          <t>Motor 5 of 6, 22 kW</t>
        </is>
      </c>
      <c r="E1556" s="12" t="n">
        <v>480</v>
      </c>
      <c r="F1556" s="12" t="n">
        <v>22</v>
      </c>
      <c r="G1556" s="12" t="n">
        <v>31.1</v>
      </c>
      <c r="H1556" s="12" t="inlineStr">
        <is>
          <t>MOD-LV 480 V board + 480 V : 13.8 kV step-up</t>
        </is>
      </c>
      <c r="I1556" s="12" t="inlineStr">
        <is>
          <t>LV 600 V</t>
        </is>
      </c>
      <c r="J1556" s="12" t="inlineStr">
        <is>
          <t>4/0</t>
        </is>
      </c>
      <c r="K1556" s="12" t="n">
        <v>1</v>
      </c>
    </row>
    <row r="1557">
      <c r="A1557" s="12" t="inlineStr">
        <is>
          <t>TM-2: trailer-mounted aeroderivative GT (TM2500 class, ~35 MW)</t>
        </is>
      </c>
      <c r="B1557" s="12" t="inlineStr">
        <is>
          <t>TM-2</t>
        </is>
      </c>
      <c r="C1557" s="12" t="inlineStr">
        <is>
          <t>I</t>
        </is>
      </c>
      <c r="D1557" s="12" t="inlineStr">
        <is>
          <t>Motor 6 of 6, 22 kW</t>
        </is>
      </c>
      <c r="E1557" s="12" t="n">
        <v>480</v>
      </c>
      <c r="F1557" s="12" t="n">
        <v>22</v>
      </c>
      <c r="G1557" s="12" t="n">
        <v>31.1</v>
      </c>
      <c r="H1557" s="12" t="inlineStr">
        <is>
          <t>MOD-LV 480 V board + 480 V : 13.8 kV step-up</t>
        </is>
      </c>
      <c r="I1557" s="12" t="inlineStr">
        <is>
          <t>LV 600 V</t>
        </is>
      </c>
      <c r="J1557" s="12" t="inlineStr">
        <is>
          <t>4/0</t>
        </is>
      </c>
      <c r="K1557" s="12" t="n">
        <v>1</v>
      </c>
    </row>
    <row r="1558">
      <c r="A1558" s="12" t="inlineStr">
        <is>
          <t>Water-injection skid</t>
        </is>
      </c>
      <c r="B1558" s="12" t="inlineStr"/>
      <c r="C1558" s="12" t="inlineStr">
        <is>
          <t>I</t>
        </is>
      </c>
      <c r="D1558" s="12" t="inlineStr">
        <is>
          <t>Motor 1 of 2, 75 kW</t>
        </is>
      </c>
      <c r="E1558" s="12" t="n">
        <v>480</v>
      </c>
      <c r="F1558" s="12" t="n">
        <v>75</v>
      </c>
      <c r="G1558" s="12" t="n">
        <v>106.1</v>
      </c>
      <c r="H1558" s="12" t="inlineStr">
        <is>
          <t>SC-2 PCM + 15 kV GCB</t>
        </is>
      </c>
      <c r="I1558" s="12" t="inlineStr">
        <is>
          <t>LV 600 V</t>
        </is>
      </c>
      <c r="J1558" s="12" t="inlineStr">
        <is>
          <t>1/0</t>
        </is>
      </c>
      <c r="K1558" s="12" t="n">
        <v>1</v>
      </c>
    </row>
    <row r="1559">
      <c r="A1559" s="12" t="inlineStr">
        <is>
          <t>Water-injection skid</t>
        </is>
      </c>
      <c r="B1559" s="12" t="inlineStr"/>
      <c r="C1559" s="12" t="inlineStr">
        <is>
          <t>I</t>
        </is>
      </c>
      <c r="D1559" s="12" t="inlineStr">
        <is>
          <t>Motor 2 of 2, 75 kW</t>
        </is>
      </c>
      <c r="E1559" s="12" t="n">
        <v>480</v>
      </c>
      <c r="F1559" s="12" t="n">
        <v>75</v>
      </c>
      <c r="G1559" s="12" t="n">
        <v>106.1</v>
      </c>
      <c r="H1559" s="12" t="inlineStr">
        <is>
          <t>SC-2 PCM + 15 kV GCB</t>
        </is>
      </c>
      <c r="I1559" s="12" t="inlineStr">
        <is>
          <t>LV 600 V</t>
        </is>
      </c>
      <c r="J1559" s="12" t="inlineStr">
        <is>
          <t>1/0</t>
        </is>
      </c>
      <c r="K1559" s="12" t="n">
        <v>1</v>
      </c>
    </row>
    <row r="1560">
      <c r="A1560" s="12" t="inlineStr">
        <is>
          <t>Fuel-gas compressors 3 x 100% electric</t>
        </is>
      </c>
      <c r="B1560" s="12" t="inlineStr"/>
      <c r="C1560" s="12" t="inlineStr">
        <is>
          <t>I</t>
        </is>
      </c>
      <c r="D1560" s="12" t="inlineStr">
        <is>
          <t>Modular-yard fuel-gas compressor</t>
        </is>
      </c>
      <c r="E1560" s="12" t="n">
        <v>13800</v>
      </c>
      <c r="F1560" s="12" t="n">
        <v>1500</v>
      </c>
      <c r="G1560" s="12" t="n">
        <v>70</v>
      </c>
      <c r="H1560" s="12" t="inlineStr">
        <is>
          <t>MOD-EH: 13.8 kV modular collector e-house</t>
        </is>
      </c>
      <c r="I1560" s="12" t="inlineStr">
        <is>
          <t>MV 15 kV</t>
        </is>
      </c>
      <c r="J1560" s="12" t="inlineStr">
        <is>
          <t>2</t>
        </is>
      </c>
      <c r="K1560" s="12" t="n">
        <v>1</v>
      </c>
    </row>
    <row r="1561">
      <c r="A1561" s="12" t="inlineStr">
        <is>
          <t>Fuel-gas compressors 3 x 100% electric</t>
        </is>
      </c>
      <c r="B1561" s="12" t="inlineStr"/>
      <c r="C1561" s="12" t="inlineStr">
        <is>
          <t>I</t>
        </is>
      </c>
      <c r="D1561" s="12" t="inlineStr">
        <is>
          <t>Modular-yard fuel-gas compressor</t>
        </is>
      </c>
      <c r="E1561" s="12" t="n">
        <v>13800</v>
      </c>
      <c r="F1561" s="12" t="n">
        <v>1500</v>
      </c>
      <c r="G1561" s="12" t="n">
        <v>70</v>
      </c>
      <c r="H1561" s="12" t="inlineStr">
        <is>
          <t>MOD-EH: 13.8 kV modular collector e-house</t>
        </is>
      </c>
      <c r="I1561" s="12" t="inlineStr">
        <is>
          <t>MV 15 kV</t>
        </is>
      </c>
      <c r="J1561" s="12" t="inlineStr">
        <is>
          <t>2</t>
        </is>
      </c>
      <c r="K1561" s="12" t="n">
        <v>1</v>
      </c>
    </row>
    <row r="1562">
      <c r="A1562" s="12" t="inlineStr">
        <is>
          <t>Fuel-gas compressors 3 x 100% electric</t>
        </is>
      </c>
      <c r="B1562" s="12" t="inlineStr"/>
      <c r="C1562" s="12" t="inlineStr">
        <is>
          <t>I</t>
        </is>
      </c>
      <c r="D1562" s="12" t="inlineStr">
        <is>
          <t>Modular-yard fuel-gas compressor</t>
        </is>
      </c>
      <c r="E1562" s="12" t="n">
        <v>13800</v>
      </c>
      <c r="F1562" s="12" t="n">
        <v>1500</v>
      </c>
      <c r="G1562" s="12" t="n">
        <v>70</v>
      </c>
      <c r="H1562" s="12" t="inlineStr">
        <is>
          <t>MOD-EH: 13.8 kV modular collector e-house</t>
        </is>
      </c>
      <c r="I1562" s="12" t="inlineStr">
        <is>
          <t>MV 15 kV</t>
        </is>
      </c>
      <c r="J1562" s="12" t="inlineStr">
        <is>
          <t>2</t>
        </is>
      </c>
      <c r="K1562" s="12" t="n">
        <v>1</v>
      </c>
    </row>
    <row r="1563">
      <c r="A1563" s="12" t="inlineStr">
        <is>
          <t>MOD-EH: 13.8 kV modular collector e-house</t>
        </is>
      </c>
      <c r="B1563" s="12" t="inlineStr">
        <is>
          <t>MOD-EH</t>
        </is>
      </c>
      <c r="C1563" s="12" t="inlineStr">
        <is>
          <t>I</t>
        </is>
      </c>
      <c r="D1563" s="12" t="inlineStr">
        <is>
          <t>SC-1 PCM to MOD-EH</t>
        </is>
      </c>
      <c r="E1563" s="12" t="n">
        <v>13800</v>
      </c>
      <c r="F1563" s="12" t="n">
        <v>50000</v>
      </c>
      <c r="G1563" s="12" t="n">
        <v>2092</v>
      </c>
      <c r="H1563" s="12" t="inlineStr">
        <is>
          <t>SC-1 PCM + 15 kV GCB</t>
        </is>
      </c>
      <c r="I1563" s="12" t="inlineStr">
        <is>
          <t>MV 15 kV</t>
        </is>
      </c>
      <c r="J1563" s="12" t="inlineStr">
        <is>
          <t>750 kcmil</t>
        </is>
      </c>
      <c r="K1563" s="12" t="n">
        <v>5</v>
      </c>
    </row>
    <row r="1564">
      <c r="A1564" s="12" t="inlineStr">
        <is>
          <t>MOD-EH: 13.8 kV modular collector e-house</t>
        </is>
      </c>
      <c r="B1564" s="12" t="inlineStr">
        <is>
          <t>MOD-EH</t>
        </is>
      </c>
      <c r="C1564" s="12" t="inlineStr">
        <is>
          <t>I</t>
        </is>
      </c>
      <c r="D1564" s="12" t="inlineStr">
        <is>
          <t>SC-2 PCM to MOD-EH</t>
        </is>
      </c>
      <c r="E1564" s="12" t="n">
        <v>13800</v>
      </c>
      <c r="F1564" s="12" t="n">
        <v>50000</v>
      </c>
      <c r="G1564" s="12" t="n">
        <v>2092</v>
      </c>
      <c r="H1564" s="12" t="inlineStr">
        <is>
          <t>SC-2 PCM + 15 kV GCB</t>
        </is>
      </c>
      <c r="I1564" s="12" t="inlineStr">
        <is>
          <t>MV 15 kV</t>
        </is>
      </c>
      <c r="J1564" s="12" t="inlineStr">
        <is>
          <t>750 kcmil</t>
        </is>
      </c>
      <c r="K1564" s="12" t="n">
        <v>5</v>
      </c>
    </row>
    <row r="1565">
      <c r="A1565" s="12" t="inlineStr">
        <is>
          <t>MOD-EH: 13.8 kV modular collector e-house</t>
        </is>
      </c>
      <c r="B1565" s="12" t="inlineStr">
        <is>
          <t>MOD-EH</t>
        </is>
      </c>
      <c r="C1565" s="12" t="inlineStr">
        <is>
          <t>I</t>
        </is>
      </c>
      <c r="D1565" s="12" t="inlineStr">
        <is>
          <t>MOD-LV step-up to MOD-EH</t>
        </is>
      </c>
      <c r="E1565" s="12" t="n">
        <v>13800</v>
      </c>
      <c r="F1565" s="12" t="n">
        <v>7500</v>
      </c>
      <c r="G1565" s="12" t="n">
        <v>314</v>
      </c>
      <c r="H1565" s="12" t="inlineStr">
        <is>
          <t>MOD-LV 480 V board + 480 V : 13.8 kV step-up</t>
        </is>
      </c>
      <c r="I1565" s="12" t="inlineStr">
        <is>
          <t>MV 15 kV</t>
        </is>
      </c>
      <c r="J1565" s="12" t="inlineStr">
        <is>
          <t>500 kcmil</t>
        </is>
      </c>
      <c r="K1565" s="12" t="n">
        <v>1</v>
      </c>
    </row>
    <row r="1566">
      <c r="A1566" s="12" t="inlineStr">
        <is>
          <t>PAD-EH 13.8 kV switchgear e-house</t>
        </is>
      </c>
      <c r="B1566" s="12" t="inlineStr">
        <is>
          <t>PAD-EH</t>
        </is>
      </c>
      <c r="C1566" s="12" t="inlineStr">
        <is>
          <t>I</t>
        </is>
      </c>
      <c r="D1566" s="12" t="inlineStr">
        <is>
          <t>CONT-3 13.8 kV to PAD-EH (extension section, ground tray)</t>
        </is>
      </c>
      <c r="E1566" s="12" t="n">
        <v>13800</v>
      </c>
      <c r="F1566" s="12" t="n">
        <v>2000</v>
      </c>
      <c r="G1566" s="12" t="n">
        <v>93</v>
      </c>
      <c r="H1566" s="12" t="inlineStr">
        <is>
          <t>CONT-3: containerized gas genset 13.8 kV (40 ft)</t>
        </is>
      </c>
      <c r="I1566" s="12" t="inlineStr">
        <is>
          <t>MV 15 kV</t>
        </is>
      </c>
      <c r="J1566" s="12" t="inlineStr">
        <is>
          <t>2</t>
        </is>
      </c>
      <c r="K1566" s="12" t="n">
        <v>1</v>
      </c>
    </row>
    <row r="1567">
      <c r="A1567" s="12" t="inlineStr">
        <is>
          <t>PAD-EH 13.8 kV switchgear e-house</t>
        </is>
      </c>
      <c r="B1567" s="12" t="inlineStr">
        <is>
          <t>PAD-EH</t>
        </is>
      </c>
      <c r="C1567" s="12" t="inlineStr">
        <is>
          <t>I</t>
        </is>
      </c>
      <c r="D1567" s="12" t="inlineStr">
        <is>
          <t>CONT-4 13.8 kV to PAD-EH (extension section, ground tray)</t>
        </is>
      </c>
      <c r="E1567" s="12" t="n">
        <v>13800</v>
      </c>
      <c r="F1567" s="12" t="n">
        <v>2000</v>
      </c>
      <c r="G1567" s="12" t="n">
        <v>93</v>
      </c>
      <c r="H1567" s="12" t="inlineStr">
        <is>
          <t>CONT-4: containerized gas genset 13.8 kV (40 ft)</t>
        </is>
      </c>
      <c r="I1567" s="12" t="inlineStr">
        <is>
          <t>MV 15 kV</t>
        </is>
      </c>
      <c r="J1567" s="12" t="inlineStr">
        <is>
          <t>2</t>
        </is>
      </c>
      <c r="K1567" s="12" t="n">
        <v>1</v>
      </c>
    </row>
    <row r="1568">
      <c r="A1568" s="12" t="inlineStr">
        <is>
          <t>PAD-EH 13.8 kV switchgear e-house</t>
        </is>
      </c>
      <c r="B1568" s="12" t="inlineStr">
        <is>
          <t>PAD-EH</t>
        </is>
      </c>
      <c r="C1568" s="12" t="inlineStr">
        <is>
          <t>I</t>
        </is>
      </c>
      <c r="D1568" s="12" t="inlineStr">
        <is>
          <t>CONT-5 13.8 kV to PAD-EH (extension section, ground tray)</t>
        </is>
      </c>
      <c r="E1568" s="12" t="n">
        <v>13800</v>
      </c>
      <c r="F1568" s="12" t="n">
        <v>2000</v>
      </c>
      <c r="G1568" s="12" t="n">
        <v>93</v>
      </c>
      <c r="H1568" s="12" t="inlineStr">
        <is>
          <t>CONT-5: containerized gas genset 13.8 kV (40 ft)</t>
        </is>
      </c>
      <c r="I1568" s="12" t="inlineStr">
        <is>
          <t>MV 15 kV</t>
        </is>
      </c>
      <c r="J1568" s="12" t="inlineStr">
        <is>
          <t>2</t>
        </is>
      </c>
      <c r="K1568" s="12" t="n">
        <v>1</v>
      </c>
    </row>
    <row r="1569">
      <c r="A1569" s="12" t="inlineStr">
        <is>
          <t>PAD-EH 13.8 kV switchgear e-house</t>
        </is>
      </c>
      <c r="B1569" s="12" t="inlineStr">
        <is>
          <t>PAD-EH</t>
        </is>
      </c>
      <c r="C1569" s="12" t="inlineStr">
        <is>
          <t>I</t>
        </is>
      </c>
      <c r="D1569" s="12" t="inlineStr">
        <is>
          <t>CONT-6 13.8 kV to PAD-EH (extension section, ground tray)</t>
        </is>
      </c>
      <c r="E1569" s="12" t="n">
        <v>13800</v>
      </c>
      <c r="F1569" s="12" t="n">
        <v>2000</v>
      </c>
      <c r="G1569" s="12" t="n">
        <v>93</v>
      </c>
      <c r="H1569" s="12" t="inlineStr">
        <is>
          <t>CONT-6: containerized gas genset 13.8 kV (40 ft)</t>
        </is>
      </c>
      <c r="I1569" s="12" t="inlineStr">
        <is>
          <t>MV 15 kV</t>
        </is>
      </c>
      <c r="J1569" s="12" t="inlineStr">
        <is>
          <t>2</t>
        </is>
      </c>
      <c r="K1569" s="12" t="n">
        <v>1</v>
      </c>
    </row>
    <row r="1570">
      <c r="A1570" s="12" t="inlineStr">
        <is>
          <t>PAD-EH 13.8 kV switchgear e-house</t>
        </is>
      </c>
      <c r="B1570" s="12" t="inlineStr">
        <is>
          <t>PAD-EH</t>
        </is>
      </c>
      <c r="C1570" s="12" t="inlineStr">
        <is>
          <t>I</t>
        </is>
      </c>
      <c r="D1570" s="12" t="inlineStr">
        <is>
          <t>CONT-7 13.8 kV to PAD-EH (extension section, ground tray)</t>
        </is>
      </c>
      <c r="E1570" s="12" t="n">
        <v>13800</v>
      </c>
      <c r="F1570" s="12" t="n">
        <v>2000</v>
      </c>
      <c r="G1570" s="12" t="n">
        <v>93</v>
      </c>
      <c r="H1570" s="12" t="inlineStr">
        <is>
          <t>CONT-7: containerized gas genset 13.8 kV (40 ft)</t>
        </is>
      </c>
      <c r="I1570" s="12" t="inlineStr">
        <is>
          <t>MV 15 kV</t>
        </is>
      </c>
      <c r="J1570" s="12" t="inlineStr">
        <is>
          <t>2</t>
        </is>
      </c>
      <c r="K1570" s="12" t="n">
        <v>1</v>
      </c>
    </row>
    <row r="1571">
      <c r="A1571" s="12" t="inlineStr">
        <is>
          <t>PAD-EH 13.8 kV switchgear e-house</t>
        </is>
      </c>
      <c r="B1571" s="12" t="inlineStr">
        <is>
          <t>PAD-EH</t>
        </is>
      </c>
      <c r="C1571" s="12" t="inlineStr">
        <is>
          <t>I</t>
        </is>
      </c>
      <c r="D1571" s="12" t="inlineStr">
        <is>
          <t>CONT-8 13.8 kV to PAD-EH (extension section, ground tray)</t>
        </is>
      </c>
      <c r="E1571" s="12" t="n">
        <v>13800</v>
      </c>
      <c r="F1571" s="12" t="n">
        <v>2000</v>
      </c>
      <c r="G1571" s="12" t="n">
        <v>93</v>
      </c>
      <c r="H1571" s="12" t="inlineStr">
        <is>
          <t>CONT-8: containerized gas genset 13.8 kV (40 ft)</t>
        </is>
      </c>
      <c r="I1571" s="12" t="inlineStr">
        <is>
          <t>MV 15 kV</t>
        </is>
      </c>
      <c r="J1571" s="12" t="inlineStr">
        <is>
          <t>2</t>
        </is>
      </c>
      <c r="K1571" s="12" t="n">
        <v>1</v>
      </c>
    </row>
    <row r="1572">
      <c r="A1572" s="12" t="inlineStr">
        <is>
          <t>PAD-EH 13.8 kV switchgear e-house</t>
        </is>
      </c>
      <c r="B1572" s="12" t="inlineStr">
        <is>
          <t>PAD-EH</t>
        </is>
      </c>
      <c r="C1572" s="12" t="inlineStr">
        <is>
          <t>I</t>
        </is>
      </c>
      <c r="D1572" s="12" t="inlineStr">
        <is>
          <t>TM-1 (TM2500) generator leads to PAD-EH</t>
        </is>
      </c>
      <c r="E1572" s="12" t="n">
        <v>13800</v>
      </c>
      <c r="F1572" s="12" t="n">
        <v>35000</v>
      </c>
      <c r="G1572" s="12" t="n">
        <v>1464</v>
      </c>
      <c r="H1572" s="12" t="inlineStr">
        <is>
          <t>TM-1: trailer-mounted aeroderivative GT (TM2500 class, ~35 M</t>
        </is>
      </c>
      <c r="I1572" s="12" t="inlineStr">
        <is>
          <t>MV 15 kV</t>
        </is>
      </c>
      <c r="J1572" s="12" t="inlineStr">
        <is>
          <t>1000 kcmil</t>
        </is>
      </c>
      <c r="K1572" s="12" t="n">
        <v>3</v>
      </c>
    </row>
    <row r="1573">
      <c r="A1573" s="12" t="inlineStr">
        <is>
          <t>PAD-EH 13.8 kV switchgear e-house</t>
        </is>
      </c>
      <c r="B1573" s="12" t="inlineStr">
        <is>
          <t>PAD-EH</t>
        </is>
      </c>
      <c r="C1573" s="12" t="inlineStr">
        <is>
          <t>I</t>
        </is>
      </c>
      <c r="D1573" s="12" t="inlineStr">
        <is>
          <t>TM-2 (TM2500) generator leads to PAD-EH</t>
        </is>
      </c>
      <c r="E1573" s="12" t="n">
        <v>13800</v>
      </c>
      <c r="F1573" s="12" t="n">
        <v>35000</v>
      </c>
      <c r="G1573" s="12" t="n">
        <v>1464</v>
      </c>
      <c r="H1573" s="12" t="inlineStr">
        <is>
          <t>TM-2: trailer-mounted aeroderivative GT (TM2500 class, ~35 M</t>
        </is>
      </c>
      <c r="I1573" s="12" t="inlineStr">
        <is>
          <t>MV 15 kV</t>
        </is>
      </c>
      <c r="J1573" s="12" t="inlineStr">
        <is>
          <t>1000 kcmil</t>
        </is>
      </c>
      <c r="K1573" s="12" t="n">
        <v>3</v>
      </c>
    </row>
    <row r="1574">
      <c r="A1574" s="12" t="inlineStr">
        <is>
          <t>PCM: power control module</t>
        </is>
      </c>
      <c r="B1574" s="12" t="inlineStr"/>
      <c r="C1574" s="12" t="inlineStr">
        <is>
          <t>I</t>
        </is>
      </c>
      <c r="D1574" s="12" t="inlineStr">
        <is>
          <t>RICE-1 generator leads to the PCM</t>
        </is>
      </c>
      <c r="E1574" s="12" t="n">
        <v>13800</v>
      </c>
      <c r="F1574" s="12" t="n">
        <v>18400</v>
      </c>
      <c r="G1574" s="12" t="n">
        <v>770</v>
      </c>
      <c r="H1574" s="12" t="inlineStr">
        <is>
          <t>RICE engine-generator 1</t>
        </is>
      </c>
      <c r="I1574" s="12" t="inlineStr">
        <is>
          <t>MV 15 kV</t>
        </is>
      </c>
      <c r="J1574" s="12" t="inlineStr">
        <is>
          <t>750 kcmil</t>
        </is>
      </c>
      <c r="K1574" s="12" t="n">
        <v>2</v>
      </c>
    </row>
    <row r="1575">
      <c r="A1575" s="12" t="inlineStr">
        <is>
          <t>PCM: power control module</t>
        </is>
      </c>
      <c r="B1575" s="12" t="inlineStr"/>
      <c r="C1575" s="12" t="inlineStr">
        <is>
          <t>I</t>
        </is>
      </c>
      <c r="D1575" s="12" t="inlineStr">
        <is>
          <t>RICE-2 generator leads to the PCM</t>
        </is>
      </c>
      <c r="E1575" s="12" t="n">
        <v>13800</v>
      </c>
      <c r="F1575" s="12" t="n">
        <v>18400</v>
      </c>
      <c r="G1575" s="12" t="n">
        <v>770</v>
      </c>
      <c r="H1575" s="12" t="inlineStr">
        <is>
          <t>RICE engine-generator 2</t>
        </is>
      </c>
      <c r="I1575" s="12" t="inlineStr">
        <is>
          <t>MV 15 kV</t>
        </is>
      </c>
      <c r="J1575" s="12" t="inlineStr">
        <is>
          <t>750 kcmil</t>
        </is>
      </c>
      <c r="K1575" s="12" t="n">
        <v>2</v>
      </c>
    </row>
    <row r="1576">
      <c r="A1576" s="12" t="inlineStr">
        <is>
          <t>PCM: power control module</t>
        </is>
      </c>
      <c r="B1576" s="12" t="inlineStr"/>
      <c r="C1576" s="12" t="inlineStr">
        <is>
          <t>I</t>
        </is>
      </c>
      <c r="D1576" s="12" t="inlineStr">
        <is>
          <t>RICE-3 generator leads to the PCM</t>
        </is>
      </c>
      <c r="E1576" s="12" t="n">
        <v>13800</v>
      </c>
      <c r="F1576" s="12" t="n">
        <v>18400</v>
      </c>
      <c r="G1576" s="12" t="n">
        <v>770</v>
      </c>
      <c r="H1576" s="12" t="inlineStr">
        <is>
          <t>RICE engine-generator 3</t>
        </is>
      </c>
      <c r="I1576" s="12" t="inlineStr">
        <is>
          <t>MV 15 kV</t>
        </is>
      </c>
      <c r="J1576" s="12" t="inlineStr">
        <is>
          <t>750 kcmil</t>
        </is>
      </c>
      <c r="K1576" s="12" t="n">
        <v>2</v>
      </c>
    </row>
    <row r="1577">
      <c r="A1577" s="12" t="inlineStr">
        <is>
          <t>PCM: power control module</t>
        </is>
      </c>
      <c r="B1577" s="12" t="inlineStr"/>
      <c r="C1577" s="12" t="inlineStr">
        <is>
          <t>I</t>
        </is>
      </c>
      <c r="D1577" s="12" t="inlineStr">
        <is>
          <t>RICE-4 generator leads to the PCM</t>
        </is>
      </c>
      <c r="E1577" s="12" t="n">
        <v>13800</v>
      </c>
      <c r="F1577" s="12" t="n">
        <v>18400</v>
      </c>
      <c r="G1577" s="12" t="n">
        <v>770</v>
      </c>
      <c r="H1577" s="12" t="inlineStr">
        <is>
          <t>RICE engine-generator 4</t>
        </is>
      </c>
      <c r="I1577" s="12" t="inlineStr">
        <is>
          <t>MV 15 kV</t>
        </is>
      </c>
      <c r="J1577" s="12" t="inlineStr">
        <is>
          <t>750 kcmil</t>
        </is>
      </c>
      <c r="K1577" s="12" t="n">
        <v>2</v>
      </c>
    </row>
    <row r="1578">
      <c r="A1578" s="12" t="inlineStr">
        <is>
          <t>PCM: power control module</t>
        </is>
      </c>
      <c r="B1578" s="12" t="inlineStr"/>
      <c r="C1578" s="12" t="inlineStr">
        <is>
          <t>I</t>
        </is>
      </c>
      <c r="D1578" s="12" t="inlineStr">
        <is>
          <t>RICE-5 generator leads to the PCM</t>
        </is>
      </c>
      <c r="E1578" s="12" t="n">
        <v>13800</v>
      </c>
      <c r="F1578" s="12" t="n">
        <v>18400</v>
      </c>
      <c r="G1578" s="12" t="n">
        <v>770</v>
      </c>
      <c r="H1578" s="12" t="inlineStr">
        <is>
          <t>RICE engine-generator 5</t>
        </is>
      </c>
      <c r="I1578" s="12" t="inlineStr">
        <is>
          <t>MV 15 kV</t>
        </is>
      </c>
      <c r="J1578" s="12" t="inlineStr">
        <is>
          <t>750 kcmil</t>
        </is>
      </c>
      <c r="K1578" s="12" t="n">
        <v>2</v>
      </c>
    </row>
    <row r="1579">
      <c r="A1579" s="12" t="inlineStr">
        <is>
          <t>PCM: power control module</t>
        </is>
      </c>
      <c r="B1579" s="12" t="inlineStr"/>
      <c r="C1579" s="12" t="inlineStr">
        <is>
          <t>I</t>
        </is>
      </c>
      <c r="D1579" s="12" t="inlineStr">
        <is>
          <t>RICE-6 generator leads to the PCM</t>
        </is>
      </c>
      <c r="E1579" s="12" t="n">
        <v>13800</v>
      </c>
      <c r="F1579" s="12" t="n">
        <v>18400</v>
      </c>
      <c r="G1579" s="12" t="n">
        <v>770</v>
      </c>
      <c r="H1579" s="12" t="inlineStr">
        <is>
          <t>RICE engine-generator 6</t>
        </is>
      </c>
      <c r="I1579" s="12" t="inlineStr">
        <is>
          <t>MV 15 kV</t>
        </is>
      </c>
      <c r="J1579" s="12" t="inlineStr">
        <is>
          <t>750 kcmil</t>
        </is>
      </c>
      <c r="K1579" s="12" t="n">
        <v>2</v>
      </c>
    </row>
    <row r="1580">
      <c r="A1580" s="12" t="inlineStr">
        <is>
          <t>PCM: power control module</t>
        </is>
      </c>
      <c r="B1580" s="12" t="inlineStr"/>
      <c r="C1580" s="12" t="inlineStr">
        <is>
          <t>I</t>
        </is>
      </c>
      <c r="D1580" s="12" t="inlineStr">
        <is>
          <t>RICE-7 generator leads to the PCM</t>
        </is>
      </c>
      <c r="E1580" s="12" t="n">
        <v>13800</v>
      </c>
      <c r="F1580" s="12" t="n">
        <v>18400</v>
      </c>
      <c r="G1580" s="12" t="n">
        <v>770</v>
      </c>
      <c r="H1580" s="12" t="inlineStr">
        <is>
          <t>RICE engine-generator 7</t>
        </is>
      </c>
      <c r="I1580" s="12" t="inlineStr">
        <is>
          <t>MV 15 kV</t>
        </is>
      </c>
      <c r="J1580" s="12" t="inlineStr">
        <is>
          <t>750 kcmil</t>
        </is>
      </c>
      <c r="K1580" s="12" t="n">
        <v>2</v>
      </c>
    </row>
    <row r="1581">
      <c r="A1581" s="12" t="inlineStr">
        <is>
          <t>PCM: power control module</t>
        </is>
      </c>
      <c r="B1581" s="12" t="inlineStr"/>
      <c r="C1581" s="12" t="inlineStr">
        <is>
          <t>I</t>
        </is>
      </c>
      <c r="D1581" s="12" t="inlineStr">
        <is>
          <t>RICE-8 generator leads to the PCM</t>
        </is>
      </c>
      <c r="E1581" s="12" t="n">
        <v>13800</v>
      </c>
      <c r="F1581" s="12" t="n">
        <v>18400</v>
      </c>
      <c r="G1581" s="12" t="n">
        <v>770</v>
      </c>
      <c r="H1581" s="12" t="inlineStr">
        <is>
          <t>RICE engine-generator 8</t>
        </is>
      </c>
      <c r="I1581" s="12" t="inlineStr">
        <is>
          <t>MV 15 kV</t>
        </is>
      </c>
      <c r="J1581" s="12" t="inlineStr">
        <is>
          <t>750 kcmil</t>
        </is>
      </c>
      <c r="K1581" s="12" t="n">
        <v>2</v>
      </c>
    </row>
    <row r="1582">
      <c r="A1582" s="12" t="inlineStr">
        <is>
          <t>SC-1 PCM + 15 kV GCB</t>
        </is>
      </c>
      <c r="B1582" s="12" t="inlineStr"/>
      <c r="C1582" s="12" t="inlineStr">
        <is>
          <t>I</t>
        </is>
      </c>
      <c r="D1582" s="12" t="inlineStr">
        <is>
          <t>SC-1 (LM6000 class) generator leads to its PCM / GCB</t>
        </is>
      </c>
      <c r="E1582" s="12" t="n">
        <v>13800</v>
      </c>
      <c r="F1582" s="12" t="n">
        <v>50000</v>
      </c>
      <c r="G1582" s="12" t="n">
        <v>2092</v>
      </c>
      <c r="H1582" s="12" t="inlineStr">
        <is>
          <t>SC-1: aeroderivative simple-cycle unit (LM6000 class)</t>
        </is>
      </c>
      <c r="I1582" s="12" t="inlineStr">
        <is>
          <t>MV 15 kV</t>
        </is>
      </c>
      <c r="J1582" s="12" t="inlineStr">
        <is>
          <t>750 kcmil</t>
        </is>
      </c>
      <c r="K1582" s="12" t="n">
        <v>5</v>
      </c>
    </row>
    <row r="1583">
      <c r="A1583" s="12" t="inlineStr">
        <is>
          <t>SC-1 PCM + 15 kV GCB</t>
        </is>
      </c>
      <c r="B1583" s="12" t="inlineStr"/>
      <c r="C1583" s="12" t="inlineStr">
        <is>
          <t>I</t>
        </is>
      </c>
      <c r="D1583" s="12" t="inlineStr">
        <is>
          <t>SC-1 PCM auxiliary transformer primary, 2 MVA 13.8 kV / 480 V (from the GCB bus)</t>
        </is>
      </c>
      <c r="E1583" s="12" t="n">
        <v>13800</v>
      </c>
      <c r="F1583" s="12" t="n">
        <v>2000</v>
      </c>
      <c r="G1583" s="12" t="n">
        <v>84</v>
      </c>
      <c r="H1583" s="12" t="inlineStr">
        <is>
          <t>SC-1 PCM + 15 kV GCB</t>
        </is>
      </c>
      <c r="I1583" s="12" t="inlineStr">
        <is>
          <t>MV 15 kV</t>
        </is>
      </c>
      <c r="J1583" s="12" t="inlineStr">
        <is>
          <t>2</t>
        </is>
      </c>
      <c r="K1583" s="12" t="n">
        <v>1</v>
      </c>
    </row>
    <row r="1584">
      <c r="A1584" s="12" t="inlineStr">
        <is>
          <t>SC-2 PCM + 15 kV GCB</t>
        </is>
      </c>
      <c r="B1584" s="12" t="inlineStr"/>
      <c r="C1584" s="12" t="inlineStr">
        <is>
          <t>I</t>
        </is>
      </c>
      <c r="D1584" s="12" t="inlineStr">
        <is>
          <t>SC-2 (LM6000 class) generator leads to its PCM / GCB</t>
        </is>
      </c>
      <c r="E1584" s="12" t="n">
        <v>13800</v>
      </c>
      <c r="F1584" s="12" t="n">
        <v>50000</v>
      </c>
      <c r="G1584" s="12" t="n">
        <v>2092</v>
      </c>
      <c r="H1584" s="12" t="inlineStr">
        <is>
          <t>SC-2: aeroderivative simple-cycle unit (LM6000 class)</t>
        </is>
      </c>
      <c r="I1584" s="12" t="inlineStr">
        <is>
          <t>MV 15 kV</t>
        </is>
      </c>
      <c r="J1584" s="12" t="inlineStr">
        <is>
          <t>750 kcmil</t>
        </is>
      </c>
      <c r="K1584" s="12" t="n">
        <v>5</v>
      </c>
    </row>
    <row r="1585">
      <c r="A1585" s="12" t="inlineStr">
        <is>
          <t>SC-2 PCM + 15 kV GCB</t>
        </is>
      </c>
      <c r="B1585" s="12" t="inlineStr"/>
      <c r="C1585" s="12" t="inlineStr">
        <is>
          <t>I</t>
        </is>
      </c>
      <c r="D1585" s="12" t="inlineStr">
        <is>
          <t>SC-2 PCM auxiliary transformer primary, 2 MVA 13.8 kV / 480 V (from the GCB bus)</t>
        </is>
      </c>
      <c r="E1585" s="12" t="n">
        <v>13800</v>
      </c>
      <c r="F1585" s="12" t="n">
        <v>2000</v>
      </c>
      <c r="G1585" s="12" t="n">
        <v>84</v>
      </c>
      <c r="H1585" s="12" t="inlineStr">
        <is>
          <t>SC-2 PCM + 15 kV GCB</t>
        </is>
      </c>
      <c r="I1585" s="12" t="inlineStr">
        <is>
          <t>MV 15 kV</t>
        </is>
      </c>
      <c r="J1585" s="12" t="inlineStr">
        <is>
          <t>2</t>
        </is>
      </c>
      <c r="K1585" s="12" t="n">
        <v>1</v>
      </c>
    </row>
    <row r="1586">
      <c r="A1586" s="12" t="inlineStr">
        <is>
          <t>PAD-LV 480 V paralleling switchboard</t>
        </is>
      </c>
      <c r="B1586" s="12" t="inlineStr">
        <is>
          <t>PAD-LV</t>
        </is>
      </c>
      <c r="C1586" s="12" t="inlineStr">
        <is>
          <t>I</t>
        </is>
      </c>
      <c r="D1586" s="12" t="inlineStr">
        <is>
          <t>GEN-E 480 V to PAD-LV (Type W sets, cam-lock)</t>
        </is>
      </c>
      <c r="E1586" s="12" t="n">
        <v>480</v>
      </c>
      <c r="F1586" s="12" t="n">
        <v>2000</v>
      </c>
      <c r="G1586" s="12" t="n">
        <v>2406</v>
      </c>
      <c r="H1586" s="12" t="inlineStr">
        <is>
          <t>GEN-E: enclosed industrial gas genset 2 MW</t>
        </is>
      </c>
      <c r="I1586" s="12" t="inlineStr">
        <is>
          <t>Portable LV</t>
        </is>
      </c>
      <c r="J1586" s="12" t="inlineStr">
        <is>
          <t>4/0</t>
        </is>
      </c>
      <c r="K1586" s="12" t="n">
        <v>8</v>
      </c>
    </row>
    <row r="1587">
      <c r="A1587" s="12" t="inlineStr">
        <is>
          <t>PAD-LV 480 V paralleling switchboard</t>
        </is>
      </c>
      <c r="B1587" s="12" t="inlineStr">
        <is>
          <t>PAD-LV</t>
        </is>
      </c>
      <c r="C1587" s="12" t="inlineStr">
        <is>
          <t>I</t>
        </is>
      </c>
      <c r="D1587" s="12" t="inlineStr">
        <is>
          <t>GEN-O 480 V to PAD-LV (Type W sets, cam-lock)</t>
        </is>
      </c>
      <c r="E1587" s="12" t="n">
        <v>480</v>
      </c>
      <c r="F1587" s="12" t="n">
        <v>1000</v>
      </c>
      <c r="G1587" s="12" t="n">
        <v>1203</v>
      </c>
      <c r="H1587" s="12" t="inlineStr">
        <is>
          <t>GEN-O: open engine-generator skid</t>
        </is>
      </c>
      <c r="I1587" s="12" t="inlineStr">
        <is>
          <t>Portable LV</t>
        </is>
      </c>
      <c r="J1587" s="12" t="inlineStr">
        <is>
          <t>4/0</t>
        </is>
      </c>
      <c r="K1587" s="12" t="n">
        <v>4</v>
      </c>
    </row>
    <row r="1588">
      <c r="A1588" s="12" t="inlineStr">
        <is>
          <t>GSP-1: generator breaker / protection</t>
        </is>
      </c>
      <c r="B1588" s="12" t="inlineStr">
        <is>
          <t>GSP-1</t>
        </is>
      </c>
      <c r="C1588" s="12" t="inlineStr">
        <is>
          <t>I</t>
        </is>
      </c>
      <c r="D1588" s="12" t="inlineStr">
        <is>
          <t>CONT-1 13.8 kV leads to GSP-1</t>
        </is>
      </c>
      <c r="E1588" s="12" t="n">
        <v>13800</v>
      </c>
      <c r="F1588" s="12" t="n">
        <v>2000</v>
      </c>
      <c r="G1588" s="12" t="n">
        <v>93</v>
      </c>
      <c r="H1588" s="12" t="inlineStr">
        <is>
          <t>CONT-1: containerized genset 13.8 kV (40 ft)</t>
        </is>
      </c>
      <c r="I1588" s="12" t="inlineStr">
        <is>
          <t>Portable MV</t>
        </is>
      </c>
      <c r="J1588" s="12" t="inlineStr">
        <is>
          <t>2</t>
        </is>
      </c>
      <c r="K1588" s="12" t="n">
        <v>1</v>
      </c>
    </row>
    <row r="1589">
      <c r="A1589" s="12" t="inlineStr">
        <is>
          <t>GSP-2: generator breaker / protection</t>
        </is>
      </c>
      <c r="B1589" s="12" t="inlineStr">
        <is>
          <t>GSP-2</t>
        </is>
      </c>
      <c r="C1589" s="12" t="inlineStr">
        <is>
          <t>I</t>
        </is>
      </c>
      <c r="D1589" s="12" t="inlineStr">
        <is>
          <t>CONT-2 13.8 kV leads to GSP-2</t>
        </is>
      </c>
      <c r="E1589" s="12" t="n">
        <v>13800</v>
      </c>
      <c r="F1589" s="12" t="n">
        <v>2000</v>
      </c>
      <c r="G1589" s="12" t="n">
        <v>93</v>
      </c>
      <c r="H1589" s="12" t="inlineStr">
        <is>
          <t>CONT-2: containerized genset 13.8 kV (40 ft)</t>
        </is>
      </c>
      <c r="I1589" s="12" t="inlineStr">
        <is>
          <t>Portable MV</t>
        </is>
      </c>
      <c r="J1589" s="12" t="inlineStr">
        <is>
          <t>2</t>
        </is>
      </c>
      <c r="K1589" s="12" t="n">
        <v>1</v>
      </c>
    </row>
    <row r="1590">
      <c r="A1590" s="12" t="inlineStr">
        <is>
          <t>LB: commissioning load bank (trailer)</t>
        </is>
      </c>
      <c r="B1590" s="12" t="inlineStr">
        <is>
          <t>LB</t>
        </is>
      </c>
      <c r="C1590" s="12" t="inlineStr">
        <is>
          <t>I</t>
        </is>
      </c>
      <c r="D1590" s="12" t="inlineStr">
        <is>
          <t>PIC to commissioning load bank</t>
        </is>
      </c>
      <c r="E1590" s="12" t="n">
        <v>13800</v>
      </c>
      <c r="F1590" s="12" t="n">
        <v>2000</v>
      </c>
      <c r="G1590" s="12" t="n">
        <v>93</v>
      </c>
      <c r="H1590" s="12" t="inlineStr">
        <is>
          <t>PIC: portable input cabinet</t>
        </is>
      </c>
      <c r="I1590" s="12" t="inlineStr">
        <is>
          <t>Portable MV</t>
        </is>
      </c>
      <c r="J1590" s="12" t="inlineStr">
        <is>
          <t>2</t>
        </is>
      </c>
      <c r="K1590" s="12" t="n">
        <v>1</v>
      </c>
    </row>
    <row r="1591">
      <c r="A1591" s="12" t="inlineStr">
        <is>
          <t>PAD-EH 13.8 kV switchgear e-house</t>
        </is>
      </c>
      <c r="B1591" s="12" t="inlineStr">
        <is>
          <t>PAD-EH</t>
        </is>
      </c>
      <c r="C1591" s="12" t="inlineStr">
        <is>
          <t>I</t>
        </is>
      </c>
      <c r="D1591" s="12" t="inlineStr">
        <is>
          <t>GSP-1 to PAD-EH</t>
        </is>
      </c>
      <c r="E1591" s="12" t="n">
        <v>13800</v>
      </c>
      <c r="F1591" s="12" t="n">
        <v>2000</v>
      </c>
      <c r="G1591" s="12" t="n">
        <v>93</v>
      </c>
      <c r="H1591" s="12" t="inlineStr">
        <is>
          <t>GSP-1: generator breaker / protection</t>
        </is>
      </c>
      <c r="I1591" s="12" t="inlineStr">
        <is>
          <t>Portable MV</t>
        </is>
      </c>
      <c r="J1591" s="12" t="inlineStr">
        <is>
          <t>2</t>
        </is>
      </c>
      <c r="K1591" s="12" t="n">
        <v>1</v>
      </c>
    </row>
    <row r="1592">
      <c r="A1592" s="12" t="inlineStr">
        <is>
          <t>PAD-EH 13.8 kV switchgear e-house</t>
        </is>
      </c>
      <c r="B1592" s="12" t="inlineStr">
        <is>
          <t>PAD-EH</t>
        </is>
      </c>
      <c r="C1592" s="12" t="inlineStr">
        <is>
          <t>I</t>
        </is>
      </c>
      <c r="D1592" s="12" t="inlineStr">
        <is>
          <t>GSP-2 to PAD-EH</t>
        </is>
      </c>
      <c r="E1592" s="12" t="n">
        <v>13800</v>
      </c>
      <c r="F1592" s="12" t="n">
        <v>2000</v>
      </c>
      <c r="G1592" s="12" t="n">
        <v>93</v>
      </c>
      <c r="H1592" s="12" t="inlineStr">
        <is>
          <t>GSP-2: generator breaker / protection</t>
        </is>
      </c>
      <c r="I1592" s="12" t="inlineStr">
        <is>
          <t>Portable MV</t>
        </is>
      </c>
      <c r="J1592" s="12" t="inlineStr">
        <is>
          <t>2</t>
        </is>
      </c>
      <c r="K1592" s="12" t="n">
        <v>1</v>
      </c>
    </row>
    <row r="1593">
      <c r="A1593" s="12" t="inlineStr">
        <is>
          <t>PIC: portable input cabinet</t>
        </is>
      </c>
      <c r="B1593" s="12" t="inlineStr">
        <is>
          <t>PIC</t>
        </is>
      </c>
      <c r="C1593" s="12" t="inlineStr">
        <is>
          <t>I</t>
        </is>
      </c>
      <c r="D1593" s="12" t="inlineStr">
        <is>
          <t>MOB-1 13.8 kV to PIC through the C-L01 ramp</t>
        </is>
      </c>
      <c r="E1593" s="12" t="n">
        <v>13800</v>
      </c>
      <c r="F1593" s="12" t="n">
        <v>2000</v>
      </c>
      <c r="G1593" s="12" t="n">
        <v>93</v>
      </c>
      <c r="H1593" s="12" t="inlineStr">
        <is>
          <t>MOB-1: trailer genset</t>
        </is>
      </c>
      <c r="I1593" s="12" t="inlineStr">
        <is>
          <t>Portable MV</t>
        </is>
      </c>
      <c r="J1593" s="12" t="inlineStr">
        <is>
          <t>2</t>
        </is>
      </c>
      <c r="K1593" s="12" t="n">
        <v>1</v>
      </c>
    </row>
    <row r="1594">
      <c r="A1594" s="12" t="inlineStr">
        <is>
          <t>CHW pumps</t>
        </is>
      </c>
      <c r="B1594" s="12" t="inlineStr"/>
      <c r="C1594" s="12" t="inlineStr">
        <is>
          <t>J</t>
        </is>
      </c>
      <c r="D1594" s="12" t="inlineStr">
        <is>
          <t>Motor 1 of 4, 150 kW</t>
        </is>
      </c>
      <c r="E1594" s="12" t="n">
        <v>480</v>
      </c>
      <c r="F1594" s="12" t="n">
        <v>150</v>
      </c>
      <c r="G1594" s="12" t="n">
        <v>212.3</v>
      </c>
      <c r="H1594" s="12" t="inlineStr">
        <is>
          <t>Inlet-chilling e-house / transformer</t>
        </is>
      </c>
      <c r="I1594" s="12" t="inlineStr">
        <is>
          <t>LV 600 V</t>
        </is>
      </c>
      <c r="J1594" s="12" t="inlineStr">
        <is>
          <t>350 kcmil</t>
        </is>
      </c>
      <c r="K1594" s="12" t="n">
        <v>1</v>
      </c>
    </row>
    <row r="1595">
      <c r="A1595" s="12" t="inlineStr">
        <is>
          <t>CHW pumps</t>
        </is>
      </c>
      <c r="B1595" s="12" t="inlineStr"/>
      <c r="C1595" s="12" t="inlineStr">
        <is>
          <t>J</t>
        </is>
      </c>
      <c r="D1595" s="12" t="inlineStr">
        <is>
          <t>Motor 2 of 4, 150 kW</t>
        </is>
      </c>
      <c r="E1595" s="12" t="n">
        <v>480</v>
      </c>
      <c r="F1595" s="12" t="n">
        <v>150</v>
      </c>
      <c r="G1595" s="12" t="n">
        <v>212.3</v>
      </c>
      <c r="H1595" s="12" t="inlineStr">
        <is>
          <t>Inlet-chilling e-house / transformer</t>
        </is>
      </c>
      <c r="I1595" s="12" t="inlineStr">
        <is>
          <t>LV 600 V</t>
        </is>
      </c>
      <c r="J1595" s="12" t="inlineStr">
        <is>
          <t>350 kcmil</t>
        </is>
      </c>
      <c r="K1595" s="12" t="n">
        <v>1</v>
      </c>
    </row>
    <row r="1596">
      <c r="A1596" s="12" t="inlineStr">
        <is>
          <t>CHW pumps</t>
        </is>
      </c>
      <c r="B1596" s="12" t="inlineStr"/>
      <c r="C1596" s="12" t="inlineStr">
        <is>
          <t>J</t>
        </is>
      </c>
      <c r="D1596" s="12" t="inlineStr">
        <is>
          <t>Motor 3 of 4, 150 kW</t>
        </is>
      </c>
      <c r="E1596" s="12" t="n">
        <v>480</v>
      </c>
      <c r="F1596" s="12" t="n">
        <v>150</v>
      </c>
      <c r="G1596" s="12" t="n">
        <v>212.3</v>
      </c>
      <c r="H1596" s="12" t="inlineStr">
        <is>
          <t>Inlet-chilling e-house / transformer</t>
        </is>
      </c>
      <c r="I1596" s="12" t="inlineStr">
        <is>
          <t>LV 600 V</t>
        </is>
      </c>
      <c r="J1596" s="12" t="inlineStr">
        <is>
          <t>350 kcmil</t>
        </is>
      </c>
      <c r="K1596" s="12" t="n">
        <v>1</v>
      </c>
    </row>
    <row r="1597">
      <c r="A1597" s="12" t="inlineStr">
        <is>
          <t>CHW pumps</t>
        </is>
      </c>
      <c r="B1597" s="12" t="inlineStr"/>
      <c r="C1597" s="12" t="inlineStr">
        <is>
          <t>J</t>
        </is>
      </c>
      <c r="D1597" s="12" t="inlineStr">
        <is>
          <t>Motor 4 of 4, 150 kW</t>
        </is>
      </c>
      <c r="E1597" s="12" t="n">
        <v>480</v>
      </c>
      <c r="F1597" s="12" t="n">
        <v>150</v>
      </c>
      <c r="G1597" s="12" t="n">
        <v>212.3</v>
      </c>
      <c r="H1597" s="12" t="inlineStr">
        <is>
          <t>Inlet-chilling e-house / transformer</t>
        </is>
      </c>
      <c r="I1597" s="12" t="inlineStr">
        <is>
          <t>LV 600 V</t>
        </is>
      </c>
      <c r="J1597" s="12" t="inlineStr">
        <is>
          <t>350 kcmil</t>
        </is>
      </c>
      <c r="K1597" s="12" t="n">
        <v>1</v>
      </c>
    </row>
    <row r="1598">
      <c r="A1598" s="12" t="inlineStr">
        <is>
          <t>CONDITIONAL: TES chilled-water tank</t>
        </is>
      </c>
      <c r="B1598" s="12" t="inlineStr"/>
      <c r="C1598" s="12" t="inlineStr">
        <is>
          <t>J</t>
        </is>
      </c>
      <c r="D1598" s="12" t="inlineStr">
        <is>
          <t>LV power feeder</t>
        </is>
      </c>
      <c r="E1598" s="12" t="n">
        <v>480</v>
      </c>
      <c r="F1598" s="12" t="n">
        <v>10</v>
      </c>
      <c r="G1598" s="12" t="n">
        <v>14.2</v>
      </c>
      <c r="H1598" s="12" t="inlineStr">
        <is>
          <t>Inlet-chilling e-house / transformer</t>
        </is>
      </c>
      <c r="I1598" s="12" t="inlineStr">
        <is>
          <t>LV 600 V</t>
        </is>
      </c>
      <c r="J1598" s="12" t="inlineStr">
        <is>
          <t>8</t>
        </is>
      </c>
      <c r="K1598" s="12" t="n">
        <v>1</v>
      </c>
    </row>
    <row r="1599">
      <c r="A1599" s="12" t="inlineStr">
        <is>
          <t>Chillers x6 (water-cooled)</t>
        </is>
      </c>
      <c r="B1599" s="12" t="inlineStr"/>
      <c r="C1599" s="12" t="inlineStr">
        <is>
          <t>J</t>
        </is>
      </c>
      <c r="D1599" s="12" t="inlineStr">
        <is>
          <t>Motor 1 of 6, 7 kW</t>
        </is>
      </c>
      <c r="E1599" s="12" t="n">
        <v>480</v>
      </c>
      <c r="F1599" s="12" t="n">
        <v>7</v>
      </c>
      <c r="G1599" s="12" t="n">
        <v>9.9</v>
      </c>
      <c r="H1599" s="12" t="inlineStr">
        <is>
          <t>Inlet-chilling e-house / transformer</t>
        </is>
      </c>
      <c r="I1599" s="12" t="inlineStr">
        <is>
          <t>LV 600 V</t>
        </is>
      </c>
      <c r="J1599" s="12" t="inlineStr">
        <is>
          <t>10</t>
        </is>
      </c>
      <c r="K1599" s="12" t="n">
        <v>1</v>
      </c>
    </row>
    <row r="1600">
      <c r="A1600" s="12" t="inlineStr">
        <is>
          <t>Chillers x6 (water-cooled)</t>
        </is>
      </c>
      <c r="B1600" s="12" t="inlineStr"/>
      <c r="C1600" s="12" t="inlineStr">
        <is>
          <t>J</t>
        </is>
      </c>
      <c r="D1600" s="12" t="inlineStr">
        <is>
          <t>Motor 2 of 6, 7 kW</t>
        </is>
      </c>
      <c r="E1600" s="12" t="n">
        <v>480</v>
      </c>
      <c r="F1600" s="12" t="n">
        <v>7</v>
      </c>
      <c r="G1600" s="12" t="n">
        <v>9.9</v>
      </c>
      <c r="H1600" s="12" t="inlineStr">
        <is>
          <t>Inlet-chilling e-house / transformer</t>
        </is>
      </c>
      <c r="I1600" s="12" t="inlineStr">
        <is>
          <t>LV 600 V</t>
        </is>
      </c>
      <c r="J1600" s="12" t="inlineStr">
        <is>
          <t>10</t>
        </is>
      </c>
      <c r="K1600" s="12" t="n">
        <v>1</v>
      </c>
    </row>
    <row r="1601">
      <c r="A1601" s="12" t="inlineStr">
        <is>
          <t>Chillers x6 (water-cooled)</t>
        </is>
      </c>
      <c r="B1601" s="12" t="inlineStr"/>
      <c r="C1601" s="12" t="inlineStr">
        <is>
          <t>J</t>
        </is>
      </c>
      <c r="D1601" s="12" t="inlineStr">
        <is>
          <t>Motor 3 of 6, 7 kW</t>
        </is>
      </c>
      <c r="E1601" s="12" t="n">
        <v>480</v>
      </c>
      <c r="F1601" s="12" t="n">
        <v>7</v>
      </c>
      <c r="G1601" s="12" t="n">
        <v>9.9</v>
      </c>
      <c r="H1601" s="12" t="inlineStr">
        <is>
          <t>Inlet-chilling e-house / transformer</t>
        </is>
      </c>
      <c r="I1601" s="12" t="inlineStr">
        <is>
          <t>LV 600 V</t>
        </is>
      </c>
      <c r="J1601" s="12" t="inlineStr">
        <is>
          <t>10</t>
        </is>
      </c>
      <c r="K1601" s="12" t="n">
        <v>1</v>
      </c>
    </row>
    <row r="1602">
      <c r="A1602" s="12" t="inlineStr">
        <is>
          <t>Chillers x6 (water-cooled)</t>
        </is>
      </c>
      <c r="B1602" s="12" t="inlineStr"/>
      <c r="C1602" s="12" t="inlineStr">
        <is>
          <t>J</t>
        </is>
      </c>
      <c r="D1602" s="12" t="inlineStr">
        <is>
          <t>Motor 4 of 6, 7 kW</t>
        </is>
      </c>
      <c r="E1602" s="12" t="n">
        <v>480</v>
      </c>
      <c r="F1602" s="12" t="n">
        <v>7</v>
      </c>
      <c r="G1602" s="12" t="n">
        <v>9.9</v>
      </c>
      <c r="H1602" s="12" t="inlineStr">
        <is>
          <t>Inlet-chilling e-house / transformer</t>
        </is>
      </c>
      <c r="I1602" s="12" t="inlineStr">
        <is>
          <t>LV 600 V</t>
        </is>
      </c>
      <c r="J1602" s="12" t="inlineStr">
        <is>
          <t>10</t>
        </is>
      </c>
      <c r="K1602" s="12" t="n">
        <v>1</v>
      </c>
    </row>
    <row r="1603">
      <c r="A1603" s="12" t="inlineStr">
        <is>
          <t>Chillers x6 (water-cooled)</t>
        </is>
      </c>
      <c r="B1603" s="12" t="inlineStr"/>
      <c r="C1603" s="12" t="inlineStr">
        <is>
          <t>J</t>
        </is>
      </c>
      <c r="D1603" s="12" t="inlineStr">
        <is>
          <t>Motor 5 of 6, 7 kW</t>
        </is>
      </c>
      <c r="E1603" s="12" t="n">
        <v>480</v>
      </c>
      <c r="F1603" s="12" t="n">
        <v>7</v>
      </c>
      <c r="G1603" s="12" t="n">
        <v>9.9</v>
      </c>
      <c r="H1603" s="12" t="inlineStr">
        <is>
          <t>Inlet-chilling e-house / transformer</t>
        </is>
      </c>
      <c r="I1603" s="12" t="inlineStr">
        <is>
          <t>LV 600 V</t>
        </is>
      </c>
      <c r="J1603" s="12" t="inlineStr">
        <is>
          <t>10</t>
        </is>
      </c>
      <c r="K1603" s="12" t="n">
        <v>1</v>
      </c>
    </row>
    <row r="1604">
      <c r="A1604" s="12" t="inlineStr">
        <is>
          <t>Chillers x6 (water-cooled)</t>
        </is>
      </c>
      <c r="B1604" s="12" t="inlineStr"/>
      <c r="C1604" s="12" t="inlineStr">
        <is>
          <t>J</t>
        </is>
      </c>
      <c r="D1604" s="12" t="inlineStr">
        <is>
          <t>Motor 6 of 6, 7 kW</t>
        </is>
      </c>
      <c r="E1604" s="12" t="n">
        <v>480</v>
      </c>
      <c r="F1604" s="12" t="n">
        <v>7</v>
      </c>
      <c r="G1604" s="12" t="n">
        <v>9.9</v>
      </c>
      <c r="H1604" s="12" t="inlineStr">
        <is>
          <t>Inlet-chilling e-house / transformer</t>
        </is>
      </c>
      <c r="I1604" s="12" t="inlineStr">
        <is>
          <t>LV 600 V</t>
        </is>
      </c>
      <c r="J1604" s="12" t="inlineStr">
        <is>
          <t>10</t>
        </is>
      </c>
      <c r="K1604" s="12" t="n">
        <v>1</v>
      </c>
    </row>
    <row r="1605">
      <c r="A1605" s="12" t="inlineStr">
        <is>
          <t>Inlet-chilling tower (12 cells): chiller heat rejection</t>
        </is>
      </c>
      <c r="B1605" s="12" t="inlineStr"/>
      <c r="C1605" s="12" t="inlineStr">
        <is>
          <t>J</t>
        </is>
      </c>
      <c r="D1605" s="12" t="inlineStr">
        <is>
          <t>Motor 1 of 12, 75 kW (VFD output)</t>
        </is>
      </c>
      <c r="E1605" s="12" t="n">
        <v>480</v>
      </c>
      <c r="F1605" s="12" t="n">
        <v>75</v>
      </c>
      <c r="G1605" s="12" t="n">
        <v>106</v>
      </c>
      <c r="H1605" s="12" t="inlineStr">
        <is>
          <t>Inlet-chilling e-house / transformer</t>
        </is>
      </c>
      <c r="I1605" s="12" t="inlineStr">
        <is>
          <t>LV 600 V</t>
        </is>
      </c>
      <c r="J1605" s="12" t="inlineStr">
        <is>
          <t>2/0</t>
        </is>
      </c>
      <c r="K1605" s="12" t="n">
        <v>1</v>
      </c>
    </row>
    <row r="1606">
      <c r="A1606" s="12" t="inlineStr">
        <is>
          <t>Inlet-chilling tower (12 cells): chiller heat rejection</t>
        </is>
      </c>
      <c r="B1606" s="12" t="inlineStr"/>
      <c r="C1606" s="12" t="inlineStr">
        <is>
          <t>J</t>
        </is>
      </c>
      <c r="D1606" s="12" t="inlineStr">
        <is>
          <t>Motor 2 of 12, 75 kW (VFD output)</t>
        </is>
      </c>
      <c r="E1606" s="12" t="n">
        <v>480</v>
      </c>
      <c r="F1606" s="12" t="n">
        <v>75</v>
      </c>
      <c r="G1606" s="12" t="n">
        <v>106</v>
      </c>
      <c r="H1606" s="12" t="inlineStr">
        <is>
          <t>Inlet-chilling e-house / transformer</t>
        </is>
      </c>
      <c r="I1606" s="12" t="inlineStr">
        <is>
          <t>LV 600 V</t>
        </is>
      </c>
      <c r="J1606" s="12" t="inlineStr">
        <is>
          <t>2/0</t>
        </is>
      </c>
      <c r="K1606" s="12" t="n">
        <v>1</v>
      </c>
    </row>
    <row r="1607">
      <c r="A1607" s="12" t="inlineStr">
        <is>
          <t>Inlet-chilling tower (12 cells): chiller heat rejection</t>
        </is>
      </c>
      <c r="B1607" s="12" t="inlineStr"/>
      <c r="C1607" s="12" t="inlineStr">
        <is>
          <t>J</t>
        </is>
      </c>
      <c r="D1607" s="12" t="inlineStr">
        <is>
          <t>Motor 3 of 12, 75 kW (VFD output)</t>
        </is>
      </c>
      <c r="E1607" s="12" t="n">
        <v>480</v>
      </c>
      <c r="F1607" s="12" t="n">
        <v>75</v>
      </c>
      <c r="G1607" s="12" t="n">
        <v>106</v>
      </c>
      <c r="H1607" s="12" t="inlineStr">
        <is>
          <t>Inlet-chilling e-house / transformer</t>
        </is>
      </c>
      <c r="I1607" s="12" t="inlineStr">
        <is>
          <t>LV 600 V</t>
        </is>
      </c>
      <c r="J1607" s="12" t="inlineStr">
        <is>
          <t>2/0</t>
        </is>
      </c>
      <c r="K1607" s="12" t="n">
        <v>1</v>
      </c>
    </row>
    <row r="1608">
      <c r="A1608" s="12" t="inlineStr">
        <is>
          <t>Inlet-chilling tower (12 cells): chiller heat rejection</t>
        </is>
      </c>
      <c r="B1608" s="12" t="inlineStr"/>
      <c r="C1608" s="12" t="inlineStr">
        <is>
          <t>J</t>
        </is>
      </c>
      <c r="D1608" s="12" t="inlineStr">
        <is>
          <t>Motor 4 of 12, 75 kW (VFD output)</t>
        </is>
      </c>
      <c r="E1608" s="12" t="n">
        <v>480</v>
      </c>
      <c r="F1608" s="12" t="n">
        <v>75</v>
      </c>
      <c r="G1608" s="12" t="n">
        <v>106</v>
      </c>
      <c r="H1608" s="12" t="inlineStr">
        <is>
          <t>Inlet-chilling e-house / transformer</t>
        </is>
      </c>
      <c r="I1608" s="12" t="inlineStr">
        <is>
          <t>LV 600 V</t>
        </is>
      </c>
      <c r="J1608" s="12" t="inlineStr">
        <is>
          <t>2/0</t>
        </is>
      </c>
      <c r="K1608" s="12" t="n">
        <v>1</v>
      </c>
    </row>
    <row r="1609">
      <c r="A1609" s="12" t="inlineStr">
        <is>
          <t>Inlet-chilling tower (12 cells): chiller heat rejection</t>
        </is>
      </c>
      <c r="B1609" s="12" t="inlineStr"/>
      <c r="C1609" s="12" t="inlineStr">
        <is>
          <t>J</t>
        </is>
      </c>
      <c r="D1609" s="12" t="inlineStr">
        <is>
          <t>Motor 5 of 12, 75 kW (VFD output)</t>
        </is>
      </c>
      <c r="E1609" s="12" t="n">
        <v>480</v>
      </c>
      <c r="F1609" s="12" t="n">
        <v>75</v>
      </c>
      <c r="G1609" s="12" t="n">
        <v>106</v>
      </c>
      <c r="H1609" s="12" t="inlineStr">
        <is>
          <t>Inlet-chilling e-house / transformer</t>
        </is>
      </c>
      <c r="I1609" s="12" t="inlineStr">
        <is>
          <t>LV 600 V</t>
        </is>
      </c>
      <c r="J1609" s="12" t="inlineStr">
        <is>
          <t>2/0</t>
        </is>
      </c>
      <c r="K1609" s="12" t="n">
        <v>1</v>
      </c>
    </row>
    <row r="1610">
      <c r="A1610" s="12" t="inlineStr">
        <is>
          <t>Inlet-chilling tower (12 cells): chiller heat rejection</t>
        </is>
      </c>
      <c r="B1610" s="12" t="inlineStr"/>
      <c r="C1610" s="12" t="inlineStr">
        <is>
          <t>J</t>
        </is>
      </c>
      <c r="D1610" s="12" t="inlineStr">
        <is>
          <t>Motor 6 of 12, 75 kW (VFD output)</t>
        </is>
      </c>
      <c r="E1610" s="12" t="n">
        <v>480</v>
      </c>
      <c r="F1610" s="12" t="n">
        <v>75</v>
      </c>
      <c r="G1610" s="12" t="n">
        <v>106</v>
      </c>
      <c r="H1610" s="12" t="inlineStr">
        <is>
          <t>Inlet-chilling e-house / transformer</t>
        </is>
      </c>
      <c r="I1610" s="12" t="inlineStr">
        <is>
          <t>LV 600 V</t>
        </is>
      </c>
      <c r="J1610" s="12" t="inlineStr">
        <is>
          <t>2/0</t>
        </is>
      </c>
      <c r="K1610" s="12" t="n">
        <v>1</v>
      </c>
    </row>
    <row r="1611">
      <c r="A1611" s="12" t="inlineStr">
        <is>
          <t>Inlet-chilling tower (12 cells): chiller heat rejection</t>
        </is>
      </c>
      <c r="B1611" s="12" t="inlineStr"/>
      <c r="C1611" s="12" t="inlineStr">
        <is>
          <t>J</t>
        </is>
      </c>
      <c r="D1611" s="12" t="inlineStr">
        <is>
          <t>Motor 7 of 12, 75 kW (VFD output)</t>
        </is>
      </c>
      <c r="E1611" s="12" t="n">
        <v>480</v>
      </c>
      <c r="F1611" s="12" t="n">
        <v>75</v>
      </c>
      <c r="G1611" s="12" t="n">
        <v>106</v>
      </c>
      <c r="H1611" s="12" t="inlineStr">
        <is>
          <t>Inlet-chilling e-house / transformer</t>
        </is>
      </c>
      <c r="I1611" s="12" t="inlineStr">
        <is>
          <t>LV 600 V</t>
        </is>
      </c>
      <c r="J1611" s="12" t="inlineStr">
        <is>
          <t>2/0</t>
        </is>
      </c>
      <c r="K1611" s="12" t="n">
        <v>1</v>
      </c>
    </row>
    <row r="1612">
      <c r="A1612" s="12" t="inlineStr">
        <is>
          <t>Inlet-chilling tower (12 cells): chiller heat rejection</t>
        </is>
      </c>
      <c r="B1612" s="12" t="inlineStr"/>
      <c r="C1612" s="12" t="inlineStr">
        <is>
          <t>J</t>
        </is>
      </c>
      <c r="D1612" s="12" t="inlineStr">
        <is>
          <t>Motor 8 of 12, 75 kW (VFD output)</t>
        </is>
      </c>
      <c r="E1612" s="12" t="n">
        <v>480</v>
      </c>
      <c r="F1612" s="12" t="n">
        <v>75</v>
      </c>
      <c r="G1612" s="12" t="n">
        <v>106</v>
      </c>
      <c r="H1612" s="12" t="inlineStr">
        <is>
          <t>Inlet-chilling e-house / transformer</t>
        </is>
      </c>
      <c r="I1612" s="12" t="inlineStr">
        <is>
          <t>LV 600 V</t>
        </is>
      </c>
      <c r="J1612" s="12" t="inlineStr">
        <is>
          <t>2/0</t>
        </is>
      </c>
      <c r="K1612" s="12" t="n">
        <v>1</v>
      </c>
    </row>
    <row r="1613">
      <c r="A1613" s="12" t="inlineStr">
        <is>
          <t>Inlet-chilling tower (12 cells): chiller heat rejection</t>
        </is>
      </c>
      <c r="B1613" s="12" t="inlineStr"/>
      <c r="C1613" s="12" t="inlineStr">
        <is>
          <t>J</t>
        </is>
      </c>
      <c r="D1613" s="12" t="inlineStr">
        <is>
          <t>Motor 9 of 12, 75 kW (VFD output)</t>
        </is>
      </c>
      <c r="E1613" s="12" t="n">
        <v>480</v>
      </c>
      <c r="F1613" s="12" t="n">
        <v>75</v>
      </c>
      <c r="G1613" s="12" t="n">
        <v>106</v>
      </c>
      <c r="H1613" s="12" t="inlineStr">
        <is>
          <t>Inlet-chilling e-house / transformer</t>
        </is>
      </c>
      <c r="I1613" s="12" t="inlineStr">
        <is>
          <t>LV 600 V</t>
        </is>
      </c>
      <c r="J1613" s="12" t="inlineStr">
        <is>
          <t>2/0</t>
        </is>
      </c>
      <c r="K1613" s="12" t="n">
        <v>1</v>
      </c>
    </row>
    <row r="1614">
      <c r="A1614" s="12" t="inlineStr">
        <is>
          <t>Inlet-chilling tower (12 cells): chiller heat rejection</t>
        </is>
      </c>
      <c r="B1614" s="12" t="inlineStr"/>
      <c r="C1614" s="12" t="inlineStr">
        <is>
          <t>J</t>
        </is>
      </c>
      <c r="D1614" s="12" t="inlineStr">
        <is>
          <t>Motor 10 of 12, 75 kW (VFD output)</t>
        </is>
      </c>
      <c r="E1614" s="12" t="n">
        <v>480</v>
      </c>
      <c r="F1614" s="12" t="n">
        <v>75</v>
      </c>
      <c r="G1614" s="12" t="n">
        <v>106</v>
      </c>
      <c r="H1614" s="12" t="inlineStr">
        <is>
          <t>Inlet-chilling e-house / transformer</t>
        </is>
      </c>
      <c r="I1614" s="12" t="inlineStr">
        <is>
          <t>LV 600 V</t>
        </is>
      </c>
      <c r="J1614" s="12" t="inlineStr">
        <is>
          <t>2/0</t>
        </is>
      </c>
      <c r="K1614" s="12" t="n">
        <v>1</v>
      </c>
    </row>
    <row r="1615">
      <c r="A1615" s="12" t="inlineStr">
        <is>
          <t>Inlet-chilling tower (12 cells): chiller heat rejection</t>
        </is>
      </c>
      <c r="B1615" s="12" t="inlineStr"/>
      <c r="C1615" s="12" t="inlineStr">
        <is>
          <t>J</t>
        </is>
      </c>
      <c r="D1615" s="12" t="inlineStr">
        <is>
          <t>Motor 11 of 12, 75 kW (VFD output)</t>
        </is>
      </c>
      <c r="E1615" s="12" t="n">
        <v>480</v>
      </c>
      <c r="F1615" s="12" t="n">
        <v>75</v>
      </c>
      <c r="G1615" s="12" t="n">
        <v>106</v>
      </c>
      <c r="H1615" s="12" t="inlineStr">
        <is>
          <t>Inlet-chilling e-house / transformer</t>
        </is>
      </c>
      <c r="I1615" s="12" t="inlineStr">
        <is>
          <t>LV 600 V</t>
        </is>
      </c>
      <c r="J1615" s="12" t="inlineStr">
        <is>
          <t>2/0</t>
        </is>
      </c>
      <c r="K1615" s="12" t="n">
        <v>1</v>
      </c>
    </row>
    <row r="1616">
      <c r="A1616" s="12" t="inlineStr">
        <is>
          <t>Inlet-chilling tower (12 cells): chiller heat rejection</t>
        </is>
      </c>
      <c r="B1616" s="12" t="inlineStr"/>
      <c r="C1616" s="12" t="inlineStr">
        <is>
          <t>J</t>
        </is>
      </c>
      <c r="D1616" s="12" t="inlineStr">
        <is>
          <t>Motor 12 of 12, 75 kW (VFD output)</t>
        </is>
      </c>
      <c r="E1616" s="12" t="n">
        <v>480</v>
      </c>
      <c r="F1616" s="12" t="n">
        <v>75</v>
      </c>
      <c r="G1616" s="12" t="n">
        <v>106</v>
      </c>
      <c r="H1616" s="12" t="inlineStr">
        <is>
          <t>Inlet-chilling e-house / transformer</t>
        </is>
      </c>
      <c r="I1616" s="12" t="inlineStr">
        <is>
          <t>LV 600 V</t>
        </is>
      </c>
      <c r="J1616" s="12" t="inlineStr">
        <is>
          <t>2/0</t>
        </is>
      </c>
      <c r="K1616" s="12" t="n">
        <v>1</v>
      </c>
    </row>
    <row r="1617">
      <c r="A1617" s="12" t="inlineStr">
        <is>
          <t>Inlet-chilling tower (12 cells): chiller heat rejection</t>
        </is>
      </c>
      <c r="B1617" s="12" t="inlineStr"/>
      <c r="C1617" s="12" t="inlineStr">
        <is>
          <t>J</t>
        </is>
      </c>
      <c r="D1617" s="12" t="inlineStr">
        <is>
          <t>Area / platform lighting circuit 1 (12 fixtures)</t>
        </is>
      </c>
      <c r="E1617" s="12" t="n">
        <v>480</v>
      </c>
      <c r="F1617" s="12" t="n">
        <v>3</v>
      </c>
      <c r="G1617" s="12" t="n">
        <v>5</v>
      </c>
      <c r="H1617" s="12" t="inlineStr">
        <is>
          <t>Inlet-chilling e-house / transformer</t>
        </is>
      </c>
      <c r="I1617" s="12" t="inlineStr">
        <is>
          <t>LV 600 V</t>
        </is>
      </c>
      <c r="J1617" s="12" t="inlineStr">
        <is>
          <t>10</t>
        </is>
      </c>
      <c r="K1617" s="12" t="n">
        <v>1</v>
      </c>
    </row>
    <row r="1618">
      <c r="A1618" s="12" t="inlineStr">
        <is>
          <t>Inlet-chilling e-house / transformer</t>
        </is>
      </c>
      <c r="B1618" s="12" t="inlineStr"/>
      <c r="C1618" s="12" t="inlineStr">
        <is>
          <t>J</t>
        </is>
      </c>
      <c r="D1618" s="12" t="inlineStr">
        <is>
          <t>Inlet-chilling e-house / transformer</t>
        </is>
      </c>
      <c r="E1618" s="12" t="n">
        <v>13800</v>
      </c>
      <c r="F1618" s="12" t="n">
        <v>12000</v>
      </c>
      <c r="G1618" s="12" t="n">
        <v>502</v>
      </c>
      <c r="H1618" s="12" t="inlineStr">
        <is>
          <t>R1 SWGR-13.8-1 (11 x 36 in cubicles, 15 kV metal-clad)</t>
        </is>
      </c>
      <c r="I1618" s="12" t="inlineStr">
        <is>
          <t>MV 15 kV</t>
        </is>
      </c>
      <c r="J1618" s="12" t="inlineStr">
        <is>
          <t>1000 kcmil</t>
        </is>
      </c>
      <c r="K1618" s="12" t="n">
        <v>1</v>
      </c>
    </row>
    <row r="1619">
      <c r="A1619" s="12" t="inlineStr">
        <is>
          <t>CW pumps (inlet chilling)</t>
        </is>
      </c>
      <c r="B1619" s="12" t="inlineStr"/>
      <c r="C1619" s="12" t="inlineStr">
        <is>
          <t>J</t>
        </is>
      </c>
      <c r="D1619" s="12" t="inlineStr">
        <is>
          <t>Inlet-chilling CW pump 1</t>
        </is>
      </c>
      <c r="E1619" s="12" t="n">
        <v>4160</v>
      </c>
      <c r="F1619" s="12" t="n">
        <v>450</v>
      </c>
      <c r="G1619" s="12" t="n">
        <v>69</v>
      </c>
      <c r="H1619" s="12" t="inlineStr">
        <is>
          <t>Inlet-chilling e-house / transformer</t>
        </is>
      </c>
      <c r="I1619" s="12" t="inlineStr">
        <is>
          <t>MV 5 kV</t>
        </is>
      </c>
      <c r="J1619" s="12" t="inlineStr">
        <is>
          <t>2</t>
        </is>
      </c>
      <c r="K1619" s="12" t="n">
        <v>1</v>
      </c>
    </row>
    <row r="1620">
      <c r="A1620" s="12" t="inlineStr">
        <is>
          <t>CW pumps (inlet chilling)</t>
        </is>
      </c>
      <c r="B1620" s="12" t="inlineStr"/>
      <c r="C1620" s="12" t="inlineStr">
        <is>
          <t>J</t>
        </is>
      </c>
      <c r="D1620" s="12" t="inlineStr">
        <is>
          <t>Inlet-chilling CW pump 2</t>
        </is>
      </c>
      <c r="E1620" s="12" t="n">
        <v>4160</v>
      </c>
      <c r="F1620" s="12" t="n">
        <v>450</v>
      </c>
      <c r="G1620" s="12" t="n">
        <v>69</v>
      </c>
      <c r="H1620" s="12" t="inlineStr">
        <is>
          <t>Inlet-chilling e-house / transformer</t>
        </is>
      </c>
      <c r="I1620" s="12" t="inlineStr">
        <is>
          <t>MV 5 kV</t>
        </is>
      </c>
      <c r="J1620" s="12" t="inlineStr">
        <is>
          <t>2</t>
        </is>
      </c>
      <c r="K1620" s="12" t="n">
        <v>1</v>
      </c>
    </row>
    <row r="1621">
      <c r="A1621" s="12" t="inlineStr">
        <is>
          <t>CW pumps (inlet chilling)</t>
        </is>
      </c>
      <c r="B1621" s="12" t="inlineStr"/>
      <c r="C1621" s="12" t="inlineStr">
        <is>
          <t>J</t>
        </is>
      </c>
      <c r="D1621" s="12" t="inlineStr">
        <is>
          <t>Inlet-chilling CW pump 3</t>
        </is>
      </c>
      <c r="E1621" s="12" t="n">
        <v>4160</v>
      </c>
      <c r="F1621" s="12" t="n">
        <v>450</v>
      </c>
      <c r="G1621" s="12" t="n">
        <v>69</v>
      </c>
      <c r="H1621" s="12" t="inlineStr">
        <is>
          <t>Inlet-chilling e-house / transformer</t>
        </is>
      </c>
      <c r="I1621" s="12" t="inlineStr">
        <is>
          <t>MV 5 kV</t>
        </is>
      </c>
      <c r="J1621" s="12" t="inlineStr">
        <is>
          <t>2</t>
        </is>
      </c>
      <c r="K1621" s="12" t="n">
        <v>1</v>
      </c>
    </row>
    <row r="1622">
      <c r="A1622" s="12" t="inlineStr">
        <is>
          <t>CW pumps (inlet chilling)</t>
        </is>
      </c>
      <c r="B1622" s="12" t="inlineStr"/>
      <c r="C1622" s="12" t="inlineStr">
        <is>
          <t>J</t>
        </is>
      </c>
      <c r="D1622" s="12" t="inlineStr">
        <is>
          <t>Inlet-chilling CW pump 4</t>
        </is>
      </c>
      <c r="E1622" s="12" t="n">
        <v>4160</v>
      </c>
      <c r="F1622" s="12" t="n">
        <v>450</v>
      </c>
      <c r="G1622" s="12" t="n">
        <v>69</v>
      </c>
      <c r="H1622" s="12" t="inlineStr">
        <is>
          <t>Inlet-chilling e-house / transformer</t>
        </is>
      </c>
      <c r="I1622" s="12" t="inlineStr">
        <is>
          <t>MV 5 kV</t>
        </is>
      </c>
      <c r="J1622" s="12" t="inlineStr">
        <is>
          <t>2</t>
        </is>
      </c>
      <c r="K1622" s="12" t="n">
        <v>1</v>
      </c>
    </row>
    <row r="1623">
      <c r="A1623" s="12" t="inlineStr">
        <is>
          <t>Chillers x6 (water-cooled)</t>
        </is>
      </c>
      <c r="B1623" s="12" t="inlineStr"/>
      <c r="C1623" s="12" t="inlineStr">
        <is>
          <t>J</t>
        </is>
      </c>
      <c r="D1623" s="12" t="inlineStr">
        <is>
          <t>Water-cooled chiller CH-1</t>
        </is>
      </c>
      <c r="E1623" s="12" t="n">
        <v>4160</v>
      </c>
      <c r="F1623" s="12" t="n">
        <v>1500</v>
      </c>
      <c r="G1623" s="12" t="n">
        <v>231</v>
      </c>
      <c r="H1623" s="12" t="inlineStr">
        <is>
          <t>Inlet-chilling e-house / transformer</t>
        </is>
      </c>
      <c r="I1623" s="12" t="inlineStr">
        <is>
          <t>MV 5 kV</t>
        </is>
      </c>
      <c r="J1623" s="12" t="inlineStr">
        <is>
          <t>250 kcmil</t>
        </is>
      </c>
      <c r="K1623" s="12" t="n">
        <v>1</v>
      </c>
    </row>
    <row r="1624">
      <c r="A1624" s="12" t="inlineStr">
        <is>
          <t>Chillers x6 (water-cooled)</t>
        </is>
      </c>
      <c r="B1624" s="12" t="inlineStr"/>
      <c r="C1624" s="12" t="inlineStr">
        <is>
          <t>J</t>
        </is>
      </c>
      <c r="D1624" s="12" t="inlineStr">
        <is>
          <t>Water-cooled chiller CH-2</t>
        </is>
      </c>
      <c r="E1624" s="12" t="n">
        <v>4160</v>
      </c>
      <c r="F1624" s="12" t="n">
        <v>1500</v>
      </c>
      <c r="G1624" s="12" t="n">
        <v>231</v>
      </c>
      <c r="H1624" s="12" t="inlineStr">
        <is>
          <t>Inlet-chilling e-house / transformer</t>
        </is>
      </c>
      <c r="I1624" s="12" t="inlineStr">
        <is>
          <t>MV 5 kV</t>
        </is>
      </c>
      <c r="J1624" s="12" t="inlineStr">
        <is>
          <t>250 kcmil</t>
        </is>
      </c>
      <c r="K1624" s="12" t="n">
        <v>1</v>
      </c>
    </row>
    <row r="1625">
      <c r="A1625" s="12" t="inlineStr">
        <is>
          <t>Chillers x6 (water-cooled)</t>
        </is>
      </c>
      <c r="B1625" s="12" t="inlineStr"/>
      <c r="C1625" s="12" t="inlineStr">
        <is>
          <t>J</t>
        </is>
      </c>
      <c r="D1625" s="12" t="inlineStr">
        <is>
          <t>Water-cooled chiller CH-3</t>
        </is>
      </c>
      <c r="E1625" s="12" t="n">
        <v>4160</v>
      </c>
      <c r="F1625" s="12" t="n">
        <v>1500</v>
      </c>
      <c r="G1625" s="12" t="n">
        <v>231</v>
      </c>
      <c r="H1625" s="12" t="inlineStr">
        <is>
          <t>Inlet-chilling e-house / transformer</t>
        </is>
      </c>
      <c r="I1625" s="12" t="inlineStr">
        <is>
          <t>MV 5 kV</t>
        </is>
      </c>
      <c r="J1625" s="12" t="inlineStr">
        <is>
          <t>250 kcmil</t>
        </is>
      </c>
      <c r="K1625" s="12" t="n">
        <v>1</v>
      </c>
    </row>
    <row r="1626">
      <c r="A1626" s="12" t="inlineStr">
        <is>
          <t>Chillers x6 (water-cooled)</t>
        </is>
      </c>
      <c r="B1626" s="12" t="inlineStr"/>
      <c r="C1626" s="12" t="inlineStr">
        <is>
          <t>J</t>
        </is>
      </c>
      <c r="D1626" s="12" t="inlineStr">
        <is>
          <t>Water-cooled chiller CH-4</t>
        </is>
      </c>
      <c r="E1626" s="12" t="n">
        <v>4160</v>
      </c>
      <c r="F1626" s="12" t="n">
        <v>1500</v>
      </c>
      <c r="G1626" s="12" t="n">
        <v>231</v>
      </c>
      <c r="H1626" s="12" t="inlineStr">
        <is>
          <t>Inlet-chilling e-house / transformer</t>
        </is>
      </c>
      <c r="I1626" s="12" t="inlineStr">
        <is>
          <t>MV 5 kV</t>
        </is>
      </c>
      <c r="J1626" s="12" t="inlineStr">
        <is>
          <t>250 kcmil</t>
        </is>
      </c>
      <c r="K1626" s="12" t="n">
        <v>1</v>
      </c>
    </row>
    <row r="1627">
      <c r="A1627" s="12" t="inlineStr">
        <is>
          <t>Chillers x6 (water-cooled)</t>
        </is>
      </c>
      <c r="B1627" s="12" t="inlineStr"/>
      <c r="C1627" s="12" t="inlineStr">
        <is>
          <t>J</t>
        </is>
      </c>
      <c r="D1627" s="12" t="inlineStr">
        <is>
          <t>Water-cooled chiller CH-5</t>
        </is>
      </c>
      <c r="E1627" s="12" t="n">
        <v>4160</v>
      </c>
      <c r="F1627" s="12" t="n">
        <v>1500</v>
      </c>
      <c r="G1627" s="12" t="n">
        <v>231</v>
      </c>
      <c r="H1627" s="12" t="inlineStr">
        <is>
          <t>Inlet-chilling e-house / transformer</t>
        </is>
      </c>
      <c r="I1627" s="12" t="inlineStr">
        <is>
          <t>MV 5 kV</t>
        </is>
      </c>
      <c r="J1627" s="12" t="inlineStr">
        <is>
          <t>250 kcmil</t>
        </is>
      </c>
      <c r="K1627" s="12" t="n">
        <v>1</v>
      </c>
    </row>
    <row r="1628">
      <c r="A1628" s="12" t="inlineStr">
        <is>
          <t>Chillers x6 (water-cooled)</t>
        </is>
      </c>
      <c r="B1628" s="12" t="inlineStr"/>
      <c r="C1628" s="12" t="inlineStr">
        <is>
          <t>J</t>
        </is>
      </c>
      <c r="D1628" s="12" t="inlineStr">
        <is>
          <t>Water-cooled chiller CH-6</t>
        </is>
      </c>
      <c r="E1628" s="12" t="n">
        <v>4160</v>
      </c>
      <c r="F1628" s="12" t="n">
        <v>1500</v>
      </c>
      <c r="G1628" s="12" t="n">
        <v>231</v>
      </c>
      <c r="H1628" s="12" t="inlineStr">
        <is>
          <t>Inlet-chilling e-house / transformer</t>
        </is>
      </c>
      <c r="I1628" s="12" t="inlineStr">
        <is>
          <t>MV 5 kV</t>
        </is>
      </c>
      <c r="J1628" s="12" t="inlineStr">
        <is>
          <t>250 kcmil</t>
        </is>
      </c>
      <c r="K1628" s="12" t="n">
        <v>1</v>
      </c>
    </row>
    <row r="1629">
      <c r="A1629" s="12" t="inlineStr">
        <is>
          <t>H2 19: T-H2 230/13.8 kV (about 40 MVA)</t>
        </is>
      </c>
      <c r="B1629" s="12" t="inlineStr">
        <is>
          <t>T-H2</t>
        </is>
      </c>
      <c r="C1629" s="12" t="inlineStr">
        <is>
          <t>K</t>
        </is>
      </c>
      <c r="D1629" s="12" t="inlineStr">
        <is>
          <t>Motor 1 of 1, 15 kW</t>
        </is>
      </c>
      <c r="E1629" s="12" t="n">
        <v>480</v>
      </c>
      <c r="F1629" s="12" t="n">
        <v>15</v>
      </c>
      <c r="G1629" s="12" t="n">
        <v>21.2</v>
      </c>
      <c r="H1629" s="12" t="inlineStr">
        <is>
          <t>H2 20: 13.8 kV e-house</t>
        </is>
      </c>
      <c r="I1629" s="12" t="inlineStr">
        <is>
          <t>LV 600 V</t>
        </is>
      </c>
      <c r="J1629" s="12" t="inlineStr">
        <is>
          <t>10</t>
        </is>
      </c>
      <c r="K1629" s="12" t="n">
        <v>1</v>
      </c>
    </row>
    <row r="1630">
      <c r="A1630" s="12" t="inlineStr">
        <is>
          <t>H2 20: 13.8 kV e-house</t>
        </is>
      </c>
      <c r="B1630" s="12" t="inlineStr"/>
      <c r="C1630" s="12" t="inlineStr">
        <is>
          <t>K</t>
        </is>
      </c>
      <c r="D1630" s="12" t="inlineStr">
        <is>
          <t>Motor 1 of 1, 15 kW</t>
        </is>
      </c>
      <c r="E1630" s="12" t="n">
        <v>480</v>
      </c>
      <c r="F1630" s="12" t="n">
        <v>15</v>
      </c>
      <c r="G1630" s="12" t="n">
        <v>21.2</v>
      </c>
      <c r="H1630" s="12" t="inlineStr">
        <is>
          <t>H2 20: 13.8 kV e-house</t>
        </is>
      </c>
      <c r="I1630" s="12" t="inlineStr">
        <is>
          <t>LV 600 V</t>
        </is>
      </c>
      <c r="J1630" s="12" t="inlineStr">
        <is>
          <t>10</t>
        </is>
      </c>
      <c r="K1630" s="12" t="n">
        <v>1</v>
      </c>
    </row>
    <row r="1631">
      <c r="A1631" s="12" t="inlineStr">
        <is>
          <t>H2 21: rectifier transformer 1 (7 MVA)</t>
        </is>
      </c>
      <c r="B1631" s="12" t="inlineStr"/>
      <c r="C1631" s="12" t="inlineStr">
        <is>
          <t>K</t>
        </is>
      </c>
      <c r="D1631" s="12" t="inlineStr">
        <is>
          <t>Motor 1 of 1, 15 kW</t>
        </is>
      </c>
      <c r="E1631" s="12" t="n">
        <v>480</v>
      </c>
      <c r="F1631" s="12" t="n">
        <v>15</v>
      </c>
      <c r="G1631" s="12" t="n">
        <v>21.2</v>
      </c>
      <c r="H1631" s="12" t="inlineStr">
        <is>
          <t>H2 20: 13.8 kV e-house</t>
        </is>
      </c>
      <c r="I1631" s="12" t="inlineStr">
        <is>
          <t>LV 600 V</t>
        </is>
      </c>
      <c r="J1631" s="12" t="inlineStr">
        <is>
          <t>8</t>
        </is>
      </c>
      <c r="K1631" s="12" t="n">
        <v>1</v>
      </c>
    </row>
    <row r="1632">
      <c r="A1632" s="12" t="inlineStr">
        <is>
          <t>H2 21: rectifier transformer 2 (7 MVA)</t>
        </is>
      </c>
      <c r="B1632" s="12" t="inlineStr"/>
      <c r="C1632" s="12" t="inlineStr">
        <is>
          <t>K</t>
        </is>
      </c>
      <c r="D1632" s="12" t="inlineStr">
        <is>
          <t>Motor 1 of 1, 15 kW</t>
        </is>
      </c>
      <c r="E1632" s="12" t="n">
        <v>480</v>
      </c>
      <c r="F1632" s="12" t="n">
        <v>15</v>
      </c>
      <c r="G1632" s="12" t="n">
        <v>21.2</v>
      </c>
      <c r="H1632" s="12" t="inlineStr">
        <is>
          <t>H2 20: 13.8 kV e-house</t>
        </is>
      </c>
      <c r="I1632" s="12" t="inlineStr">
        <is>
          <t>LV 600 V</t>
        </is>
      </c>
      <c r="J1632" s="12" t="inlineStr">
        <is>
          <t>8</t>
        </is>
      </c>
      <c r="K1632" s="12" t="n">
        <v>1</v>
      </c>
    </row>
    <row r="1633">
      <c r="A1633" s="12" t="inlineStr">
        <is>
          <t>H2 21: rectifier transformer 3 (7 MVA)</t>
        </is>
      </c>
      <c r="B1633" s="12" t="inlineStr"/>
      <c r="C1633" s="12" t="inlineStr">
        <is>
          <t>K</t>
        </is>
      </c>
      <c r="D1633" s="12" t="inlineStr">
        <is>
          <t>Motor 1 of 1, 15 kW</t>
        </is>
      </c>
      <c r="E1633" s="12" t="n">
        <v>480</v>
      </c>
      <c r="F1633" s="12" t="n">
        <v>15</v>
      </c>
      <c r="G1633" s="12" t="n">
        <v>21.2</v>
      </c>
      <c r="H1633" s="12" t="inlineStr">
        <is>
          <t>H2 20: 13.8 kV e-house</t>
        </is>
      </c>
      <c r="I1633" s="12" t="inlineStr">
        <is>
          <t>LV 600 V</t>
        </is>
      </c>
      <c r="J1633" s="12" t="inlineStr">
        <is>
          <t>8</t>
        </is>
      </c>
      <c r="K1633" s="12" t="n">
        <v>1</v>
      </c>
    </row>
    <row r="1634">
      <c r="A1634" s="12" t="inlineStr">
        <is>
          <t>H2 21: rectifier transformer 4 (7 MVA)</t>
        </is>
      </c>
      <c r="B1634" s="12" t="inlineStr"/>
      <c r="C1634" s="12" t="inlineStr">
        <is>
          <t>K</t>
        </is>
      </c>
      <c r="D1634" s="12" t="inlineStr">
        <is>
          <t>Motor 1 of 1, 15 kW</t>
        </is>
      </c>
      <c r="E1634" s="12" t="n">
        <v>480</v>
      </c>
      <c r="F1634" s="12" t="n">
        <v>15</v>
      </c>
      <c r="G1634" s="12" t="n">
        <v>21.2</v>
      </c>
      <c r="H1634" s="12" t="inlineStr">
        <is>
          <t>H2 20: 13.8 kV e-house</t>
        </is>
      </c>
      <c r="I1634" s="12" t="inlineStr">
        <is>
          <t>LV 600 V</t>
        </is>
      </c>
      <c r="J1634" s="12" t="inlineStr">
        <is>
          <t>8</t>
        </is>
      </c>
      <c r="K1634" s="12" t="n">
        <v>1</v>
      </c>
    </row>
    <row r="1635">
      <c r="A1635" s="12" t="inlineStr">
        <is>
          <t>H2 21: rectifier transformer 5 (7 MVA)</t>
        </is>
      </c>
      <c r="B1635" s="12" t="inlineStr"/>
      <c r="C1635" s="12" t="inlineStr">
        <is>
          <t>K</t>
        </is>
      </c>
      <c r="D1635" s="12" t="inlineStr">
        <is>
          <t>Motor 1 of 1, 15 kW</t>
        </is>
      </c>
      <c r="E1635" s="12" t="n">
        <v>480</v>
      </c>
      <c r="F1635" s="12" t="n">
        <v>15</v>
      </c>
      <c r="G1635" s="12" t="n">
        <v>21.2</v>
      </c>
      <c r="H1635" s="12" t="inlineStr">
        <is>
          <t>H2 20: 13.8 kV e-house</t>
        </is>
      </c>
      <c r="I1635" s="12" t="inlineStr">
        <is>
          <t>LV 600 V</t>
        </is>
      </c>
      <c r="J1635" s="12" t="inlineStr">
        <is>
          <t>10</t>
        </is>
      </c>
      <c r="K1635" s="12" t="n">
        <v>1</v>
      </c>
    </row>
    <row r="1636">
      <c r="A1636" s="12" t="inlineStr">
        <is>
          <t>H2 22: electrolyzer building (5 x HyLYZER-1000 + 5 rectifiers)</t>
        </is>
      </c>
      <c r="B1636" s="12" t="inlineStr">
        <is>
          <t>H2-EL</t>
        </is>
      </c>
      <c r="C1636" s="12" t="inlineStr">
        <is>
          <t>K</t>
        </is>
      </c>
      <c r="D1636" s="12" t="inlineStr">
        <is>
          <t>Motor 1 of 1, 15 kW</t>
        </is>
      </c>
      <c r="E1636" s="12" t="n">
        <v>480</v>
      </c>
      <c r="F1636" s="12" t="n">
        <v>15</v>
      </c>
      <c r="G1636" s="12" t="n">
        <v>21.2</v>
      </c>
      <c r="H1636" s="12" t="inlineStr">
        <is>
          <t>H2 20: 13.8 kV e-house</t>
        </is>
      </c>
      <c r="I1636" s="12" t="inlineStr">
        <is>
          <t>LV 600 V</t>
        </is>
      </c>
      <c r="J1636" s="12" t="inlineStr">
        <is>
          <t>8</t>
        </is>
      </c>
      <c r="K1636" s="12" t="n">
        <v>1</v>
      </c>
    </row>
    <row r="1637">
      <c r="A1637" s="12" t="inlineStr">
        <is>
          <t>H2 23: dry coolers</t>
        </is>
      </c>
      <c r="B1637" s="12" t="inlineStr"/>
      <c r="C1637" s="12" t="inlineStr">
        <is>
          <t>K</t>
        </is>
      </c>
      <c r="D1637" s="12" t="inlineStr">
        <is>
          <t>Motor 1 of 1, 15 kW</t>
        </is>
      </c>
      <c r="E1637" s="12" t="n">
        <v>480</v>
      </c>
      <c r="F1637" s="12" t="n">
        <v>15</v>
      </c>
      <c r="G1637" s="12" t="n">
        <v>21.2</v>
      </c>
      <c r="H1637" s="12" t="inlineStr">
        <is>
          <t>H2 20: 13.8 kV e-house</t>
        </is>
      </c>
      <c r="I1637" s="12" t="inlineStr">
        <is>
          <t>LV 600 V</t>
        </is>
      </c>
      <c r="J1637" s="12" t="inlineStr">
        <is>
          <t>10</t>
        </is>
      </c>
      <c r="K1637" s="12" t="n">
        <v>1</v>
      </c>
    </row>
    <row r="1638">
      <c r="A1638" s="12" t="inlineStr">
        <is>
          <t>H2 24: water purification (RO / EDI)</t>
        </is>
      </c>
      <c r="B1638" s="12" t="inlineStr"/>
      <c r="C1638" s="12" t="inlineStr">
        <is>
          <t>K</t>
        </is>
      </c>
      <c r="D1638" s="12" t="inlineStr">
        <is>
          <t>Motor 1 of 1, 15 kW</t>
        </is>
      </c>
      <c r="E1638" s="12" t="n">
        <v>480</v>
      </c>
      <c r="F1638" s="12" t="n">
        <v>15</v>
      </c>
      <c r="G1638" s="12" t="n">
        <v>21.2</v>
      </c>
      <c r="H1638" s="12" t="inlineStr">
        <is>
          <t>H2 20: 13.8 kV e-house</t>
        </is>
      </c>
      <c r="I1638" s="12" t="inlineStr">
        <is>
          <t>LV 600 V</t>
        </is>
      </c>
      <c r="J1638" s="12" t="inlineStr">
        <is>
          <t>10</t>
        </is>
      </c>
      <c r="K1638" s="12" t="n">
        <v>1</v>
      </c>
    </row>
    <row r="1639">
      <c r="A1639" s="12" t="inlineStr">
        <is>
          <t>H2 25: H2 dryer / purification</t>
        </is>
      </c>
      <c r="B1639" s="12" t="inlineStr"/>
      <c r="C1639" s="12" t="inlineStr">
        <is>
          <t>K</t>
        </is>
      </c>
      <c r="D1639" s="12" t="inlineStr">
        <is>
          <t>Motor 1 of 1, 15 kW</t>
        </is>
      </c>
      <c r="E1639" s="12" t="n">
        <v>480</v>
      </c>
      <c r="F1639" s="12" t="n">
        <v>15</v>
      </c>
      <c r="G1639" s="12" t="n">
        <v>21.2</v>
      </c>
      <c r="H1639" s="12" t="inlineStr">
        <is>
          <t>H2 20: 13.8 kV e-house</t>
        </is>
      </c>
      <c r="I1639" s="12" t="inlineStr">
        <is>
          <t>LV 600 V</t>
        </is>
      </c>
      <c r="J1639" s="12" t="inlineStr">
        <is>
          <t>10</t>
        </is>
      </c>
      <c r="K1639" s="12" t="n">
        <v>1</v>
      </c>
    </row>
    <row r="1640">
      <c r="A1640" s="12" t="inlineStr">
        <is>
          <t>H2 26: H2 compressor 1 (40 ft ISO)</t>
        </is>
      </c>
      <c r="B1640" s="12" t="inlineStr"/>
      <c r="C1640" s="12" t="inlineStr">
        <is>
          <t>K</t>
        </is>
      </c>
      <c r="D1640" s="12" t="inlineStr">
        <is>
          <t>Motor 1 of 1, 15 kW</t>
        </is>
      </c>
      <c r="E1640" s="12" t="n">
        <v>480</v>
      </c>
      <c r="F1640" s="12" t="n">
        <v>15</v>
      </c>
      <c r="G1640" s="12" t="n">
        <v>21.2</v>
      </c>
      <c r="H1640" s="12" t="inlineStr">
        <is>
          <t>H2 20: 13.8 kV e-house</t>
        </is>
      </c>
      <c r="I1640" s="12" t="inlineStr">
        <is>
          <t>LV 600 V</t>
        </is>
      </c>
      <c r="J1640" s="12" t="inlineStr">
        <is>
          <t>10</t>
        </is>
      </c>
      <c r="K1640" s="12" t="n">
        <v>1</v>
      </c>
    </row>
    <row r="1641">
      <c r="A1641" s="12" t="inlineStr">
        <is>
          <t>H2 26: H2 compressor 2 (40 ft ISO)</t>
        </is>
      </c>
      <c r="B1641" s="12" t="inlineStr"/>
      <c r="C1641" s="12" t="inlineStr">
        <is>
          <t>K</t>
        </is>
      </c>
      <c r="D1641" s="12" t="inlineStr">
        <is>
          <t>Motor 1 of 1, 15 kW</t>
        </is>
      </c>
      <c r="E1641" s="12" t="n">
        <v>480</v>
      </c>
      <c r="F1641" s="12" t="n">
        <v>15</v>
      </c>
      <c r="G1641" s="12" t="n">
        <v>21.2</v>
      </c>
      <c r="H1641" s="12" t="inlineStr">
        <is>
          <t>H2 20: 13.8 kV e-house</t>
        </is>
      </c>
      <c r="I1641" s="12" t="inlineStr">
        <is>
          <t>LV 600 V</t>
        </is>
      </c>
      <c r="J1641" s="12" t="inlineStr">
        <is>
          <t>10</t>
        </is>
      </c>
      <c r="K1641" s="12" t="n">
        <v>1</v>
      </c>
    </row>
    <row r="1642">
      <c r="A1642" s="12" t="inlineStr">
        <is>
          <t>H2 27: storage tube bank (~40 ft tubes)</t>
        </is>
      </c>
      <c r="B1642" s="12" t="inlineStr"/>
      <c r="C1642" s="12" t="inlineStr">
        <is>
          <t>K</t>
        </is>
      </c>
      <c r="D1642" s="12" t="inlineStr">
        <is>
          <t>Motor 1 of 1, 15 kW</t>
        </is>
      </c>
      <c r="E1642" s="12" t="n">
        <v>480</v>
      </c>
      <c r="F1642" s="12" t="n">
        <v>15</v>
      </c>
      <c r="G1642" s="12" t="n">
        <v>21.2</v>
      </c>
      <c r="H1642" s="12" t="inlineStr">
        <is>
          <t>H2 20: 13.8 kV e-house</t>
        </is>
      </c>
      <c r="I1642" s="12" t="inlineStr">
        <is>
          <t>LV 600 V</t>
        </is>
      </c>
      <c r="J1642" s="12" t="inlineStr">
        <is>
          <t>10</t>
        </is>
      </c>
      <c r="K1642" s="12" t="n">
        <v>1</v>
      </c>
    </row>
    <row r="1643">
      <c r="A1643" s="12" t="inlineStr">
        <is>
          <t>H2 27: storage tube bank (~40 ft tubes)</t>
        </is>
      </c>
      <c r="B1643" s="12" t="inlineStr"/>
      <c r="C1643" s="12" t="inlineStr">
        <is>
          <t>K</t>
        </is>
      </c>
      <c r="D1643" s="12" t="inlineStr">
        <is>
          <t>Motor 1 of 1, 15 kW</t>
        </is>
      </c>
      <c r="E1643" s="12" t="n">
        <v>480</v>
      </c>
      <c r="F1643" s="12" t="n">
        <v>15</v>
      </c>
      <c r="G1643" s="12" t="n">
        <v>21.2</v>
      </c>
      <c r="H1643" s="12" t="inlineStr">
        <is>
          <t>H2 20: 13.8 kV e-house</t>
        </is>
      </c>
      <c r="I1643" s="12" t="inlineStr">
        <is>
          <t>LV 600 V</t>
        </is>
      </c>
      <c r="J1643" s="12" t="inlineStr">
        <is>
          <t>10</t>
        </is>
      </c>
      <c r="K1643" s="12" t="n">
        <v>1</v>
      </c>
    </row>
    <row r="1644">
      <c r="A1644" s="12" t="inlineStr">
        <is>
          <t>H2 27: storage tube bank (~40 ft tubes)</t>
        </is>
      </c>
      <c r="B1644" s="12" t="inlineStr"/>
      <c r="C1644" s="12" t="inlineStr">
        <is>
          <t>K</t>
        </is>
      </c>
      <c r="D1644" s="12" t="inlineStr">
        <is>
          <t>Motor 1 of 1, 15 kW</t>
        </is>
      </c>
      <c r="E1644" s="12" t="n">
        <v>480</v>
      </c>
      <c r="F1644" s="12" t="n">
        <v>15</v>
      </c>
      <c r="G1644" s="12" t="n">
        <v>21.2</v>
      </c>
      <c r="H1644" s="12" t="inlineStr">
        <is>
          <t>H2 20: 13.8 kV e-house</t>
        </is>
      </c>
      <c r="I1644" s="12" t="inlineStr">
        <is>
          <t>LV 600 V</t>
        </is>
      </c>
      <c r="J1644" s="12" t="inlineStr">
        <is>
          <t>10</t>
        </is>
      </c>
      <c r="K1644" s="12" t="n">
        <v>1</v>
      </c>
    </row>
    <row r="1645">
      <c r="A1645" s="12" t="inlineStr">
        <is>
          <t>H2 27: storage tube bank (~40 ft tubes)</t>
        </is>
      </c>
      <c r="B1645" s="12" t="inlineStr"/>
      <c r="C1645" s="12" t="inlineStr">
        <is>
          <t>K</t>
        </is>
      </c>
      <c r="D1645" s="12" t="inlineStr">
        <is>
          <t>Motor 1 of 1, 15 kW</t>
        </is>
      </c>
      <c r="E1645" s="12" t="n">
        <v>480</v>
      </c>
      <c r="F1645" s="12" t="n">
        <v>15</v>
      </c>
      <c r="G1645" s="12" t="n">
        <v>21.2</v>
      </c>
      <c r="H1645" s="12" t="inlineStr">
        <is>
          <t>H2 20: 13.8 kV e-house</t>
        </is>
      </c>
      <c r="I1645" s="12" t="inlineStr">
        <is>
          <t>LV 600 V</t>
        </is>
      </c>
      <c r="J1645" s="12" t="inlineStr">
        <is>
          <t>10</t>
        </is>
      </c>
      <c r="K1645" s="12" t="n">
        <v>1</v>
      </c>
    </row>
    <row r="1646">
      <c r="A1646" s="12" t="inlineStr">
        <is>
          <t>H2 28: N2 purge supply</t>
        </is>
      </c>
      <c r="B1646" s="12" t="inlineStr"/>
      <c r="C1646" s="12" t="inlineStr">
        <is>
          <t>K</t>
        </is>
      </c>
      <c r="D1646" s="12" t="inlineStr">
        <is>
          <t>Motor 1 of 1, 15 kW</t>
        </is>
      </c>
      <c r="E1646" s="12" t="n">
        <v>480</v>
      </c>
      <c r="F1646" s="12" t="n">
        <v>15</v>
      </c>
      <c r="G1646" s="12" t="n">
        <v>21.2</v>
      </c>
      <c r="H1646" s="12" t="inlineStr">
        <is>
          <t>H2 20: 13.8 kV e-house</t>
        </is>
      </c>
      <c r="I1646" s="12" t="inlineStr">
        <is>
          <t>LV 600 V</t>
        </is>
      </c>
      <c r="J1646" s="12" t="inlineStr">
        <is>
          <t>10</t>
        </is>
      </c>
      <c r="K1646" s="12" t="n">
        <v>1</v>
      </c>
    </row>
    <row r="1647">
      <c r="A1647" s="12" t="inlineStr">
        <is>
          <t>H2 29: vent stack</t>
        </is>
      </c>
      <c r="B1647" s="12" t="inlineStr"/>
      <c r="C1647" s="12" t="inlineStr">
        <is>
          <t>K</t>
        </is>
      </c>
      <c r="D1647" s="12" t="inlineStr">
        <is>
          <t>Motor 1 of 1, 15 kW</t>
        </is>
      </c>
      <c r="E1647" s="12" t="n">
        <v>480</v>
      </c>
      <c r="F1647" s="12" t="n">
        <v>15</v>
      </c>
      <c r="G1647" s="12" t="n">
        <v>21.2</v>
      </c>
      <c r="H1647" s="12" t="inlineStr">
        <is>
          <t>H2 20: 13.8 kV e-house</t>
        </is>
      </c>
      <c r="I1647" s="12" t="inlineStr">
        <is>
          <t>LV 600 V</t>
        </is>
      </c>
      <c r="J1647" s="12" t="inlineStr">
        <is>
          <t>10</t>
        </is>
      </c>
      <c r="K1647" s="12" t="n">
        <v>1</v>
      </c>
    </row>
    <row r="1648">
      <c r="A1648" s="12" t="inlineStr">
        <is>
          <t>H2 30: H2 / gas blending station (plant gas yard)</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4</t>
        </is>
      </c>
      <c r="K1648" s="12" t="n">
        <v>1</v>
      </c>
    </row>
    <row r="1649">
      <c r="A1649" s="12" t="inlineStr">
        <is>
          <t>H2 pipe track and cable trench, hall -&gt; dryer / compressors (N2, instr</t>
        </is>
      </c>
      <c r="B1649" s="12" t="inlineStr"/>
      <c r="C1649" s="12" t="inlineStr">
        <is>
          <t>K</t>
        </is>
      </c>
      <c r="D1649" s="12" t="inlineStr">
        <is>
          <t>Motor 1 of 2, 250 kW</t>
        </is>
      </c>
      <c r="E1649" s="12" t="n">
        <v>480</v>
      </c>
      <c r="F1649" s="12" t="n">
        <v>250</v>
      </c>
      <c r="G1649" s="12" t="n">
        <v>353.8</v>
      </c>
      <c r="H1649" s="12" t="inlineStr">
        <is>
          <t>H2 20: 13.8 kV e-house</t>
        </is>
      </c>
      <c r="I1649" s="12" t="inlineStr">
        <is>
          <t>LV 600 V</t>
        </is>
      </c>
      <c r="J1649" s="12" t="inlineStr">
        <is>
          <t>4/0</t>
        </is>
      </c>
      <c r="K1649" s="12" t="n">
        <v>2</v>
      </c>
    </row>
    <row r="1650">
      <c r="A1650" s="12" t="inlineStr">
        <is>
          <t>H2 pipe track and cable trench, hall -&gt; dryer / compressors (N2, instr</t>
        </is>
      </c>
      <c r="B1650" s="12" t="inlineStr"/>
      <c r="C1650" s="12" t="inlineStr">
        <is>
          <t>K</t>
        </is>
      </c>
      <c r="D1650" s="12" t="inlineStr">
        <is>
          <t>Motor 2 of 2, 250 kW</t>
        </is>
      </c>
      <c r="E1650" s="12" t="n">
        <v>480</v>
      </c>
      <c r="F1650" s="12" t="n">
        <v>250</v>
      </c>
      <c r="G1650" s="12" t="n">
        <v>353.8</v>
      </c>
      <c r="H1650" s="12" t="inlineStr">
        <is>
          <t>H2 20: 13.8 kV e-house</t>
        </is>
      </c>
      <c r="I1650" s="12" t="inlineStr">
        <is>
          <t>LV 600 V</t>
        </is>
      </c>
      <c r="J1650" s="12" t="inlineStr">
        <is>
          <t>4/0</t>
        </is>
      </c>
      <c r="K1650" s="12" t="n">
        <v>2</v>
      </c>
    </row>
    <row r="1651">
      <c r="A1651" s="12" t="inlineStr">
        <is>
          <t>H2 storage tube banks x4</t>
        </is>
      </c>
      <c r="B1651" s="12" t="inlineStr">
        <is>
          <t>H2-ST</t>
        </is>
      </c>
      <c r="C1651" s="12" t="inlineStr">
        <is>
          <t>K</t>
        </is>
      </c>
      <c r="D1651" s="12" t="inlineStr">
        <is>
          <t>LV power feeder</t>
        </is>
      </c>
      <c r="E1651" s="12" t="n">
        <v>480</v>
      </c>
      <c r="F1651" s="12" t="n">
        <v>15</v>
      </c>
      <c r="G1651" s="12" t="n">
        <v>21.2</v>
      </c>
      <c r="H1651" s="12" t="inlineStr">
        <is>
          <t>H2 20: 13.8 kV e-house</t>
        </is>
      </c>
      <c r="I1651" s="12" t="inlineStr">
        <is>
          <t>LV 600 V</t>
        </is>
      </c>
      <c r="J1651" s="12" t="inlineStr">
        <is>
          <t>10</t>
        </is>
      </c>
      <c r="K1651" s="12" t="n">
        <v>1</v>
      </c>
    </row>
    <row r="1652">
      <c r="A1652" s="12" t="inlineStr">
        <is>
          <t>H2R: hydrogen pipeline receiving station (pig receiver, filters, meter</t>
        </is>
      </c>
      <c r="B1652" s="12" t="inlineStr">
        <is>
          <t>H2R</t>
        </is>
      </c>
      <c r="C1652" s="12" t="inlineStr">
        <is>
          <t>K</t>
        </is>
      </c>
      <c r="D1652" s="12" t="inlineStr">
        <is>
          <t>LV power feeder</t>
        </is>
      </c>
      <c r="E1652" s="12" t="n">
        <v>480</v>
      </c>
      <c r="F1652" s="12" t="n">
        <v>15</v>
      </c>
      <c r="G1652" s="12" t="n">
        <v>21.2</v>
      </c>
      <c r="H1652" s="12" t="inlineStr">
        <is>
          <t>H2 20: 13.8 kV e-house</t>
        </is>
      </c>
      <c r="I1652" s="12" t="inlineStr">
        <is>
          <t>LV 600 V</t>
        </is>
      </c>
      <c r="J1652" s="12" t="inlineStr">
        <is>
          <t>10</t>
        </is>
      </c>
      <c r="K1652" s="12" t="n">
        <v>1</v>
      </c>
    </row>
    <row r="1653">
      <c r="A1653" s="12" t="inlineStr">
        <is>
          <t>LNG 10: truck unloading bay 1</t>
        </is>
      </c>
      <c r="B1653" s="12" t="inlineStr"/>
      <c r="C1653" s="12" t="inlineStr">
        <is>
          <t>K</t>
        </is>
      </c>
      <c r="D1653" s="12" t="inlineStr">
        <is>
          <t>Motor 1 of 1, 15 kW</t>
        </is>
      </c>
      <c r="E1653" s="12" t="n">
        <v>480</v>
      </c>
      <c r="F1653" s="12" t="n">
        <v>15</v>
      </c>
      <c r="G1653" s="12" t="n">
        <v>21.2</v>
      </c>
      <c r="H1653" s="12" t="inlineStr">
        <is>
          <t>LNG 17: LNG e-house (13.8 kV / 480 V)</t>
        </is>
      </c>
      <c r="I1653" s="12" t="inlineStr">
        <is>
          <t>LV 600 V</t>
        </is>
      </c>
      <c r="J1653" s="12" t="inlineStr">
        <is>
          <t>8</t>
        </is>
      </c>
      <c r="K1653" s="12" t="n">
        <v>1</v>
      </c>
    </row>
    <row r="1654">
      <c r="A1654" s="12" t="inlineStr">
        <is>
          <t>LNG 10: truck unloading bay 2</t>
        </is>
      </c>
      <c r="B1654" s="12" t="inlineStr"/>
      <c r="C1654" s="12" t="inlineStr">
        <is>
          <t>K</t>
        </is>
      </c>
      <c r="D1654" s="12" t="inlineStr">
        <is>
          <t>Motor 1 of 1, 15 kW</t>
        </is>
      </c>
      <c r="E1654" s="12" t="n">
        <v>480</v>
      </c>
      <c r="F1654" s="12" t="n">
        <v>15</v>
      </c>
      <c r="G1654" s="12" t="n">
        <v>21.2</v>
      </c>
      <c r="H1654" s="12" t="inlineStr">
        <is>
          <t>LNG 17: LNG e-house (13.8 kV / 480 V)</t>
        </is>
      </c>
      <c r="I1654" s="12" t="inlineStr">
        <is>
          <t>LV 600 V</t>
        </is>
      </c>
      <c r="J1654" s="12" t="inlineStr">
        <is>
          <t>10</t>
        </is>
      </c>
      <c r="K1654" s="12" t="n">
        <v>1</v>
      </c>
    </row>
    <row r="1655">
      <c r="A1655" s="12" t="inlineStr">
        <is>
          <t>LNG 10: unloading skid</t>
        </is>
      </c>
      <c r="B1655" s="12" t="inlineStr"/>
      <c r="C1655" s="12" t="inlineStr">
        <is>
          <t>K</t>
        </is>
      </c>
      <c r="D1655" s="12" t="inlineStr">
        <is>
          <t>Motor 1 of 1, 15 kW</t>
        </is>
      </c>
      <c r="E1655" s="12" t="n">
        <v>480</v>
      </c>
      <c r="F1655" s="12" t="n">
        <v>15</v>
      </c>
      <c r="G1655" s="12" t="n">
        <v>21.2</v>
      </c>
      <c r="H1655" s="12" t="inlineStr">
        <is>
          <t>LNG 17: LNG e-house (13.8 kV / 480 V)</t>
        </is>
      </c>
      <c r="I1655" s="12" t="inlineStr">
        <is>
          <t>LV 600 V</t>
        </is>
      </c>
      <c r="J1655" s="12" t="inlineStr">
        <is>
          <t>10</t>
        </is>
      </c>
      <c r="K1655" s="12" t="n">
        <v>1</v>
      </c>
    </row>
    <row r="1656">
      <c r="A1656" s="12" t="inlineStr">
        <is>
          <t>LNG 11: tank 1, Chart HS 50000 (51,780 gal)</t>
        </is>
      </c>
      <c r="B1656" s="12" t="inlineStr">
        <is>
          <t>LNG-T1</t>
        </is>
      </c>
      <c r="C1656" s="12" t="inlineStr">
        <is>
          <t>K</t>
        </is>
      </c>
      <c r="D1656" s="12" t="inlineStr">
        <is>
          <t>LV power feeder</t>
        </is>
      </c>
      <c r="E1656" s="12" t="n">
        <v>480</v>
      </c>
      <c r="F1656" s="12" t="n">
        <v>10</v>
      </c>
      <c r="G1656" s="12" t="n">
        <v>14.2</v>
      </c>
      <c r="H1656" s="12" t="inlineStr">
        <is>
          <t>LNG 17: LNG e-house (13.8 kV / 480 V)</t>
        </is>
      </c>
      <c r="I1656" s="12" t="inlineStr">
        <is>
          <t>LV 600 V</t>
        </is>
      </c>
      <c r="J1656" s="12" t="inlineStr">
        <is>
          <t>10</t>
        </is>
      </c>
      <c r="K1656" s="12" t="n">
        <v>1</v>
      </c>
    </row>
    <row r="1657">
      <c r="A1657" s="12" t="inlineStr">
        <is>
          <t>LNG 11: tank 2, Chart HS 50000 (51,780 gal)</t>
        </is>
      </c>
      <c r="B1657" s="12" t="inlineStr">
        <is>
          <t>LNG-T2</t>
        </is>
      </c>
      <c r="C1657" s="12" t="inlineStr">
        <is>
          <t>K</t>
        </is>
      </c>
      <c r="D1657" s="12" t="inlineStr">
        <is>
          <t>LV power feeder</t>
        </is>
      </c>
      <c r="E1657" s="12" t="n">
        <v>480</v>
      </c>
      <c r="F1657" s="12" t="n">
        <v>10</v>
      </c>
      <c r="G1657" s="12" t="n">
        <v>14.2</v>
      </c>
      <c r="H1657" s="12" t="inlineStr">
        <is>
          <t>LNG 17: LNG e-house (13.8 kV / 480 V)</t>
        </is>
      </c>
      <c r="I1657" s="12" t="inlineStr">
        <is>
          <t>LV 600 V</t>
        </is>
      </c>
      <c r="J1657" s="12" t="inlineStr">
        <is>
          <t>10</t>
        </is>
      </c>
      <c r="K1657" s="12" t="n">
        <v>1</v>
      </c>
    </row>
    <row r="1658">
      <c r="A1658" s="12" t="inlineStr">
        <is>
          <t>LNG 11: tank 3, Chart HS 50000 (51,780 gal)</t>
        </is>
      </c>
      <c r="B1658" s="12" t="inlineStr">
        <is>
          <t>LNG-T3</t>
        </is>
      </c>
      <c r="C1658" s="12" t="inlineStr">
        <is>
          <t>K</t>
        </is>
      </c>
      <c r="D1658" s="12" t="inlineStr">
        <is>
          <t>LV power feeder</t>
        </is>
      </c>
      <c r="E1658" s="12" t="n">
        <v>480</v>
      </c>
      <c r="F1658" s="12" t="n">
        <v>10</v>
      </c>
      <c r="G1658" s="12" t="n">
        <v>14.2</v>
      </c>
      <c r="H1658" s="12" t="inlineStr">
        <is>
          <t>LNG 17: LNG e-house (13.8 kV / 480 V)</t>
        </is>
      </c>
      <c r="I1658" s="12" t="inlineStr">
        <is>
          <t>LV 600 V</t>
        </is>
      </c>
      <c r="J1658" s="12" t="inlineStr">
        <is>
          <t>10</t>
        </is>
      </c>
      <c r="K1658" s="12" t="n">
        <v>1</v>
      </c>
    </row>
    <row r="1659">
      <c r="A1659" s="12" t="inlineStr">
        <is>
          <t>LNG 11: tank 4, Chart HS 50000 (51,780 gal)</t>
        </is>
      </c>
      <c r="B1659" s="12" t="inlineStr">
        <is>
          <t>LNG-T4</t>
        </is>
      </c>
      <c r="C1659" s="12" t="inlineStr">
        <is>
          <t>K</t>
        </is>
      </c>
      <c r="D1659" s="12" t="inlineStr">
        <is>
          <t>LV power feeder</t>
        </is>
      </c>
      <c r="E1659" s="12" t="n">
        <v>480</v>
      </c>
      <c r="F1659" s="12" t="n">
        <v>10</v>
      </c>
      <c r="G1659" s="12" t="n">
        <v>14.2</v>
      </c>
      <c r="H1659" s="12" t="inlineStr">
        <is>
          <t>LNG 17: LNG e-house (13.8 kV / 480 V)</t>
        </is>
      </c>
      <c r="I1659" s="12" t="inlineStr">
        <is>
          <t>LV 600 V</t>
        </is>
      </c>
      <c r="J1659" s="12" t="inlineStr">
        <is>
          <t>10</t>
        </is>
      </c>
      <c r="K1659" s="12" t="n">
        <v>1</v>
      </c>
    </row>
    <row r="1660">
      <c r="A1660" s="12" t="inlineStr">
        <is>
          <t>LNG 11: tank 5, Chart HS 50000 (51,780 gal)</t>
        </is>
      </c>
      <c r="B1660" s="12" t="inlineStr">
        <is>
          <t>LNG-T5</t>
        </is>
      </c>
      <c r="C1660" s="12" t="inlineStr">
        <is>
          <t>K</t>
        </is>
      </c>
      <c r="D1660" s="12" t="inlineStr">
        <is>
          <t>LV power feeder</t>
        </is>
      </c>
      <c r="E1660" s="12" t="n">
        <v>480</v>
      </c>
      <c r="F1660" s="12" t="n">
        <v>10</v>
      </c>
      <c r="G1660" s="12" t="n">
        <v>14.2</v>
      </c>
      <c r="H1660" s="12" t="inlineStr">
        <is>
          <t>LNG 17: LNG e-house (13.8 kV / 480 V)</t>
        </is>
      </c>
      <c r="I1660" s="12" t="inlineStr">
        <is>
          <t>LV 600 V</t>
        </is>
      </c>
      <c r="J1660" s="12" t="inlineStr">
        <is>
          <t>10</t>
        </is>
      </c>
      <c r="K1660" s="12" t="n">
        <v>1</v>
      </c>
    </row>
    <row r="1661">
      <c r="A1661" s="12" t="inlineStr">
        <is>
          <t>LNG 11: tank 6, Chart HS 50000 (51,780 gal)</t>
        </is>
      </c>
      <c r="B1661" s="12" t="inlineStr">
        <is>
          <t>LNG-T6</t>
        </is>
      </c>
      <c r="C1661" s="12" t="inlineStr">
        <is>
          <t>K</t>
        </is>
      </c>
      <c r="D1661" s="12" t="inlineStr">
        <is>
          <t>LV power feeder</t>
        </is>
      </c>
      <c r="E1661" s="12" t="n">
        <v>480</v>
      </c>
      <c r="F1661" s="12" t="n">
        <v>10</v>
      </c>
      <c r="G1661" s="12" t="n">
        <v>14.2</v>
      </c>
      <c r="H1661" s="12" t="inlineStr">
        <is>
          <t>LNG 17: LNG e-house (13.8 kV / 480 V)</t>
        </is>
      </c>
      <c r="I1661" s="12" t="inlineStr">
        <is>
          <t>LV 600 V</t>
        </is>
      </c>
      <c r="J1661" s="12" t="inlineStr">
        <is>
          <t>10</t>
        </is>
      </c>
      <c r="K1661" s="12" t="n">
        <v>1</v>
      </c>
    </row>
    <row r="1662">
      <c r="A1662" s="12" t="inlineStr">
        <is>
          <t>LNG 11: tank 7, Chart HS 50000 (51,780 gal)</t>
        </is>
      </c>
      <c r="B1662" s="12" t="inlineStr">
        <is>
          <t>LNG-T7</t>
        </is>
      </c>
      <c r="C1662" s="12" t="inlineStr">
        <is>
          <t>K</t>
        </is>
      </c>
      <c r="D1662" s="12" t="inlineStr">
        <is>
          <t>LV power feeder</t>
        </is>
      </c>
      <c r="E1662" s="12" t="n">
        <v>480</v>
      </c>
      <c r="F1662" s="12" t="n">
        <v>10</v>
      </c>
      <c r="G1662" s="12" t="n">
        <v>14.2</v>
      </c>
      <c r="H1662" s="12" t="inlineStr">
        <is>
          <t>LNG 17: LNG e-house (13.8 kV / 480 V)</t>
        </is>
      </c>
      <c r="I1662" s="12" t="inlineStr">
        <is>
          <t>LV 600 V</t>
        </is>
      </c>
      <c r="J1662" s="12" t="inlineStr">
        <is>
          <t>10</t>
        </is>
      </c>
      <c r="K1662" s="12" t="n">
        <v>1</v>
      </c>
    </row>
    <row r="1663">
      <c r="A1663" s="12" t="inlineStr">
        <is>
          <t>LNG 11: tank 8, Chart HS 50000 (51,780 gal)</t>
        </is>
      </c>
      <c r="B1663" s="12" t="inlineStr">
        <is>
          <t>LNG-T8</t>
        </is>
      </c>
      <c r="C1663" s="12" t="inlineStr">
        <is>
          <t>K</t>
        </is>
      </c>
      <c r="D1663" s="12" t="inlineStr">
        <is>
          <t>LV power feeder</t>
        </is>
      </c>
      <c r="E1663" s="12" t="n">
        <v>480</v>
      </c>
      <c r="F1663" s="12" t="n">
        <v>10</v>
      </c>
      <c r="G1663" s="12" t="n">
        <v>14.2</v>
      </c>
      <c r="H1663" s="12" t="inlineStr">
        <is>
          <t>LNG 17: LNG e-house (13.8 kV / 480 V)</t>
        </is>
      </c>
      <c r="I1663" s="12" t="inlineStr">
        <is>
          <t>LV 600 V</t>
        </is>
      </c>
      <c r="J1663" s="12" t="inlineStr">
        <is>
          <t>10</t>
        </is>
      </c>
      <c r="K1663" s="12" t="n">
        <v>1</v>
      </c>
    </row>
    <row r="1664">
      <c r="A1664" s="12" t="inlineStr">
        <is>
          <t>LNG 12: spill impoundment (NFPA 59A, to verify)</t>
        </is>
      </c>
      <c r="B1664" s="12" t="inlineStr"/>
      <c r="C1664" s="12" t="inlineStr">
        <is>
          <t>K</t>
        </is>
      </c>
      <c r="D1664" s="12" t="inlineStr">
        <is>
          <t>Motor 1 of 1, 15 kW</t>
        </is>
      </c>
      <c r="E1664" s="12" t="n">
        <v>480</v>
      </c>
      <c r="F1664" s="12" t="n">
        <v>15</v>
      </c>
      <c r="G1664" s="12" t="n">
        <v>21.2</v>
      </c>
      <c r="H1664" s="12" t="inlineStr">
        <is>
          <t>LNG 17: LNG e-house (13.8 kV / 480 V)</t>
        </is>
      </c>
      <c r="I1664" s="12" t="inlineStr">
        <is>
          <t>LV 600 V</t>
        </is>
      </c>
      <c r="J1664" s="12" t="inlineStr">
        <is>
          <t>10</t>
        </is>
      </c>
      <c r="K1664" s="12" t="n">
        <v>1</v>
      </c>
    </row>
    <row r="1665">
      <c r="A1665" s="12" t="inlineStr">
        <is>
          <t>LNG 13: send-out pumps 2 x 100%</t>
        </is>
      </c>
      <c r="B1665" s="12" t="inlineStr"/>
      <c r="C1665" s="12" t="inlineStr">
        <is>
          <t>K</t>
        </is>
      </c>
      <c r="D1665" s="12" t="inlineStr">
        <is>
          <t>Motor 1 of 1, 15 kW</t>
        </is>
      </c>
      <c r="E1665" s="12" t="n">
        <v>480</v>
      </c>
      <c r="F1665" s="12" t="n">
        <v>15</v>
      </c>
      <c r="G1665" s="12" t="n">
        <v>21.2</v>
      </c>
      <c r="H1665" s="12" t="inlineStr">
        <is>
          <t>LNG 17: LNG e-house (13.8 kV / 480 V)</t>
        </is>
      </c>
      <c r="I1665" s="12" t="inlineStr">
        <is>
          <t>LV 600 V</t>
        </is>
      </c>
      <c r="J1665" s="12" t="inlineStr">
        <is>
          <t>10</t>
        </is>
      </c>
      <c r="K1665" s="12" t="n">
        <v>1</v>
      </c>
    </row>
    <row r="1666">
      <c r="A1666" s="12" t="inlineStr">
        <is>
          <t>LNG 14: vaporizers + glycol heater</t>
        </is>
      </c>
      <c r="B1666" s="12" t="inlineStr"/>
      <c r="C1666" s="12" t="inlineStr">
        <is>
          <t>K</t>
        </is>
      </c>
      <c r="D1666" s="12" t="inlineStr">
        <is>
          <t>Motor 1 of 1, 15 kW</t>
        </is>
      </c>
      <c r="E1666" s="12" t="n">
        <v>480</v>
      </c>
      <c r="F1666" s="12" t="n">
        <v>15</v>
      </c>
      <c r="G1666" s="12" t="n">
        <v>21.2</v>
      </c>
      <c r="H1666" s="12" t="inlineStr">
        <is>
          <t>LNG 17: LNG e-house (13.8 kV / 480 V)</t>
        </is>
      </c>
      <c r="I1666" s="12" t="inlineStr">
        <is>
          <t>LV 600 V</t>
        </is>
      </c>
      <c r="J1666" s="12" t="inlineStr">
        <is>
          <t>10</t>
        </is>
      </c>
      <c r="K1666" s="12" t="n">
        <v>1</v>
      </c>
    </row>
    <row r="1667">
      <c r="A1667" s="12" t="inlineStr">
        <is>
          <t>LNG 15: boil-off gas compressor</t>
        </is>
      </c>
      <c r="B1667" s="12" t="inlineStr"/>
      <c r="C1667" s="12" t="inlineStr">
        <is>
          <t>K</t>
        </is>
      </c>
      <c r="D1667" s="12" t="inlineStr">
        <is>
          <t>Motor 1 of 1, 15 kW</t>
        </is>
      </c>
      <c r="E1667" s="12" t="n">
        <v>480</v>
      </c>
      <c r="F1667" s="12" t="n">
        <v>15</v>
      </c>
      <c r="G1667" s="12" t="n">
        <v>21.2</v>
      </c>
      <c r="H1667" s="12" t="inlineStr">
        <is>
          <t>LNG 17: LNG e-house (13.8 kV / 480 V)</t>
        </is>
      </c>
      <c r="I1667" s="12" t="inlineStr">
        <is>
          <t>LV 600 V</t>
        </is>
      </c>
      <c r="J1667" s="12" t="inlineStr">
        <is>
          <t>10</t>
        </is>
      </c>
      <c r="K1667" s="12" t="n">
        <v>1</v>
      </c>
    </row>
    <row r="1668">
      <c r="A1668" s="12" t="inlineStr">
        <is>
          <t>LNG 16: send-out metering + pressure control</t>
        </is>
      </c>
      <c r="B1668" s="12" t="inlineStr"/>
      <c r="C1668" s="12" t="inlineStr">
        <is>
          <t>K</t>
        </is>
      </c>
      <c r="D1668" s="12" t="inlineStr">
        <is>
          <t>Motor 1 of 1, 15 kW</t>
        </is>
      </c>
      <c r="E1668" s="12" t="n">
        <v>480</v>
      </c>
      <c r="F1668" s="12" t="n">
        <v>15</v>
      </c>
      <c r="G1668" s="12" t="n">
        <v>21.2</v>
      </c>
      <c r="H1668" s="12" t="inlineStr">
        <is>
          <t>LNG 17: LNG e-house (13.8 kV / 480 V)</t>
        </is>
      </c>
      <c r="I1668" s="12" t="inlineStr">
        <is>
          <t>LV 600 V</t>
        </is>
      </c>
      <c r="J1668" s="12" t="inlineStr">
        <is>
          <t>10</t>
        </is>
      </c>
      <c r="K1668" s="12" t="n">
        <v>1</v>
      </c>
    </row>
    <row r="1669">
      <c r="A1669" s="12" t="inlineStr">
        <is>
          <t>LNG 17: LNG e-house (13.8 kV / 480 V)</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10</t>
        </is>
      </c>
      <c r="K1669" s="12" t="n">
        <v>1</v>
      </c>
    </row>
    <row r="1670">
      <c r="A1670" s="12" t="inlineStr">
        <is>
          <t>LNG 18: vent stack</t>
        </is>
      </c>
      <c r="B1670" s="12" t="inlineStr"/>
      <c r="C1670" s="12" t="inlineStr">
        <is>
          <t>K</t>
        </is>
      </c>
      <c r="D1670" s="12" t="inlineStr">
        <is>
          <t>Motor 1 of 1, 15 kW</t>
        </is>
      </c>
      <c r="E1670" s="12" t="n">
        <v>480</v>
      </c>
      <c r="F1670" s="12" t="n">
        <v>15</v>
      </c>
      <c r="G1670" s="12" t="n">
        <v>21.2</v>
      </c>
      <c r="H1670" s="12" t="inlineStr">
        <is>
          <t>LNG 17: LNG e-house (13.8 kV / 480 V)</t>
        </is>
      </c>
      <c r="I1670" s="12" t="inlineStr">
        <is>
          <t>LV 600 V</t>
        </is>
      </c>
      <c r="J1670" s="12" t="inlineStr">
        <is>
          <t>10</t>
        </is>
      </c>
      <c r="K1670" s="12" t="n">
        <v>1</v>
      </c>
    </row>
    <row r="1671">
      <c r="A1671" s="12" t="inlineStr">
        <is>
          <t>LNG impoundment sump pump</t>
        </is>
      </c>
      <c r="B1671" s="12" t="inlineStr"/>
      <c r="C1671" s="12" t="inlineStr">
        <is>
          <t>K</t>
        </is>
      </c>
      <c r="D1671" s="12" t="inlineStr">
        <is>
          <t>LV power feeder</t>
        </is>
      </c>
      <c r="E1671" s="12" t="n">
        <v>480</v>
      </c>
      <c r="F1671" s="12" t="n">
        <v>15</v>
      </c>
      <c r="G1671" s="12" t="n">
        <v>21.2</v>
      </c>
      <c r="H1671" s="12" t="inlineStr">
        <is>
          <t>LNG 17: LNG e-house (13.8 kV / 480 V)</t>
        </is>
      </c>
      <c r="I1671" s="12" t="inlineStr">
        <is>
          <t>LV 600 V</t>
        </is>
      </c>
      <c r="J1671" s="12" t="inlineStr">
        <is>
          <t>8</t>
        </is>
      </c>
      <c r="K1671" s="12" t="n">
        <v>1</v>
      </c>
    </row>
    <row r="1672">
      <c r="A1672" s="12" t="inlineStr">
        <is>
          <t>M&amp;R 2: insulating joint + ESD valve</t>
        </is>
      </c>
      <c r="B1672" s="12" t="inlineStr"/>
      <c r="C1672" s="12" t="inlineStr">
        <is>
          <t>K</t>
        </is>
      </c>
      <c r="D1672" s="12" t="inlineStr">
        <is>
          <t>LV power feeder</t>
        </is>
      </c>
      <c r="E1672" s="12" t="n">
        <v>480</v>
      </c>
      <c r="F1672" s="12" t="n">
        <v>10</v>
      </c>
      <c r="G1672" s="12" t="n">
        <v>14.2</v>
      </c>
      <c r="H1672" s="12" t="inlineStr">
        <is>
          <t>LNG 17: LNG e-house (13.8 kV / 480 V)</t>
        </is>
      </c>
      <c r="I1672" s="12" t="inlineStr">
        <is>
          <t>LV 600 V</t>
        </is>
      </c>
      <c r="J1672" s="12" t="inlineStr">
        <is>
          <t>6</t>
        </is>
      </c>
      <c r="K1672" s="12" t="n">
        <v>1</v>
      </c>
    </row>
    <row r="1673">
      <c r="A1673" s="12" t="inlineStr">
        <is>
          <t>M&amp;R 3: horizontal filter-separator</t>
        </is>
      </c>
      <c r="B1673" s="12" t="inlineStr"/>
      <c r="C1673" s="12" t="inlineStr">
        <is>
          <t>K</t>
        </is>
      </c>
      <c r="D1673" s="12" t="inlineStr">
        <is>
          <t>LV power feeder</t>
        </is>
      </c>
      <c r="E1673" s="12" t="n">
        <v>480</v>
      </c>
      <c r="F1673" s="12" t="n">
        <v>15</v>
      </c>
      <c r="G1673" s="12" t="n">
        <v>21.2</v>
      </c>
      <c r="H1673" s="12" t="inlineStr">
        <is>
          <t>LNG 17: LNG e-house (13.8 kV / 480 V)</t>
        </is>
      </c>
      <c r="I1673" s="12" t="inlineStr">
        <is>
          <t>LV 600 V</t>
        </is>
      </c>
      <c r="J1673" s="12" t="inlineStr">
        <is>
          <t>4</t>
        </is>
      </c>
      <c r="K1673" s="12" t="n">
        <v>1</v>
      </c>
    </row>
    <row r="1674">
      <c r="A1674" s="12" t="inlineStr">
        <is>
          <t>M&amp;R 4: line heater 1 (water bath)</t>
        </is>
      </c>
      <c r="B1674" s="12" t="inlineStr"/>
      <c r="C1674" s="12" t="inlineStr">
        <is>
          <t>K</t>
        </is>
      </c>
      <c r="D1674" s="12" t="inlineStr">
        <is>
          <t>LV power feeder</t>
        </is>
      </c>
      <c r="E1674" s="12" t="n">
        <v>480</v>
      </c>
      <c r="F1674" s="12" t="n">
        <v>15</v>
      </c>
      <c r="G1674" s="12" t="n">
        <v>21.2</v>
      </c>
      <c r="H1674" s="12" t="inlineStr">
        <is>
          <t>LNG 17: LNG e-house (13.8 kV / 480 V)</t>
        </is>
      </c>
      <c r="I1674" s="12" t="inlineStr">
        <is>
          <t>LV 600 V</t>
        </is>
      </c>
      <c r="J1674" s="12" t="inlineStr">
        <is>
          <t>6</t>
        </is>
      </c>
      <c r="K1674" s="12" t="n">
        <v>1</v>
      </c>
    </row>
    <row r="1675">
      <c r="A1675" s="12" t="inlineStr">
        <is>
          <t>M&amp;R 4: line heater 2 (water bath)</t>
        </is>
      </c>
      <c r="B1675" s="12" t="inlineStr"/>
      <c r="C1675" s="12" t="inlineStr">
        <is>
          <t>K</t>
        </is>
      </c>
      <c r="D1675" s="12" t="inlineStr">
        <is>
          <t>LV power feeder</t>
        </is>
      </c>
      <c r="E1675" s="12" t="n">
        <v>480</v>
      </c>
      <c r="F1675" s="12" t="n">
        <v>15</v>
      </c>
      <c r="G1675" s="12" t="n">
        <v>21.2</v>
      </c>
      <c r="H1675" s="12" t="inlineStr">
        <is>
          <t>LNG 17: LNG e-house (13.8 kV / 480 V)</t>
        </is>
      </c>
      <c r="I1675" s="12" t="inlineStr">
        <is>
          <t>LV 600 V</t>
        </is>
      </c>
      <c r="J1675" s="12" t="inlineStr">
        <is>
          <t>6</t>
        </is>
      </c>
      <c r="K1675" s="12" t="n">
        <v>1</v>
      </c>
    </row>
    <row r="1676">
      <c r="A1676" s="12" t="inlineStr">
        <is>
          <t>M&amp;R 4: line heater 3 (water bath)</t>
        </is>
      </c>
      <c r="B1676" s="12" t="inlineStr"/>
      <c r="C1676" s="12" t="inlineStr">
        <is>
          <t>K</t>
        </is>
      </c>
      <c r="D1676" s="12" t="inlineStr">
        <is>
          <t>LV power feeder</t>
        </is>
      </c>
      <c r="E1676" s="12" t="n">
        <v>480</v>
      </c>
      <c r="F1676" s="12" t="n">
        <v>15</v>
      </c>
      <c r="G1676" s="12" t="n">
        <v>21.2</v>
      </c>
      <c r="H1676" s="12" t="inlineStr">
        <is>
          <t>LNG 17: LNG e-house (13.8 kV / 480 V)</t>
        </is>
      </c>
      <c r="I1676" s="12" t="inlineStr">
        <is>
          <t>LV 600 V</t>
        </is>
      </c>
      <c r="J1676" s="12" t="inlineStr">
        <is>
          <t>6</t>
        </is>
      </c>
      <c r="K1676" s="12" t="n">
        <v>1</v>
      </c>
    </row>
    <row r="1677">
      <c r="A1677" s="12" t="inlineStr">
        <is>
          <t>M&amp;R 6: regulation / flow control building</t>
        </is>
      </c>
      <c r="B1677" s="12" t="inlineStr"/>
      <c r="C1677" s="12" t="inlineStr">
        <is>
          <t>K</t>
        </is>
      </c>
      <c r="D1677" s="12" t="inlineStr">
        <is>
          <t>LV panel / distribution feeder</t>
        </is>
      </c>
      <c r="E1677" s="12" t="n">
        <v>480</v>
      </c>
      <c r="F1677" s="12" t="n">
        <v>10</v>
      </c>
      <c r="G1677" s="12" t="n">
        <v>14.2</v>
      </c>
      <c r="H1677" s="12" t="inlineStr">
        <is>
          <t>LNG 17: LNG e-house (13.8 kV / 480 V)</t>
        </is>
      </c>
      <c r="I1677" s="12" t="inlineStr">
        <is>
          <t>LV 600 V</t>
        </is>
      </c>
      <c r="J1677" s="12" t="inlineStr">
        <is>
          <t>8</t>
        </is>
      </c>
      <c r="K1677" s="12" t="n">
        <v>1</v>
      </c>
    </row>
    <row r="1678">
      <c r="A1678" s="12" t="inlineStr">
        <is>
          <t>M&amp;R 7: gas quality + measurement building</t>
        </is>
      </c>
      <c r="B1678" s="12" t="inlineStr"/>
      <c r="C1678" s="12" t="inlineStr">
        <is>
          <t>K</t>
        </is>
      </c>
      <c r="D1678" s="12" t="inlineStr">
        <is>
          <t>LV panel / distribution feeder</t>
        </is>
      </c>
      <c r="E1678" s="12" t="n">
        <v>480</v>
      </c>
      <c r="F1678" s="12" t="n">
        <v>30</v>
      </c>
      <c r="G1678" s="12" t="n">
        <v>42.5</v>
      </c>
      <c r="H1678" s="12" t="inlineStr">
        <is>
          <t>LNG 17: LNG e-house (13.8 kV / 480 V)</t>
        </is>
      </c>
      <c r="I1678" s="12" t="inlineStr">
        <is>
          <t>LV 600 V</t>
        </is>
      </c>
      <c r="J1678" s="12" t="inlineStr">
        <is>
          <t>2</t>
        </is>
      </c>
      <c r="K1678" s="12" t="n">
        <v>1</v>
      </c>
    </row>
    <row r="1679">
      <c r="A1679" s="12" t="inlineStr">
        <is>
          <t>M&amp;R 8: condensate tank</t>
        </is>
      </c>
      <c r="B1679" s="12" t="inlineStr"/>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8</t>
        </is>
      </c>
      <c r="K1679" s="12" t="n">
        <v>1</v>
      </c>
    </row>
    <row r="1680">
      <c r="A1680" s="12" t="inlineStr">
        <is>
          <t>M&amp;R 9: service panel + UPS, SCADA RTU, CP</t>
        </is>
      </c>
      <c r="B1680" s="12" t="inlineStr"/>
      <c r="C1680" s="12" t="inlineStr">
        <is>
          <t>K</t>
        </is>
      </c>
      <c r="D1680" s="12" t="inlineStr">
        <is>
          <t>LV power feeder</t>
        </is>
      </c>
      <c r="E1680" s="12" t="n">
        <v>480</v>
      </c>
      <c r="F1680" s="12" t="n">
        <v>15</v>
      </c>
      <c r="G1680" s="12" t="n">
        <v>21.2</v>
      </c>
      <c r="H1680" s="12" t="inlineStr">
        <is>
          <t>LNG 17: LNG e-house (13.8 kV / 480 V)</t>
        </is>
      </c>
      <c r="I1680" s="12" t="inlineStr">
        <is>
          <t>LV 600 V</t>
        </is>
      </c>
      <c r="J1680" s="12" t="inlineStr">
        <is>
          <t>6</t>
        </is>
      </c>
      <c r="K1680" s="12" t="n">
        <v>1</v>
      </c>
    </row>
    <row r="1681">
      <c r="A1681" s="12" t="inlineStr">
        <is>
          <t>M&amp;R CP test station (as drawn)</t>
        </is>
      </c>
      <c r="B1681" s="12" t="inlineStr"/>
      <c r="C1681" s="12" t="inlineStr">
        <is>
          <t>K</t>
        </is>
      </c>
      <c r="D1681" s="12" t="inlineStr">
        <is>
          <t>LV power feeder</t>
        </is>
      </c>
      <c r="E1681" s="12" t="n">
        <v>480</v>
      </c>
      <c r="F1681" s="12" t="n">
        <v>15</v>
      </c>
      <c r="G1681" s="12" t="n">
        <v>21.2</v>
      </c>
      <c r="H1681" s="12" t="inlineStr">
        <is>
          <t>LNG 17: LNG e-house (13.8 kV / 480 V)</t>
        </is>
      </c>
      <c r="I1681" s="12" t="inlineStr">
        <is>
          <t>LV 600 V</t>
        </is>
      </c>
      <c r="J1681" s="12" t="inlineStr">
        <is>
          <t>6</t>
        </is>
      </c>
      <c r="K1681" s="12" t="n">
        <v>1</v>
      </c>
    </row>
    <row r="1682">
      <c r="A1682" s="12" t="inlineStr">
        <is>
          <t>M&amp;R SCADA antenna mast base (as drawn)</t>
        </is>
      </c>
      <c r="B1682" s="12" t="inlineStr"/>
      <c r="C1682" s="12" t="inlineStr">
        <is>
          <t>K</t>
        </is>
      </c>
      <c r="D1682" s="12" t="inlineStr">
        <is>
          <t>LV power feeder</t>
        </is>
      </c>
      <c r="E1682" s="12" t="n">
        <v>480</v>
      </c>
      <c r="F1682" s="12" t="n">
        <v>15</v>
      </c>
      <c r="G1682" s="12" t="n">
        <v>21.2</v>
      </c>
      <c r="H1682" s="12" t="inlineStr">
        <is>
          <t>LNG 17: LNG e-house (13.8 kV / 480 V)</t>
        </is>
      </c>
      <c r="I1682" s="12" t="inlineStr">
        <is>
          <t>LV 600 V</t>
        </is>
      </c>
      <c r="J1682" s="12" t="inlineStr">
        <is>
          <t>8</t>
        </is>
      </c>
      <c r="K1682" s="12" t="n">
        <v>1</v>
      </c>
    </row>
    <row r="1683">
      <c r="A1683" s="12" t="inlineStr">
        <is>
          <t>H2 20: 13.8 kV e-house</t>
        </is>
      </c>
      <c r="B1683" s="12" t="inlineStr"/>
      <c r="C1683" s="12" t="inlineStr">
        <is>
          <t>K</t>
        </is>
      </c>
      <c r="D1683" s="12" t="inlineStr">
        <is>
          <t>H2 13.8 kV e-house (electrolyzers)</t>
        </is>
      </c>
      <c r="E1683" s="12" t="n">
        <v>13800</v>
      </c>
      <c r="F1683" s="12" t="n">
        <v>20000</v>
      </c>
      <c r="G1683" s="12" t="n">
        <v>837</v>
      </c>
      <c r="H1683" s="12" t="inlineStr">
        <is>
          <t>R1 SWGR-13.8-3 (11 x 36 in cubicles, 15 kV metal-clad)</t>
        </is>
      </c>
      <c r="I1683" s="12" t="inlineStr">
        <is>
          <t>MV 15 kV</t>
        </is>
      </c>
      <c r="J1683" s="12" t="inlineStr">
        <is>
          <t>750 kcmil</t>
        </is>
      </c>
      <c r="K1683" s="12" t="n">
        <v>2</v>
      </c>
    </row>
    <row r="1684">
      <c r="A1684" s="12" t="inlineStr">
        <is>
          <t>LNG 17: LNG e-house (13.8 kV / 480 V)</t>
        </is>
      </c>
      <c r="B1684" s="12" t="inlineStr"/>
      <c r="C1684" s="12" t="inlineStr">
        <is>
          <t>K</t>
        </is>
      </c>
      <c r="D1684" s="12" t="inlineStr">
        <is>
          <t>LNG e-house</t>
        </is>
      </c>
      <c r="E1684" s="12" t="n">
        <v>13800</v>
      </c>
      <c r="F1684" s="12" t="n">
        <v>5000</v>
      </c>
      <c r="G1684" s="12" t="n">
        <v>209</v>
      </c>
      <c r="H1684" s="12" t="inlineStr">
        <is>
          <t>R1 SWGR-13.8-3 (11 x 36 in cubicles, 15 kV metal-clad)</t>
        </is>
      </c>
      <c r="I1684" s="12" t="inlineStr">
        <is>
          <t>MV 15 kV</t>
        </is>
      </c>
      <c r="J1684" s="12" t="inlineStr">
        <is>
          <t>4/0</t>
        </is>
      </c>
      <c r="K1684" s="12" t="n">
        <v>1</v>
      </c>
    </row>
    <row r="1685">
      <c r="A1685" s="12" t="inlineStr">
        <is>
          <t xml:space="preserve">CO2 compression 3 x ~19 MW + dehydration: rooftop HVAC, exhaust fans, </t>
        </is>
      </c>
      <c r="B1685" s="12" t="inlineStr"/>
      <c r="C1685" s="12" t="inlineStr"/>
      <c r="D1685" s="12" t="inlineStr">
        <is>
          <t>Motor 1 of 10, 30 kW</t>
        </is>
      </c>
      <c r="E1685" s="12" t="n">
        <v>480</v>
      </c>
      <c r="F1685" s="12" t="n">
        <v>30</v>
      </c>
      <c r="G1685" s="12" t="n">
        <v>42.5</v>
      </c>
      <c r="H1685" s="12" t="inlineStr">
        <is>
          <t>R1 MCC-C1</t>
        </is>
      </c>
      <c r="I1685" s="12" t="inlineStr">
        <is>
          <t>LV 600 V</t>
        </is>
      </c>
      <c r="J1685" s="12" t="inlineStr">
        <is>
          <t>3/0</t>
        </is>
      </c>
      <c r="K1685" s="12" t="n">
        <v>1</v>
      </c>
    </row>
    <row r="1686">
      <c r="A1686" s="12" t="inlineStr">
        <is>
          <t xml:space="preserve">CO2 compression 3 x ~19 MW + dehydration: rooftop HVAC, exhaust fans, </t>
        </is>
      </c>
      <c r="B1686" s="12" t="inlineStr"/>
      <c r="C1686" s="12" t="inlineStr"/>
      <c r="D1686" s="12" t="inlineStr">
        <is>
          <t>Motor 2 of 10, 30 kW</t>
        </is>
      </c>
      <c r="E1686" s="12" t="n">
        <v>480</v>
      </c>
      <c r="F1686" s="12" t="n">
        <v>30</v>
      </c>
      <c r="G1686" s="12" t="n">
        <v>42.5</v>
      </c>
      <c r="H1686" s="12" t="inlineStr">
        <is>
          <t>R1 MCC-C1</t>
        </is>
      </c>
      <c r="I1686" s="12" t="inlineStr">
        <is>
          <t>LV 600 V</t>
        </is>
      </c>
      <c r="J1686" s="12" t="inlineStr">
        <is>
          <t>3/0</t>
        </is>
      </c>
      <c r="K1686" s="12" t="n">
        <v>1</v>
      </c>
    </row>
    <row r="1687">
      <c r="A1687" s="12" t="inlineStr">
        <is>
          <t xml:space="preserve">CO2 compression 3 x ~19 MW + dehydration: rooftop HVAC, exhaust fans, </t>
        </is>
      </c>
      <c r="B1687" s="12" t="inlineStr"/>
      <c r="C1687" s="12" t="inlineStr"/>
      <c r="D1687" s="12" t="inlineStr">
        <is>
          <t>Motor 3 of 10, 30 kW</t>
        </is>
      </c>
      <c r="E1687" s="12" t="n">
        <v>480</v>
      </c>
      <c r="F1687" s="12" t="n">
        <v>30</v>
      </c>
      <c r="G1687" s="12" t="n">
        <v>42.5</v>
      </c>
      <c r="H1687" s="12" t="inlineStr">
        <is>
          <t>R1 MCC-C1</t>
        </is>
      </c>
      <c r="I1687" s="12" t="inlineStr">
        <is>
          <t>LV 600 V</t>
        </is>
      </c>
      <c r="J1687" s="12" t="inlineStr">
        <is>
          <t>3/0</t>
        </is>
      </c>
      <c r="K1687" s="12" t="n">
        <v>1</v>
      </c>
    </row>
    <row r="1688">
      <c r="A1688" s="12" t="inlineStr">
        <is>
          <t xml:space="preserve">CO2 compression 3 x ~19 MW + dehydration: rooftop HVAC, exhaust fans, </t>
        </is>
      </c>
      <c r="B1688" s="12" t="inlineStr"/>
      <c r="C1688" s="12" t="inlineStr"/>
      <c r="D1688" s="12" t="inlineStr">
        <is>
          <t>Motor 4 of 10, 30 kW</t>
        </is>
      </c>
      <c r="E1688" s="12" t="n">
        <v>480</v>
      </c>
      <c r="F1688" s="12" t="n">
        <v>30</v>
      </c>
      <c r="G1688" s="12" t="n">
        <v>42.5</v>
      </c>
      <c r="H1688" s="12" t="inlineStr">
        <is>
          <t>R1 MCC-C1</t>
        </is>
      </c>
      <c r="I1688" s="12" t="inlineStr">
        <is>
          <t>LV 600 V</t>
        </is>
      </c>
      <c r="J1688" s="12" t="inlineStr">
        <is>
          <t>3/0</t>
        </is>
      </c>
      <c r="K1688" s="12" t="n">
        <v>1</v>
      </c>
    </row>
    <row r="1689">
      <c r="A1689" s="12" t="inlineStr">
        <is>
          <t xml:space="preserve">CO2 compression 3 x ~19 MW + dehydration: rooftop HVAC, exhaust fans, </t>
        </is>
      </c>
      <c r="B1689" s="12" t="inlineStr"/>
      <c r="C1689" s="12" t="inlineStr"/>
      <c r="D1689" s="12" t="inlineStr">
        <is>
          <t>Motor 5 of 10, 30 kW</t>
        </is>
      </c>
      <c r="E1689" s="12" t="n">
        <v>480</v>
      </c>
      <c r="F1689" s="12" t="n">
        <v>30</v>
      </c>
      <c r="G1689" s="12" t="n">
        <v>42.5</v>
      </c>
      <c r="H1689" s="12" t="inlineStr">
        <is>
          <t>R1 MCC-C1</t>
        </is>
      </c>
      <c r="I1689" s="12" t="inlineStr">
        <is>
          <t>LV 600 V</t>
        </is>
      </c>
      <c r="J1689" s="12" t="inlineStr">
        <is>
          <t>3/0</t>
        </is>
      </c>
      <c r="K1689" s="12" t="n">
        <v>1</v>
      </c>
    </row>
    <row r="1690">
      <c r="A1690" s="12" t="inlineStr">
        <is>
          <t xml:space="preserve">CO2 compression 3 x ~19 MW + dehydration: rooftop HVAC, exhaust fans, </t>
        </is>
      </c>
      <c r="B1690" s="12" t="inlineStr"/>
      <c r="C1690" s="12" t="inlineStr"/>
      <c r="D1690" s="12" t="inlineStr">
        <is>
          <t>Motor 6 of 10, 30 kW</t>
        </is>
      </c>
      <c r="E1690" s="12" t="n">
        <v>480</v>
      </c>
      <c r="F1690" s="12" t="n">
        <v>30</v>
      </c>
      <c r="G1690" s="12" t="n">
        <v>42.5</v>
      </c>
      <c r="H1690" s="12" t="inlineStr">
        <is>
          <t>R1 MCC-C1</t>
        </is>
      </c>
      <c r="I1690" s="12" t="inlineStr">
        <is>
          <t>LV 600 V</t>
        </is>
      </c>
      <c r="J1690" s="12" t="inlineStr">
        <is>
          <t>3/0</t>
        </is>
      </c>
      <c r="K1690" s="12" t="n">
        <v>1</v>
      </c>
    </row>
    <row r="1691">
      <c r="A1691" s="12" t="inlineStr">
        <is>
          <t xml:space="preserve">CO2 compression 3 x ~19 MW + dehydration: rooftop HVAC, exhaust fans, </t>
        </is>
      </c>
      <c r="B1691" s="12" t="inlineStr"/>
      <c r="C1691" s="12" t="inlineStr"/>
      <c r="D1691" s="12" t="inlineStr">
        <is>
          <t>Motor 7 of 10, 30 kW</t>
        </is>
      </c>
      <c r="E1691" s="12" t="n">
        <v>480</v>
      </c>
      <c r="F1691" s="12" t="n">
        <v>30</v>
      </c>
      <c r="G1691" s="12" t="n">
        <v>42.5</v>
      </c>
      <c r="H1691" s="12" t="inlineStr">
        <is>
          <t>R1 MCC-C1</t>
        </is>
      </c>
      <c r="I1691" s="12" t="inlineStr">
        <is>
          <t>LV 600 V</t>
        </is>
      </c>
      <c r="J1691" s="12" t="inlineStr">
        <is>
          <t>3/0</t>
        </is>
      </c>
      <c r="K1691" s="12" t="n">
        <v>1</v>
      </c>
    </row>
    <row r="1692">
      <c r="A1692" s="12" t="inlineStr">
        <is>
          <t xml:space="preserve">CO2 compression 3 x ~19 MW + dehydration: rooftop HVAC, exhaust fans, </t>
        </is>
      </c>
      <c r="B1692" s="12" t="inlineStr"/>
      <c r="C1692" s="12" t="inlineStr"/>
      <c r="D1692" s="12" t="inlineStr">
        <is>
          <t>Motor 8 of 10, 30 kW</t>
        </is>
      </c>
      <c r="E1692" s="12" t="n">
        <v>480</v>
      </c>
      <c r="F1692" s="12" t="n">
        <v>30</v>
      </c>
      <c r="G1692" s="12" t="n">
        <v>42.5</v>
      </c>
      <c r="H1692" s="12" t="inlineStr">
        <is>
          <t>R1 MCC-C1</t>
        </is>
      </c>
      <c r="I1692" s="12" t="inlineStr">
        <is>
          <t>LV 600 V</t>
        </is>
      </c>
      <c r="J1692" s="12" t="inlineStr">
        <is>
          <t>3/0</t>
        </is>
      </c>
      <c r="K1692" s="12" t="n">
        <v>1</v>
      </c>
    </row>
    <row r="1693">
      <c r="A1693" s="12" t="inlineStr">
        <is>
          <t xml:space="preserve">CO2 compression 3 x ~19 MW + dehydration: rooftop HVAC, exhaust fans, </t>
        </is>
      </c>
      <c r="B1693" s="12" t="inlineStr"/>
      <c r="C1693" s="12" t="inlineStr"/>
      <c r="D1693" s="12" t="inlineStr">
        <is>
          <t>Motor 9 of 10, 30 kW</t>
        </is>
      </c>
      <c r="E1693" s="12" t="n">
        <v>480</v>
      </c>
      <c r="F1693" s="12" t="n">
        <v>30</v>
      </c>
      <c r="G1693" s="12" t="n">
        <v>42.5</v>
      </c>
      <c r="H1693" s="12" t="inlineStr">
        <is>
          <t>R1 MCC-C1</t>
        </is>
      </c>
      <c r="I1693" s="12" t="inlineStr">
        <is>
          <t>LV 600 V</t>
        </is>
      </c>
      <c r="J1693" s="12" t="inlineStr">
        <is>
          <t>3/0</t>
        </is>
      </c>
      <c r="K1693" s="12" t="n">
        <v>1</v>
      </c>
    </row>
    <row r="1694">
      <c r="A1694" s="12" t="inlineStr">
        <is>
          <t xml:space="preserve">CO2 compression 3 x ~19 MW + dehydration: rooftop HVAC, exhaust fans, </t>
        </is>
      </c>
      <c r="B1694" s="12" t="inlineStr"/>
      <c r="C1694" s="12" t="inlineStr"/>
      <c r="D1694" s="12" t="inlineStr">
        <is>
          <t>Motor 10 of 10, 30 kW</t>
        </is>
      </c>
      <c r="E1694" s="12" t="n">
        <v>480</v>
      </c>
      <c r="F1694" s="12" t="n">
        <v>30</v>
      </c>
      <c r="G1694" s="12" t="n">
        <v>42.5</v>
      </c>
      <c r="H1694" s="12" t="inlineStr">
        <is>
          <t>R1 MCC-C1</t>
        </is>
      </c>
      <c r="I1694" s="12" t="inlineStr">
        <is>
          <t>LV 600 V</t>
        </is>
      </c>
      <c r="J1694" s="12" t="inlineStr">
        <is>
          <t>3/0</t>
        </is>
      </c>
      <c r="K1694" s="12" t="n">
        <v>1</v>
      </c>
    </row>
    <row r="1695">
      <c r="A1695" s="12" t="inlineStr">
        <is>
          <t xml:space="preserve">CO2 compression 3 x ~19 MW + dehydration: rooftop HVAC, exhaust fans, </t>
        </is>
      </c>
      <c r="B1695" s="12" t="inlineStr"/>
      <c r="C1695" s="12" t="inlineStr"/>
      <c r="D1695" s="12" t="inlineStr">
        <is>
          <t>480 V welding receptacle 1</t>
        </is>
      </c>
      <c r="E1695" s="12" t="n">
        <v>480</v>
      </c>
      <c r="F1695" s="12" t="n">
        <v>60</v>
      </c>
      <c r="G1695" s="12" t="n">
        <v>76</v>
      </c>
      <c r="H1695" s="12" t="inlineStr">
        <is>
          <t>R1 MCC-C1</t>
        </is>
      </c>
      <c r="I1695" s="12" t="inlineStr">
        <is>
          <t>LV 600 V</t>
        </is>
      </c>
      <c r="J1695" s="12" t="inlineStr">
        <is>
          <t>250 kcmil</t>
        </is>
      </c>
      <c r="K1695" s="12" t="n">
        <v>1</v>
      </c>
    </row>
    <row r="1696">
      <c r="A1696" s="12" t="inlineStr">
        <is>
          <t xml:space="preserve">CO2 compression 3 x ~19 MW + dehydration: rooftop HVAC, exhaust fans, </t>
        </is>
      </c>
      <c r="B1696" s="12" t="inlineStr"/>
      <c r="C1696" s="12" t="inlineStr"/>
      <c r="D1696" s="12" t="inlineStr">
        <is>
          <t>480 V welding receptacle 2</t>
        </is>
      </c>
      <c r="E1696" s="12" t="n">
        <v>480</v>
      </c>
      <c r="F1696" s="12" t="n">
        <v>60</v>
      </c>
      <c r="G1696" s="12" t="n">
        <v>76</v>
      </c>
      <c r="H1696" s="12" t="inlineStr">
        <is>
          <t>R1 MCC-C1</t>
        </is>
      </c>
      <c r="I1696" s="12" t="inlineStr">
        <is>
          <t>LV 600 V</t>
        </is>
      </c>
      <c r="J1696" s="12" t="inlineStr">
        <is>
          <t>250 kcmil</t>
        </is>
      </c>
      <c r="K1696" s="12" t="n">
        <v>1</v>
      </c>
    </row>
    <row r="1697">
      <c r="A1697" s="12" t="inlineStr">
        <is>
          <t xml:space="preserve">CO2 compression 3 x ~19 MW + dehydration: rooftop HVAC, exhaust fans, </t>
        </is>
      </c>
      <c r="B1697" s="12" t="inlineStr"/>
      <c r="C1697" s="12" t="inlineStr"/>
      <c r="D1697" s="12" t="inlineStr">
        <is>
          <t>480 V welding receptacle 3</t>
        </is>
      </c>
      <c r="E1697" s="12" t="n">
        <v>480</v>
      </c>
      <c r="F1697" s="12" t="n">
        <v>60</v>
      </c>
      <c r="G1697" s="12" t="n">
        <v>76</v>
      </c>
      <c r="H1697" s="12" t="inlineStr">
        <is>
          <t>R1 MCC-C1</t>
        </is>
      </c>
      <c r="I1697" s="12" t="inlineStr">
        <is>
          <t>LV 600 V</t>
        </is>
      </c>
      <c r="J1697" s="12" t="inlineStr">
        <is>
          <t>250 kcmil</t>
        </is>
      </c>
      <c r="K1697" s="12" t="n">
        <v>1</v>
      </c>
    </row>
    <row r="1698">
      <c r="A1698" s="12" t="inlineStr">
        <is>
          <t xml:space="preserve">CO2 compression 3 x ~19 MW + dehydration: rooftop HVAC, exhaust fans, </t>
        </is>
      </c>
      <c r="B1698" s="12" t="inlineStr"/>
      <c r="C1698" s="12" t="inlineStr"/>
      <c r="D1698" s="12" t="inlineStr">
        <is>
          <t>480 V welding receptacle 4</t>
        </is>
      </c>
      <c r="E1698" s="12" t="n">
        <v>480</v>
      </c>
      <c r="F1698" s="12" t="n">
        <v>60</v>
      </c>
      <c r="G1698" s="12" t="n">
        <v>76</v>
      </c>
      <c r="H1698" s="12" t="inlineStr">
        <is>
          <t>R1 MCC-C1</t>
        </is>
      </c>
      <c r="I1698" s="12" t="inlineStr">
        <is>
          <t>LV 600 V</t>
        </is>
      </c>
      <c r="J1698" s="12" t="inlineStr">
        <is>
          <t>250 kcmil</t>
        </is>
      </c>
      <c r="K1698" s="12" t="n">
        <v>1</v>
      </c>
    </row>
    <row r="1699">
      <c r="A1699" s="12" t="inlineStr">
        <is>
          <t>Small-bore piping: instrument air, service water, nitrogen, HRSG drain</t>
        </is>
      </c>
      <c r="B1699" s="12" t="inlineStr"/>
      <c r="C1699" s="12" t="inlineStr"/>
      <c r="D1699" s="12" t="inlineStr">
        <is>
          <t>Motor 1 of 2, 250 kW</t>
        </is>
      </c>
      <c r="E1699" s="12" t="n">
        <v>480</v>
      </c>
      <c r="F1699" s="12" t="n">
        <v>250</v>
      </c>
      <c r="G1699" s="12" t="n">
        <v>353.8</v>
      </c>
      <c r="H1699" s="12" t="inlineStr">
        <is>
          <t>R1 MCC-C1</t>
        </is>
      </c>
      <c r="I1699" s="12" t="inlineStr">
        <is>
          <t>LV 600 V</t>
        </is>
      </c>
      <c r="J1699" s="12" t="inlineStr">
        <is>
          <t>250 kcmil</t>
        </is>
      </c>
      <c r="K1699" s="12" t="n">
        <v>2</v>
      </c>
    </row>
    <row r="1700">
      <c r="A1700" s="12" t="inlineStr">
        <is>
          <t>Small-bore piping: instrument air, service water, nitrogen, HRSG drain</t>
        </is>
      </c>
      <c r="B1700" s="12" t="inlineStr"/>
      <c r="C1700" s="12" t="inlineStr"/>
      <c r="D1700" s="12" t="inlineStr">
        <is>
          <t>Motor 2 of 2, 250 kW</t>
        </is>
      </c>
      <c r="E1700" s="12" t="n">
        <v>480</v>
      </c>
      <c r="F1700" s="12" t="n">
        <v>250</v>
      </c>
      <c r="G1700" s="12" t="n">
        <v>353.8</v>
      </c>
      <c r="H1700" s="12" t="inlineStr">
        <is>
          <t>R1 MCC-C1</t>
        </is>
      </c>
      <c r="I1700" s="12" t="inlineStr">
        <is>
          <t>LV 600 V</t>
        </is>
      </c>
      <c r="J1700" s="12" t="inlineStr">
        <is>
          <t>250 kcmil</t>
        </is>
      </c>
      <c r="K1700" s="12" t="n">
        <v>2</v>
      </c>
    </row>
    <row r="1701">
      <c r="A1701" s="12" t="inlineStr">
        <is>
          <t>Wastewater treatment: rooftop HVAC, exhaust fans, vents</t>
        </is>
      </c>
      <c r="B1701" s="12" t="inlineStr"/>
      <c r="C1701" s="12" t="inlineStr"/>
      <c r="D1701" s="12" t="inlineStr">
        <is>
          <t>Motor 1 of 8, 15 kW</t>
        </is>
      </c>
      <c r="E1701" s="12" t="n">
        <v>480</v>
      </c>
      <c r="F1701" s="12" t="n">
        <v>15</v>
      </c>
      <c r="G1701" s="12" t="n">
        <v>21.2</v>
      </c>
      <c r="H1701" s="12" t="inlineStr">
        <is>
          <t>R1 MCC-C1</t>
        </is>
      </c>
      <c r="I1701" s="12" t="inlineStr">
        <is>
          <t>LV 600 V</t>
        </is>
      </c>
      <c r="J1701" s="12" t="inlineStr">
        <is>
          <t>1</t>
        </is>
      </c>
      <c r="K1701" s="12" t="n">
        <v>1</v>
      </c>
    </row>
    <row r="1702">
      <c r="A1702" s="12" t="inlineStr">
        <is>
          <t>Wastewater treatment: rooftop HVAC, exhaust fans, vents</t>
        </is>
      </c>
      <c r="B1702" s="12" t="inlineStr"/>
      <c r="C1702" s="12" t="inlineStr"/>
      <c r="D1702" s="12" t="inlineStr">
        <is>
          <t>Motor 2 of 8, 15 kW</t>
        </is>
      </c>
      <c r="E1702" s="12" t="n">
        <v>480</v>
      </c>
      <c r="F1702" s="12" t="n">
        <v>15</v>
      </c>
      <c r="G1702" s="12" t="n">
        <v>21.2</v>
      </c>
      <c r="H1702" s="12" t="inlineStr">
        <is>
          <t>R1 MCC-C1</t>
        </is>
      </c>
      <c r="I1702" s="12" t="inlineStr">
        <is>
          <t>LV 600 V</t>
        </is>
      </c>
      <c r="J1702" s="12" t="inlineStr">
        <is>
          <t>1</t>
        </is>
      </c>
      <c r="K1702" s="12" t="n">
        <v>1</v>
      </c>
    </row>
    <row r="1703">
      <c r="A1703" s="12" t="inlineStr">
        <is>
          <t>Wastewater treatment: rooftop HVAC, exhaust fans, vents</t>
        </is>
      </c>
      <c r="B1703" s="12" t="inlineStr"/>
      <c r="C1703" s="12" t="inlineStr"/>
      <c r="D1703" s="12" t="inlineStr">
        <is>
          <t>Motor 3 of 8, 15 kW</t>
        </is>
      </c>
      <c r="E1703" s="12" t="n">
        <v>480</v>
      </c>
      <c r="F1703" s="12" t="n">
        <v>15</v>
      </c>
      <c r="G1703" s="12" t="n">
        <v>21.2</v>
      </c>
      <c r="H1703" s="12" t="inlineStr">
        <is>
          <t>R1 MCC-C1</t>
        </is>
      </c>
      <c r="I1703" s="12" t="inlineStr">
        <is>
          <t>LV 600 V</t>
        </is>
      </c>
      <c r="J1703" s="12" t="inlineStr">
        <is>
          <t>1</t>
        </is>
      </c>
      <c r="K1703" s="12" t="n">
        <v>1</v>
      </c>
    </row>
    <row r="1704">
      <c r="A1704" s="12" t="inlineStr">
        <is>
          <t>Wastewater treatment: rooftop HVAC, exhaust fans, vents</t>
        </is>
      </c>
      <c r="B1704" s="12" t="inlineStr"/>
      <c r="C1704" s="12" t="inlineStr"/>
      <c r="D1704" s="12" t="inlineStr">
        <is>
          <t>Motor 4 of 8, 15 kW</t>
        </is>
      </c>
      <c r="E1704" s="12" t="n">
        <v>480</v>
      </c>
      <c r="F1704" s="12" t="n">
        <v>15</v>
      </c>
      <c r="G1704" s="12" t="n">
        <v>21.2</v>
      </c>
      <c r="H1704" s="12" t="inlineStr">
        <is>
          <t>R1 MCC-C1</t>
        </is>
      </c>
      <c r="I1704" s="12" t="inlineStr">
        <is>
          <t>LV 600 V</t>
        </is>
      </c>
      <c r="J1704" s="12" t="inlineStr">
        <is>
          <t>1</t>
        </is>
      </c>
      <c r="K1704" s="12" t="n">
        <v>1</v>
      </c>
    </row>
    <row r="1705">
      <c r="A1705" s="12" t="inlineStr">
        <is>
          <t>Wastewater treatment: rooftop HVAC, exhaust fans, vents</t>
        </is>
      </c>
      <c r="B1705" s="12" t="inlineStr"/>
      <c r="C1705" s="12" t="inlineStr"/>
      <c r="D1705" s="12" t="inlineStr">
        <is>
          <t>Motor 5 of 8, 15 kW</t>
        </is>
      </c>
      <c r="E1705" s="12" t="n">
        <v>480</v>
      </c>
      <c r="F1705" s="12" t="n">
        <v>15</v>
      </c>
      <c r="G1705" s="12" t="n">
        <v>21.2</v>
      </c>
      <c r="H1705" s="12" t="inlineStr">
        <is>
          <t>R1 MCC-C1</t>
        </is>
      </c>
      <c r="I1705" s="12" t="inlineStr">
        <is>
          <t>LV 600 V</t>
        </is>
      </c>
      <c r="J1705" s="12" t="inlineStr">
        <is>
          <t>1</t>
        </is>
      </c>
      <c r="K1705" s="12" t="n">
        <v>1</v>
      </c>
    </row>
    <row r="1706">
      <c r="A1706" s="12" t="inlineStr">
        <is>
          <t>Wastewater treatment: rooftop HVAC, exhaust fans, vents</t>
        </is>
      </c>
      <c r="B1706" s="12" t="inlineStr"/>
      <c r="C1706" s="12" t="inlineStr"/>
      <c r="D1706" s="12" t="inlineStr">
        <is>
          <t>Motor 6 of 8, 15 kW</t>
        </is>
      </c>
      <c r="E1706" s="12" t="n">
        <v>480</v>
      </c>
      <c r="F1706" s="12" t="n">
        <v>15</v>
      </c>
      <c r="G1706" s="12" t="n">
        <v>21.2</v>
      </c>
      <c r="H1706" s="12" t="inlineStr">
        <is>
          <t>R1 MCC-C1</t>
        </is>
      </c>
      <c r="I1706" s="12" t="inlineStr">
        <is>
          <t>LV 600 V</t>
        </is>
      </c>
      <c r="J1706" s="12" t="inlineStr">
        <is>
          <t>1</t>
        </is>
      </c>
      <c r="K1706" s="12" t="n">
        <v>1</v>
      </c>
    </row>
    <row r="1707">
      <c r="A1707" s="12" t="inlineStr">
        <is>
          <t>Wastewater treatment: rooftop HVAC, exhaust fans, vents</t>
        </is>
      </c>
      <c r="B1707" s="12" t="inlineStr"/>
      <c r="C1707" s="12" t="inlineStr"/>
      <c r="D1707" s="12" t="inlineStr">
        <is>
          <t>Motor 7 of 8, 15 kW</t>
        </is>
      </c>
      <c r="E1707" s="12" t="n">
        <v>480</v>
      </c>
      <c r="F1707" s="12" t="n">
        <v>15</v>
      </c>
      <c r="G1707" s="12" t="n">
        <v>21.2</v>
      </c>
      <c r="H1707" s="12" t="inlineStr">
        <is>
          <t>R1 MCC-C1</t>
        </is>
      </c>
      <c r="I1707" s="12" t="inlineStr">
        <is>
          <t>LV 600 V</t>
        </is>
      </c>
      <c r="J1707" s="12" t="inlineStr">
        <is>
          <t>1</t>
        </is>
      </c>
      <c r="K1707" s="12" t="n">
        <v>1</v>
      </c>
    </row>
    <row r="1708">
      <c r="A1708" s="12" t="inlineStr">
        <is>
          <t>Wastewater treatment: rooftop HVAC, exhaust fans, vents</t>
        </is>
      </c>
      <c r="B1708" s="12" t="inlineStr"/>
      <c r="C1708" s="12" t="inlineStr"/>
      <c r="D1708" s="12" t="inlineStr">
        <is>
          <t>Motor 8 of 8, 15 kW</t>
        </is>
      </c>
      <c r="E1708" s="12" t="n">
        <v>480</v>
      </c>
      <c r="F1708" s="12" t="n">
        <v>15</v>
      </c>
      <c r="G1708" s="12" t="n">
        <v>21.2</v>
      </c>
      <c r="H1708" s="12" t="inlineStr">
        <is>
          <t>R1 MCC-C1</t>
        </is>
      </c>
      <c r="I1708" s="12" t="inlineStr">
        <is>
          <t>LV 600 V</t>
        </is>
      </c>
      <c r="J1708" s="12" t="inlineStr">
        <is>
          <t>1</t>
        </is>
      </c>
      <c r="K1708" s="12" t="n">
        <v>1</v>
      </c>
    </row>
    <row r="1709">
      <c r="A1709" s="12" t="inlineStr">
        <is>
          <t>Water treatment building: rooftop HVAC, exhaust fans, vents</t>
        </is>
      </c>
      <c r="B1709" s="12" t="inlineStr"/>
      <c r="C1709" s="12" t="inlineStr"/>
      <c r="D1709" s="12" t="inlineStr">
        <is>
          <t>Motor 1 of 20, 15 kW</t>
        </is>
      </c>
      <c r="E1709" s="12" t="n">
        <v>480</v>
      </c>
      <c r="F1709" s="12" t="n">
        <v>15</v>
      </c>
      <c r="G1709" s="12" t="n">
        <v>21.2</v>
      </c>
      <c r="H1709" s="12" t="inlineStr">
        <is>
          <t>R1 MCC-C1</t>
        </is>
      </c>
      <c r="I1709" s="12" t="inlineStr">
        <is>
          <t>LV 600 V</t>
        </is>
      </c>
      <c r="J1709" s="12" t="inlineStr">
        <is>
          <t>2</t>
        </is>
      </c>
      <c r="K1709" s="12" t="n">
        <v>1</v>
      </c>
    </row>
    <row r="1710">
      <c r="A1710" s="12" t="inlineStr">
        <is>
          <t>Water treatment building: rooftop HVAC, exhaust fans, vents</t>
        </is>
      </c>
      <c r="B1710" s="12" t="inlineStr"/>
      <c r="C1710" s="12" t="inlineStr"/>
      <c r="D1710" s="12" t="inlineStr">
        <is>
          <t>Motor 2 of 20, 15 kW</t>
        </is>
      </c>
      <c r="E1710" s="12" t="n">
        <v>480</v>
      </c>
      <c r="F1710" s="12" t="n">
        <v>15</v>
      </c>
      <c r="G1710" s="12" t="n">
        <v>21.2</v>
      </c>
      <c r="H1710" s="12" t="inlineStr">
        <is>
          <t>R1 MCC-C1</t>
        </is>
      </c>
      <c r="I1710" s="12" t="inlineStr">
        <is>
          <t>LV 600 V</t>
        </is>
      </c>
      <c r="J1710" s="12" t="inlineStr">
        <is>
          <t>2</t>
        </is>
      </c>
      <c r="K1710" s="12" t="n">
        <v>1</v>
      </c>
    </row>
    <row r="1711">
      <c r="A1711" s="12" t="inlineStr">
        <is>
          <t>Water treatment building: rooftop HVAC, exhaust fans, vents</t>
        </is>
      </c>
      <c r="B1711" s="12" t="inlineStr"/>
      <c r="C1711" s="12" t="inlineStr"/>
      <c r="D1711" s="12" t="inlineStr">
        <is>
          <t>Motor 3 of 20, 15 kW</t>
        </is>
      </c>
      <c r="E1711" s="12" t="n">
        <v>480</v>
      </c>
      <c r="F1711" s="12" t="n">
        <v>15</v>
      </c>
      <c r="G1711" s="12" t="n">
        <v>21.2</v>
      </c>
      <c r="H1711" s="12" t="inlineStr">
        <is>
          <t>R1 MCC-C1</t>
        </is>
      </c>
      <c r="I1711" s="12" t="inlineStr">
        <is>
          <t>LV 600 V</t>
        </is>
      </c>
      <c r="J1711" s="12" t="inlineStr">
        <is>
          <t>2</t>
        </is>
      </c>
      <c r="K1711" s="12" t="n">
        <v>1</v>
      </c>
    </row>
    <row r="1712">
      <c r="A1712" s="12" t="inlineStr">
        <is>
          <t>Water treatment building: rooftop HVAC, exhaust fans, vents</t>
        </is>
      </c>
      <c r="B1712" s="12" t="inlineStr"/>
      <c r="C1712" s="12" t="inlineStr"/>
      <c r="D1712" s="12" t="inlineStr">
        <is>
          <t>Motor 4 of 20, 15 kW</t>
        </is>
      </c>
      <c r="E1712" s="12" t="n">
        <v>480</v>
      </c>
      <c r="F1712" s="12" t="n">
        <v>15</v>
      </c>
      <c r="G1712" s="12" t="n">
        <v>21.2</v>
      </c>
      <c r="H1712" s="12" t="inlineStr">
        <is>
          <t>R1 MCC-C1</t>
        </is>
      </c>
      <c r="I1712" s="12" t="inlineStr">
        <is>
          <t>LV 600 V</t>
        </is>
      </c>
      <c r="J1712" s="12" t="inlineStr">
        <is>
          <t>2</t>
        </is>
      </c>
      <c r="K1712" s="12" t="n">
        <v>1</v>
      </c>
    </row>
    <row r="1713">
      <c r="A1713" s="12" t="inlineStr">
        <is>
          <t>Water treatment building: rooftop HVAC, exhaust fans, vents</t>
        </is>
      </c>
      <c r="B1713" s="12" t="inlineStr"/>
      <c r="C1713" s="12" t="inlineStr"/>
      <c r="D1713" s="12" t="inlineStr">
        <is>
          <t>Motor 5 of 20, 15 kW</t>
        </is>
      </c>
      <c r="E1713" s="12" t="n">
        <v>480</v>
      </c>
      <c r="F1713" s="12" t="n">
        <v>15</v>
      </c>
      <c r="G1713" s="12" t="n">
        <v>21.2</v>
      </c>
      <c r="H1713" s="12" t="inlineStr">
        <is>
          <t>R1 MCC-C1</t>
        </is>
      </c>
      <c r="I1713" s="12" t="inlineStr">
        <is>
          <t>LV 600 V</t>
        </is>
      </c>
      <c r="J1713" s="12" t="inlineStr">
        <is>
          <t>2</t>
        </is>
      </c>
      <c r="K1713" s="12" t="n">
        <v>1</v>
      </c>
    </row>
    <row r="1714">
      <c r="A1714" s="12" t="inlineStr">
        <is>
          <t>Water treatment building: rooftop HVAC, exhaust fans, vents</t>
        </is>
      </c>
      <c r="B1714" s="12" t="inlineStr"/>
      <c r="C1714" s="12" t="inlineStr"/>
      <c r="D1714" s="12" t="inlineStr">
        <is>
          <t>Motor 6 of 20, 15 kW</t>
        </is>
      </c>
      <c r="E1714" s="12" t="n">
        <v>480</v>
      </c>
      <c r="F1714" s="12" t="n">
        <v>15</v>
      </c>
      <c r="G1714" s="12" t="n">
        <v>21.2</v>
      </c>
      <c r="H1714" s="12" t="inlineStr">
        <is>
          <t>R1 MCC-C1</t>
        </is>
      </c>
      <c r="I1714" s="12" t="inlineStr">
        <is>
          <t>LV 600 V</t>
        </is>
      </c>
      <c r="J1714" s="12" t="inlineStr">
        <is>
          <t>2</t>
        </is>
      </c>
      <c r="K1714" s="12" t="n">
        <v>1</v>
      </c>
    </row>
    <row r="1715">
      <c r="A1715" s="12" t="inlineStr">
        <is>
          <t>Water treatment building: rooftop HVAC, exhaust fans, vents</t>
        </is>
      </c>
      <c r="B1715" s="12" t="inlineStr"/>
      <c r="C1715" s="12" t="inlineStr"/>
      <c r="D1715" s="12" t="inlineStr">
        <is>
          <t>Motor 7 of 20, 15 kW</t>
        </is>
      </c>
      <c r="E1715" s="12" t="n">
        <v>480</v>
      </c>
      <c r="F1715" s="12" t="n">
        <v>15</v>
      </c>
      <c r="G1715" s="12" t="n">
        <v>21.2</v>
      </c>
      <c r="H1715" s="12" t="inlineStr">
        <is>
          <t>R1 MCC-C1</t>
        </is>
      </c>
      <c r="I1715" s="12" t="inlineStr">
        <is>
          <t>LV 600 V</t>
        </is>
      </c>
      <c r="J1715" s="12" t="inlineStr">
        <is>
          <t>2</t>
        </is>
      </c>
      <c r="K1715" s="12" t="n">
        <v>1</v>
      </c>
    </row>
    <row r="1716">
      <c r="A1716" s="12" t="inlineStr">
        <is>
          <t>Water treatment building: rooftop HVAC, exhaust fans, vents</t>
        </is>
      </c>
      <c r="B1716" s="12" t="inlineStr"/>
      <c r="C1716" s="12" t="inlineStr"/>
      <c r="D1716" s="12" t="inlineStr">
        <is>
          <t>Motor 8 of 20, 15 kW</t>
        </is>
      </c>
      <c r="E1716" s="12" t="n">
        <v>480</v>
      </c>
      <c r="F1716" s="12" t="n">
        <v>15</v>
      </c>
      <c r="G1716" s="12" t="n">
        <v>21.2</v>
      </c>
      <c r="H1716" s="12" t="inlineStr">
        <is>
          <t>R1 MCC-C1</t>
        </is>
      </c>
      <c r="I1716" s="12" t="inlineStr">
        <is>
          <t>LV 600 V</t>
        </is>
      </c>
      <c r="J1716" s="12" t="inlineStr">
        <is>
          <t>2</t>
        </is>
      </c>
      <c r="K1716" s="12" t="n">
        <v>1</v>
      </c>
    </row>
    <row r="1717">
      <c r="A1717" s="12" t="inlineStr">
        <is>
          <t>Water treatment building: rooftop HVAC, exhaust fans, vents</t>
        </is>
      </c>
      <c r="B1717" s="12" t="inlineStr"/>
      <c r="C1717" s="12" t="inlineStr"/>
      <c r="D1717" s="12" t="inlineStr">
        <is>
          <t>Motor 9 of 20, 15 kW</t>
        </is>
      </c>
      <c r="E1717" s="12" t="n">
        <v>480</v>
      </c>
      <c r="F1717" s="12" t="n">
        <v>15</v>
      </c>
      <c r="G1717" s="12" t="n">
        <v>21.2</v>
      </c>
      <c r="H1717" s="12" t="inlineStr">
        <is>
          <t>R1 MCC-C1</t>
        </is>
      </c>
      <c r="I1717" s="12" t="inlineStr">
        <is>
          <t>LV 600 V</t>
        </is>
      </c>
      <c r="J1717" s="12" t="inlineStr">
        <is>
          <t>2</t>
        </is>
      </c>
      <c r="K1717" s="12" t="n">
        <v>1</v>
      </c>
    </row>
    <row r="1718">
      <c r="A1718" s="12" t="inlineStr">
        <is>
          <t>Water treatment building: rooftop HVAC, exhaust fans, vents</t>
        </is>
      </c>
      <c r="B1718" s="12" t="inlineStr"/>
      <c r="C1718" s="12" t="inlineStr"/>
      <c r="D1718" s="12" t="inlineStr">
        <is>
          <t>Motor 10 of 20, 15 kW</t>
        </is>
      </c>
      <c r="E1718" s="12" t="n">
        <v>480</v>
      </c>
      <c r="F1718" s="12" t="n">
        <v>15</v>
      </c>
      <c r="G1718" s="12" t="n">
        <v>21.2</v>
      </c>
      <c r="H1718" s="12" t="inlineStr">
        <is>
          <t>R1 MCC-C1</t>
        </is>
      </c>
      <c r="I1718" s="12" t="inlineStr">
        <is>
          <t>LV 600 V</t>
        </is>
      </c>
      <c r="J1718" s="12" t="inlineStr">
        <is>
          <t>2</t>
        </is>
      </c>
      <c r="K1718" s="12" t="n">
        <v>1</v>
      </c>
    </row>
    <row r="1719">
      <c r="A1719" s="12" t="inlineStr">
        <is>
          <t>Water treatment building: rooftop HVAC, exhaust fans, vents</t>
        </is>
      </c>
      <c r="B1719" s="12" t="inlineStr"/>
      <c r="C1719" s="12" t="inlineStr"/>
      <c r="D1719" s="12" t="inlineStr">
        <is>
          <t>Motor 11 of 20, 15 kW</t>
        </is>
      </c>
      <c r="E1719" s="12" t="n">
        <v>480</v>
      </c>
      <c r="F1719" s="12" t="n">
        <v>15</v>
      </c>
      <c r="G1719" s="12" t="n">
        <v>21.2</v>
      </c>
      <c r="H1719" s="12" t="inlineStr">
        <is>
          <t>R1 MCC-C1</t>
        </is>
      </c>
      <c r="I1719" s="12" t="inlineStr">
        <is>
          <t>LV 600 V</t>
        </is>
      </c>
      <c r="J1719" s="12" t="inlineStr">
        <is>
          <t>2</t>
        </is>
      </c>
      <c r="K1719" s="12" t="n">
        <v>1</v>
      </c>
    </row>
    <row r="1720">
      <c r="A1720" s="12" t="inlineStr">
        <is>
          <t>Water treatment building: rooftop HVAC, exhaust fans, vents</t>
        </is>
      </c>
      <c r="B1720" s="12" t="inlineStr"/>
      <c r="C1720" s="12" t="inlineStr"/>
      <c r="D1720" s="12" t="inlineStr">
        <is>
          <t>Motor 12 of 20, 15 kW</t>
        </is>
      </c>
      <c r="E1720" s="12" t="n">
        <v>480</v>
      </c>
      <c r="F1720" s="12" t="n">
        <v>15</v>
      </c>
      <c r="G1720" s="12" t="n">
        <v>21.2</v>
      </c>
      <c r="H1720" s="12" t="inlineStr">
        <is>
          <t>R1 MCC-C1</t>
        </is>
      </c>
      <c r="I1720" s="12" t="inlineStr">
        <is>
          <t>LV 600 V</t>
        </is>
      </c>
      <c r="J1720" s="12" t="inlineStr">
        <is>
          <t>2</t>
        </is>
      </c>
      <c r="K1720" s="12" t="n">
        <v>1</v>
      </c>
    </row>
    <row r="1721">
      <c r="A1721" s="12" t="inlineStr">
        <is>
          <t>Water treatment building: rooftop HVAC, exhaust fans, vents</t>
        </is>
      </c>
      <c r="B1721" s="12" t="inlineStr"/>
      <c r="C1721" s="12" t="inlineStr"/>
      <c r="D1721" s="12" t="inlineStr">
        <is>
          <t>Motor 13 of 20, 15 kW</t>
        </is>
      </c>
      <c r="E1721" s="12" t="n">
        <v>480</v>
      </c>
      <c r="F1721" s="12" t="n">
        <v>15</v>
      </c>
      <c r="G1721" s="12" t="n">
        <v>21.2</v>
      </c>
      <c r="H1721" s="12" t="inlineStr">
        <is>
          <t>R1 MCC-C1</t>
        </is>
      </c>
      <c r="I1721" s="12" t="inlineStr">
        <is>
          <t>LV 600 V</t>
        </is>
      </c>
      <c r="J1721" s="12" t="inlineStr">
        <is>
          <t>2</t>
        </is>
      </c>
      <c r="K1721" s="12" t="n">
        <v>1</v>
      </c>
    </row>
    <row r="1722">
      <c r="A1722" s="12" t="inlineStr">
        <is>
          <t>Water treatment building: rooftop HVAC, exhaust fans, vents</t>
        </is>
      </c>
      <c r="B1722" s="12" t="inlineStr"/>
      <c r="C1722" s="12" t="inlineStr"/>
      <c r="D1722" s="12" t="inlineStr">
        <is>
          <t>Motor 14 of 20, 15 kW</t>
        </is>
      </c>
      <c r="E1722" s="12" t="n">
        <v>480</v>
      </c>
      <c r="F1722" s="12" t="n">
        <v>15</v>
      </c>
      <c r="G1722" s="12" t="n">
        <v>21.2</v>
      </c>
      <c r="H1722" s="12" t="inlineStr">
        <is>
          <t>R1 MCC-C1</t>
        </is>
      </c>
      <c r="I1722" s="12" t="inlineStr">
        <is>
          <t>LV 600 V</t>
        </is>
      </c>
      <c r="J1722" s="12" t="inlineStr">
        <is>
          <t>2</t>
        </is>
      </c>
      <c r="K1722" s="12" t="n">
        <v>1</v>
      </c>
    </row>
    <row r="1723">
      <c r="A1723" s="12" t="inlineStr">
        <is>
          <t>Water treatment building: rooftop HVAC, exhaust fans, vents</t>
        </is>
      </c>
      <c r="B1723" s="12" t="inlineStr"/>
      <c r="C1723" s="12" t="inlineStr"/>
      <c r="D1723" s="12" t="inlineStr">
        <is>
          <t>Motor 15 of 20, 15 kW</t>
        </is>
      </c>
      <c r="E1723" s="12" t="n">
        <v>480</v>
      </c>
      <c r="F1723" s="12" t="n">
        <v>15</v>
      </c>
      <c r="G1723" s="12" t="n">
        <v>21.2</v>
      </c>
      <c r="H1723" s="12" t="inlineStr">
        <is>
          <t>R1 MCC-C1</t>
        </is>
      </c>
      <c r="I1723" s="12" t="inlineStr">
        <is>
          <t>LV 600 V</t>
        </is>
      </c>
      <c r="J1723" s="12" t="inlineStr">
        <is>
          <t>2</t>
        </is>
      </c>
      <c r="K1723" s="12" t="n">
        <v>1</v>
      </c>
    </row>
    <row r="1724">
      <c r="A1724" s="12" t="inlineStr">
        <is>
          <t>Water treatment building: rooftop HVAC, exhaust fans, vents</t>
        </is>
      </c>
      <c r="B1724" s="12" t="inlineStr"/>
      <c r="C1724" s="12" t="inlineStr"/>
      <c r="D1724" s="12" t="inlineStr">
        <is>
          <t>Motor 16 of 20, 15 kW</t>
        </is>
      </c>
      <c r="E1724" s="12" t="n">
        <v>480</v>
      </c>
      <c r="F1724" s="12" t="n">
        <v>15</v>
      </c>
      <c r="G1724" s="12" t="n">
        <v>21.2</v>
      </c>
      <c r="H1724" s="12" t="inlineStr">
        <is>
          <t>R1 MCC-C1</t>
        </is>
      </c>
      <c r="I1724" s="12" t="inlineStr">
        <is>
          <t>LV 600 V</t>
        </is>
      </c>
      <c r="J1724" s="12" t="inlineStr">
        <is>
          <t>2</t>
        </is>
      </c>
      <c r="K1724" s="12" t="n">
        <v>1</v>
      </c>
    </row>
    <row r="1725">
      <c r="A1725" s="12" t="inlineStr">
        <is>
          <t>Water treatment building: rooftop HVAC, exhaust fans, vents</t>
        </is>
      </c>
      <c r="B1725" s="12" t="inlineStr"/>
      <c r="C1725" s="12" t="inlineStr"/>
      <c r="D1725" s="12" t="inlineStr">
        <is>
          <t>Motor 17 of 20, 15 kW</t>
        </is>
      </c>
      <c r="E1725" s="12" t="n">
        <v>480</v>
      </c>
      <c r="F1725" s="12" t="n">
        <v>15</v>
      </c>
      <c r="G1725" s="12" t="n">
        <v>21.2</v>
      </c>
      <c r="H1725" s="12" t="inlineStr">
        <is>
          <t>R1 MCC-C1</t>
        </is>
      </c>
      <c r="I1725" s="12" t="inlineStr">
        <is>
          <t>LV 600 V</t>
        </is>
      </c>
      <c r="J1725" s="12" t="inlineStr">
        <is>
          <t>2</t>
        </is>
      </c>
      <c r="K1725" s="12" t="n">
        <v>1</v>
      </c>
    </row>
    <row r="1726">
      <c r="A1726" s="12" t="inlineStr">
        <is>
          <t>Water treatment building: rooftop HVAC, exhaust fans, vents</t>
        </is>
      </c>
      <c r="B1726" s="12" t="inlineStr"/>
      <c r="C1726" s="12" t="inlineStr"/>
      <c r="D1726" s="12" t="inlineStr">
        <is>
          <t>Motor 18 of 20, 15 kW</t>
        </is>
      </c>
      <c r="E1726" s="12" t="n">
        <v>480</v>
      </c>
      <c r="F1726" s="12" t="n">
        <v>15</v>
      </c>
      <c r="G1726" s="12" t="n">
        <v>21.2</v>
      </c>
      <c r="H1726" s="12" t="inlineStr">
        <is>
          <t>R1 MCC-C1</t>
        </is>
      </c>
      <c r="I1726" s="12" t="inlineStr">
        <is>
          <t>LV 600 V</t>
        </is>
      </c>
      <c r="J1726" s="12" t="inlineStr">
        <is>
          <t>2</t>
        </is>
      </c>
      <c r="K1726" s="12" t="n">
        <v>1</v>
      </c>
    </row>
    <row r="1727">
      <c r="A1727" s="12" t="inlineStr">
        <is>
          <t>Water treatment building: rooftop HVAC, exhaust fans, vents</t>
        </is>
      </c>
      <c r="B1727" s="12" t="inlineStr"/>
      <c r="C1727" s="12" t="inlineStr"/>
      <c r="D1727" s="12" t="inlineStr">
        <is>
          <t>Motor 19 of 20, 15 kW</t>
        </is>
      </c>
      <c r="E1727" s="12" t="n">
        <v>480</v>
      </c>
      <c r="F1727" s="12" t="n">
        <v>15</v>
      </c>
      <c r="G1727" s="12" t="n">
        <v>21.2</v>
      </c>
      <c r="H1727" s="12" t="inlineStr">
        <is>
          <t>R1 MCC-C1</t>
        </is>
      </c>
      <c r="I1727" s="12" t="inlineStr">
        <is>
          <t>LV 600 V</t>
        </is>
      </c>
      <c r="J1727" s="12" t="inlineStr">
        <is>
          <t>2</t>
        </is>
      </c>
      <c r="K1727" s="12" t="n">
        <v>1</v>
      </c>
    </row>
    <row r="1728">
      <c r="A1728" s="12" t="inlineStr">
        <is>
          <t>Water treatment building: rooftop HVAC, exhaust fans, vents</t>
        </is>
      </c>
      <c r="B1728" s="12" t="inlineStr"/>
      <c r="C1728" s="12" t="inlineStr"/>
      <c r="D1728" s="12" t="inlineStr">
        <is>
          <t>Motor 20 of 20, 15 kW</t>
        </is>
      </c>
      <c r="E1728" s="12" t="n">
        <v>480</v>
      </c>
      <c r="F1728" s="12" t="n">
        <v>15</v>
      </c>
      <c r="G1728" s="12" t="n">
        <v>21.2</v>
      </c>
      <c r="H1728" s="12" t="inlineStr">
        <is>
          <t>R1 MCC-C1</t>
        </is>
      </c>
      <c r="I1728" s="12" t="inlineStr">
        <is>
          <t>LV 600 V</t>
        </is>
      </c>
      <c r="J1728" s="12" t="inlineStr">
        <is>
          <t>2</t>
        </is>
      </c>
      <c r="K172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2026-10-21T17:50:14Z</dcterms:created>
  <dcterms:modified xsi:type="dcterms:W3CDTF">2026-10-21T17:50:16Z</dcterms:modified>
</cp:coreProperties>
</file>