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Schedule'!$A$1:$AA$5702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105 of 5701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EDG-2 480 V output to EMCC 3.1%;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5596</v>
      </c>
      <c r="D8" s="10" t="inlineStr">
        <is>
          <t>105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70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90</v>
      </c>
      <c r="U13" s="16" t="n">
        <v>70</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90</v>
      </c>
      <c r="U14" s="16" t="n">
        <v>70</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90</v>
      </c>
      <c r="U15" s="16" t="n">
        <v>70</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R2B</t>
        </is>
      </c>
      <c r="F16" s="12" t="inlineStr">
        <is>
          <t>R2B: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447</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R2B</t>
        </is>
      </c>
      <c r="F17" s="12" t="inlineStr">
        <is>
          <t>R2B: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447</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R2B</t>
        </is>
      </c>
      <c r="F18" s="12" t="inlineStr">
        <is>
          <t>R2B: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447</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R2B</t>
        </is>
      </c>
      <c r="F19" s="12" t="inlineStr">
        <is>
          <t>R2B: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447</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R2C</t>
        </is>
      </c>
      <c r="F20" s="12" t="inlineStr">
        <is>
          <t>R2C: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465</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R2C</t>
        </is>
      </c>
      <c r="F21" s="12" t="inlineStr">
        <is>
          <t>R2C: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465</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R2C</t>
        </is>
      </c>
      <c r="F22" s="12" t="inlineStr">
        <is>
          <t>R2C: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465</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R2C</t>
        </is>
      </c>
      <c r="F23" s="12" t="inlineStr">
        <is>
          <t>R2C: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465</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R3</t>
        </is>
      </c>
      <c r="F24" s="12" t="inlineStr">
        <is>
          <t>R3: ST auxiliary electrical e-house (40 x 65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585</v>
      </c>
      <c r="U24" s="16" t="n">
        <v>114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R3</t>
        </is>
      </c>
      <c r="F25" s="12" t="inlineStr">
        <is>
          <t>R3: ST auxiliary electrical e-house (40 x 65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585</v>
      </c>
      <c r="U25" s="16" t="n">
        <v>114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R3</t>
        </is>
      </c>
      <c r="F26" s="12" t="inlineStr">
        <is>
          <t>R3: ST auxiliary electrical e-house (40 x 65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585</v>
      </c>
      <c r="U26" s="16" t="n">
        <v>114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R3</t>
        </is>
      </c>
      <c r="F27" s="12" t="inlineStr">
        <is>
          <t>R3: ST auxiliary electrical e-house (40 x 65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585</v>
      </c>
      <c r="U27" s="16" t="n">
        <v>114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R2B</t>
        </is>
      </c>
      <c r="F28" s="12" t="inlineStr">
        <is>
          <t>R2B: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255</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R2B</t>
        </is>
      </c>
      <c r="F29" s="12" t="inlineStr">
        <is>
          <t>R2B: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255</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R2C</t>
        </is>
      </c>
      <c r="F30" s="12" t="inlineStr">
        <is>
          <t>R2C: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259</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R2C</t>
        </is>
      </c>
      <c r="F31" s="12" t="inlineStr">
        <is>
          <t>R2C: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259</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230</v>
      </c>
      <c r="U34" s="16" t="n">
        <v>53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230</v>
      </c>
      <c r="U35" s="16" t="n">
        <v>53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230</v>
      </c>
      <c r="U36" s="16" t="n">
        <v>53</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230</v>
      </c>
      <c r="U37" s="16" t="n">
        <v>53</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230</v>
      </c>
      <c r="U38" s="16" t="n">
        <v>53</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230</v>
      </c>
      <c r="U39" s="16" t="n">
        <v>53</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1115</v>
      </c>
      <c r="U40" s="16" t="n">
        <v>140</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36</v>
      </c>
      <c r="U41" s="16" t="n">
        <v>102</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36</v>
      </c>
      <c r="U42" s="16" t="n">
        <v>102</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36</v>
      </c>
      <c r="U44" s="16" t="n">
        <v>102</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437</v>
      </c>
      <c r="U45" s="16" t="n">
        <v>62</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437</v>
      </c>
      <c r="U46" s="16" t="n">
        <v>62</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437</v>
      </c>
      <c r="U47" s="16" t="n">
        <v>62</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437</v>
      </c>
      <c r="U48" s="16" t="n">
        <v>62</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1358</v>
      </c>
      <c r="U49" s="16" t="n">
        <v>108</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1358</v>
      </c>
      <c r="U50" s="16" t="n">
        <v>108</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1358</v>
      </c>
      <c r="U51" s="16" t="n">
        <v>108</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1358</v>
      </c>
      <c r="U52" s="16" t="n">
        <v>108</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1209</v>
      </c>
      <c r="U53" s="16" t="n">
        <v>58</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1209</v>
      </c>
      <c r="U54" s="16" t="n">
        <v>58</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1209</v>
      </c>
      <c r="U55" s="16" t="n">
        <v>58</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1209</v>
      </c>
      <c r="U56" s="16" t="n">
        <v>58</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638</v>
      </c>
      <c r="U57" s="16" t="n">
        <v>86</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638</v>
      </c>
      <c r="U58" s="16" t="n">
        <v>86</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407</v>
      </c>
      <c r="U60" s="16" t="n">
        <v>62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407</v>
      </c>
      <c r="U62" s="16" t="n">
        <v>62</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407</v>
      </c>
      <c r="U64" s="16" t="n">
        <v>62</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407</v>
      </c>
      <c r="U66" s="16" t="n">
        <v>62</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407</v>
      </c>
      <c r="U68" s="16" t="n">
        <v>62</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407</v>
      </c>
      <c r="U70" s="16" t="n">
        <v>62</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655</v>
      </c>
      <c r="U71" s="16" t="n">
        <v>104</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655</v>
      </c>
      <c r="U72" s="16" t="n">
        <v>104</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1328</v>
      </c>
      <c r="U74" s="16" t="n">
        <v>108</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1328</v>
      </c>
      <c r="U76" s="16" t="n">
        <v>108</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1328</v>
      </c>
      <c r="U78" s="16" t="n">
        <v>108</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1328</v>
      </c>
      <c r="U80" s="16" t="n">
        <v>108</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1328</v>
      </c>
      <c r="U82" s="16" t="n">
        <v>108</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1328</v>
      </c>
      <c r="U84" s="16" t="n">
        <v>108</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833</v>
      </c>
      <c r="U85" s="16" t="n">
        <v>102</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833</v>
      </c>
      <c r="U86" s="16" t="n">
        <v>102</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R3</t>
        </is>
      </c>
      <c r="F88" s="12" t="inlineStr">
        <is>
          <t>R3: ST auxiliary electrical e-house (40 x 65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508</v>
      </c>
      <c r="U88" s="16" t="n">
        <v>66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R3</t>
        </is>
      </c>
      <c r="F90" s="12" t="inlineStr">
        <is>
          <t>R3: ST auxiliary electrical e-house (40 x 65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Tray</t>
        </is>
      </c>
      <c r="T90" s="16" t="n">
        <v>508</v>
      </c>
      <c r="U90" s="16" t="n">
        <v>66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R3</t>
        </is>
      </c>
      <c r="F92" s="12" t="inlineStr">
        <is>
          <t>R3: ST auxiliary electrical e-house (40 x 65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Tray</t>
        </is>
      </c>
      <c r="T92" s="16" t="n">
        <v>508</v>
      </c>
      <c r="U92" s="16" t="n">
        <v>66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R3</t>
        </is>
      </c>
      <c r="F94" s="12" t="inlineStr">
        <is>
          <t>R3: ST auxiliary electrical e-house (40 x 65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Tray</t>
        </is>
      </c>
      <c r="T94" s="16" t="n">
        <v>508</v>
      </c>
      <c r="U94" s="16" t="n">
        <v>66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R3</t>
        </is>
      </c>
      <c r="F96" s="12" t="inlineStr">
        <is>
          <t>R3: ST auxiliary electrical e-house (40 x 65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Tray</t>
        </is>
      </c>
      <c r="T96" s="16" t="n">
        <v>508</v>
      </c>
      <c r="U96" s="16" t="n">
        <v>66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R3</t>
        </is>
      </c>
      <c r="F98" s="12" t="inlineStr">
        <is>
          <t>R3: ST auxiliary electrical e-house (40 x 65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Tray</t>
        </is>
      </c>
      <c r="T98" s="16" t="n">
        <v>508</v>
      </c>
      <c r="U98" s="16" t="n">
        <v>66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R2B</t>
        </is>
      </c>
      <c r="F100" s="12" t="inlineStr">
        <is>
          <t>R2B: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988</v>
      </c>
      <c r="U100" s="16" t="n">
        <v>154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R2C</t>
        </is>
      </c>
      <c r="F102" s="12" t="inlineStr">
        <is>
          <t>R2C: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1057</v>
      </c>
      <c r="U102" s="16" t="n">
        <v>122</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R3</t>
        </is>
      </c>
      <c r="F104" s="12" t="inlineStr">
        <is>
          <t>R3: ST auxiliary electrical e-house (40 x 65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162</v>
      </c>
      <c r="U104" s="16" t="n">
        <v>96</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407</v>
      </c>
      <c r="U105" s="16" t="n">
        <v>74</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407</v>
      </c>
      <c r="U106" s="16" t="n">
        <v>74</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407</v>
      </c>
      <c r="U107" s="16" t="n">
        <v>74</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407</v>
      </c>
      <c r="U108" s="16" t="n">
        <v>74</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407</v>
      </c>
      <c r="U109" s="16" t="n">
        <v>74</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407</v>
      </c>
      <c r="U110" s="16" t="n">
        <v>74</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407</v>
      </c>
      <c r="U111" s="16" t="n">
        <v>74</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1328</v>
      </c>
      <c r="U112" s="16" t="n">
        <v>120</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1328</v>
      </c>
      <c r="U113" s="16" t="n">
        <v>120</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1328</v>
      </c>
      <c r="U114" s="16" t="n">
        <v>120</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1328</v>
      </c>
      <c r="U115" s="16" t="n">
        <v>120</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1328</v>
      </c>
      <c r="U116" s="16" t="n">
        <v>120</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1328</v>
      </c>
      <c r="U117" s="16" t="n">
        <v>120</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1328</v>
      </c>
      <c r="U118" s="16" t="n">
        <v>120</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R3</t>
        </is>
      </c>
      <c r="F119" s="12" t="inlineStr">
        <is>
          <t>R3: ST auxiliary electrical e-house (40 x 65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Tray</t>
        </is>
      </c>
      <c r="T119" s="16" t="n">
        <v>508</v>
      </c>
      <c r="U119" s="16" t="n">
        <v>78</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R3</t>
        </is>
      </c>
      <c r="F120" s="12" t="inlineStr">
        <is>
          <t>R3: ST auxiliary electrical e-house (40 x 65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Tray</t>
        </is>
      </c>
      <c r="T120" s="16" t="n">
        <v>508</v>
      </c>
      <c r="U120" s="16" t="n">
        <v>78</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R3</t>
        </is>
      </c>
      <c r="F121" s="12" t="inlineStr">
        <is>
          <t>R3: ST auxiliary electrical e-house (40 x 65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Tray</t>
        </is>
      </c>
      <c r="T121" s="16" t="n">
        <v>508</v>
      </c>
      <c r="U121" s="16" t="n">
        <v>78</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R3</t>
        </is>
      </c>
      <c r="F122" s="12" t="inlineStr">
        <is>
          <t>R3: ST auxiliary electrical e-house (40 x 65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508</v>
      </c>
      <c r="U122" s="16" t="n">
        <v>78</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R3</t>
        </is>
      </c>
      <c r="F123" s="12" t="inlineStr">
        <is>
          <t>R3: ST auxiliary electrical e-house (40 x 65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Tray</t>
        </is>
      </c>
      <c r="T123" s="16" t="n">
        <v>508</v>
      </c>
      <c r="U123" s="16" t="n">
        <v>78</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R3</t>
        </is>
      </c>
      <c r="F124" s="12" t="inlineStr">
        <is>
          <t>R3: ST auxiliary electrical e-house (40 x 65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Tray</t>
        </is>
      </c>
      <c r="T124" s="16" t="n">
        <v>508</v>
      </c>
      <c r="U124" s="16" t="n">
        <v>78</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R3</t>
        </is>
      </c>
      <c r="F125" s="12" t="inlineStr">
        <is>
          <t>R3: ST auxiliary electrical e-house (40 x 65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Tray</t>
        </is>
      </c>
      <c r="T125" s="16" t="n">
        <v>508</v>
      </c>
      <c r="U125" s="16" t="n">
        <v>78</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Duct bank</t>
        </is>
      </c>
      <c r="T126" s="16" t="n">
        <v>438</v>
      </c>
      <c r="U126" s="16" t="n">
        <v>85</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Duct bank</t>
        </is>
      </c>
      <c r="T127" s="16" t="n">
        <v>438</v>
      </c>
      <c r="U127" s="16" t="n">
        <v>85</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Duct bank</t>
        </is>
      </c>
      <c r="T128" s="16" t="n">
        <v>438</v>
      </c>
      <c r="U128" s="16" t="n">
        <v>85</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438</v>
      </c>
      <c r="U129" s="16" t="n">
        <v>85</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Duct bank</t>
        </is>
      </c>
      <c r="T130" s="16" t="n">
        <v>438</v>
      </c>
      <c r="U130" s="16" t="n">
        <v>85</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Duct bank</t>
        </is>
      </c>
      <c r="T131" s="16" t="n">
        <v>438</v>
      </c>
      <c r="U131" s="16" t="n">
        <v>85</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Duct bank</t>
        </is>
      </c>
      <c r="T132" s="16" t="n">
        <v>438</v>
      </c>
      <c r="U132" s="16" t="n">
        <v>85</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R2B</t>
        </is>
      </c>
      <c r="F134" s="12" t="inlineStr">
        <is>
          <t>R2B: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1010</v>
      </c>
      <c r="U134" s="16" t="n">
        <v>144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R2C</t>
        </is>
      </c>
      <c r="F136" s="12" t="inlineStr">
        <is>
          <t>R2C: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1035</v>
      </c>
      <c r="U136" s="16" t="n">
        <v>112</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R3</t>
        </is>
      </c>
      <c r="F138" s="12" t="inlineStr">
        <is>
          <t>R3: ST auxiliary electrical e-house (40 x 65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150</v>
      </c>
      <c r="U138" s="16" t="n">
        <v>70</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91</v>
      </c>
      <c r="U139" s="16" t="n">
        <v>113</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91</v>
      </c>
      <c r="U140" s="16" t="n">
        <v>113</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437</v>
      </c>
      <c r="U141" s="16" t="n">
        <v>100</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437</v>
      </c>
      <c r="U142" s="16" t="n">
        <v>100</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437</v>
      </c>
      <c r="U143" s="16" t="n">
        <v>100</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437</v>
      </c>
      <c r="U144" s="16" t="n">
        <v>100</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437</v>
      </c>
      <c r="U145" s="16" t="n">
        <v>100</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437</v>
      </c>
      <c r="U146" s="16" t="n">
        <v>100</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395</v>
      </c>
      <c r="U147" s="16" t="n">
        <v>130</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395</v>
      </c>
      <c r="U148" s="16" t="n">
        <v>130</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395</v>
      </c>
      <c r="U149" s="16" t="n">
        <v>130</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395</v>
      </c>
      <c r="U150" s="16" t="n">
        <v>130</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395</v>
      </c>
      <c r="U151" s="16" t="n">
        <v>130</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395</v>
      </c>
      <c r="U152" s="16" t="n">
        <v>130</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395</v>
      </c>
      <c r="U153" s="16" t="n">
        <v>130</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395</v>
      </c>
      <c r="U154" s="16" t="n">
        <v>130</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395</v>
      </c>
      <c r="U155" s="16" t="n">
        <v>130</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395</v>
      </c>
      <c r="U156" s="16" t="n">
        <v>130</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1358</v>
      </c>
      <c r="U157" s="16" t="n">
        <v>146</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1358</v>
      </c>
      <c r="U158" s="16" t="n">
        <v>146</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1358</v>
      </c>
      <c r="U159" s="16" t="n">
        <v>146</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1358</v>
      </c>
      <c r="U160" s="16" t="n">
        <v>146</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1358</v>
      </c>
      <c r="U161" s="16" t="n">
        <v>146</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1358</v>
      </c>
      <c r="U162" s="16" t="n">
        <v>146</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1315</v>
      </c>
      <c r="U163" s="16" t="n">
        <v>176</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1315</v>
      </c>
      <c r="U164" s="16" t="n">
        <v>176</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1315</v>
      </c>
      <c r="U165" s="16" t="n">
        <v>176</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1315</v>
      </c>
      <c r="U166" s="16" t="n">
        <v>176</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Tray</t>
        </is>
      </c>
      <c r="T167" s="16" t="n">
        <v>1315</v>
      </c>
      <c r="U167" s="16" t="n">
        <v>176</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Tray</t>
        </is>
      </c>
      <c r="T168" s="16" t="n">
        <v>1315</v>
      </c>
      <c r="U168" s="16" t="n">
        <v>176</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Tray</t>
        </is>
      </c>
      <c r="T169" s="16" t="n">
        <v>1315</v>
      </c>
      <c r="U169" s="16" t="n">
        <v>176</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Tray</t>
        </is>
      </c>
      <c r="T170" s="16" t="n">
        <v>1315</v>
      </c>
      <c r="U170" s="16" t="n">
        <v>176</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Tray</t>
        </is>
      </c>
      <c r="T171" s="16" t="n">
        <v>1315</v>
      </c>
      <c r="U171" s="16" t="n">
        <v>176</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Tray</t>
        </is>
      </c>
      <c r="T172" s="16" t="n">
        <v>1315</v>
      </c>
      <c r="U172" s="16" t="n">
        <v>176</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R3</t>
        </is>
      </c>
      <c r="F173" s="12" t="inlineStr">
        <is>
          <t>R3: ST auxiliary electrical e-house (40 x 65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489</v>
      </c>
      <c r="U173" s="16" t="n">
        <v>64</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R3</t>
        </is>
      </c>
      <c r="F174" s="12" t="inlineStr">
        <is>
          <t>R3: ST auxiliary electrical e-house (40 x 65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489</v>
      </c>
      <c r="U174" s="16" t="n">
        <v>64</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R3</t>
        </is>
      </c>
      <c r="F175" s="12" t="inlineStr">
        <is>
          <t>R3: ST auxiliary electrical e-house (40 x 65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489</v>
      </c>
      <c r="U175" s="16" t="n">
        <v>64</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R3</t>
        </is>
      </c>
      <c r="F176" s="12" t="inlineStr">
        <is>
          <t>R3: ST auxiliary electrical e-house (40 x 65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489</v>
      </c>
      <c r="U176" s="16" t="n">
        <v>64</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R3</t>
        </is>
      </c>
      <c r="F177" s="12" t="inlineStr">
        <is>
          <t>R3: ST auxiliary electrical e-house (40 x 65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489</v>
      </c>
      <c r="U177" s="16" t="n">
        <v>64</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R3</t>
        </is>
      </c>
      <c r="F178" s="12" t="inlineStr">
        <is>
          <t>R3: ST auxiliary electrical e-house (40 x 65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489</v>
      </c>
      <c r="U178" s="16" t="n">
        <v>64</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R3</t>
        </is>
      </c>
      <c r="F179" s="12" t="inlineStr">
        <is>
          <t>R3: ST auxiliary electrical e-house (40 x 65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452</v>
      </c>
      <c r="U179" s="16" t="n">
        <v>67</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R3</t>
        </is>
      </c>
      <c r="F180" s="12" t="inlineStr">
        <is>
          <t>R3: ST auxiliary electrical e-house (40 x 65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452</v>
      </c>
      <c r="U180" s="16" t="n">
        <v>67</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R3</t>
        </is>
      </c>
      <c r="F181" s="12" t="inlineStr">
        <is>
          <t>R3: ST auxiliary electrical e-house (40 x 65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452</v>
      </c>
      <c r="U181" s="16" t="n">
        <v>67</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R3</t>
        </is>
      </c>
      <c r="F182" s="12" t="inlineStr">
        <is>
          <t>R3: ST auxiliary electrical e-house (40 x 65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452</v>
      </c>
      <c r="U182" s="16" t="n">
        <v>67</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R3</t>
        </is>
      </c>
      <c r="F183" s="12" t="inlineStr">
        <is>
          <t>R3: ST auxiliary electrical e-house (40 x 65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452</v>
      </c>
      <c r="U183" s="16" t="n">
        <v>67</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R3</t>
        </is>
      </c>
      <c r="F184" s="12" t="inlineStr">
        <is>
          <t>R3: ST auxiliary electrical e-house (40 x 65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452</v>
      </c>
      <c r="U184" s="16" t="n">
        <v>67</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R3</t>
        </is>
      </c>
      <c r="F185" s="12" t="inlineStr">
        <is>
          <t>R3: ST auxiliary electrical e-house (40 x 65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452</v>
      </c>
      <c r="U185" s="16" t="n">
        <v>67</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R3</t>
        </is>
      </c>
      <c r="F186" s="12" t="inlineStr">
        <is>
          <t>R3: ST auxiliary electrical e-house (40 x 65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452</v>
      </c>
      <c r="U186" s="16" t="n">
        <v>67</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R3</t>
        </is>
      </c>
      <c r="F187" s="12" t="inlineStr">
        <is>
          <t>R3: ST auxiliary electrical e-house (40 x 65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452</v>
      </c>
      <c r="U187" s="16" t="n">
        <v>67</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R3</t>
        </is>
      </c>
      <c r="F188" s="12" t="inlineStr">
        <is>
          <t>R3: ST auxiliary electrical e-house (40 x 65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452</v>
      </c>
      <c r="U188" s="16" t="n">
        <v>67</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399</v>
      </c>
      <c r="U189" s="16" t="n">
        <v>73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399</v>
      </c>
      <c r="U190" s="16" t="n">
        <v>73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399</v>
      </c>
      <c r="U191" s="16" t="n">
        <v>73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399</v>
      </c>
      <c r="U192" s="16" t="n">
        <v>73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399</v>
      </c>
      <c r="U193" s="16" t="n">
        <v>73</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399</v>
      </c>
      <c r="U194" s="16" t="n">
        <v>73</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387</v>
      </c>
      <c r="U195" s="16" t="n">
        <v>58</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387</v>
      </c>
      <c r="U196" s="16" t="n">
        <v>58</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387</v>
      </c>
      <c r="U197" s="16" t="n">
        <v>58</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387</v>
      </c>
      <c r="U198" s="16" t="n">
        <v>58</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387</v>
      </c>
      <c r="U199" s="16" t="n">
        <v>58</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387</v>
      </c>
      <c r="U200" s="16" t="n">
        <v>58</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387</v>
      </c>
      <c r="U201" s="16" t="n">
        <v>58</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387</v>
      </c>
      <c r="U202" s="16" t="n">
        <v>58</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387</v>
      </c>
      <c r="U203" s="16" t="n">
        <v>58</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387</v>
      </c>
      <c r="U204" s="16" t="n">
        <v>58</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455</v>
      </c>
      <c r="U205" s="16" t="n">
        <v>142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455</v>
      </c>
      <c r="U206" s="16" t="n">
        <v>142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455</v>
      </c>
      <c r="U207" s="16" t="n">
        <v>142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455</v>
      </c>
      <c r="U208" s="16" t="n">
        <v>142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455</v>
      </c>
      <c r="U209" s="16" t="n">
        <v>142</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455</v>
      </c>
      <c r="U210" s="16" t="n">
        <v>142</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455</v>
      </c>
      <c r="U211" s="16" t="n">
        <v>142</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455</v>
      </c>
      <c r="U212" s="16" t="n">
        <v>142</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455</v>
      </c>
      <c r="U213" s="16" t="n">
        <v>142</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455</v>
      </c>
      <c r="U214" s="16" t="n">
        <v>142</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455</v>
      </c>
      <c r="U215" s="16" t="n">
        <v>142</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455</v>
      </c>
      <c r="U216" s="16" t="n">
        <v>142</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R2B</t>
        </is>
      </c>
      <c r="F218" s="12" t="inlineStr">
        <is>
          <t>R2B: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1002</v>
      </c>
      <c r="U218" s="16" t="n">
        <v>169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472</v>
      </c>
      <c r="U225" s="16" t="n">
        <v>160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472</v>
      </c>
      <c r="U226" s="16" t="n">
        <v>160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472</v>
      </c>
      <c r="U227" s="16" t="n">
        <v>160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472</v>
      </c>
      <c r="U228" s="16" t="n">
        <v>160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472</v>
      </c>
      <c r="U229" s="16" t="n">
        <v>160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472</v>
      </c>
      <c r="U230" s="16" t="n">
        <v>160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472</v>
      </c>
      <c r="U231" s="16" t="n">
        <v>160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472</v>
      </c>
      <c r="U232" s="16" t="n">
        <v>160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472</v>
      </c>
      <c r="U233" s="16" t="n">
        <v>160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472</v>
      </c>
      <c r="U234" s="16" t="n">
        <v>160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472</v>
      </c>
      <c r="U235" s="16" t="n">
        <v>160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472</v>
      </c>
      <c r="U236" s="16" t="n">
        <v>160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R2C</t>
        </is>
      </c>
      <c r="F238" s="12" t="inlineStr">
        <is>
          <t>R2C: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1071</v>
      </c>
      <c r="U238" s="16" t="n">
        <v>137</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1092</v>
      </c>
      <c r="U240" s="16" t="n">
        <v>153</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1092</v>
      </c>
      <c r="U242" s="16" t="n">
        <v>153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1092</v>
      </c>
      <c r="U244" s="16" t="n">
        <v>153</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R3</t>
        </is>
      </c>
      <c r="F258" s="12" t="inlineStr">
        <is>
          <t>R3: ST auxiliary electrical e-house (40 x 65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180</v>
      </c>
      <c r="U258" s="16" t="n">
        <v>106</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953</v>
      </c>
      <c r="U260" s="16" t="n">
        <v>121</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953</v>
      </c>
      <c r="U262" s="16" t="n">
        <v>121</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953</v>
      </c>
      <c r="U264" s="16" t="n">
        <v>121</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632</v>
      </c>
      <c r="U265" s="16" t="n">
        <v>108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632</v>
      </c>
      <c r="U266" s="16" t="n">
        <v>108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632</v>
      </c>
      <c r="U267" s="16" t="n">
        <v>108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632</v>
      </c>
      <c r="U268" s="16" t="n">
        <v>108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649</v>
      </c>
      <c r="U269" s="16" t="n">
        <v>126</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649</v>
      </c>
      <c r="U270" s="16" t="n">
        <v>126</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649</v>
      </c>
      <c r="U271" s="16" t="n">
        <v>126</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649</v>
      </c>
      <c r="U272" s="16" t="n">
        <v>126</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827</v>
      </c>
      <c r="U273" s="16" t="n">
        <v>124</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827</v>
      </c>
      <c r="U274" s="16" t="n">
        <v>124</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827</v>
      </c>
      <c r="U275" s="16" t="n">
        <v>124</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827</v>
      </c>
      <c r="U276" s="16" t="n">
        <v>124</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R2B</t>
        </is>
      </c>
      <c r="F334" s="12" t="inlineStr">
        <is>
          <t>R2B: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367</v>
      </c>
      <c r="U334" s="16" t="n">
        <v>115</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R2B</t>
        </is>
      </c>
      <c r="F335" s="12" t="inlineStr">
        <is>
          <t>R2B: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367</v>
      </c>
      <c r="U335" s="16" t="n">
        <v>115</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R2B</t>
        </is>
      </c>
      <c r="F336" s="12" t="inlineStr">
        <is>
          <t>R2B: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367</v>
      </c>
      <c r="U336" s="16" t="n">
        <v>115</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R2B</t>
        </is>
      </c>
      <c r="F337" s="12" t="inlineStr">
        <is>
          <t>R2B: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367</v>
      </c>
      <c r="U337" s="16" t="n">
        <v>115</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R2B</t>
        </is>
      </c>
      <c r="F338" s="12" t="inlineStr">
        <is>
          <t>R2B: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367</v>
      </c>
      <c r="U338" s="16" t="n">
        <v>115</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R2B</t>
        </is>
      </c>
      <c r="F339" s="12" t="inlineStr">
        <is>
          <t>R2B: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367</v>
      </c>
      <c r="U339" s="16" t="n">
        <v>115</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R2C</t>
        </is>
      </c>
      <c r="F397" s="12" t="inlineStr">
        <is>
          <t>R2C: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367</v>
      </c>
      <c r="U397" s="16" t="n">
        <v>115</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R2C</t>
        </is>
      </c>
      <c r="F398" s="12" t="inlineStr">
        <is>
          <t>R2C: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367</v>
      </c>
      <c r="U398" s="16" t="n">
        <v>115</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R2C</t>
        </is>
      </c>
      <c r="F399" s="12" t="inlineStr">
        <is>
          <t>R2C: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367</v>
      </c>
      <c r="U399" s="16" t="n">
        <v>115</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R2C</t>
        </is>
      </c>
      <c r="F400" s="12" t="inlineStr">
        <is>
          <t>R2C: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367</v>
      </c>
      <c r="U400" s="16" t="n">
        <v>115</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R2C</t>
        </is>
      </c>
      <c r="F401" s="12" t="inlineStr">
        <is>
          <t>R2C: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367</v>
      </c>
      <c r="U401" s="16" t="n">
        <v>115</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R2C</t>
        </is>
      </c>
      <c r="F402" s="12" t="inlineStr">
        <is>
          <t>R2C: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367</v>
      </c>
      <c r="U402" s="16" t="n">
        <v>115</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R3</t>
        </is>
      </c>
      <c r="F460" s="12" t="inlineStr">
        <is>
          <t>R3: ST auxiliary electrical e-house (40 x 65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512</v>
      </c>
      <c r="U460" s="16" t="n">
        <v>150</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R3</t>
        </is>
      </c>
      <c r="F461" s="12" t="inlineStr">
        <is>
          <t>R3: ST auxiliary electrical e-house (40 x 65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512</v>
      </c>
      <c r="U461" s="16" t="n">
        <v>150</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R3</t>
        </is>
      </c>
      <c r="F462" s="12" t="inlineStr">
        <is>
          <t>R3: ST auxiliary electrical e-house (40 x 65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512</v>
      </c>
      <c r="U462" s="16" t="n">
        <v>150</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R3</t>
        </is>
      </c>
      <c r="F463" s="12" t="inlineStr">
        <is>
          <t>R3: ST auxiliary electrical e-house (40 x 65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512</v>
      </c>
      <c r="U463" s="16" t="n">
        <v>150</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R3</t>
        </is>
      </c>
      <c r="F464" s="12" t="inlineStr">
        <is>
          <t>R3: ST auxiliary electrical e-house (40 x 65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512</v>
      </c>
      <c r="U464" s="16" t="n">
        <v>150</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R3</t>
        </is>
      </c>
      <c r="F465" s="12" t="inlineStr">
        <is>
          <t>R3: ST auxiliary electrical e-house (40 x 65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512</v>
      </c>
      <c r="U465" s="16" t="n">
        <v>150</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942</v>
      </c>
      <c r="U466" s="16" t="n">
        <v>132</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831</v>
      </c>
      <c r="U473" s="16" t="n">
        <v>38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831</v>
      </c>
      <c r="U474" s="16" t="n">
        <v>38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831</v>
      </c>
      <c r="U475" s="16" t="n">
        <v>38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831</v>
      </c>
      <c r="U476" s="16" t="n">
        <v>38</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831</v>
      </c>
      <c r="U483" s="16" t="n">
        <v>60</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831</v>
      </c>
      <c r="U484" s="16" t="n">
        <v>60</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831</v>
      </c>
      <c r="U485" s="16" t="n">
        <v>60</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831</v>
      </c>
      <c r="U486" s="16" t="n">
        <v>60</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780</v>
      </c>
      <c r="U495" s="16" t="n">
        <v>58</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780</v>
      </c>
      <c r="U496" s="16" t="n">
        <v>58</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780</v>
      </c>
      <c r="U497" s="16" t="n">
        <v>58</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780</v>
      </c>
      <c r="U498" s="16" t="n">
        <v>58</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68</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R2B</t>
        </is>
      </c>
      <c r="F504" s="12" t="inlineStr">
        <is>
          <t>R2B: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381</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R2B</t>
        </is>
      </c>
      <c r="F505" s="12" t="inlineStr">
        <is>
          <t>R2B: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381</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R2C</t>
        </is>
      </c>
      <c r="F506" s="12" t="inlineStr">
        <is>
          <t>R2C: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381</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R2C</t>
        </is>
      </c>
      <c r="F507" s="12" t="inlineStr">
        <is>
          <t>R2C: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381</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R3</t>
        </is>
      </c>
      <c r="F508" s="12" t="inlineStr">
        <is>
          <t>R3: ST auxiliary electrical e-house (40 x 65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510</v>
      </c>
      <c r="U508" s="16" t="n">
        <v>114</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R3</t>
        </is>
      </c>
      <c r="F509" s="12" t="inlineStr">
        <is>
          <t>R3: ST auxiliary electrical e-house (40 x 65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510</v>
      </c>
      <c r="U509" s="16" t="n">
        <v>114</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1217</v>
      </c>
      <c r="U510" s="16" t="n">
        <v>152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R2B</t>
        </is>
      </c>
      <c r="F511" s="12" t="inlineStr">
        <is>
          <t>R2B: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1217</v>
      </c>
      <c r="U511" s="16" t="n">
        <v>152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R2B</t>
        </is>
      </c>
      <c r="F512" s="12" t="inlineStr">
        <is>
          <t>R2B: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1217</v>
      </c>
      <c r="U512" s="16" t="n">
        <v>152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R2B</t>
        </is>
      </c>
      <c r="F513" s="12" t="inlineStr">
        <is>
          <t>R2B: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1217</v>
      </c>
      <c r="U513" s="16" t="n">
        <v>152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R2C</t>
        </is>
      </c>
      <c r="F514" s="12" t="inlineStr">
        <is>
          <t>R2C: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1209</v>
      </c>
      <c r="U514" s="16" t="n">
        <v>102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1209</v>
      </c>
      <c r="U515" s="16" t="n">
        <v>102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R2C</t>
        </is>
      </c>
      <c r="F516" s="12" t="inlineStr">
        <is>
          <t>R2C: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1209</v>
      </c>
      <c r="U516" s="16" t="n">
        <v>102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R2C</t>
        </is>
      </c>
      <c r="F517" s="12" t="inlineStr">
        <is>
          <t>R2C: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1209</v>
      </c>
      <c r="U517" s="16" t="n">
        <v>102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R3</t>
        </is>
      </c>
      <c r="F518" s="12" t="inlineStr">
        <is>
          <t>R3: ST auxiliary electrical e-house (40 x 65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Duct bank</t>
        </is>
      </c>
      <c r="T518" s="16" t="n">
        <v>438</v>
      </c>
      <c r="U518" s="16" t="n">
        <v>75</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R3</t>
        </is>
      </c>
      <c r="F519" s="12" t="inlineStr">
        <is>
          <t>R3: ST auxiliary electrical e-house (40 x 65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Duct bank</t>
        </is>
      </c>
      <c r="T519" s="16" t="n">
        <v>438</v>
      </c>
      <c r="U519" s="16" t="n">
        <v>75</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R3</t>
        </is>
      </c>
      <c r="F520" s="12" t="inlineStr">
        <is>
          <t>R3: ST auxiliary electrical e-house (40 x 65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Duct bank</t>
        </is>
      </c>
      <c r="T520" s="16" t="n">
        <v>438</v>
      </c>
      <c r="U520" s="16" t="n">
        <v>75</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R3</t>
        </is>
      </c>
      <c r="F521" s="12" t="inlineStr">
        <is>
          <t>R3: ST auxiliary electrical e-house (40 x 65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Duct bank</t>
        </is>
      </c>
      <c r="T521" s="16" t="n">
        <v>438</v>
      </c>
      <c r="U521" s="16" t="n">
        <v>75</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489</v>
      </c>
      <c r="U522" s="16" t="n">
        <v>123</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489</v>
      </c>
      <c r="U523" s="16" t="n">
        <v>123</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489</v>
      </c>
      <c r="U524" s="16" t="n">
        <v>123</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258</v>
      </c>
      <c r="U526" s="16" t="n">
        <v>100</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506</v>
      </c>
      <c r="U527" s="16" t="n">
        <v>141</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506</v>
      </c>
      <c r="U528" s="16" t="n">
        <v>141</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506</v>
      </c>
      <c r="U529" s="16" t="n">
        <v>141</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1196</v>
      </c>
      <c r="U531" s="16" t="n">
        <v>150</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684</v>
      </c>
      <c r="U532" s="16" t="n">
        <v>139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684</v>
      </c>
      <c r="U533" s="16" t="n">
        <v>139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684</v>
      </c>
      <c r="U534" s="16" t="n">
        <v>139</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Tray</t>
        </is>
      </c>
      <c r="T536" s="16" t="n">
        <v>1057</v>
      </c>
      <c r="U536" s="16" t="n">
        <v>118</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91</v>
      </c>
      <c r="U537" s="16" t="n">
        <v>70</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91</v>
      </c>
      <c r="U538" s="16" t="n">
        <v>70</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91</v>
      </c>
      <c r="U539" s="16" t="n">
        <v>70</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91</v>
      </c>
      <c r="U540" s="16" t="n">
        <v>70</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91</v>
      </c>
      <c r="U541" s="16" t="n">
        <v>70</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91</v>
      </c>
      <c r="U542" s="16" t="n">
        <v>70</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91</v>
      </c>
      <c r="U543" s="16" t="n">
        <v>70</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91</v>
      </c>
      <c r="U544" s="16" t="n">
        <v>70</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91</v>
      </c>
      <c r="U545" s="16" t="n">
        <v>70</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91</v>
      </c>
      <c r="U546" s="16" t="n">
        <v>70</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Tray</t>
        </is>
      </c>
      <c r="T547" s="16" t="n">
        <v>14</v>
      </c>
      <c r="U547" s="16" t="n">
        <v>78</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Tray</t>
        </is>
      </c>
      <c r="T548" s="16" t="n">
        <v>14</v>
      </c>
      <c r="U548" s="16" t="n">
        <v>78</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Tray</t>
        </is>
      </c>
      <c r="T549" s="16" t="n">
        <v>14</v>
      </c>
      <c r="U549" s="16" t="n">
        <v>78</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Tray</t>
        </is>
      </c>
      <c r="T550" s="16" t="n">
        <v>14</v>
      </c>
      <c r="U550" s="16" t="n">
        <v>78</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Tray</t>
        </is>
      </c>
      <c r="T551" s="16" t="n">
        <v>14</v>
      </c>
      <c r="U551" s="16" t="n">
        <v>78</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Tray</t>
        </is>
      </c>
      <c r="T552" s="16" t="n">
        <v>14</v>
      </c>
      <c r="U552" s="16" t="n">
        <v>78</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Tray</t>
        </is>
      </c>
      <c r="T553" s="16" t="n">
        <v>14</v>
      </c>
      <c r="U553" s="16" t="n">
        <v>78</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Tray</t>
        </is>
      </c>
      <c r="T554" s="16" t="n">
        <v>14</v>
      </c>
      <c r="U554" s="16" t="n">
        <v>78</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Tray</t>
        </is>
      </c>
      <c r="T555" s="16" t="n">
        <v>14</v>
      </c>
      <c r="U555" s="16" t="n">
        <v>78</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Tray</t>
        </is>
      </c>
      <c r="T556" s="16" t="n">
        <v>14</v>
      </c>
      <c r="U556" s="16" t="n">
        <v>78</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Tray</t>
        </is>
      </c>
      <c r="T557" s="16" t="n">
        <v>14</v>
      </c>
      <c r="U557" s="16" t="n">
        <v>78</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Tray</t>
        </is>
      </c>
      <c r="T558" s="16" t="n">
        <v>14</v>
      </c>
      <c r="U558" s="16" t="n">
        <v>78</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Tray</t>
        </is>
      </c>
      <c r="T559" s="16" t="n">
        <v>14</v>
      </c>
      <c r="U559" s="16" t="n">
        <v>78</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Tray</t>
        </is>
      </c>
      <c r="T560" s="16" t="n">
        <v>14</v>
      </c>
      <c r="U560" s="16" t="n">
        <v>78</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Tray</t>
        </is>
      </c>
      <c r="T561" s="16" t="n">
        <v>14</v>
      </c>
      <c r="U561" s="16" t="n">
        <v>78</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Tray</t>
        </is>
      </c>
      <c r="T562" s="16" t="n">
        <v>14</v>
      </c>
      <c r="U562" s="16" t="n">
        <v>78</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Tray</t>
        </is>
      </c>
      <c r="T563" s="16" t="n">
        <v>14</v>
      </c>
      <c r="U563" s="16" t="n">
        <v>78</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Tray</t>
        </is>
      </c>
      <c r="T564" s="16" t="n">
        <v>14</v>
      </c>
      <c r="U564" s="16" t="n">
        <v>78</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Tray</t>
        </is>
      </c>
      <c r="T565" s="16" t="n">
        <v>14</v>
      </c>
      <c r="U565" s="16" t="n">
        <v>78</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Tray</t>
        </is>
      </c>
      <c r="T566" s="16" t="n">
        <v>14</v>
      </c>
      <c r="U566" s="16" t="n">
        <v>78</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Tray</t>
        </is>
      </c>
      <c r="T568" s="16" t="n">
        <v>14</v>
      </c>
      <c r="U568" s="16" t="n">
        <v>78</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Tray</t>
        </is>
      </c>
      <c r="T570" s="16" t="n">
        <v>14</v>
      </c>
      <c r="U570" s="16" t="n">
        <v>78</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Tray</t>
        </is>
      </c>
      <c r="T571" s="16" t="n">
        <v>465</v>
      </c>
      <c r="U571" s="16" t="n">
        <v>82</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Tray</t>
        </is>
      </c>
      <c r="T572" s="16" t="n">
        <v>465</v>
      </c>
      <c r="U572" s="16" t="n">
        <v>82</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Tray</t>
        </is>
      </c>
      <c r="T573" s="16" t="n">
        <v>465</v>
      </c>
      <c r="U573" s="16" t="n">
        <v>82</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Tray</t>
        </is>
      </c>
      <c r="T574" s="16" t="n">
        <v>465</v>
      </c>
      <c r="U574" s="16" t="n">
        <v>82</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2</v>
      </c>
      <c r="U593" s="16" t="n">
        <v>109</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2</v>
      </c>
      <c r="U594" s="16" t="n">
        <v>109</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2</v>
      </c>
      <c r="U595" s="16" t="n">
        <v>109</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2</v>
      </c>
      <c r="U596" s="16" t="n">
        <v>109</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2</v>
      </c>
      <c r="U597" s="16" t="n">
        <v>109</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2</v>
      </c>
      <c r="U598" s="16" t="n">
        <v>109</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843</v>
      </c>
      <c r="U605" s="16" t="n">
        <v>38</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843</v>
      </c>
      <c r="U606" s="16" t="n">
        <v>38</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843</v>
      </c>
      <c r="U607" s="16" t="n">
        <v>38</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843</v>
      </c>
      <c r="U608" s="16" t="n">
        <v>38</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865</v>
      </c>
      <c r="U615" s="16" t="n">
        <v>38</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865</v>
      </c>
      <c r="U616" s="16" t="n">
        <v>38</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865</v>
      </c>
      <c r="U617" s="16" t="n">
        <v>38</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865</v>
      </c>
      <c r="U618" s="16" t="n">
        <v>38</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1115</v>
      </c>
      <c r="U620" s="16" t="n">
        <v>140</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991</v>
      </c>
      <c r="U621" s="16" t="n">
        <v>112</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465</v>
      </c>
      <c r="U622" s="16" t="n">
        <v>103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R2B</t>
        </is>
      </c>
      <c r="F623" s="12" t="inlineStr">
        <is>
          <t>R2B: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1271</v>
      </c>
      <c r="U623" s="16" t="n">
        <v>129</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R2B</t>
        </is>
      </c>
      <c r="F624" s="12" t="inlineStr">
        <is>
          <t>R2B: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1271</v>
      </c>
      <c r="U624" s="16" t="n">
        <v>129</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R2B</t>
        </is>
      </c>
      <c r="F625" s="12" t="inlineStr">
        <is>
          <t>R2B: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1271</v>
      </c>
      <c r="U625" s="16" t="n">
        <v>129</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R2B</t>
        </is>
      </c>
      <c r="F626" s="12" t="inlineStr">
        <is>
          <t>R2B: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1271</v>
      </c>
      <c r="U626" s="16" t="n">
        <v>129</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R2B</t>
        </is>
      </c>
      <c r="F627" s="12" t="inlineStr">
        <is>
          <t>R2B: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1271</v>
      </c>
      <c r="U627" s="16" t="n">
        <v>129</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R2B</t>
        </is>
      </c>
      <c r="F628" s="12" t="inlineStr">
        <is>
          <t>R2B: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1271</v>
      </c>
      <c r="U628" s="16" t="n">
        <v>129</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1271</v>
      </c>
      <c r="U629" s="16" t="n">
        <v>129</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R2B</t>
        </is>
      </c>
      <c r="F630" s="12" t="inlineStr">
        <is>
          <t>R2B: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1271</v>
      </c>
      <c r="U630" s="16" t="n">
        <v>129</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R2B</t>
        </is>
      </c>
      <c r="F631" s="12" t="inlineStr">
        <is>
          <t>R2B: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1271</v>
      </c>
      <c r="U631" s="16" t="n">
        <v>129</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R2B</t>
        </is>
      </c>
      <c r="F632" s="12" t="inlineStr">
        <is>
          <t>R2B: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1271</v>
      </c>
      <c r="U632" s="16" t="n">
        <v>129</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R2C</t>
        </is>
      </c>
      <c r="F633" s="12" t="inlineStr">
        <is>
          <t>R2C: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1282</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R2C</t>
        </is>
      </c>
      <c r="F634" s="12" t="inlineStr">
        <is>
          <t>R2C: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1282</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R2C</t>
        </is>
      </c>
      <c r="F635" s="12" t="inlineStr">
        <is>
          <t>R2C: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1282</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R2C</t>
        </is>
      </c>
      <c r="F636" s="12" t="inlineStr">
        <is>
          <t>R2C: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1282</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R2C</t>
        </is>
      </c>
      <c r="F637" s="12" t="inlineStr">
        <is>
          <t>R2C: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1282</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R2C</t>
        </is>
      </c>
      <c r="F638" s="12" t="inlineStr">
        <is>
          <t>R2C: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1282</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R2C</t>
        </is>
      </c>
      <c r="F639" s="12" t="inlineStr">
        <is>
          <t>R2C: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1282</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R2C</t>
        </is>
      </c>
      <c r="F640" s="12" t="inlineStr">
        <is>
          <t>R2C: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1282</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R2C</t>
        </is>
      </c>
      <c r="F641" s="12" t="inlineStr">
        <is>
          <t>R2C: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1282</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R2C</t>
        </is>
      </c>
      <c r="F642" s="12" t="inlineStr">
        <is>
          <t>R2C: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1282</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R3</t>
        </is>
      </c>
      <c r="F643" s="12" t="inlineStr">
        <is>
          <t>R3: ST auxiliary electrical e-house (40 x 65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452</v>
      </c>
      <c r="U643" s="16" t="n">
        <v>50</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R3</t>
        </is>
      </c>
      <c r="F644" s="12" t="inlineStr">
        <is>
          <t>R3: ST auxiliary electrical e-house (40 x 65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452</v>
      </c>
      <c r="U644" s="16" t="n">
        <v>50</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R3</t>
        </is>
      </c>
      <c r="F645" s="12" t="inlineStr">
        <is>
          <t>R3: ST auxiliary electrical e-house (40 x 65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452</v>
      </c>
      <c r="U645" s="16" t="n">
        <v>50</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R3</t>
        </is>
      </c>
      <c r="F646" s="12" t="inlineStr">
        <is>
          <t>R3: ST auxiliary electrical e-house (40 x 65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452</v>
      </c>
      <c r="U646" s="16" t="n">
        <v>50</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R3</t>
        </is>
      </c>
      <c r="F647" s="12" t="inlineStr">
        <is>
          <t>R3: ST auxiliary electrical e-house (40 x 65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452</v>
      </c>
      <c r="U647" s="16" t="n">
        <v>50</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R3</t>
        </is>
      </c>
      <c r="F648" s="12" t="inlineStr">
        <is>
          <t>R3: ST auxiliary electrical e-house (40 x 65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452</v>
      </c>
      <c r="U648" s="16" t="n">
        <v>50</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R3</t>
        </is>
      </c>
      <c r="F649" s="12" t="inlineStr">
        <is>
          <t>R3: ST auxiliary electrical e-house (40 x 65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452</v>
      </c>
      <c r="U649" s="16" t="n">
        <v>50</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R3</t>
        </is>
      </c>
      <c r="F650" s="12" t="inlineStr">
        <is>
          <t>R3: ST auxiliary electrical e-house (40 x 65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452</v>
      </c>
      <c r="U650" s="16" t="n">
        <v>50</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R3</t>
        </is>
      </c>
      <c r="F651" s="12" t="inlineStr">
        <is>
          <t>R3: ST auxiliary electrical e-house (40 x 65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452</v>
      </c>
      <c r="U651" s="16" t="n">
        <v>50</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R3</t>
        </is>
      </c>
      <c r="F652" s="12" t="inlineStr">
        <is>
          <t>R3: ST auxiliary electrical e-house (40 x 65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452</v>
      </c>
      <c r="U652" s="16" t="n">
        <v>50</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414</v>
      </c>
      <c r="U653" s="16" t="n">
        <v>117</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414</v>
      </c>
      <c r="U654" s="16" t="n">
        <v>117</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431</v>
      </c>
      <c r="U657" s="16" t="n">
        <v>135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431</v>
      </c>
      <c r="U658" s="16" t="n">
        <v>135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1121</v>
      </c>
      <c r="U660" s="16" t="n">
        <v>144</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991</v>
      </c>
      <c r="U664" s="16" t="n">
        <v>139</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1368</v>
      </c>
      <c r="U665" s="16" t="n">
        <v>139</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1524</v>
      </c>
      <c r="U666" s="16" t="n">
        <v>135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1699</v>
      </c>
      <c r="U667" s="16" t="n">
        <v>107</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Tray</t>
        </is>
      </c>
      <c r="T668" s="16" t="n">
        <v>931</v>
      </c>
      <c r="U668" s="16" t="n">
        <v>58</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1091</v>
      </c>
      <c r="U669" s="16" t="n">
        <v>58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1251</v>
      </c>
      <c r="U670" s="16" t="n">
        <v>58</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1299</v>
      </c>
      <c r="U671" s="16" t="n">
        <v>86</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Tray</t>
        </is>
      </c>
      <c r="T672" s="16" t="n">
        <v>939</v>
      </c>
      <c r="U672" s="16" t="n">
        <v>61</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1099</v>
      </c>
      <c r="U673" s="16" t="n">
        <v>61</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1259</v>
      </c>
      <c r="U674" s="16" t="n">
        <v>61</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1299</v>
      </c>
      <c r="U675" s="16" t="n">
        <v>70</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313</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556</v>
      </c>
      <c r="U677" s="16" t="n">
        <v>70</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1622</v>
      </c>
      <c r="U678" s="16" t="n">
        <v>114</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1782</v>
      </c>
      <c r="U679" s="16" t="n">
        <v>114</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1262</v>
      </c>
      <c r="U680" s="16" t="n">
        <v>70</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960</v>
      </c>
      <c r="U681" s="16" t="n">
        <v>53</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1120</v>
      </c>
      <c r="U682" s="16" t="n">
        <v>53</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1280</v>
      </c>
      <c r="U683" s="16" t="n">
        <v>53</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R2B</t>
        </is>
      </c>
      <c r="F684" s="12" t="inlineStr">
        <is>
          <t>R2B: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255</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R2C</t>
        </is>
      </c>
      <c r="F685" s="12" t="inlineStr">
        <is>
          <t>R2C: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259</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1115</v>
      </c>
      <c r="U687" s="16" t="n">
        <v>140</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R2B</t>
        </is>
      </c>
      <c r="F688" s="12" t="inlineStr">
        <is>
          <t>R2B: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1141</v>
      </c>
      <c r="U688" s="16" t="n">
        <v>128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R2C</t>
        </is>
      </c>
      <c r="F689" s="12" t="inlineStr">
        <is>
          <t>R2C: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1255</v>
      </c>
      <c r="U689" s="16" t="n">
        <v>100</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R3</t>
        </is>
      </c>
      <c r="F690" s="12" t="inlineStr">
        <is>
          <t>R3: ST auxiliary electrical e-house (40 x 65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Tray</t>
        </is>
      </c>
      <c r="T690" s="16" t="n">
        <v>481</v>
      </c>
      <c r="U690" s="16" t="n">
        <v>86</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459</v>
      </c>
      <c r="U691" s="16" t="n">
        <v>70</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1092</v>
      </c>
      <c r="U693" s="16" t="n">
        <v>153</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953</v>
      </c>
      <c r="U694" s="16" t="n">
        <v>121</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R2B</t>
        </is>
      </c>
      <c r="F695" s="12" t="inlineStr">
        <is>
          <t>R2B: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1149</v>
      </c>
      <c r="U695" s="16" t="n">
        <v>131</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R2C</t>
        </is>
      </c>
      <c r="F696" s="12" t="inlineStr">
        <is>
          <t>R2C: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1263</v>
      </c>
      <c r="U696" s="16" t="n">
        <v>103</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R3</t>
        </is>
      </c>
      <c r="F697" s="12" t="inlineStr">
        <is>
          <t>R3: ST auxiliary electrical e-house (40 x 65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6" t="n">
        <v>489</v>
      </c>
      <c r="U697" s="16" t="n">
        <v>89</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465</v>
      </c>
      <c r="U698" s="16" t="n">
        <v>73</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748</v>
      </c>
      <c r="U699" s="16" t="n">
        <v>58</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691</v>
      </c>
      <c r="U700" s="16" t="n">
        <v>101</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691</v>
      </c>
      <c r="U701" s="16" t="n">
        <v>90</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331</v>
      </c>
      <c r="U702" s="16" t="n">
        <v>137</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748</v>
      </c>
      <c r="U703" s="16" t="n">
        <v>90</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R1</t>
        </is>
      </c>
      <c r="F704" s="12" t="inlineStr">
        <is>
          <t>R1: main electrical building (64 x 180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0</v>
      </c>
      <c r="U704" s="16" t="n">
        <v>79</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R1</t>
        </is>
      </c>
      <c r="F705" s="12" t="inlineStr">
        <is>
          <t>R1: main electrical building (64 x 180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0</v>
      </c>
      <c r="U705" s="16" t="n">
        <v>95</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R1</t>
        </is>
      </c>
      <c r="F706" s="12" t="inlineStr">
        <is>
          <t>R1: main electrical building (64 x 180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0</v>
      </c>
      <c r="U706" s="16" t="n">
        <v>111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Conduit link</t>
        </is>
      </c>
      <c r="T707" s="16" t="n">
        <v>153</v>
      </c>
      <c r="U707" s="16" t="n">
        <v>76</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331</v>
      </c>
      <c r="U708" s="16" t="n">
        <v>99</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748</v>
      </c>
      <c r="U709" s="16" t="n">
        <v>42</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0</v>
      </c>
      <c r="U710" s="16" t="n">
        <v>85</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68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258</v>
      </c>
      <c r="U716" s="16" t="n">
        <v>100</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1196</v>
      </c>
      <c r="U717" s="16" t="n">
        <v>150</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6" t="n">
        <v>1057</v>
      </c>
      <c r="U718" s="16" t="n">
        <v>118</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407</v>
      </c>
      <c r="U719" s="16" t="n">
        <v>82</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1328</v>
      </c>
      <c r="U720" s="16" t="n">
        <v>128</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R3</t>
        </is>
      </c>
      <c r="F721" s="12" t="inlineStr">
        <is>
          <t>R3: ST auxiliary electrical e-house (40 x 65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508</v>
      </c>
      <c r="U721" s="16" t="n">
        <v>86</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1115</v>
      </c>
      <c r="U722" s="16" t="n">
        <v>140</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90</v>
      </c>
      <c r="U724" s="16" t="n">
        <v>70</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90</v>
      </c>
      <c r="U726" s="16" t="n">
        <v>70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R2B</t>
        </is>
      </c>
      <c r="F728" s="12" t="inlineStr">
        <is>
          <t>R2B: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447</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R2B</t>
        </is>
      </c>
      <c r="F730" s="12" t="inlineStr">
        <is>
          <t>R2B: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447</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R2B</t>
        </is>
      </c>
      <c r="F732" s="12" t="inlineStr">
        <is>
          <t>R2B: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447</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R2B</t>
        </is>
      </c>
      <c r="F734" s="12" t="inlineStr">
        <is>
          <t>R2B: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447</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R2B</t>
        </is>
      </c>
      <c r="F736" s="12" t="inlineStr">
        <is>
          <t>R2B: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447</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R2B</t>
        </is>
      </c>
      <c r="F738" s="12" t="inlineStr">
        <is>
          <t>R2B: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447</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R2C</t>
        </is>
      </c>
      <c r="F740" s="12" t="inlineStr">
        <is>
          <t>R2C: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465</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R2C</t>
        </is>
      </c>
      <c r="F742" s="12" t="inlineStr">
        <is>
          <t>R2C: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465</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R2C</t>
        </is>
      </c>
      <c r="F744" s="12" t="inlineStr">
        <is>
          <t>R2C: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465</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R2C</t>
        </is>
      </c>
      <c r="F746" s="12" t="inlineStr">
        <is>
          <t>R2C: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465</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R2C</t>
        </is>
      </c>
      <c r="F748" s="12" t="inlineStr">
        <is>
          <t>R2C: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465</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R2C</t>
        </is>
      </c>
      <c r="F750" s="12" t="inlineStr">
        <is>
          <t>R2C: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465</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R3</t>
        </is>
      </c>
      <c r="F752" s="12" t="inlineStr">
        <is>
          <t>R3: ST auxiliary electrical e-house (40 x 65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585</v>
      </c>
      <c r="U752" s="16" t="n">
        <v>114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R3</t>
        </is>
      </c>
      <c r="F754" s="12" t="inlineStr">
        <is>
          <t>R3: ST auxiliary electrical e-house (40 x 65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585</v>
      </c>
      <c r="U754" s="16" t="n">
        <v>114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R3</t>
        </is>
      </c>
      <c r="F756" s="12" t="inlineStr">
        <is>
          <t>R3: ST auxiliary electrical e-house (40 x 65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585</v>
      </c>
      <c r="U756" s="16" t="n">
        <v>114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R3</t>
        </is>
      </c>
      <c r="F758" s="12" t="inlineStr">
        <is>
          <t>R3: ST auxiliary electrical e-house (40 x 65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585</v>
      </c>
      <c r="U758" s="16" t="n">
        <v>114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R3</t>
        </is>
      </c>
      <c r="F760" s="12" t="inlineStr">
        <is>
          <t>R3: ST auxiliary electrical e-house (40 x 65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585</v>
      </c>
      <c r="U760" s="16" t="n">
        <v>114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R3</t>
        </is>
      </c>
      <c r="F762" s="12" t="inlineStr">
        <is>
          <t>R3: ST auxiliary electrical e-house (40 x 65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585</v>
      </c>
      <c r="U762" s="16" t="n">
        <v>114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R2B</t>
        </is>
      </c>
      <c r="F764" s="12" t="inlineStr">
        <is>
          <t>R2B: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255</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R2B</t>
        </is>
      </c>
      <c r="F766" s="12" t="inlineStr">
        <is>
          <t>R2B: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255</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R2C</t>
        </is>
      </c>
      <c r="F768" s="12" t="inlineStr">
        <is>
          <t>R2C: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259</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R2C</t>
        </is>
      </c>
      <c r="F770" s="12" t="inlineStr">
        <is>
          <t>R2C: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259</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230</v>
      </c>
      <c r="U776" s="16" t="n">
        <v>53</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230</v>
      </c>
      <c r="U778" s="16" t="n">
        <v>53</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36</v>
      </c>
      <c r="U780" s="16" t="n">
        <v>102</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36</v>
      </c>
      <c r="U782" s="16" t="n">
        <v>102</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437</v>
      </c>
      <c r="U783" s="16" t="n">
        <v>62</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437</v>
      </c>
      <c r="U784" s="16" t="n">
        <v>62</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437</v>
      </c>
      <c r="U785" s="16" t="n">
        <v>62</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437</v>
      </c>
      <c r="U786" s="16" t="n">
        <v>62</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437</v>
      </c>
      <c r="U787" s="16" t="n">
        <v>62</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437</v>
      </c>
      <c r="U788" s="16" t="n">
        <v>62</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437</v>
      </c>
      <c r="U789" s="16" t="n">
        <v>62</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437</v>
      </c>
      <c r="U790" s="16" t="n">
        <v>62</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437</v>
      </c>
      <c r="U791" s="16" t="n">
        <v>62</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437</v>
      </c>
      <c r="U792" s="16" t="n">
        <v>62</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1358</v>
      </c>
      <c r="U793" s="16" t="n">
        <v>108</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1358</v>
      </c>
      <c r="U794" s="16" t="n">
        <v>108</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1358</v>
      </c>
      <c r="U795" s="16" t="n">
        <v>108</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1358</v>
      </c>
      <c r="U796" s="16" t="n">
        <v>108</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1358</v>
      </c>
      <c r="U797" s="16" t="n">
        <v>108</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1358</v>
      </c>
      <c r="U798" s="16" t="n">
        <v>108</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1358</v>
      </c>
      <c r="U799" s="16" t="n">
        <v>108</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1358</v>
      </c>
      <c r="U800" s="16" t="n">
        <v>108</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1358</v>
      </c>
      <c r="U801" s="16" t="n">
        <v>108</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1358</v>
      </c>
      <c r="U802" s="16" t="n">
        <v>108</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Tray</t>
        </is>
      </c>
      <c r="T803" s="16" t="n">
        <v>1209</v>
      </c>
      <c r="U803" s="16" t="n">
        <v>58</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Tray</t>
        </is>
      </c>
      <c r="T804" s="16" t="n">
        <v>1209</v>
      </c>
      <c r="U804" s="16" t="n">
        <v>58</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Tray</t>
        </is>
      </c>
      <c r="T805" s="16" t="n">
        <v>1209</v>
      </c>
      <c r="U805" s="16" t="n">
        <v>58</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Tray</t>
        </is>
      </c>
      <c r="T806" s="16" t="n">
        <v>1209</v>
      </c>
      <c r="U806" s="16" t="n">
        <v>58</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Tray</t>
        </is>
      </c>
      <c r="T807" s="16" t="n">
        <v>1209</v>
      </c>
      <c r="U807" s="16" t="n">
        <v>58</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Tray</t>
        </is>
      </c>
      <c r="T808" s="16" t="n">
        <v>1209</v>
      </c>
      <c r="U808" s="16" t="n">
        <v>58</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Tray</t>
        </is>
      </c>
      <c r="T809" s="16" t="n">
        <v>1209</v>
      </c>
      <c r="U809" s="16" t="n">
        <v>58</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Tray</t>
        </is>
      </c>
      <c r="T810" s="16" t="n">
        <v>1209</v>
      </c>
      <c r="U810" s="16" t="n">
        <v>58</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6" t="n">
        <v>1209</v>
      </c>
      <c r="U811" s="16" t="n">
        <v>58</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6" t="n">
        <v>1209</v>
      </c>
      <c r="U812" s="16" t="n">
        <v>58</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R2B</t>
        </is>
      </c>
      <c r="F814" s="12" t="inlineStr">
        <is>
          <t>R2B: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1141</v>
      </c>
      <c r="U814" s="16" t="n">
        <v>128</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R2B</t>
        </is>
      </c>
      <c r="F816" s="12" t="inlineStr">
        <is>
          <t>R2B: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1141</v>
      </c>
      <c r="U816" s="16" t="n">
        <v>128</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R2C</t>
        </is>
      </c>
      <c r="F818" s="12" t="inlineStr">
        <is>
          <t>R2C: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1255</v>
      </c>
      <c r="U818" s="16" t="n">
        <v>100</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R2C</t>
        </is>
      </c>
      <c r="F820" s="12" t="inlineStr">
        <is>
          <t>R2C: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1255</v>
      </c>
      <c r="U820" s="16" t="n">
        <v>100</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R3</t>
        </is>
      </c>
      <c r="F822" s="12" t="inlineStr">
        <is>
          <t>R3: ST auxiliary electrical e-house (40 x 65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Tray</t>
        </is>
      </c>
      <c r="T822" s="16" t="n">
        <v>481</v>
      </c>
      <c r="U822" s="16" t="n">
        <v>86</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R3</t>
        </is>
      </c>
      <c r="F824" s="12" t="inlineStr">
        <is>
          <t>R3: ST auxiliary electrical e-house (40 x 65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Tray</t>
        </is>
      </c>
      <c r="T824" s="16" t="n">
        <v>481</v>
      </c>
      <c r="U824" s="16" t="n">
        <v>86</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459</v>
      </c>
      <c r="U826" s="16" t="n">
        <v>70</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459</v>
      </c>
      <c r="U828" s="16" t="n">
        <v>70</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407</v>
      </c>
      <c r="U830" s="16" t="n">
        <v>62</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407</v>
      </c>
      <c r="U832" s="16" t="n">
        <v>62</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407</v>
      </c>
      <c r="U834" s="16" t="n">
        <v>62</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1328</v>
      </c>
      <c r="U836" s="16" t="n">
        <v>108</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1328</v>
      </c>
      <c r="U838" s="16" t="n">
        <v>108</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1328</v>
      </c>
      <c r="U840" s="16" t="n">
        <v>108</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R3</t>
        </is>
      </c>
      <c r="F842" s="12" t="inlineStr">
        <is>
          <t>R3: ST auxiliary electrical e-house (40 x 65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6" t="n">
        <v>508</v>
      </c>
      <c r="U842" s="16" t="n">
        <v>66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R3</t>
        </is>
      </c>
      <c r="F844" s="12" t="inlineStr">
        <is>
          <t>R3: ST auxiliary electrical e-house (40 x 65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6" t="n">
        <v>508</v>
      </c>
      <c r="U844" s="16" t="n">
        <v>66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R3</t>
        </is>
      </c>
      <c r="F846" s="12" t="inlineStr">
        <is>
          <t>R3: ST auxiliary electrical e-house (40 x 65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508</v>
      </c>
      <c r="U846" s="16" t="n">
        <v>66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R2B</t>
        </is>
      </c>
      <c r="F848" s="12" t="inlineStr">
        <is>
          <t>R2B: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988</v>
      </c>
      <c r="U848" s="16" t="n">
        <v>154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R2B</t>
        </is>
      </c>
      <c r="F850" s="12" t="inlineStr">
        <is>
          <t>R2B: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988</v>
      </c>
      <c r="U850" s="16" t="n">
        <v>154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R2C</t>
        </is>
      </c>
      <c r="F852" s="12" t="inlineStr">
        <is>
          <t>R2C: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1057</v>
      </c>
      <c r="U852" s="16" t="n">
        <v>122</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R2C</t>
        </is>
      </c>
      <c r="F854" s="12" t="inlineStr">
        <is>
          <t>R2C: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1057</v>
      </c>
      <c r="U854" s="16" t="n">
        <v>122</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R3</t>
        </is>
      </c>
      <c r="F856" s="12" t="inlineStr">
        <is>
          <t>R3: ST auxiliary electrical e-house (40 x 65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162</v>
      </c>
      <c r="U856" s="16" t="n">
        <v>96</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R3</t>
        </is>
      </c>
      <c r="F858" s="12" t="inlineStr">
        <is>
          <t>R3: ST auxiliary electrical e-house (40 x 65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162</v>
      </c>
      <c r="U858" s="16" t="n">
        <v>96</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407</v>
      </c>
      <c r="U860" s="16" t="n">
        <v>74</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1328</v>
      </c>
      <c r="U862" s="16" t="n">
        <v>120</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R3</t>
        </is>
      </c>
      <c r="F864" s="12" t="inlineStr">
        <is>
          <t>R3: ST auxiliary electrical e-house (40 x 65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508</v>
      </c>
      <c r="U864" s="16" t="n">
        <v>78</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Duct bank</t>
        </is>
      </c>
      <c r="T866" s="16" t="n">
        <v>438</v>
      </c>
      <c r="U866" s="16" t="n">
        <v>85</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R2B</t>
        </is>
      </c>
      <c r="F868" s="12" t="inlineStr">
        <is>
          <t>R2B: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1010</v>
      </c>
      <c r="U868" s="16" t="n">
        <v>144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R2B</t>
        </is>
      </c>
      <c r="F870" s="12" t="inlineStr">
        <is>
          <t>R2B: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1010</v>
      </c>
      <c r="U870" s="16" t="n">
        <v>144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R2C</t>
        </is>
      </c>
      <c r="F872" s="12" t="inlineStr">
        <is>
          <t>R2C: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1035</v>
      </c>
      <c r="U872" s="16" t="n">
        <v>112</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R2C</t>
        </is>
      </c>
      <c r="F874" s="12" t="inlineStr">
        <is>
          <t>R2C: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1035</v>
      </c>
      <c r="U874" s="16" t="n">
        <v>112</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R3</t>
        </is>
      </c>
      <c r="F876" s="12" t="inlineStr">
        <is>
          <t>R3: ST auxiliary electrical e-house (40 x 65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150</v>
      </c>
      <c r="U876" s="16" t="n">
        <v>70</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R3</t>
        </is>
      </c>
      <c r="F878" s="12" t="inlineStr">
        <is>
          <t>R3: ST auxiliary electrical e-house (40 x 65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150</v>
      </c>
      <c r="U878" s="16" t="n">
        <v>70</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91</v>
      </c>
      <c r="U880" s="16" t="n">
        <v>113</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91</v>
      </c>
      <c r="U882" s="16" t="n">
        <v>113</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437</v>
      </c>
      <c r="U884" s="16" t="n">
        <v>100</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437</v>
      </c>
      <c r="U886" s="16" t="n">
        <v>100</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395</v>
      </c>
      <c r="U888" s="16" t="n">
        <v>130</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395</v>
      </c>
      <c r="U890" s="16" t="n">
        <v>130</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1358</v>
      </c>
      <c r="U892" s="16" t="n">
        <v>146</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1358</v>
      </c>
      <c r="U894" s="16" t="n">
        <v>146</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Tray</t>
        </is>
      </c>
      <c r="T896" s="16" t="n">
        <v>1315</v>
      </c>
      <c r="U896" s="16" t="n">
        <v>176</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6" t="n">
        <v>1315</v>
      </c>
      <c r="U898" s="16" t="n">
        <v>176</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R3</t>
        </is>
      </c>
      <c r="F900" s="12" t="inlineStr">
        <is>
          <t>R3: ST auxiliary electrical e-house (40 x 65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489</v>
      </c>
      <c r="U900" s="16" t="n">
        <v>64</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R3</t>
        </is>
      </c>
      <c r="F902" s="12" t="inlineStr">
        <is>
          <t>R3: ST auxiliary electrical e-house (40 x 65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489</v>
      </c>
      <c r="U902" s="16" t="n">
        <v>64</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R3</t>
        </is>
      </c>
      <c r="F904" s="12" t="inlineStr">
        <is>
          <t>R3: ST auxiliary electrical e-house (40 x 65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452</v>
      </c>
      <c r="U904" s="16" t="n">
        <v>67</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R3</t>
        </is>
      </c>
      <c r="F906" s="12" t="inlineStr">
        <is>
          <t>R3: ST auxiliary electrical e-house (40 x 65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452</v>
      </c>
      <c r="U906" s="16" t="n">
        <v>67</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399</v>
      </c>
      <c r="U908" s="16" t="n">
        <v>73</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399</v>
      </c>
      <c r="U910" s="16" t="n">
        <v>73</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387</v>
      </c>
      <c r="U912" s="16" t="n">
        <v>58</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387</v>
      </c>
      <c r="U914" s="16" t="n">
        <v>58</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R2B</t>
        </is>
      </c>
      <c r="F916" s="12" t="inlineStr">
        <is>
          <t>R2B: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1002</v>
      </c>
      <c r="U916" s="16" t="n">
        <v>169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R2B</t>
        </is>
      </c>
      <c r="F918" s="12" t="inlineStr">
        <is>
          <t>R2B: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1002</v>
      </c>
      <c r="U918" s="16" t="n">
        <v>169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R2B</t>
        </is>
      </c>
      <c r="F920" s="12" t="inlineStr">
        <is>
          <t>R2B: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1002</v>
      </c>
      <c r="U920" s="16" t="n">
        <v>169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R2B</t>
        </is>
      </c>
      <c r="F922" s="12" t="inlineStr">
        <is>
          <t>R2B: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1002</v>
      </c>
      <c r="U922" s="16" t="n">
        <v>169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R2B</t>
        </is>
      </c>
      <c r="F924" s="12" t="inlineStr">
        <is>
          <t>R2B: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1168</v>
      </c>
      <c r="U924" s="16" t="n">
        <v>124</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R2B</t>
        </is>
      </c>
      <c r="F926" s="12" t="inlineStr">
        <is>
          <t>R2B: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1168</v>
      </c>
      <c r="U926" s="16" t="n">
        <v>124</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R2C</t>
        </is>
      </c>
      <c r="F955" s="12" t="inlineStr">
        <is>
          <t>R2C: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1071</v>
      </c>
      <c r="U955" s="16" t="n">
        <v>137</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R2C</t>
        </is>
      </c>
      <c r="F957" s="12" t="inlineStr">
        <is>
          <t>R2C: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1071</v>
      </c>
      <c r="U957" s="16" t="n">
        <v>137</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R2C</t>
        </is>
      </c>
      <c r="F959" s="12" t="inlineStr">
        <is>
          <t>R2C: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1071</v>
      </c>
      <c r="U959" s="16" t="n">
        <v>137</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R2C</t>
        </is>
      </c>
      <c r="F961" s="12" t="inlineStr">
        <is>
          <t>R2C: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1071</v>
      </c>
      <c r="U961" s="16" t="n">
        <v>137</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R2C</t>
        </is>
      </c>
      <c r="F963" s="12" t="inlineStr">
        <is>
          <t>R2C: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1282</v>
      </c>
      <c r="U963" s="16" t="n">
        <v>96</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R2C</t>
        </is>
      </c>
      <c r="F965" s="12" t="inlineStr">
        <is>
          <t>R2C: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1282</v>
      </c>
      <c r="U965" s="16" t="n">
        <v>96</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1092</v>
      </c>
      <c r="U967" s="16" t="n">
        <v>153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1092</v>
      </c>
      <c r="U969" s="16" t="n">
        <v>153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1092</v>
      </c>
      <c r="U971" s="16" t="n">
        <v>153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1092</v>
      </c>
      <c r="U973" s="16" t="n">
        <v>153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1092</v>
      </c>
      <c r="U975" s="16" t="n">
        <v>153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1092</v>
      </c>
      <c r="U977" s="16" t="n">
        <v>153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1092</v>
      </c>
      <c r="U979" s="16" t="n">
        <v>153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1092</v>
      </c>
      <c r="U981" s="16" t="n">
        <v>153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1092</v>
      </c>
      <c r="U983" s="16" t="n">
        <v>153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1092</v>
      </c>
      <c r="U985" s="16" t="n">
        <v>153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1092</v>
      </c>
      <c r="U987" s="16" t="n">
        <v>153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1092</v>
      </c>
      <c r="U989" s="16" t="n">
        <v>153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1092</v>
      </c>
      <c r="U991" s="16" t="n">
        <v>153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1092</v>
      </c>
      <c r="U992" s="16" t="n">
        <v>153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R3</t>
        </is>
      </c>
      <c r="F994" s="12" t="inlineStr">
        <is>
          <t>R3: ST auxiliary electrical e-house (40 x 65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180</v>
      </c>
      <c r="U994" s="16" t="n">
        <v>106</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R3</t>
        </is>
      </c>
      <c r="F996" s="12" t="inlineStr">
        <is>
          <t>R3: ST auxiliary electrical e-house (40 x 65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180</v>
      </c>
      <c r="U996" s="16" t="n">
        <v>106</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R3</t>
        </is>
      </c>
      <c r="F998" s="12" t="inlineStr">
        <is>
          <t>R3: ST auxiliary electrical e-house (40 x 65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180</v>
      </c>
      <c r="U998" s="16" t="n">
        <v>106</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R3</t>
        </is>
      </c>
      <c r="F1000" s="12" t="inlineStr">
        <is>
          <t>R3: ST auxiliary electrical e-house (40 x 65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180</v>
      </c>
      <c r="U1000" s="16" t="n">
        <v>106</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R3</t>
        </is>
      </c>
      <c r="F1002" s="12" t="inlineStr">
        <is>
          <t>R3: ST auxiliary electrical e-house (40 x 65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458</v>
      </c>
      <c r="U1002" s="16" t="n">
        <v>63</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R3</t>
        </is>
      </c>
      <c r="F1004" s="12" t="inlineStr">
        <is>
          <t>R3: ST auxiliary electrical e-house (40 x 65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458</v>
      </c>
      <c r="U1004" s="16" t="n">
        <v>63</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953</v>
      </c>
      <c r="U1006" s="16" t="n">
        <v>121</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953</v>
      </c>
      <c r="U1008" s="16" t="n">
        <v>121</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953</v>
      </c>
      <c r="U1010" s="16" t="n">
        <v>121</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953</v>
      </c>
      <c r="U1012" s="16" t="n">
        <v>121</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953</v>
      </c>
      <c r="U1014" s="16" t="n">
        <v>121</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953</v>
      </c>
      <c r="U1016" s="16" t="n">
        <v>121</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953</v>
      </c>
      <c r="U1018" s="16" t="n">
        <v>121</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953</v>
      </c>
      <c r="U1020" s="16" t="n">
        <v>121</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953</v>
      </c>
      <c r="U1022" s="16" t="n">
        <v>121</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953</v>
      </c>
      <c r="U1024" s="16" t="n">
        <v>121</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953</v>
      </c>
      <c r="U1026" s="16" t="n">
        <v>121</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953</v>
      </c>
      <c r="U1028" s="16" t="n">
        <v>121</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953</v>
      </c>
      <c r="U1030" s="16" t="n">
        <v>121</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953</v>
      </c>
      <c r="U1031" s="16" t="n">
        <v>121</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401</v>
      </c>
      <c r="U1033" s="16" t="n">
        <v>85</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401</v>
      </c>
      <c r="U1035" s="16" t="n">
        <v>85</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401</v>
      </c>
      <c r="U1037" s="16" t="n">
        <v>85</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401</v>
      </c>
      <c r="U1039" s="16" t="n">
        <v>85</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401</v>
      </c>
      <c r="U1041" s="16" t="n">
        <v>85</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401</v>
      </c>
      <c r="U1042" s="16" t="n">
        <v>85</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1321</v>
      </c>
      <c r="U1044" s="16" t="n">
        <v>131</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1321</v>
      </c>
      <c r="U1046" s="16" t="n">
        <v>131</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1321</v>
      </c>
      <c r="U1048" s="16" t="n">
        <v>131</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1321</v>
      </c>
      <c r="U1050" s="16" t="n">
        <v>131</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1321</v>
      </c>
      <c r="U1052" s="16" t="n">
        <v>131</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1321</v>
      </c>
      <c r="U1053" s="16" t="n">
        <v>131</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R3</t>
        </is>
      </c>
      <c r="F1055" s="12" t="inlineStr">
        <is>
          <t>R3: ST auxiliary electrical e-house (40 x 65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Tray</t>
        </is>
      </c>
      <c r="T1055" s="16" t="n">
        <v>501</v>
      </c>
      <c r="U1055" s="16" t="n">
        <v>89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R3</t>
        </is>
      </c>
      <c r="F1057" s="12" t="inlineStr">
        <is>
          <t>R3: ST auxiliary electrical e-house (40 x 65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Tray</t>
        </is>
      </c>
      <c r="T1057" s="16" t="n">
        <v>501</v>
      </c>
      <c r="U1057" s="16" t="n">
        <v>89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R3</t>
        </is>
      </c>
      <c r="F1059" s="12" t="inlineStr">
        <is>
          <t>R3: ST auxiliary electrical e-house (40 x 65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Tray</t>
        </is>
      </c>
      <c r="T1059" s="16" t="n">
        <v>501</v>
      </c>
      <c r="U1059" s="16" t="n">
        <v>89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R3</t>
        </is>
      </c>
      <c r="F1061" s="12" t="inlineStr">
        <is>
          <t>R3: ST auxiliary electrical e-house (40 x 65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Tray</t>
        </is>
      </c>
      <c r="T1061" s="16" t="n">
        <v>501</v>
      </c>
      <c r="U1061" s="16" t="n">
        <v>89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R3</t>
        </is>
      </c>
      <c r="F1063" s="12" t="inlineStr">
        <is>
          <t>R3: ST auxiliary electrical e-house (40 x 65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6" t="n">
        <v>501</v>
      </c>
      <c r="U1063" s="16" t="n">
        <v>89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R3</t>
        </is>
      </c>
      <c r="F1064" s="12" t="inlineStr">
        <is>
          <t>R3: ST auxiliary electrical e-house (40 x 65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Tray</t>
        </is>
      </c>
      <c r="T1064" s="16" t="n">
        <v>501</v>
      </c>
      <c r="U1064" s="16" t="n">
        <v>89</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R2B</t>
        </is>
      </c>
      <c r="F1102" s="12" t="inlineStr">
        <is>
          <t>R2B: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367</v>
      </c>
      <c r="U1102" s="16" t="n">
        <v>115</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R2B</t>
        </is>
      </c>
      <c r="F1104" s="12" t="inlineStr">
        <is>
          <t>R2B: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367</v>
      </c>
      <c r="U1104" s="16" t="n">
        <v>115</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R2C</t>
        </is>
      </c>
      <c r="F1142" s="12" t="inlineStr">
        <is>
          <t>R2C: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367</v>
      </c>
      <c r="U1142" s="16" t="n">
        <v>115</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R2C</t>
        </is>
      </c>
      <c r="F1144" s="12" t="inlineStr">
        <is>
          <t>R2C: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367</v>
      </c>
      <c r="U1144" s="16" t="n">
        <v>115</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R3</t>
        </is>
      </c>
      <c r="F1182" s="12" t="inlineStr">
        <is>
          <t>R3: ST auxiliary electrical e-house (40 x 65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512</v>
      </c>
      <c r="U1182" s="16" t="n">
        <v>150</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R3</t>
        </is>
      </c>
      <c r="F1184" s="12" t="inlineStr">
        <is>
          <t>R3: ST auxiliary electrical e-house (40 x 65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512</v>
      </c>
      <c r="U1184" s="16" t="n">
        <v>150</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831</v>
      </c>
      <c r="U1186" s="16" t="n">
        <v>38</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831</v>
      </c>
      <c r="U1188" s="16" t="n">
        <v>38</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831</v>
      </c>
      <c r="U1190" s="16" t="n">
        <v>60</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831</v>
      </c>
      <c r="U1192" s="16" t="n">
        <v>60</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R2B</t>
        </is>
      </c>
      <c r="F1194" s="12" t="inlineStr">
        <is>
          <t>R2B: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1149</v>
      </c>
      <c r="U1194" s="16" t="n">
        <v>131</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R2B</t>
        </is>
      </c>
      <c r="F1196" s="12" t="inlineStr">
        <is>
          <t>R2B: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1149</v>
      </c>
      <c r="U1196" s="16" t="n">
        <v>131</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R2C</t>
        </is>
      </c>
      <c r="F1198" s="12" t="inlineStr">
        <is>
          <t>R2C: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1263</v>
      </c>
      <c r="U1198" s="16" t="n">
        <v>103</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R2C</t>
        </is>
      </c>
      <c r="F1200" s="12" t="inlineStr">
        <is>
          <t>R2C: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1263</v>
      </c>
      <c r="U1200" s="16" t="n">
        <v>103</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R3</t>
        </is>
      </c>
      <c r="F1202" s="12" t="inlineStr">
        <is>
          <t>R3: ST auxiliary electrical e-house (40 x 65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6" t="n">
        <v>489</v>
      </c>
      <c r="U1202" s="16" t="n">
        <v>89</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R3</t>
        </is>
      </c>
      <c r="F1204" s="12" t="inlineStr">
        <is>
          <t>R3: ST auxiliary electrical e-house (40 x 65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489</v>
      </c>
      <c r="U1204" s="16" t="n">
        <v>89</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465</v>
      </c>
      <c r="U1206" s="16" t="n">
        <v>73</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465</v>
      </c>
      <c r="U1208" s="16" t="n">
        <v>73</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780</v>
      </c>
      <c r="U1211" s="16" t="n">
        <v>58</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R2B</t>
        </is>
      </c>
      <c r="F1213" s="12" t="inlineStr">
        <is>
          <t>R2B: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381</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R2B</t>
        </is>
      </c>
      <c r="F1215" s="12" t="inlineStr">
        <is>
          <t>R2B: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381</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R2C</t>
        </is>
      </c>
      <c r="F1217" s="12" t="inlineStr">
        <is>
          <t>R2C: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381</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R2C</t>
        </is>
      </c>
      <c r="F1219" s="12" t="inlineStr">
        <is>
          <t>R2C: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381</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R3</t>
        </is>
      </c>
      <c r="F1221" s="12" t="inlineStr">
        <is>
          <t>R3: ST auxiliary electrical e-house (40 x 65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510</v>
      </c>
      <c r="U1221" s="16" t="n">
        <v>114</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R3</t>
        </is>
      </c>
      <c r="F1223" s="12" t="inlineStr">
        <is>
          <t>R3: ST auxiliary electrical e-house (40 x 65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510</v>
      </c>
      <c r="U1223" s="16" t="n">
        <v>114</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R2B</t>
        </is>
      </c>
      <c r="F1225" s="12" t="inlineStr">
        <is>
          <t>R2B: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1217</v>
      </c>
      <c r="U1225" s="16" t="n">
        <v>152</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R2B</t>
        </is>
      </c>
      <c r="F1227" s="12" t="inlineStr">
        <is>
          <t>R2B: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1217</v>
      </c>
      <c r="U1227" s="16" t="n">
        <v>152</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R2C</t>
        </is>
      </c>
      <c r="F1229" s="12" t="inlineStr">
        <is>
          <t>R2C: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1209</v>
      </c>
      <c r="U1229" s="16" t="n">
        <v>102</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R2C</t>
        </is>
      </c>
      <c r="F1231" s="12" t="inlineStr">
        <is>
          <t>R2C: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1209</v>
      </c>
      <c r="U1231" s="16" t="n">
        <v>102</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R3</t>
        </is>
      </c>
      <c r="F1233" s="12" t="inlineStr">
        <is>
          <t>R3: ST auxiliary electrical e-house (40 x 65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Duct bank</t>
        </is>
      </c>
      <c r="T1233" s="16" t="n">
        <v>438</v>
      </c>
      <c r="U1233" s="16" t="n">
        <v>75</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R3</t>
        </is>
      </c>
      <c r="F1235" s="12" t="inlineStr">
        <is>
          <t>R3: ST auxiliary electrical e-house (40 x 65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Duct bank</t>
        </is>
      </c>
      <c r="T1235" s="16" t="n">
        <v>438</v>
      </c>
      <c r="U1235" s="16" t="n">
        <v>75</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258</v>
      </c>
      <c r="U1237" s="16" t="n">
        <v>100</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258</v>
      </c>
      <c r="U1239" s="16" t="n">
        <v>100</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1196</v>
      </c>
      <c r="U1241" s="16" t="n">
        <v>150</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1196</v>
      </c>
      <c r="U1243" s="16" t="n">
        <v>150</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Tray</t>
        </is>
      </c>
      <c r="T1245" s="16" t="n">
        <v>1057</v>
      </c>
      <c r="U1245" s="16" t="n">
        <v>118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Tray</t>
        </is>
      </c>
      <c r="T1247" s="16" t="n">
        <v>1057</v>
      </c>
      <c r="U1247" s="16" t="n">
        <v>118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407</v>
      </c>
      <c r="U1249" s="16" t="n">
        <v>82</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407</v>
      </c>
      <c r="U1251" s="16" t="n">
        <v>82</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1328</v>
      </c>
      <c r="U1253" s="16" t="n">
        <v>128</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1328</v>
      </c>
      <c r="U1255" s="16" t="n">
        <v>128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R3</t>
        </is>
      </c>
      <c r="F1257" s="12" t="inlineStr">
        <is>
          <t>R3: ST auxiliary electrical e-house (40 x 65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508</v>
      </c>
      <c r="U1257" s="16" t="n">
        <v>86</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R3</t>
        </is>
      </c>
      <c r="F1259" s="12" t="inlineStr">
        <is>
          <t>R3: ST auxiliary electrical e-house (40 x 65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508</v>
      </c>
      <c r="U1259" s="16" t="n">
        <v>86</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91</v>
      </c>
      <c r="U1261" s="16" t="n">
        <v>70</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91</v>
      </c>
      <c r="U1263" s="16" t="n">
        <v>70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91</v>
      </c>
      <c r="U1265" s="16" t="n">
        <v>70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91</v>
      </c>
      <c r="U1267" s="16" t="n">
        <v>70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14</v>
      </c>
      <c r="U1269" s="16" t="n">
        <v>78</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6" t="n">
        <v>14</v>
      </c>
      <c r="U1271" s="16" t="n">
        <v>78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6" t="n">
        <v>14</v>
      </c>
      <c r="U1273" s="16" t="n">
        <v>78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14</v>
      </c>
      <c r="U1275" s="16" t="n">
        <v>78</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14</v>
      </c>
      <c r="U1277" s="16" t="n">
        <v>78</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14</v>
      </c>
      <c r="U1279" s="16" t="n">
        <v>78</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14</v>
      </c>
      <c r="U1281" s="16" t="n">
        <v>78</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6" t="n">
        <v>14</v>
      </c>
      <c r="U1283" s="16" t="n">
        <v>78</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6" t="n">
        <v>14</v>
      </c>
      <c r="U1285" s="16" t="n">
        <v>78</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6" t="n">
        <v>14</v>
      </c>
      <c r="U1287" s="16" t="n">
        <v>78</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6" t="n">
        <v>14</v>
      </c>
      <c r="U1289" s="16" t="n">
        <v>78</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6" t="n">
        <v>14</v>
      </c>
      <c r="U1291" s="16" t="n">
        <v>78</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6" t="n">
        <v>14</v>
      </c>
      <c r="U1293" s="16" t="n">
        <v>78</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Tray</t>
        </is>
      </c>
      <c r="T1295" s="16" t="n">
        <v>14</v>
      </c>
      <c r="U1295" s="16" t="n">
        <v>78</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Tray</t>
        </is>
      </c>
      <c r="T1297" s="16" t="n">
        <v>14</v>
      </c>
      <c r="U1297" s="16" t="n">
        <v>78</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Tray</t>
        </is>
      </c>
      <c r="T1298" s="16" t="n">
        <v>14</v>
      </c>
      <c r="U1298" s="16" t="n">
        <v>78</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465</v>
      </c>
      <c r="U1300" s="16" t="n">
        <v>82</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465</v>
      </c>
      <c r="U1302" s="16" t="n">
        <v>82</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Tray</t>
        </is>
      </c>
      <c r="T1304" s="16" t="n">
        <v>465</v>
      </c>
      <c r="U1304" s="16" t="n">
        <v>82</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Tray</t>
        </is>
      </c>
      <c r="T1306" s="16" t="n">
        <v>465</v>
      </c>
      <c r="U1306" s="16" t="n">
        <v>82</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Tray</t>
        </is>
      </c>
      <c r="T1308" s="16" t="n">
        <v>465</v>
      </c>
      <c r="U1308" s="16" t="n">
        <v>82</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Tray</t>
        </is>
      </c>
      <c r="T1309" s="16" t="n">
        <v>465</v>
      </c>
      <c r="U1309" s="16" t="n">
        <v>82</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230</v>
      </c>
      <c r="U1311" s="16" t="n">
        <v>50</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230</v>
      </c>
      <c r="U1313" s="16" t="n">
        <v>50</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230</v>
      </c>
      <c r="U1315" s="16" t="n">
        <v>50</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Tray</t>
        </is>
      </c>
      <c r="T1329" s="16" t="n">
        <v>2</v>
      </c>
      <c r="U1329" s="16" t="n">
        <v>109</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Tray</t>
        </is>
      </c>
      <c r="T1331" s="16" t="n">
        <v>2</v>
      </c>
      <c r="U1331" s="16" t="n">
        <v>109</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843</v>
      </c>
      <c r="U1333" s="16" t="n">
        <v>38</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843</v>
      </c>
      <c r="U1335" s="16" t="n">
        <v>38</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865</v>
      </c>
      <c r="U1337" s="16" t="n">
        <v>38</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865</v>
      </c>
      <c r="U1339" s="16" t="n">
        <v>38</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1115</v>
      </c>
      <c r="U1341" s="16" t="n">
        <v>140</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991</v>
      </c>
      <c r="U1342" s="16" t="n">
        <v>112</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465</v>
      </c>
      <c r="U1343" s="16" t="n">
        <v>103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R2B</t>
        </is>
      </c>
      <c r="F1345" s="12" t="inlineStr">
        <is>
          <t>R2B: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1271</v>
      </c>
      <c r="U1345" s="16" t="n">
        <v>129</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R2B</t>
        </is>
      </c>
      <c r="F1347" s="12" t="inlineStr">
        <is>
          <t>R2B: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1271</v>
      </c>
      <c r="U1347" s="16" t="n">
        <v>129</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R2C</t>
        </is>
      </c>
      <c r="F1349" s="12" t="inlineStr">
        <is>
          <t>R2C: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1282</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R2C</t>
        </is>
      </c>
      <c r="F1351" s="12" t="inlineStr">
        <is>
          <t>R2C: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1282</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R3</t>
        </is>
      </c>
      <c r="F1353" s="12" t="inlineStr">
        <is>
          <t>R3: ST auxiliary electrical e-house (40 x 65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452</v>
      </c>
      <c r="U1353" s="16" t="n">
        <v>50</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R3</t>
        </is>
      </c>
      <c r="F1355" s="12" t="inlineStr">
        <is>
          <t>R3: ST auxiliary electrical e-house (40 x 65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452</v>
      </c>
      <c r="U1355" s="16" t="n">
        <v>50</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1121</v>
      </c>
      <c r="U1361" s="16" t="n">
        <v>144</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1121</v>
      </c>
      <c r="U1363" s="16" t="n">
        <v>144</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991</v>
      </c>
      <c r="U1365" s="16" t="n">
        <v>139</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991</v>
      </c>
      <c r="U1367" s="16" t="n">
        <v>139</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90</v>
      </c>
      <c r="U1368" s="16" t="n">
        <v>70</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90</v>
      </c>
      <c r="U1369" s="16" t="n">
        <v>70</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90</v>
      </c>
      <c r="U1370" s="16" t="n">
        <v>70</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R2B</t>
        </is>
      </c>
      <c r="F1371" s="12" t="inlineStr">
        <is>
          <t>R2B: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447</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2.2 %</t>
        </is>
      </c>
      <c r="AA1371" s="12">
        <f>N1371*O1371</f>
        <v/>
      </c>
    </row>
    <row r="1372">
      <c r="A1372" s="12" t="inlineStr">
        <is>
          <t>A-P-0005</t>
        </is>
      </c>
      <c r="B1372" s="12" t="inlineStr">
        <is>
          <t>A</t>
        </is>
      </c>
      <c r="C1372" s="12" t="inlineStr">
        <is>
          <t>Power block</t>
        </is>
      </c>
      <c r="D1372" s="12" t="inlineStr">
        <is>
          <t>Motor 2 of 4, 15 kW</t>
        </is>
      </c>
      <c r="E1372" s="12" t="inlineStr">
        <is>
          <t>R2B</t>
        </is>
      </c>
      <c r="F1372" s="12" t="inlineStr">
        <is>
          <t>R2B: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447</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2.2 %</t>
        </is>
      </c>
      <c r="AA1372" s="12">
        <f>N1372*O1372</f>
        <v/>
      </c>
    </row>
    <row r="1373">
      <c r="A1373" s="12" t="inlineStr">
        <is>
          <t>A-P-0006</t>
        </is>
      </c>
      <c r="B1373" s="12" t="inlineStr">
        <is>
          <t>A</t>
        </is>
      </c>
      <c r="C1373" s="12" t="inlineStr">
        <is>
          <t>Power block</t>
        </is>
      </c>
      <c r="D1373" s="12" t="inlineStr">
        <is>
          <t>Motor 3 of 4, 15 kW</t>
        </is>
      </c>
      <c r="E1373" s="12" t="inlineStr">
        <is>
          <t>R2B</t>
        </is>
      </c>
      <c r="F1373" s="12" t="inlineStr">
        <is>
          <t>R2B: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447</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2.2 %</t>
        </is>
      </c>
      <c r="AA1373" s="12">
        <f>N1373*O1373</f>
        <v/>
      </c>
    </row>
    <row r="1374">
      <c r="A1374" s="12" t="inlineStr">
        <is>
          <t>A-P-0007</t>
        </is>
      </c>
      <c r="B1374" s="12" t="inlineStr">
        <is>
          <t>A</t>
        </is>
      </c>
      <c r="C1374" s="12" t="inlineStr">
        <is>
          <t>Power block</t>
        </is>
      </c>
      <c r="D1374" s="12" t="inlineStr">
        <is>
          <t>Motor 4 of 4, 15 kW</t>
        </is>
      </c>
      <c r="E1374" s="12" t="inlineStr">
        <is>
          <t>R2B</t>
        </is>
      </c>
      <c r="F1374" s="12" t="inlineStr">
        <is>
          <t>R2B: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447</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2.2 %</t>
        </is>
      </c>
      <c r="AA1374" s="12">
        <f>N1374*O1374</f>
        <v/>
      </c>
    </row>
    <row r="1375">
      <c r="A1375" s="12" t="inlineStr">
        <is>
          <t>A-P-0008</t>
        </is>
      </c>
      <c r="B1375" s="12" t="inlineStr">
        <is>
          <t>A</t>
        </is>
      </c>
      <c r="C1375" s="12" t="inlineStr">
        <is>
          <t>Power block</t>
        </is>
      </c>
      <c r="D1375" s="12" t="inlineStr">
        <is>
          <t>Motor 1 of 4, 15 kW</t>
        </is>
      </c>
      <c r="E1375" s="12" t="inlineStr">
        <is>
          <t>R2C</t>
        </is>
      </c>
      <c r="F1375" s="12" t="inlineStr">
        <is>
          <t>R2C: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465</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R2C</t>
        </is>
      </c>
      <c r="F1376" s="12" t="inlineStr">
        <is>
          <t>R2C: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465</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R2C</t>
        </is>
      </c>
      <c r="F1377" s="12" t="inlineStr">
        <is>
          <t>R2C: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465</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R2C</t>
        </is>
      </c>
      <c r="F1378" s="12" t="inlineStr">
        <is>
          <t>R2C: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465</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R3</t>
        </is>
      </c>
      <c r="F1379" s="12" t="inlineStr">
        <is>
          <t>R3: ST auxiliary electrical e-house (40 x 65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585</v>
      </c>
      <c r="U1379" s="16" t="n">
        <v>114</v>
      </c>
      <c r="V1379" s="16">
        <f>ROUNDUP((T1379+U1379+2*'Read Me'!$B$13)*(1+'Read Me'!$B$12),-1)</f>
        <v/>
      </c>
      <c r="W1379" s="16">
        <f>V1379*N1379*O1379</f>
        <v/>
      </c>
      <c r="X1379" s="12">
        <f>IF(LEFT(I1379,2)="MV",2*N1379*IF(L1379="1/C",O1379,1),0)</f>
        <v/>
      </c>
      <c r="Y1379" s="12">
        <f>IF(OR(LEFT(K1379,4)="LVAX",LEFT(K1379,6)="MV15AX",LEFT(K1379,4)="CTAX",LEFT(K1379,2)="W|"),2*N1379*O1379,0)</f>
        <v/>
      </c>
      <c r="Z1379" s="12" t="inlineStr">
        <is>
          <t>VD 2.9 %</t>
        </is>
      </c>
      <c r="AA1379" s="12">
        <f>N1379*O1379</f>
        <v/>
      </c>
    </row>
    <row r="1380">
      <c r="A1380" s="12" t="inlineStr">
        <is>
          <t>A-P-0013</t>
        </is>
      </c>
      <c r="B1380" s="12" t="inlineStr">
        <is>
          <t>A</t>
        </is>
      </c>
      <c r="C1380" s="12" t="inlineStr">
        <is>
          <t>Power block</t>
        </is>
      </c>
      <c r="D1380" s="12" t="inlineStr">
        <is>
          <t>Motor 2 of 4, 15 kW</t>
        </is>
      </c>
      <c r="E1380" s="12" t="inlineStr">
        <is>
          <t>R3</t>
        </is>
      </c>
      <c r="F1380" s="12" t="inlineStr">
        <is>
          <t>R3: ST auxiliary electrical e-house (40 x 65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585</v>
      </c>
      <c r="U1380" s="16" t="n">
        <v>114</v>
      </c>
      <c r="V1380" s="16">
        <f>ROUNDUP((T1380+U1380+2*'Read Me'!$B$13)*(1+'Read Me'!$B$12),-1)</f>
        <v/>
      </c>
      <c r="W1380" s="16">
        <f>V1380*N1380*O1380</f>
        <v/>
      </c>
      <c r="X1380" s="12">
        <f>IF(LEFT(I1380,2)="MV",2*N1380*IF(L1380="1/C",O1380,1),0)</f>
        <v/>
      </c>
      <c r="Y1380" s="12">
        <f>IF(OR(LEFT(K1380,4)="LVAX",LEFT(K1380,6)="MV15AX",LEFT(K1380,4)="CTAX",LEFT(K1380,2)="W|"),2*N1380*O1380,0)</f>
        <v/>
      </c>
      <c r="Z1380" s="12" t="inlineStr">
        <is>
          <t>VD 2.9 %</t>
        </is>
      </c>
      <c r="AA1380" s="12">
        <f>N1380*O1380</f>
        <v/>
      </c>
    </row>
    <row r="1381">
      <c r="A1381" s="12" t="inlineStr">
        <is>
          <t>A-P-0014</t>
        </is>
      </c>
      <c r="B1381" s="12" t="inlineStr">
        <is>
          <t>A</t>
        </is>
      </c>
      <c r="C1381" s="12" t="inlineStr">
        <is>
          <t>Power block</t>
        </is>
      </c>
      <c r="D1381" s="12" t="inlineStr">
        <is>
          <t>Motor 3 of 4, 15 kW</t>
        </is>
      </c>
      <c r="E1381" s="12" t="inlineStr">
        <is>
          <t>R3</t>
        </is>
      </c>
      <c r="F1381" s="12" t="inlineStr">
        <is>
          <t>R3: ST auxiliary electrical e-house (40 x 65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585</v>
      </c>
      <c r="U1381" s="16" t="n">
        <v>114</v>
      </c>
      <c r="V1381" s="16">
        <f>ROUNDUP((T1381+U1381+2*'Read Me'!$B$13)*(1+'Read Me'!$B$12),-1)</f>
        <v/>
      </c>
      <c r="W1381" s="16">
        <f>V1381*N1381*O1381</f>
        <v/>
      </c>
      <c r="X1381" s="12">
        <f>IF(LEFT(I1381,2)="MV",2*N1381*IF(L1381="1/C",O1381,1),0)</f>
        <v/>
      </c>
      <c r="Y1381" s="12">
        <f>IF(OR(LEFT(K1381,4)="LVAX",LEFT(K1381,6)="MV15AX",LEFT(K1381,4)="CTAX",LEFT(K1381,2)="W|"),2*N1381*O1381,0)</f>
        <v/>
      </c>
      <c r="Z1381" s="12" t="inlineStr">
        <is>
          <t>VD 2.9 %</t>
        </is>
      </c>
      <c r="AA1381" s="12">
        <f>N1381*O1381</f>
        <v/>
      </c>
    </row>
    <row r="1382">
      <c r="A1382" s="12" t="inlineStr">
        <is>
          <t>A-P-0015</t>
        </is>
      </c>
      <c r="B1382" s="12" t="inlineStr">
        <is>
          <t>A</t>
        </is>
      </c>
      <c r="C1382" s="12" t="inlineStr">
        <is>
          <t>Power block</t>
        </is>
      </c>
      <c r="D1382" s="12" t="inlineStr">
        <is>
          <t>Motor 4 of 4, 15 kW</t>
        </is>
      </c>
      <c r="E1382" s="12" t="inlineStr">
        <is>
          <t>R3</t>
        </is>
      </c>
      <c r="F1382" s="12" t="inlineStr">
        <is>
          <t>R3: ST auxiliary electrical e-house (40 x 65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585</v>
      </c>
      <c r="U1382" s="16" t="n">
        <v>114</v>
      </c>
      <c r="V1382" s="16">
        <f>ROUNDUP((T1382+U1382+2*'Read Me'!$B$13)*(1+'Read Me'!$B$12),-1)</f>
        <v/>
      </c>
      <c r="W1382" s="16">
        <f>V1382*N1382*O1382</f>
        <v/>
      </c>
      <c r="X1382" s="12">
        <f>IF(LEFT(I1382,2)="MV",2*N1382*IF(L1382="1/C",O1382,1),0)</f>
        <v/>
      </c>
      <c r="Y1382" s="12">
        <f>IF(OR(LEFT(K1382,4)="LVAX",LEFT(K1382,6)="MV15AX",LEFT(K1382,4)="CTAX",LEFT(K1382,2)="W|"),2*N1382*O1382,0)</f>
        <v/>
      </c>
      <c r="Z1382" s="12" t="inlineStr">
        <is>
          <t>VD 2.9 %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393</v>
      </c>
      <c r="U1383" s="16" t="n">
        <v>116</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R2B</t>
        </is>
      </c>
      <c r="F1384" s="12" t="inlineStr">
        <is>
          <t>R2B: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255</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1.2 %</t>
        </is>
      </c>
      <c r="AA1384" s="12">
        <f>N1384*O1384</f>
        <v/>
      </c>
    </row>
    <row r="1385">
      <c r="A1385" s="12" t="inlineStr">
        <is>
          <t>A-P-0018</t>
        </is>
      </c>
      <c r="B1385" s="12" t="inlineStr">
        <is>
          <t>A</t>
        </is>
      </c>
      <c r="C1385" s="12" t="inlineStr">
        <is>
          <t>Power block</t>
        </is>
      </c>
      <c r="D1385" s="12" t="inlineStr">
        <is>
          <t>Motor 2 of 2, 5 kW</t>
        </is>
      </c>
      <c r="E1385" s="12" t="inlineStr">
        <is>
          <t>R2B</t>
        </is>
      </c>
      <c r="F1385" s="12" t="inlineStr">
        <is>
          <t>R2B: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255</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1.2 %</t>
        </is>
      </c>
      <c r="AA1385" s="12">
        <f>N1385*O1385</f>
        <v/>
      </c>
    </row>
    <row r="1386">
      <c r="A1386" s="12" t="inlineStr">
        <is>
          <t>A-P-0019</t>
        </is>
      </c>
      <c r="B1386" s="12" t="inlineStr">
        <is>
          <t>A</t>
        </is>
      </c>
      <c r="C1386" s="12" t="inlineStr">
        <is>
          <t>Power block</t>
        </is>
      </c>
      <c r="D1386" s="12" t="inlineStr">
        <is>
          <t>Motor 1 of 2, 5 kW</t>
        </is>
      </c>
      <c r="E1386" s="12" t="inlineStr">
        <is>
          <t>R2C</t>
        </is>
      </c>
      <c r="F1386" s="12" t="inlineStr">
        <is>
          <t>R2C: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259</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R2C</t>
        </is>
      </c>
      <c r="F1387" s="12" t="inlineStr">
        <is>
          <t>R2C: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259</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230</v>
      </c>
      <c r="U1390" s="16" t="n">
        <v>53</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230</v>
      </c>
      <c r="U1391" s="16" t="n">
        <v>53</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230</v>
      </c>
      <c r="U1392" s="16" t="n">
        <v>53</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230</v>
      </c>
      <c r="U1393" s="16" t="n">
        <v>53</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230</v>
      </c>
      <c r="U1394" s="16" t="n">
        <v>53</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230</v>
      </c>
      <c r="U1395" s="16" t="n">
        <v>53</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1115</v>
      </c>
      <c r="U1396" s="16" t="n">
        <v>140</v>
      </c>
      <c r="V1396" s="16">
        <f>ROUNDUP((T1396+U1396+2*'Read Me'!$B$13)*(1+'Read Me'!$B$12),-1)</f>
        <v/>
      </c>
      <c r="W1396" s="16">
        <f>V1396*N1396*O1396</f>
        <v/>
      </c>
      <c r="X1396" s="12">
        <f>IF(LEFT(I1396,2)="MV",2*N1396*IF(L1396="1/C",O1396,1),0)</f>
        <v/>
      </c>
      <c r="Y1396" s="12">
        <f>IF(OR(LEFT(K1396,4)="LVAX",LEFT(K1396,6)="MV15AX",LEFT(K1396,4)="CTAX",LEFT(K1396,2)="W|"),2*N1396*O1396,0)</f>
        <v/>
      </c>
      <c r="Z1396" s="12" t="inlineStr">
        <is>
          <t>VD 2.1 %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36</v>
      </c>
      <c r="U1397" s="16" t="n">
        <v>102</v>
      </c>
      <c r="V1397" s="16">
        <f>ROUNDUP((T1397+U1397+2*'Read Me'!$B$13)*(1+'Read Me'!$B$12),-1)</f>
        <v/>
      </c>
      <c r="W1397" s="16">
        <f>V1397*N1397*O1397</f>
        <v/>
      </c>
      <c r="X1397" s="12">
        <f>IF(LEFT(I1397,2)="MV",2*N1397*IF(L1397="1/C",O1397,1),0)</f>
        <v/>
      </c>
      <c r="Y1397" s="12">
        <f>IF(OR(LEFT(K1397,4)="LVAX",LEFT(K1397,6)="MV15AX",LEFT(K1397,4)="CTAX",LEFT(K1397,2)="W|"),2*N1397*O1397,0)</f>
        <v/>
      </c>
      <c r="Z1397" s="12" t="inlineStr">
        <is>
          <t>VD 0.9 %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36</v>
      </c>
      <c r="U1398" s="16" t="n">
        <v>102</v>
      </c>
      <c r="V1398" s="16">
        <f>ROUNDUP((T1398+U1398+2*'Read Me'!$B$13)*(1+'Read Me'!$B$12),-1)</f>
        <v/>
      </c>
      <c r="W1398" s="16">
        <f>V1398*N1398*O1398</f>
        <v/>
      </c>
      <c r="X1398" s="12">
        <f>IF(LEFT(I1398,2)="MV",2*N1398*IF(L1398="1/C",O1398,1),0)</f>
        <v/>
      </c>
      <c r="Y1398" s="12">
        <f>IF(OR(LEFT(K1398,4)="LVAX",LEFT(K1398,6)="MV15AX",LEFT(K1398,4)="CTAX",LEFT(K1398,2)="W|"),2*N1398*O1398,0)</f>
        <v/>
      </c>
      <c r="Z1398" s="12" t="inlineStr">
        <is>
          <t>VD 0.9 %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896</v>
      </c>
      <c r="U1399" s="16" t="n">
        <v>112</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638</v>
      </c>
      <c r="U1400" s="16" t="n">
        <v>86</v>
      </c>
      <c r="V1400" s="16">
        <f>ROUNDUP((T1400+U1400+2*'Read Me'!$B$13)*(1+'Read Me'!$B$12),-1)</f>
        <v/>
      </c>
      <c r="W1400" s="16">
        <f>V1400*N1400*O1400</f>
        <v/>
      </c>
      <c r="X1400" s="12">
        <f>IF(LEFT(I1400,2)="MV",2*N1400*IF(L1400="1/C",O1400,1),0)</f>
        <v/>
      </c>
      <c r="Y1400" s="12">
        <f>IF(OR(LEFT(K1400,4)="LVAX",LEFT(K1400,6)="MV15AX",LEFT(K1400,4)="CTAX",LEFT(K1400,2)="W|"),2*N1400*O1400,0)</f>
        <v/>
      </c>
      <c r="Z1400" s="12" t="inlineStr">
        <is>
          <t>VD 3.0 %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638</v>
      </c>
      <c r="U1401" s="16" t="n">
        <v>86</v>
      </c>
      <c r="V1401" s="16">
        <f>ROUNDUP((T1401+U1401+2*'Read Me'!$B$13)*(1+'Read Me'!$B$12),-1)</f>
        <v/>
      </c>
      <c r="W1401" s="16">
        <f>V1401*N1401*O1401</f>
        <v/>
      </c>
      <c r="X1401" s="12">
        <f>IF(LEFT(I1401,2)="MV",2*N1401*IF(L1401="1/C",O1401,1),0)</f>
        <v/>
      </c>
      <c r="Y1401" s="12">
        <f>IF(OR(LEFT(K1401,4)="LVAX",LEFT(K1401,6)="MV15AX",LEFT(K1401,4)="CTAX",LEFT(K1401,2)="W|"),2*N1401*O1401,0)</f>
        <v/>
      </c>
      <c r="Z1401" s="12" t="inlineStr">
        <is>
          <t>VD 3.0 %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938</v>
      </c>
      <c r="U1402" s="16" t="n">
        <v>86</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1059</v>
      </c>
      <c r="U1403" s="16" t="n">
        <v>105</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655</v>
      </c>
      <c r="U1404" s="16" t="n">
        <v>104</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655</v>
      </c>
      <c r="U1405" s="16" t="n">
        <v>104</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955</v>
      </c>
      <c r="U1406" s="16" t="n">
        <v>104</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1237</v>
      </c>
      <c r="U1407" s="16" t="n">
        <v>103</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833</v>
      </c>
      <c r="U1408" s="16" t="n">
        <v>102</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833</v>
      </c>
      <c r="U1409" s="16" t="n">
        <v>102</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1133</v>
      </c>
      <c r="U1410" s="16" t="n">
        <v>102</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441</v>
      </c>
      <c r="U1411" s="16" t="n">
        <v>127</v>
      </c>
      <c r="V1411" s="16">
        <f>ROUNDUP((T1411+U1411+2*'Read Me'!$B$13)*(1+'Read Me'!$B$12),-1)</f>
        <v/>
      </c>
      <c r="W1411" s="16">
        <f>V1411*N1411*O1411</f>
        <v/>
      </c>
      <c r="X1411" s="12">
        <f>IF(LEFT(I1411,2)="MV",2*N1411*IF(L1411="1/C",O1411,1),0)</f>
        <v/>
      </c>
      <c r="Y1411" s="12">
        <f>IF(OR(LEFT(K1411,4)="LVAX",LEFT(K1411,6)="MV15AX",LEFT(K1411,4)="CTAX",LEFT(K1411,2)="W|"),2*N1411*O1411,0)</f>
        <v/>
      </c>
      <c r="Z1411" s="12" t="inlineStr">
        <is>
          <t>VD 1.8 %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458</v>
      </c>
      <c r="U1412" s="16" t="n">
        <v>145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LVAX|3/C+G|6</t>
        </is>
      </c>
      <c r="L1414" s="12" t="inlineStr">
        <is>
          <t>3/C+G</t>
        </is>
      </c>
      <c r="M1414" s="12" t="inlineStr">
        <is>
          <t>6</t>
        </is>
      </c>
      <c r="N1414" s="12" t="n">
        <v>1</v>
      </c>
      <c r="O1414" s="12" t="n">
        <v>1</v>
      </c>
      <c r="P1414" s="12" t="n">
        <v>480</v>
      </c>
      <c r="Q1414" s="12" t="n">
        <v>15</v>
      </c>
      <c r="R1414" s="12" t="n">
        <v>21.2</v>
      </c>
      <c r="S1414" s="12" t="inlineStr">
        <is>
          <t>Tray</t>
        </is>
      </c>
      <c r="T1414" s="16" t="n">
        <v>451</v>
      </c>
      <c r="U1414" s="16" t="n">
        <v>117</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468</v>
      </c>
      <c r="U1415" s="16" t="n">
        <v>135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91</v>
      </c>
      <c r="U1417" s="16" t="n">
        <v>113</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91</v>
      </c>
      <c r="U1418" s="16" t="n">
        <v>113</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437</v>
      </c>
      <c r="U1419" s="16" t="n">
        <v>100</v>
      </c>
      <c r="V1419" s="16">
        <f>ROUNDUP((T1419+U1419+2*'Read Me'!$B$13)*(1+'Read Me'!$B$12),-1)</f>
        <v/>
      </c>
      <c r="W1419" s="16">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437</v>
      </c>
      <c r="U1420" s="16" t="n">
        <v>100</v>
      </c>
      <c r="V1420" s="16">
        <f>ROUNDUP((T1420+U1420+2*'Read Me'!$B$13)*(1+'Read Me'!$B$12),-1)</f>
        <v/>
      </c>
      <c r="W1420" s="16">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437</v>
      </c>
      <c r="U1421" s="16" t="n">
        <v>100</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437</v>
      </c>
      <c r="U1422" s="16" t="n">
        <v>100</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437</v>
      </c>
      <c r="U1423" s="16" t="n">
        <v>100</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437</v>
      </c>
      <c r="U1424" s="16" t="n">
        <v>100</v>
      </c>
      <c r="V1424" s="16">
        <f>ROUNDUP((T1424+U1424+2*'Read Me'!$B$13)*(1+'Read Me'!$B$12),-1)</f>
        <v/>
      </c>
      <c r="W1424" s="16">
        <f>V1424*N1424*O1424</f>
        <v/>
      </c>
      <c r="X1424" s="12">
        <f>IF(LEFT(I1424,2)="MV",2*N1424*IF(L1424="1/C",O1424,1),0)</f>
        <v/>
      </c>
      <c r="Y1424" s="12">
        <f>IF(OR(LEFT(K1424,4)="LVAX",LEFT(K1424,6)="MV15AX",LEFT(K1424,4)="CTAX",LEFT(K1424,2)="W|"),2*N1424*O1424,0)</f>
        <v/>
      </c>
      <c r="Z1424" s="12" t="inlineStr">
        <is>
          <t>VD 0.7 %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395</v>
      </c>
      <c r="U1425" s="16" t="n">
        <v>130</v>
      </c>
      <c r="V1425" s="16">
        <f>ROUNDUP((T1425+U1425+2*'Read Me'!$B$13)*(1+'Read Me'!$B$12),-1)</f>
        <v/>
      </c>
      <c r="W1425" s="16">
        <f>V1425*N1425*O1425</f>
        <v/>
      </c>
      <c r="X1425" s="12">
        <f>IF(LEFT(I1425,2)="MV",2*N1425*IF(L1425="1/C",O1425,1),0)</f>
        <v/>
      </c>
      <c r="Y1425" s="12">
        <f>IF(OR(LEFT(K1425,4)="LVAX",LEFT(K1425,6)="MV15AX",LEFT(K1425,4)="CTAX",LEFT(K1425,2)="W|"),2*N1425*O1425,0)</f>
        <v/>
      </c>
      <c r="Z1425" s="12" t="inlineStr">
        <is>
          <t>VD 0.7 %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395</v>
      </c>
      <c r="U1426" s="16" t="n">
        <v>130</v>
      </c>
      <c r="V1426" s="16">
        <f>ROUNDUP((T1426+U1426+2*'Read Me'!$B$13)*(1+'Read Me'!$B$12),-1)</f>
        <v/>
      </c>
      <c r="W1426" s="16">
        <f>V1426*N1426*O1426</f>
        <v/>
      </c>
      <c r="X1426" s="12">
        <f>IF(LEFT(I1426,2)="MV",2*N1426*IF(L1426="1/C",O1426,1),0)</f>
        <v/>
      </c>
      <c r="Y1426" s="12">
        <f>IF(OR(LEFT(K1426,4)="LVAX",LEFT(K1426,6)="MV15AX",LEFT(K1426,4)="CTAX",LEFT(K1426,2)="W|"),2*N1426*O1426,0)</f>
        <v/>
      </c>
      <c r="Z1426" s="12" t="inlineStr">
        <is>
          <t>VD 0.7 %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395</v>
      </c>
      <c r="U1427" s="16" t="n">
        <v>130</v>
      </c>
      <c r="V1427" s="16">
        <f>ROUNDUP((T1427+U1427+2*'Read Me'!$B$13)*(1+'Read Me'!$B$12),-1)</f>
        <v/>
      </c>
      <c r="W1427" s="16">
        <f>V1427*N1427*O1427</f>
        <v/>
      </c>
      <c r="X1427" s="12">
        <f>IF(LEFT(I1427,2)="MV",2*N1427*IF(L1427="1/C",O1427,1),0)</f>
        <v/>
      </c>
      <c r="Y1427" s="12">
        <f>IF(OR(LEFT(K1427,4)="LVAX",LEFT(K1427,6)="MV15AX",LEFT(K1427,4)="CTAX",LEFT(K1427,2)="W|"),2*N1427*O1427,0)</f>
        <v/>
      </c>
      <c r="Z1427" s="12" t="inlineStr">
        <is>
          <t>VD 0.7 %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395</v>
      </c>
      <c r="U1428" s="16" t="n">
        <v>130</v>
      </c>
      <c r="V1428" s="16">
        <f>ROUNDUP((T1428+U1428+2*'Read Me'!$B$13)*(1+'Read Me'!$B$12),-1)</f>
        <v/>
      </c>
      <c r="W1428" s="16">
        <f>V1428*N1428*O1428</f>
        <v/>
      </c>
      <c r="X1428" s="12">
        <f>IF(LEFT(I1428,2)="MV",2*N1428*IF(L1428="1/C",O1428,1),0)</f>
        <v/>
      </c>
      <c r="Y1428" s="12">
        <f>IF(OR(LEFT(K1428,4)="LVAX",LEFT(K1428,6)="MV15AX",LEFT(K1428,4)="CTAX",LEFT(K1428,2)="W|"),2*N1428*O1428,0)</f>
        <v/>
      </c>
      <c r="Z1428" s="12" t="inlineStr">
        <is>
          <t>VD 0.7 %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395</v>
      </c>
      <c r="U1429" s="16" t="n">
        <v>130</v>
      </c>
      <c r="V1429" s="16">
        <f>ROUNDUP((T1429+U1429+2*'Read Me'!$B$13)*(1+'Read Me'!$B$12),-1)</f>
        <v/>
      </c>
      <c r="W1429" s="16">
        <f>V1429*N1429*O1429</f>
        <v/>
      </c>
      <c r="X1429" s="12">
        <f>IF(LEFT(I1429,2)="MV",2*N1429*IF(L1429="1/C",O1429,1),0)</f>
        <v/>
      </c>
      <c r="Y1429" s="12">
        <f>IF(OR(LEFT(K1429,4)="LVAX",LEFT(K1429,6)="MV15AX",LEFT(K1429,4)="CTAX",LEFT(K1429,2)="W|"),2*N1429*O1429,0)</f>
        <v/>
      </c>
      <c r="Z1429" s="12" t="inlineStr">
        <is>
          <t>VD 0.7 %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395</v>
      </c>
      <c r="U1430" s="16" t="n">
        <v>130</v>
      </c>
      <c r="V1430" s="16">
        <f>ROUNDUP((T1430+U1430+2*'Read Me'!$B$13)*(1+'Read Me'!$B$12),-1)</f>
        <v/>
      </c>
      <c r="W1430" s="16">
        <f>V1430*N1430*O1430</f>
        <v/>
      </c>
      <c r="X1430" s="12">
        <f>IF(LEFT(I1430,2)="MV",2*N1430*IF(L1430="1/C",O1430,1),0)</f>
        <v/>
      </c>
      <c r="Y1430" s="12">
        <f>IF(OR(LEFT(K1430,4)="LVAX",LEFT(K1430,6)="MV15AX",LEFT(K1430,4)="CTAX",LEFT(K1430,2)="W|"),2*N1430*O1430,0)</f>
        <v/>
      </c>
      <c r="Z1430" s="12" t="inlineStr">
        <is>
          <t>VD 0.7 %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1358</v>
      </c>
      <c r="U1431" s="16" t="n">
        <v>146</v>
      </c>
      <c r="V1431" s="16">
        <f>ROUNDUP((T1431+U1431+2*'Read Me'!$B$13)*(1+'Read Me'!$B$12),-1)</f>
        <v/>
      </c>
      <c r="W1431" s="16">
        <f>V1431*N1431*O1431</f>
        <v/>
      </c>
      <c r="X1431" s="12">
        <f>IF(LEFT(I1431,2)="MV",2*N1431*IF(L1431="1/C",O1431,1),0)</f>
        <v/>
      </c>
      <c r="Y1431" s="12">
        <f>IF(OR(LEFT(K1431,4)="LVAX",LEFT(K1431,6)="MV15AX",LEFT(K1431,4)="CTAX",LEFT(K1431,2)="W|"),2*N1431*O1431,0)</f>
        <v/>
      </c>
      <c r="Z1431" s="12" t="inlineStr">
        <is>
          <t>VD 2.0 %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1358</v>
      </c>
      <c r="U1432" s="16" t="n">
        <v>146</v>
      </c>
      <c r="V1432" s="16">
        <f>ROUNDUP((T1432+U1432+2*'Read Me'!$B$13)*(1+'Read Me'!$B$12),-1)</f>
        <v/>
      </c>
      <c r="W1432" s="16">
        <f>V1432*N1432*O1432</f>
        <v/>
      </c>
      <c r="X1432" s="12">
        <f>IF(LEFT(I1432,2)="MV",2*N1432*IF(L1432="1/C",O1432,1),0)</f>
        <v/>
      </c>
      <c r="Y1432" s="12">
        <f>IF(OR(LEFT(K1432,4)="LVAX",LEFT(K1432,6)="MV15AX",LEFT(K1432,4)="CTAX",LEFT(K1432,2)="W|"),2*N1432*O1432,0)</f>
        <v/>
      </c>
      <c r="Z1432" s="12" t="inlineStr">
        <is>
          <t>VD 2.0 %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1358</v>
      </c>
      <c r="U1433" s="16" t="n">
        <v>146</v>
      </c>
      <c r="V1433" s="16">
        <f>ROUNDUP((T1433+U1433+2*'Read Me'!$B$13)*(1+'Read Me'!$B$12),-1)</f>
        <v/>
      </c>
      <c r="W1433" s="16">
        <f>V1433*N1433*O1433</f>
        <v/>
      </c>
      <c r="X1433" s="12">
        <f>IF(LEFT(I1433,2)="MV",2*N1433*IF(L1433="1/C",O1433,1),0)</f>
        <v/>
      </c>
      <c r="Y1433" s="12">
        <f>IF(OR(LEFT(K1433,4)="LVAX",LEFT(K1433,6)="MV15AX",LEFT(K1433,4)="CTAX",LEFT(K1433,2)="W|"),2*N1433*O1433,0)</f>
        <v/>
      </c>
      <c r="Z1433" s="12" t="inlineStr">
        <is>
          <t>VD 2.0 %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1358</v>
      </c>
      <c r="U1434" s="16" t="n">
        <v>146</v>
      </c>
      <c r="V1434" s="16">
        <f>ROUNDUP((T1434+U1434+2*'Read Me'!$B$13)*(1+'Read Me'!$B$12),-1)</f>
        <v/>
      </c>
      <c r="W1434" s="16">
        <f>V1434*N1434*O1434</f>
        <v/>
      </c>
      <c r="X1434" s="12">
        <f>IF(LEFT(I1434,2)="MV",2*N1434*IF(L1434="1/C",O1434,1),0)</f>
        <v/>
      </c>
      <c r="Y1434" s="12">
        <f>IF(OR(LEFT(K1434,4)="LVAX",LEFT(K1434,6)="MV15AX",LEFT(K1434,4)="CTAX",LEFT(K1434,2)="W|"),2*N1434*O1434,0)</f>
        <v/>
      </c>
      <c r="Z1434" s="12" t="inlineStr">
        <is>
          <t>VD 2.0 %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1358</v>
      </c>
      <c r="U1435" s="16" t="n">
        <v>146</v>
      </c>
      <c r="V1435" s="16">
        <f>ROUNDUP((T1435+U1435+2*'Read Me'!$B$13)*(1+'Read Me'!$B$12),-1)</f>
        <v/>
      </c>
      <c r="W1435" s="16">
        <f>V1435*N1435*O1435</f>
        <v/>
      </c>
      <c r="X1435" s="12">
        <f>IF(LEFT(I1435,2)="MV",2*N1435*IF(L1435="1/C",O1435,1),0)</f>
        <v/>
      </c>
      <c r="Y1435" s="12">
        <f>IF(OR(LEFT(K1435,4)="LVAX",LEFT(K1435,6)="MV15AX",LEFT(K1435,4)="CTAX",LEFT(K1435,2)="W|"),2*N1435*O1435,0)</f>
        <v/>
      </c>
      <c r="Z1435" s="12" t="inlineStr">
        <is>
          <t>VD 2.0 %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1358</v>
      </c>
      <c r="U1436" s="16" t="n">
        <v>146</v>
      </c>
      <c r="V1436" s="16">
        <f>ROUNDUP((T1436+U1436+2*'Read Me'!$B$13)*(1+'Read Me'!$B$12),-1)</f>
        <v/>
      </c>
      <c r="W1436" s="16">
        <f>V1436*N1436*O1436</f>
        <v/>
      </c>
      <c r="X1436" s="12">
        <f>IF(LEFT(I1436,2)="MV",2*N1436*IF(L1436="1/C",O1436,1),0)</f>
        <v/>
      </c>
      <c r="Y1436" s="12">
        <f>IF(OR(LEFT(K1436,4)="LVAX",LEFT(K1436,6)="MV15AX",LEFT(K1436,4)="CTAX",LEFT(K1436,2)="W|"),2*N1436*O1436,0)</f>
        <v/>
      </c>
      <c r="Z1436" s="12" t="inlineStr">
        <is>
          <t>VD 2.0 %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1315</v>
      </c>
      <c r="U1437" s="16" t="n">
        <v>176</v>
      </c>
      <c r="V1437" s="16">
        <f>ROUNDUP((T1437+U1437+2*'Read Me'!$B$13)*(1+'Read Me'!$B$12),-1)</f>
        <v/>
      </c>
      <c r="W1437" s="16">
        <f>V1437*N1437*O1437</f>
        <v/>
      </c>
      <c r="X1437" s="12">
        <f>IF(LEFT(I1437,2)="MV",2*N1437*IF(L1437="1/C",O1437,1),0)</f>
        <v/>
      </c>
      <c r="Y1437" s="12">
        <f>IF(OR(LEFT(K1437,4)="LVAX",LEFT(K1437,6)="MV15AX",LEFT(K1437,4)="CTAX",LEFT(K1437,2)="W|"),2*N1437*O1437,0)</f>
        <v/>
      </c>
      <c r="Z1437" s="12" t="inlineStr">
        <is>
          <t>VD 2.0 %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Tray</t>
        </is>
      </c>
      <c r="T1438" s="16" t="n">
        <v>1315</v>
      </c>
      <c r="U1438" s="16" t="n">
        <v>176</v>
      </c>
      <c r="V1438" s="16">
        <f>ROUNDUP((T1438+U1438+2*'Read Me'!$B$13)*(1+'Read Me'!$B$12),-1)</f>
        <v/>
      </c>
      <c r="W1438" s="16">
        <f>V1438*N1438*O1438</f>
        <v/>
      </c>
      <c r="X1438" s="12">
        <f>IF(LEFT(I1438,2)="MV",2*N1438*IF(L1438="1/C",O1438,1),0)</f>
        <v/>
      </c>
      <c r="Y1438" s="12">
        <f>IF(OR(LEFT(K1438,4)="LVAX",LEFT(K1438,6)="MV15AX",LEFT(K1438,4)="CTAX",LEFT(K1438,2)="W|"),2*N1438*O1438,0)</f>
        <v/>
      </c>
      <c r="Z1438" s="12" t="inlineStr">
        <is>
          <t>VD 2.0 %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Tray</t>
        </is>
      </c>
      <c r="T1439" s="16" t="n">
        <v>1315</v>
      </c>
      <c r="U1439" s="16" t="n">
        <v>176</v>
      </c>
      <c r="V1439" s="16">
        <f>ROUNDUP((T1439+U1439+2*'Read Me'!$B$13)*(1+'Read Me'!$B$12),-1)</f>
        <v/>
      </c>
      <c r="W1439" s="16">
        <f>V1439*N1439*O1439</f>
        <v/>
      </c>
      <c r="X1439" s="12">
        <f>IF(LEFT(I1439,2)="MV",2*N1439*IF(L1439="1/C",O1439,1),0)</f>
        <v/>
      </c>
      <c r="Y1439" s="12">
        <f>IF(OR(LEFT(K1439,4)="LVAX",LEFT(K1439,6)="MV15AX",LEFT(K1439,4)="CTAX",LEFT(K1439,2)="W|"),2*N1439*O1439,0)</f>
        <v/>
      </c>
      <c r="Z1439" s="12" t="inlineStr">
        <is>
          <t>VD 2.0 %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Tray</t>
        </is>
      </c>
      <c r="T1440" s="16" t="n">
        <v>1315</v>
      </c>
      <c r="U1440" s="16" t="n">
        <v>176</v>
      </c>
      <c r="V1440" s="16">
        <f>ROUNDUP((T1440+U1440+2*'Read Me'!$B$13)*(1+'Read Me'!$B$12),-1)</f>
        <v/>
      </c>
      <c r="W1440" s="16">
        <f>V1440*N1440*O1440</f>
        <v/>
      </c>
      <c r="X1440" s="12">
        <f>IF(LEFT(I1440,2)="MV",2*N1440*IF(L1440="1/C",O1440,1),0)</f>
        <v/>
      </c>
      <c r="Y1440" s="12">
        <f>IF(OR(LEFT(K1440,4)="LVAX",LEFT(K1440,6)="MV15AX",LEFT(K1440,4)="CTAX",LEFT(K1440,2)="W|"),2*N1440*O1440,0)</f>
        <v/>
      </c>
      <c r="Z1440" s="12" t="inlineStr">
        <is>
          <t>VD 2.0 %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Tray</t>
        </is>
      </c>
      <c r="T1441" s="16" t="n">
        <v>1315</v>
      </c>
      <c r="U1441" s="16" t="n">
        <v>176</v>
      </c>
      <c r="V1441" s="16">
        <f>ROUNDUP((T1441+U1441+2*'Read Me'!$B$13)*(1+'Read Me'!$B$12),-1)</f>
        <v/>
      </c>
      <c r="W1441" s="16">
        <f>V1441*N1441*O1441</f>
        <v/>
      </c>
      <c r="X1441" s="12">
        <f>IF(LEFT(I1441,2)="MV",2*N1441*IF(L1441="1/C",O1441,1),0)</f>
        <v/>
      </c>
      <c r="Y1441" s="12">
        <f>IF(OR(LEFT(K1441,4)="LVAX",LEFT(K1441,6)="MV15AX",LEFT(K1441,4)="CTAX",LEFT(K1441,2)="W|"),2*N1441*O1441,0)</f>
        <v/>
      </c>
      <c r="Z1441" s="12" t="inlineStr">
        <is>
          <t>VD 2.0 %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Tray</t>
        </is>
      </c>
      <c r="T1442" s="16" t="n">
        <v>1315</v>
      </c>
      <c r="U1442" s="16" t="n">
        <v>176</v>
      </c>
      <c r="V1442" s="16">
        <f>ROUNDUP((T1442+U1442+2*'Read Me'!$B$13)*(1+'Read Me'!$B$12),-1)</f>
        <v/>
      </c>
      <c r="W1442" s="16">
        <f>V1442*N1442*O1442</f>
        <v/>
      </c>
      <c r="X1442" s="12">
        <f>IF(LEFT(I1442,2)="MV",2*N1442*IF(L1442="1/C",O1442,1),0)</f>
        <v/>
      </c>
      <c r="Y1442" s="12">
        <f>IF(OR(LEFT(K1442,4)="LVAX",LEFT(K1442,6)="MV15AX",LEFT(K1442,4)="CTAX",LEFT(K1442,2)="W|"),2*N1442*O1442,0)</f>
        <v/>
      </c>
      <c r="Z1442" s="12" t="inlineStr">
        <is>
          <t>VD 2.0 %</t>
        </is>
      </c>
      <c r="AA1442" s="12">
        <f>N1442*O1442</f>
        <v/>
      </c>
    </row>
    <row r="1443">
      <c r="A1443" s="12" t="inlineStr">
        <is>
          <t>A-P-0076</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489</v>
      </c>
      <c r="U1443" s="16" t="n">
        <v>64</v>
      </c>
      <c r="V1443" s="16">
        <f>ROUNDUP((T1443+U1443+2*'Read Me'!$B$13)*(1+'Read Me'!$B$12),-1)</f>
        <v/>
      </c>
      <c r="W1443" s="16">
        <f>V1443*N1443*O1443</f>
        <v/>
      </c>
      <c r="X1443" s="12">
        <f>IF(LEFT(I1443,2)="MV",2*N1443*IF(L1443="1/C",O1443,1),0)</f>
        <v/>
      </c>
      <c r="Y1443" s="12">
        <f>IF(OR(LEFT(K1443,4)="LVAX",LEFT(K1443,6)="MV15AX",LEFT(K1443,4)="CTAX",LEFT(K1443,2)="W|"),2*N1443*O1443,0)</f>
        <v/>
      </c>
      <c r="Z1443" s="12" t="inlineStr">
        <is>
          <t>VD 0.8 %</t>
        </is>
      </c>
      <c r="AA1443" s="12">
        <f>N1443*O1443</f>
        <v/>
      </c>
    </row>
    <row r="1444">
      <c r="A1444" s="12" t="inlineStr">
        <is>
          <t>A-P-0077</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489</v>
      </c>
      <c r="U1444" s="16" t="n">
        <v>64</v>
      </c>
      <c r="V1444" s="16">
        <f>ROUNDUP((T1444+U1444+2*'Read Me'!$B$13)*(1+'Read Me'!$B$12),-1)</f>
        <v/>
      </c>
      <c r="W1444" s="16">
        <f>V1444*N1444*O1444</f>
        <v/>
      </c>
      <c r="X1444" s="12">
        <f>IF(LEFT(I1444,2)="MV",2*N1444*IF(L1444="1/C",O1444,1),0)</f>
        <v/>
      </c>
      <c r="Y1444" s="12">
        <f>IF(OR(LEFT(K1444,4)="LVAX",LEFT(K1444,6)="MV15AX",LEFT(K1444,4)="CTAX",LEFT(K1444,2)="W|"),2*N1444*O1444,0)</f>
        <v/>
      </c>
      <c r="Z1444" s="12" t="inlineStr">
        <is>
          <t>VD 0.8 %</t>
        </is>
      </c>
      <c r="AA1444" s="12">
        <f>N1444*O1444</f>
        <v/>
      </c>
    </row>
    <row r="1445">
      <c r="A1445" s="12" t="inlineStr">
        <is>
          <t>A-P-0078</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489</v>
      </c>
      <c r="U1445" s="16" t="n">
        <v>64</v>
      </c>
      <c r="V1445" s="16">
        <f>ROUNDUP((T1445+U1445+2*'Read Me'!$B$13)*(1+'Read Me'!$B$12),-1)</f>
        <v/>
      </c>
      <c r="W1445" s="16">
        <f>V1445*N1445*O1445</f>
        <v/>
      </c>
      <c r="X1445" s="12">
        <f>IF(LEFT(I1445,2)="MV",2*N1445*IF(L1445="1/C",O1445,1),0)</f>
        <v/>
      </c>
      <c r="Y1445" s="12">
        <f>IF(OR(LEFT(K1445,4)="LVAX",LEFT(K1445,6)="MV15AX",LEFT(K1445,4)="CTAX",LEFT(K1445,2)="W|"),2*N1445*O1445,0)</f>
        <v/>
      </c>
      <c r="Z1445" s="12" t="inlineStr">
        <is>
          <t>VD 0.8 %</t>
        </is>
      </c>
      <c r="AA1445" s="12">
        <f>N1445*O1445</f>
        <v/>
      </c>
    </row>
    <row r="1446">
      <c r="A1446" s="12" t="inlineStr">
        <is>
          <t>A-P-0079</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489</v>
      </c>
      <c r="U1446" s="16" t="n">
        <v>64</v>
      </c>
      <c r="V1446" s="16">
        <f>ROUNDUP((T1446+U1446+2*'Read Me'!$B$13)*(1+'Read Me'!$B$12),-1)</f>
        <v/>
      </c>
      <c r="W1446" s="16">
        <f>V1446*N1446*O1446</f>
        <v/>
      </c>
      <c r="X1446" s="12">
        <f>IF(LEFT(I1446,2)="MV",2*N1446*IF(L1446="1/C",O1446,1),0)</f>
        <v/>
      </c>
      <c r="Y1446" s="12">
        <f>IF(OR(LEFT(K1446,4)="LVAX",LEFT(K1446,6)="MV15AX",LEFT(K1446,4)="CTAX",LEFT(K1446,2)="W|"),2*N1446*O1446,0)</f>
        <v/>
      </c>
      <c r="Z1446" s="12" t="inlineStr">
        <is>
          <t>VD 0.8 %</t>
        </is>
      </c>
      <c r="AA1446" s="12">
        <f>N1446*O1446</f>
        <v/>
      </c>
    </row>
    <row r="1447">
      <c r="A1447" s="12" t="inlineStr">
        <is>
          <t>A-P-0080</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489</v>
      </c>
      <c r="U1447" s="16" t="n">
        <v>64</v>
      </c>
      <c r="V1447" s="16">
        <f>ROUNDUP((T1447+U1447+2*'Read Me'!$B$13)*(1+'Read Me'!$B$12),-1)</f>
        <v/>
      </c>
      <c r="W1447" s="16">
        <f>V1447*N1447*O1447</f>
        <v/>
      </c>
      <c r="X1447" s="12">
        <f>IF(LEFT(I1447,2)="MV",2*N1447*IF(L1447="1/C",O1447,1),0)</f>
        <v/>
      </c>
      <c r="Y1447" s="12">
        <f>IF(OR(LEFT(K1447,4)="LVAX",LEFT(K1447,6)="MV15AX",LEFT(K1447,4)="CTAX",LEFT(K1447,2)="W|"),2*N1447*O1447,0)</f>
        <v/>
      </c>
      <c r="Z1447" s="12" t="inlineStr">
        <is>
          <t>VD 0.8 %</t>
        </is>
      </c>
      <c r="AA1447" s="12">
        <f>N1447*O1447</f>
        <v/>
      </c>
    </row>
    <row r="1448">
      <c r="A1448" s="12" t="inlineStr">
        <is>
          <t>A-P-0081</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489</v>
      </c>
      <c r="U1448" s="16" t="n">
        <v>64</v>
      </c>
      <c r="V1448" s="16">
        <f>ROUNDUP((T1448+U1448+2*'Read Me'!$B$13)*(1+'Read Me'!$B$12),-1)</f>
        <v/>
      </c>
      <c r="W1448" s="16">
        <f>V1448*N1448*O1448</f>
        <v/>
      </c>
      <c r="X1448" s="12">
        <f>IF(LEFT(I1448,2)="MV",2*N1448*IF(L1448="1/C",O1448,1),0)</f>
        <v/>
      </c>
      <c r="Y1448" s="12">
        <f>IF(OR(LEFT(K1448,4)="LVAX",LEFT(K1448,6)="MV15AX",LEFT(K1448,4)="CTAX",LEFT(K1448,2)="W|"),2*N1448*O1448,0)</f>
        <v/>
      </c>
      <c r="Z1448" s="12" t="inlineStr">
        <is>
          <t>VD 0.8 %</t>
        </is>
      </c>
      <c r="AA1448" s="12">
        <f>N1448*O1448</f>
        <v/>
      </c>
    </row>
    <row r="1449">
      <c r="A1449" s="12" t="inlineStr">
        <is>
          <t>A-P-0082</t>
        </is>
      </c>
      <c r="B1449" s="12" t="inlineStr">
        <is>
          <t>A</t>
        </is>
      </c>
      <c r="C1449" s="12" t="inlineStr">
        <is>
          <t>Power block</t>
        </is>
      </c>
      <c r="D1449" s="12" t="inlineStr">
        <is>
          <t>Motor 1 of 6, 2 kW</t>
        </is>
      </c>
      <c r="E1449" s="12" t="inlineStr">
        <is>
          <t>R3</t>
        </is>
      </c>
      <c r="F1449" s="12" t="inlineStr">
        <is>
          <t>R3: ST auxiliary electrical e-house (40 x 65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452</v>
      </c>
      <c r="U1449" s="16" t="n">
        <v>67</v>
      </c>
      <c r="V1449" s="16">
        <f>ROUNDUP((T1449+U1449+2*'Read Me'!$B$13)*(1+'Read Me'!$B$12),-1)</f>
        <v/>
      </c>
      <c r="W1449" s="16">
        <f>V1449*N1449*O1449</f>
        <v/>
      </c>
      <c r="X1449" s="12">
        <f>IF(LEFT(I1449,2)="MV",2*N1449*IF(L1449="1/C",O1449,1),0)</f>
        <v/>
      </c>
      <c r="Y1449" s="12">
        <f>IF(OR(LEFT(K1449,4)="LVAX",LEFT(K1449,6)="MV15AX",LEFT(K1449,4)="CTAX",LEFT(K1449,2)="W|"),2*N1449*O1449,0)</f>
        <v/>
      </c>
      <c r="Z1449" s="12" t="inlineStr">
        <is>
          <t>VD 0.7 %</t>
        </is>
      </c>
      <c r="AA1449" s="12">
        <f>N1449*O1449</f>
        <v/>
      </c>
    </row>
    <row r="1450">
      <c r="A1450" s="12" t="inlineStr">
        <is>
          <t>A-P-0083</t>
        </is>
      </c>
      <c r="B1450" s="12" t="inlineStr">
        <is>
          <t>A</t>
        </is>
      </c>
      <c r="C1450" s="12" t="inlineStr">
        <is>
          <t>Power block</t>
        </is>
      </c>
      <c r="D1450" s="12" t="inlineStr">
        <is>
          <t>Motor 2 of 6, 2 kW</t>
        </is>
      </c>
      <c r="E1450" s="12" t="inlineStr">
        <is>
          <t>R3</t>
        </is>
      </c>
      <c r="F1450" s="12" t="inlineStr">
        <is>
          <t>R3: ST auxiliary electrical e-house (40 x 65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452</v>
      </c>
      <c r="U1450" s="16" t="n">
        <v>67</v>
      </c>
      <c r="V1450" s="16">
        <f>ROUNDUP((T1450+U1450+2*'Read Me'!$B$13)*(1+'Read Me'!$B$12),-1)</f>
        <v/>
      </c>
      <c r="W1450" s="16">
        <f>V1450*N1450*O1450</f>
        <v/>
      </c>
      <c r="X1450" s="12">
        <f>IF(LEFT(I1450,2)="MV",2*N1450*IF(L1450="1/C",O1450,1),0)</f>
        <v/>
      </c>
      <c r="Y1450" s="12">
        <f>IF(OR(LEFT(K1450,4)="LVAX",LEFT(K1450,6)="MV15AX",LEFT(K1450,4)="CTAX",LEFT(K1450,2)="W|"),2*N1450*O1450,0)</f>
        <v/>
      </c>
      <c r="Z1450" s="12" t="inlineStr">
        <is>
          <t>VD 0.7 %</t>
        </is>
      </c>
      <c r="AA1450" s="12">
        <f>N1450*O1450</f>
        <v/>
      </c>
    </row>
    <row r="1451">
      <c r="A1451" s="12" t="inlineStr">
        <is>
          <t>A-P-0084</t>
        </is>
      </c>
      <c r="B1451" s="12" t="inlineStr">
        <is>
          <t>A</t>
        </is>
      </c>
      <c r="C1451" s="12" t="inlineStr">
        <is>
          <t>Power block</t>
        </is>
      </c>
      <c r="D1451" s="12" t="inlineStr">
        <is>
          <t>Motor 3 of 6, 2 kW</t>
        </is>
      </c>
      <c r="E1451" s="12" t="inlineStr">
        <is>
          <t>R3</t>
        </is>
      </c>
      <c r="F1451" s="12" t="inlineStr">
        <is>
          <t>R3: ST auxiliary electrical e-house (40 x 65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452</v>
      </c>
      <c r="U1451" s="16" t="n">
        <v>67</v>
      </c>
      <c r="V1451" s="16">
        <f>ROUNDUP((T1451+U1451+2*'Read Me'!$B$13)*(1+'Read Me'!$B$12),-1)</f>
        <v/>
      </c>
      <c r="W1451" s="16">
        <f>V1451*N1451*O1451</f>
        <v/>
      </c>
      <c r="X1451" s="12">
        <f>IF(LEFT(I1451,2)="MV",2*N1451*IF(L1451="1/C",O1451,1),0)</f>
        <v/>
      </c>
      <c r="Y1451" s="12">
        <f>IF(OR(LEFT(K1451,4)="LVAX",LEFT(K1451,6)="MV15AX",LEFT(K1451,4)="CTAX",LEFT(K1451,2)="W|"),2*N1451*O1451,0)</f>
        <v/>
      </c>
      <c r="Z1451" s="12" t="inlineStr">
        <is>
          <t>VD 0.7 %</t>
        </is>
      </c>
      <c r="AA1451" s="12">
        <f>N1451*O1451</f>
        <v/>
      </c>
    </row>
    <row r="1452">
      <c r="A1452" s="12" t="inlineStr">
        <is>
          <t>A-P-0085</t>
        </is>
      </c>
      <c r="B1452" s="12" t="inlineStr">
        <is>
          <t>A</t>
        </is>
      </c>
      <c r="C1452" s="12" t="inlineStr">
        <is>
          <t>Power block</t>
        </is>
      </c>
      <c r="D1452" s="12" t="inlineStr">
        <is>
          <t>Motor 4 of 6, 2 kW</t>
        </is>
      </c>
      <c r="E1452" s="12" t="inlineStr">
        <is>
          <t>R3</t>
        </is>
      </c>
      <c r="F1452" s="12" t="inlineStr">
        <is>
          <t>R3: ST auxiliary electrical e-house (40 x 65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452</v>
      </c>
      <c r="U1452" s="16" t="n">
        <v>67</v>
      </c>
      <c r="V1452" s="16">
        <f>ROUNDUP((T1452+U1452+2*'Read Me'!$B$13)*(1+'Read Me'!$B$12),-1)</f>
        <v/>
      </c>
      <c r="W1452" s="16">
        <f>V1452*N1452*O1452</f>
        <v/>
      </c>
      <c r="X1452" s="12">
        <f>IF(LEFT(I1452,2)="MV",2*N1452*IF(L1452="1/C",O1452,1),0)</f>
        <v/>
      </c>
      <c r="Y1452" s="12">
        <f>IF(OR(LEFT(K1452,4)="LVAX",LEFT(K1452,6)="MV15AX",LEFT(K1452,4)="CTAX",LEFT(K1452,2)="W|"),2*N1452*O1452,0)</f>
        <v/>
      </c>
      <c r="Z1452" s="12" t="inlineStr">
        <is>
          <t>VD 0.7 %</t>
        </is>
      </c>
      <c r="AA1452" s="12">
        <f>N1452*O1452</f>
        <v/>
      </c>
    </row>
    <row r="1453">
      <c r="A1453" s="12" t="inlineStr">
        <is>
          <t>A-P-0086</t>
        </is>
      </c>
      <c r="B1453" s="12" t="inlineStr">
        <is>
          <t>A</t>
        </is>
      </c>
      <c r="C1453" s="12" t="inlineStr">
        <is>
          <t>Power block</t>
        </is>
      </c>
      <c r="D1453" s="12" t="inlineStr">
        <is>
          <t>Motor 5 of 6, 2 kW</t>
        </is>
      </c>
      <c r="E1453" s="12" t="inlineStr">
        <is>
          <t>R3</t>
        </is>
      </c>
      <c r="F1453" s="12" t="inlineStr">
        <is>
          <t>R3: ST auxiliary electrical e-house (40 x 65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452</v>
      </c>
      <c r="U1453" s="16" t="n">
        <v>67</v>
      </c>
      <c r="V1453" s="16">
        <f>ROUNDUP((T1453+U1453+2*'Read Me'!$B$13)*(1+'Read Me'!$B$12),-1)</f>
        <v/>
      </c>
      <c r="W1453" s="16">
        <f>V1453*N1453*O1453</f>
        <v/>
      </c>
      <c r="X1453" s="12">
        <f>IF(LEFT(I1453,2)="MV",2*N1453*IF(L1453="1/C",O1453,1),0)</f>
        <v/>
      </c>
      <c r="Y1453" s="12">
        <f>IF(OR(LEFT(K1453,4)="LVAX",LEFT(K1453,6)="MV15AX",LEFT(K1453,4)="CTAX",LEFT(K1453,2)="W|"),2*N1453*O1453,0)</f>
        <v/>
      </c>
      <c r="Z1453" s="12" t="inlineStr">
        <is>
          <t>VD 0.7 %</t>
        </is>
      </c>
      <c r="AA1453" s="12">
        <f>N1453*O1453</f>
        <v/>
      </c>
    </row>
    <row r="1454">
      <c r="A1454" s="12" t="inlineStr">
        <is>
          <t>A-P-0087</t>
        </is>
      </c>
      <c r="B1454" s="12" t="inlineStr">
        <is>
          <t>A</t>
        </is>
      </c>
      <c r="C1454" s="12" t="inlineStr">
        <is>
          <t>Power block</t>
        </is>
      </c>
      <c r="D1454" s="12" t="inlineStr">
        <is>
          <t>Motor 6 of 6, 2 kW</t>
        </is>
      </c>
      <c r="E1454" s="12" t="inlineStr">
        <is>
          <t>R3</t>
        </is>
      </c>
      <c r="F1454" s="12" t="inlineStr">
        <is>
          <t>R3: ST auxiliary electrical e-house (40 x 65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452</v>
      </c>
      <c r="U1454" s="16" t="n">
        <v>67</v>
      </c>
      <c r="V1454" s="16">
        <f>ROUNDUP((T1454+U1454+2*'Read Me'!$B$13)*(1+'Read Me'!$B$12),-1)</f>
        <v/>
      </c>
      <c r="W1454" s="16">
        <f>V1454*N1454*O1454</f>
        <v/>
      </c>
      <c r="X1454" s="12">
        <f>IF(LEFT(I1454,2)="MV",2*N1454*IF(L1454="1/C",O1454,1),0)</f>
        <v/>
      </c>
      <c r="Y1454" s="12">
        <f>IF(OR(LEFT(K1454,4)="LVAX",LEFT(K1454,6)="MV15AX",LEFT(K1454,4)="CTAX",LEFT(K1454,2)="W|"),2*N1454*O1454,0)</f>
        <v/>
      </c>
      <c r="Z1454" s="12" t="inlineStr">
        <is>
          <t>VD 0.7 %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399</v>
      </c>
      <c r="U1455" s="16" t="n">
        <v>73</v>
      </c>
      <c r="V1455" s="16">
        <f>ROUNDUP((T1455+U1455+2*'Read Me'!$B$13)*(1+'Read Me'!$B$12),-1)</f>
        <v/>
      </c>
      <c r="W1455" s="16">
        <f>V1455*N1455*O1455</f>
        <v/>
      </c>
      <c r="X1455" s="12">
        <f>IF(LEFT(I1455,2)="MV",2*N1455*IF(L1455="1/C",O1455,1),0)</f>
        <v/>
      </c>
      <c r="Y1455" s="12">
        <f>IF(OR(LEFT(K1455,4)="LVAX",LEFT(K1455,6)="MV15AX",LEFT(K1455,4)="CTAX",LEFT(K1455,2)="W|"),2*N1455*O1455,0)</f>
        <v/>
      </c>
      <c r="Z1455" s="12" t="inlineStr">
        <is>
          <t>VD 0.6 %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399</v>
      </c>
      <c r="U1456" s="16" t="n">
        <v>73</v>
      </c>
      <c r="V1456" s="16">
        <f>ROUNDUP((T1456+U1456+2*'Read Me'!$B$13)*(1+'Read Me'!$B$12),-1)</f>
        <v/>
      </c>
      <c r="W1456" s="16">
        <f>V1456*N1456*O1456</f>
        <v/>
      </c>
      <c r="X1456" s="12">
        <f>IF(LEFT(I1456,2)="MV",2*N1456*IF(L1456="1/C",O1456,1),0)</f>
        <v/>
      </c>
      <c r="Y1456" s="12">
        <f>IF(OR(LEFT(K1456,4)="LVAX",LEFT(K1456,6)="MV15AX",LEFT(K1456,4)="CTAX",LEFT(K1456,2)="W|"),2*N1456*O1456,0)</f>
        <v/>
      </c>
      <c r="Z1456" s="12" t="inlineStr">
        <is>
          <t>VD 0.6 %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399</v>
      </c>
      <c r="U1457" s="16" t="n">
        <v>73</v>
      </c>
      <c r="V1457" s="16">
        <f>ROUNDUP((T1457+U1457+2*'Read Me'!$B$13)*(1+'Read Me'!$B$12),-1)</f>
        <v/>
      </c>
      <c r="W1457" s="16">
        <f>V1457*N1457*O1457</f>
        <v/>
      </c>
      <c r="X1457" s="12">
        <f>IF(LEFT(I1457,2)="MV",2*N1457*IF(L1457="1/C",O1457,1),0)</f>
        <v/>
      </c>
      <c r="Y1457" s="12">
        <f>IF(OR(LEFT(K1457,4)="LVAX",LEFT(K1457,6)="MV15AX",LEFT(K1457,4)="CTAX",LEFT(K1457,2)="W|"),2*N1457*O1457,0)</f>
        <v/>
      </c>
      <c r="Z1457" s="12" t="inlineStr">
        <is>
          <t>VD 0.6 %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399</v>
      </c>
      <c r="U1458" s="16" t="n">
        <v>73</v>
      </c>
      <c r="V1458" s="16">
        <f>ROUNDUP((T1458+U1458+2*'Read Me'!$B$13)*(1+'Read Me'!$B$12),-1)</f>
        <v/>
      </c>
      <c r="W1458" s="16">
        <f>V1458*N1458*O1458</f>
        <v/>
      </c>
      <c r="X1458" s="12">
        <f>IF(LEFT(I1458,2)="MV",2*N1458*IF(L1458="1/C",O1458,1),0)</f>
        <v/>
      </c>
      <c r="Y1458" s="12">
        <f>IF(OR(LEFT(K1458,4)="LVAX",LEFT(K1458,6)="MV15AX",LEFT(K1458,4)="CTAX",LEFT(K1458,2)="W|"),2*N1458*O1458,0)</f>
        <v/>
      </c>
      <c r="Z1458" s="12" t="inlineStr">
        <is>
          <t>VD 0.6 %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399</v>
      </c>
      <c r="U1459" s="16" t="n">
        <v>73</v>
      </c>
      <c r="V1459" s="16">
        <f>ROUNDUP((T1459+U1459+2*'Read Me'!$B$13)*(1+'Read Me'!$B$12),-1)</f>
        <v/>
      </c>
      <c r="W1459" s="16">
        <f>V1459*N1459*O1459</f>
        <v/>
      </c>
      <c r="X1459" s="12">
        <f>IF(LEFT(I1459,2)="MV",2*N1459*IF(L1459="1/C",O1459,1),0)</f>
        <v/>
      </c>
      <c r="Y1459" s="12">
        <f>IF(OR(LEFT(K1459,4)="LVAX",LEFT(K1459,6)="MV15AX",LEFT(K1459,4)="CTAX",LEFT(K1459,2)="W|"),2*N1459*O1459,0)</f>
        <v/>
      </c>
      <c r="Z1459" s="12" t="inlineStr">
        <is>
          <t>VD 0.6 %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399</v>
      </c>
      <c r="U1460" s="16" t="n">
        <v>73</v>
      </c>
      <c r="V1460" s="16">
        <f>ROUNDUP((T1460+U1460+2*'Read Me'!$B$13)*(1+'Read Me'!$B$12),-1)</f>
        <v/>
      </c>
      <c r="W1460" s="16">
        <f>V1460*N1460*O1460</f>
        <v/>
      </c>
      <c r="X1460" s="12">
        <f>IF(LEFT(I1460,2)="MV",2*N1460*IF(L1460="1/C",O1460,1),0)</f>
        <v/>
      </c>
      <c r="Y1460" s="12">
        <f>IF(OR(LEFT(K1460,4)="LVAX",LEFT(K1460,6)="MV15AX",LEFT(K1460,4)="CTAX",LEFT(K1460,2)="W|"),2*N1460*O1460,0)</f>
        <v/>
      </c>
      <c r="Z1460" s="12" t="inlineStr">
        <is>
          <t>VD 0.6 %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387</v>
      </c>
      <c r="U1461" s="16" t="n">
        <v>58</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387</v>
      </c>
      <c r="U1462" s="16" t="n">
        <v>58</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387</v>
      </c>
      <c r="U1463" s="16" t="n">
        <v>58</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387</v>
      </c>
      <c r="U1464" s="16" t="n">
        <v>58</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387</v>
      </c>
      <c r="U1465" s="16" t="n">
        <v>58</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387</v>
      </c>
      <c r="U1466" s="16" t="n">
        <v>58</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455</v>
      </c>
      <c r="U1467" s="16" t="n">
        <v>142</v>
      </c>
      <c r="V1467" s="16">
        <f>ROUNDUP((T1467+U1467+2*'Read Me'!$B$13)*(1+'Read Me'!$B$12),-1)</f>
        <v/>
      </c>
      <c r="W1467" s="16">
        <f>V1467*N1467*O1467</f>
        <v/>
      </c>
      <c r="X1467" s="12">
        <f>IF(LEFT(I1467,2)="MV",2*N1467*IF(L1467="1/C",O1467,1),0)</f>
        <v/>
      </c>
      <c r="Y1467" s="12">
        <f>IF(OR(LEFT(K1467,4)="LVAX",LEFT(K1467,6)="MV15AX",LEFT(K1467,4)="CTAX",LEFT(K1467,2)="W|"),2*N1467*O1467,0)</f>
        <v/>
      </c>
      <c r="Z1467" s="12" t="inlineStr">
        <is>
          <t>VD 2.9 %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455</v>
      </c>
      <c r="U1468" s="16" t="n">
        <v>142</v>
      </c>
      <c r="V1468" s="16">
        <f>ROUNDUP((T1468+U1468+2*'Read Me'!$B$13)*(1+'Read Me'!$B$12),-1)</f>
        <v/>
      </c>
      <c r="W1468" s="16">
        <f>V1468*N1468*O1468</f>
        <v/>
      </c>
      <c r="X1468" s="12">
        <f>IF(LEFT(I1468,2)="MV",2*N1468*IF(L1468="1/C",O1468,1),0)</f>
        <v/>
      </c>
      <c r="Y1468" s="12">
        <f>IF(OR(LEFT(K1468,4)="LVAX",LEFT(K1468,6)="MV15AX",LEFT(K1468,4)="CTAX",LEFT(K1468,2)="W|"),2*N1468*O1468,0)</f>
        <v/>
      </c>
      <c r="Z1468" s="12" t="inlineStr">
        <is>
          <t>VD 2.9 %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455</v>
      </c>
      <c r="U1469" s="16" t="n">
        <v>142</v>
      </c>
      <c r="V1469" s="16">
        <f>ROUNDUP((T1469+U1469+2*'Read Me'!$B$13)*(1+'Read Me'!$B$12),-1)</f>
        <v/>
      </c>
      <c r="W1469" s="16">
        <f>V1469*N1469*O1469</f>
        <v/>
      </c>
      <c r="X1469" s="12">
        <f>IF(LEFT(I1469,2)="MV",2*N1469*IF(L1469="1/C",O1469,1),0)</f>
        <v/>
      </c>
      <c r="Y1469" s="12">
        <f>IF(OR(LEFT(K1469,4)="LVAX",LEFT(K1469,6)="MV15AX",LEFT(K1469,4)="CTAX",LEFT(K1469,2)="W|"),2*N1469*O1469,0)</f>
        <v/>
      </c>
      <c r="Z1469" s="12" t="inlineStr">
        <is>
          <t>VD 2.9 %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455</v>
      </c>
      <c r="U1470" s="16" t="n">
        <v>142</v>
      </c>
      <c r="V1470" s="16">
        <f>ROUNDUP((T1470+U1470+2*'Read Me'!$B$13)*(1+'Read Me'!$B$12),-1)</f>
        <v/>
      </c>
      <c r="W1470" s="16">
        <f>V1470*N1470*O1470</f>
        <v/>
      </c>
      <c r="X1470" s="12">
        <f>IF(LEFT(I1470,2)="MV",2*N1470*IF(L1470="1/C",O1470,1),0)</f>
        <v/>
      </c>
      <c r="Y1470" s="12">
        <f>IF(OR(LEFT(K1470,4)="LVAX",LEFT(K1470,6)="MV15AX",LEFT(K1470,4)="CTAX",LEFT(K1470,2)="W|"),2*N1470*O1470,0)</f>
        <v/>
      </c>
      <c r="Z1470" s="12" t="inlineStr">
        <is>
          <t>VD 2.9 %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455</v>
      </c>
      <c r="U1471" s="16" t="n">
        <v>142</v>
      </c>
      <c r="V1471" s="16">
        <f>ROUNDUP((T1471+U1471+2*'Read Me'!$B$13)*(1+'Read Me'!$B$12),-1)</f>
        <v/>
      </c>
      <c r="W1471" s="16">
        <f>V1471*N1471*O1471</f>
        <v/>
      </c>
      <c r="X1471" s="12">
        <f>IF(LEFT(I1471,2)="MV",2*N1471*IF(L1471="1/C",O1471,1),0)</f>
        <v/>
      </c>
      <c r="Y1471" s="12">
        <f>IF(OR(LEFT(K1471,4)="LVAX",LEFT(K1471,6)="MV15AX",LEFT(K1471,4)="CTAX",LEFT(K1471,2)="W|"),2*N1471*O1471,0)</f>
        <v/>
      </c>
      <c r="Z1471" s="12" t="inlineStr">
        <is>
          <t>VD 2.9 %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455</v>
      </c>
      <c r="U1472" s="16" t="n">
        <v>142</v>
      </c>
      <c r="V1472" s="16">
        <f>ROUNDUP((T1472+U1472+2*'Read Me'!$B$13)*(1+'Read Me'!$B$12),-1)</f>
        <v/>
      </c>
      <c r="W1472" s="16">
        <f>V1472*N1472*O1472</f>
        <v/>
      </c>
      <c r="X1472" s="12">
        <f>IF(LEFT(I1472,2)="MV",2*N1472*IF(L1472="1/C",O1472,1),0)</f>
        <v/>
      </c>
      <c r="Y1472" s="12">
        <f>IF(OR(LEFT(K1472,4)="LVAX",LEFT(K1472,6)="MV15AX",LEFT(K1472,4)="CTAX",LEFT(K1472,2)="W|"),2*N1472*O1472,0)</f>
        <v/>
      </c>
      <c r="Z1472" s="12" t="inlineStr">
        <is>
          <t>VD 2.9 %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455</v>
      </c>
      <c r="U1473" s="16" t="n">
        <v>142</v>
      </c>
      <c r="V1473" s="16">
        <f>ROUNDUP((T1473+U1473+2*'Read Me'!$B$13)*(1+'Read Me'!$B$12),-1)</f>
        <v/>
      </c>
      <c r="W1473" s="16">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455</v>
      </c>
      <c r="U1474" s="16" t="n">
        <v>142</v>
      </c>
      <c r="V1474" s="16">
        <f>ROUNDUP((T1474+U1474+2*'Read Me'!$B$13)*(1+'Read Me'!$B$12),-1)</f>
        <v/>
      </c>
      <c r="W1474" s="16">
        <f>V1474*N1474*O1474</f>
        <v/>
      </c>
      <c r="X1474" s="12">
        <f>IF(LEFT(I1474,2)="MV",2*N1474*IF(L1474="1/C",O1474,1),0)</f>
        <v/>
      </c>
      <c r="Y1474" s="12">
        <f>IF(OR(LEFT(K1474,4)="LVAX",LEFT(K1474,6)="MV15AX",LEFT(K1474,4)="CTAX",LEFT(K1474,2)="W|"),2*N1474*O1474,0)</f>
        <v/>
      </c>
      <c r="Z1474" s="12" t="inlineStr">
        <is>
          <t>VD 2.9 %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455</v>
      </c>
      <c r="U1475" s="16" t="n">
        <v>142</v>
      </c>
      <c r="V1475" s="16">
        <f>ROUNDUP((T1475+U1475+2*'Read Me'!$B$13)*(1+'Read Me'!$B$12),-1)</f>
        <v/>
      </c>
      <c r="W1475" s="16">
        <f>V1475*N1475*O1475</f>
        <v/>
      </c>
      <c r="X1475" s="12">
        <f>IF(LEFT(I1475,2)="MV",2*N1475*IF(L1475="1/C",O1475,1),0)</f>
        <v/>
      </c>
      <c r="Y1475" s="12">
        <f>IF(OR(LEFT(K1475,4)="LVAX",LEFT(K1475,6)="MV15AX",LEFT(K1475,4)="CTAX",LEFT(K1475,2)="W|"),2*N1475*O1475,0)</f>
        <v/>
      </c>
      <c r="Z1475" s="12" t="inlineStr">
        <is>
          <t>VD 2.9 %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455</v>
      </c>
      <c r="U1476" s="16" t="n">
        <v>142</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455</v>
      </c>
      <c r="U1477" s="16" t="n">
        <v>142</v>
      </c>
      <c r="V1477" s="16">
        <f>ROUNDUP((T1477+U1477+2*'Read Me'!$B$13)*(1+'Read Me'!$B$12),-1)</f>
        <v/>
      </c>
      <c r="W1477" s="16">
        <f>V1477*N1477*O1477</f>
        <v/>
      </c>
      <c r="X1477" s="12">
        <f>IF(LEFT(I1477,2)="MV",2*N1477*IF(L1477="1/C",O1477,1),0)</f>
        <v/>
      </c>
      <c r="Y1477" s="12">
        <f>IF(OR(LEFT(K1477,4)="LVAX",LEFT(K1477,6)="MV15AX",LEFT(K1477,4)="CTAX",LEFT(K1477,2)="W|"),2*N1477*O1477,0)</f>
        <v/>
      </c>
      <c r="Z1477" s="12" t="inlineStr">
        <is>
          <t>VD 2.9 %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455</v>
      </c>
      <c r="U1478" s="16" t="n">
        <v>142</v>
      </c>
      <c r="V1478" s="16">
        <f>ROUNDUP((T1478+U1478+2*'Read Me'!$B$13)*(1+'Read Me'!$B$12),-1)</f>
        <v/>
      </c>
      <c r="W1478" s="16">
        <f>V1478*N1478*O1478</f>
        <v/>
      </c>
      <c r="X1478" s="12">
        <f>IF(LEFT(I1478,2)="MV",2*N1478*IF(L1478="1/C",O1478,1),0)</f>
        <v/>
      </c>
      <c r="Y1478" s="12">
        <f>IF(OR(LEFT(K1478,4)="LVAX",LEFT(K1478,6)="MV15AX",LEFT(K1478,4)="CTAX",LEFT(K1478,2)="W|"),2*N1478*O1478,0)</f>
        <v/>
      </c>
      <c r="Z1478" s="12" t="inlineStr">
        <is>
          <t>VD 2.9 %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385</v>
      </c>
      <c r="U1479" s="16" t="n">
        <v>126</v>
      </c>
      <c r="V1479" s="16">
        <f>ROUNDUP((T1479+U1479+2*'Read Me'!$B$13)*(1+'Read Me'!$B$12),-1)</f>
        <v/>
      </c>
      <c r="W1479" s="16">
        <f>V1479*N1479*O1479</f>
        <v/>
      </c>
      <c r="X1479" s="12">
        <f>IF(LEFT(I1479,2)="MV",2*N1479*IF(L1479="1/C",O1479,1),0)</f>
        <v/>
      </c>
      <c r="Y1479" s="12">
        <f>IF(OR(LEFT(K1479,4)="LVAX",LEFT(K1479,6)="MV15AX",LEFT(K1479,4)="CTAX",LEFT(K1479,2)="W|"),2*N1479*O1479,0)</f>
        <v/>
      </c>
      <c r="Z1479" s="12" t="inlineStr">
        <is>
          <t>VD 1.6 %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385</v>
      </c>
      <c r="U1480" s="16" t="n">
        <v>126</v>
      </c>
      <c r="V1480" s="16">
        <f>ROUNDUP((T1480+U1480+2*'Read Me'!$B$13)*(1+'Read Me'!$B$12),-1)</f>
        <v/>
      </c>
      <c r="W1480" s="16">
        <f>V1480*N1480*O1480</f>
        <v/>
      </c>
      <c r="X1480" s="12">
        <f>IF(LEFT(I1480,2)="MV",2*N1480*IF(L1480="1/C",O1480,1),0)</f>
        <v/>
      </c>
      <c r="Y1480" s="12">
        <f>IF(OR(LEFT(K1480,4)="LVAX",LEFT(K1480,6)="MV15AX",LEFT(K1480,4)="CTAX",LEFT(K1480,2)="W|"),2*N1480*O1480,0)</f>
        <v/>
      </c>
      <c r="Z1480" s="12" t="inlineStr">
        <is>
          <t>VD 3.0 %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385</v>
      </c>
      <c r="U1481" s="16" t="n">
        <v>126</v>
      </c>
      <c r="V1481" s="16">
        <f>ROUNDUP((T1481+U1481+2*'Read Me'!$B$13)*(1+'Read Me'!$B$12),-1)</f>
        <v/>
      </c>
      <c r="W1481" s="16">
        <f>V1481*N1481*O1481</f>
        <v/>
      </c>
      <c r="X1481" s="12">
        <f>IF(LEFT(I1481,2)="MV",2*N1481*IF(L1481="1/C",O1481,1),0)</f>
        <v/>
      </c>
      <c r="Y1481" s="12">
        <f>IF(OR(LEFT(K1481,4)="LVAX",LEFT(K1481,6)="MV15AX",LEFT(K1481,4)="CTAX",LEFT(K1481,2)="W|"),2*N1481*O1481,0)</f>
        <v/>
      </c>
      <c r="Z1481" s="12" t="inlineStr">
        <is>
          <t>VD 3.0 %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385</v>
      </c>
      <c r="U1482" s="16" t="n">
        <v>126</v>
      </c>
      <c r="V1482" s="16">
        <f>ROUNDUP((T1482+U1482+2*'Read Me'!$B$13)*(1+'Read Me'!$B$12),-1)</f>
        <v/>
      </c>
      <c r="W1482" s="16">
        <f>V1482*N1482*O1482</f>
        <v/>
      </c>
      <c r="X1482" s="12">
        <f>IF(LEFT(I1482,2)="MV",2*N1482*IF(L1482="1/C",O1482,1),0)</f>
        <v/>
      </c>
      <c r="Y1482" s="12">
        <f>IF(OR(LEFT(K1482,4)="LVAX",LEFT(K1482,6)="MV15AX",LEFT(K1482,4)="CTAX",LEFT(K1482,2)="W|"),2*N1482*O1482,0)</f>
        <v/>
      </c>
      <c r="Z1482" s="12" t="inlineStr">
        <is>
          <t>VD 3.0 %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385</v>
      </c>
      <c r="U1483" s="16" t="n">
        <v>126</v>
      </c>
      <c r="V1483" s="16">
        <f>ROUNDUP((T1483+U1483+2*'Read Me'!$B$13)*(1+'Read Me'!$B$12),-1)</f>
        <v/>
      </c>
      <c r="W1483" s="16">
        <f>V1483*N1483*O1483</f>
        <v/>
      </c>
      <c r="X1483" s="12">
        <f>IF(LEFT(I1483,2)="MV",2*N1483*IF(L1483="1/C",O1483,1),0)</f>
        <v/>
      </c>
      <c r="Y1483" s="12">
        <f>IF(OR(LEFT(K1483,4)="LVAX",LEFT(K1483,6)="MV15AX",LEFT(K1483,4)="CTAX",LEFT(K1483,2)="W|"),2*N1483*O1483,0)</f>
        <v/>
      </c>
      <c r="Z1483" s="12" t="inlineStr">
        <is>
          <t>VD 3.0 %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472</v>
      </c>
      <c r="U1484" s="16" t="n">
        <v>160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472</v>
      </c>
      <c r="U1485" s="16" t="n">
        <v>160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472</v>
      </c>
      <c r="U1486" s="16" t="n">
        <v>160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472</v>
      </c>
      <c r="U1487" s="16" t="n">
        <v>160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472</v>
      </c>
      <c r="U1488" s="16" t="n">
        <v>160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472</v>
      </c>
      <c r="U1489" s="16" t="n">
        <v>160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472</v>
      </c>
      <c r="U1490" s="16" t="n">
        <v>160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472</v>
      </c>
      <c r="U1491" s="16" t="n">
        <v>160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472</v>
      </c>
      <c r="U1492" s="16" t="n">
        <v>160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472</v>
      </c>
      <c r="U1493" s="16" t="n">
        <v>160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472</v>
      </c>
      <c r="U1494" s="16" t="n">
        <v>160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472</v>
      </c>
      <c r="U1495" s="16" t="n">
        <v>160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402</v>
      </c>
      <c r="U1496" s="16" t="n">
        <v>144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402</v>
      </c>
      <c r="U1497" s="16" t="n">
        <v>144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402</v>
      </c>
      <c r="U1498" s="16" t="n">
        <v>144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402</v>
      </c>
      <c r="U1499" s="16" t="n">
        <v>144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402</v>
      </c>
      <c r="U1500" s="16" t="n">
        <v>144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632</v>
      </c>
      <c r="U1518" s="16" t="n">
        <v>108</v>
      </c>
      <c r="V1518" s="16">
        <f>ROUNDUP((T1518+U1518+2*'Read Me'!$B$13)*(1+'Read Me'!$B$12),-1)</f>
        <v/>
      </c>
      <c r="W1518" s="16">
        <f>V1518*N1518*O1518</f>
        <v/>
      </c>
      <c r="X1518" s="12">
        <f>IF(LEFT(I1518,2)="MV",2*N1518*IF(L1518="1/C",O1518,1),0)</f>
        <v/>
      </c>
      <c r="Y1518" s="12">
        <f>IF(OR(LEFT(K1518,4)="LVAX",LEFT(K1518,6)="MV15AX",LEFT(K1518,4)="CTAX",LEFT(K1518,2)="W|"),2*N1518*O1518,0)</f>
        <v/>
      </c>
      <c r="Z1518" s="12" t="inlineStr">
        <is>
          <t>VD 1.0 %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632</v>
      </c>
      <c r="U1519" s="16" t="n">
        <v>108</v>
      </c>
      <c r="V1519" s="16">
        <f>ROUNDUP((T1519+U1519+2*'Read Me'!$B$13)*(1+'Read Me'!$B$12),-1)</f>
        <v/>
      </c>
      <c r="W1519" s="16">
        <f>V1519*N1519*O1519</f>
        <v/>
      </c>
      <c r="X1519" s="12">
        <f>IF(LEFT(I1519,2)="MV",2*N1519*IF(L1519="1/C",O1519,1),0)</f>
        <v/>
      </c>
      <c r="Y1519" s="12">
        <f>IF(OR(LEFT(K1519,4)="LVAX",LEFT(K1519,6)="MV15AX",LEFT(K1519,4)="CTAX",LEFT(K1519,2)="W|"),2*N1519*O1519,0)</f>
        <v/>
      </c>
      <c r="Z1519" s="12" t="inlineStr">
        <is>
          <t>VD 1.0 %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632</v>
      </c>
      <c r="U1520" s="16" t="n">
        <v>108</v>
      </c>
      <c r="V1520" s="16">
        <f>ROUNDUP((T1520+U1520+2*'Read Me'!$B$13)*(1+'Read Me'!$B$12),-1)</f>
        <v/>
      </c>
      <c r="W1520" s="16">
        <f>V1520*N1520*O1520</f>
        <v/>
      </c>
      <c r="X1520" s="12">
        <f>IF(LEFT(I1520,2)="MV",2*N1520*IF(L1520="1/C",O1520,1),0)</f>
        <v/>
      </c>
      <c r="Y1520" s="12">
        <f>IF(OR(LEFT(K1520,4)="LVAX",LEFT(K1520,6)="MV15AX",LEFT(K1520,4)="CTAX",LEFT(K1520,2)="W|"),2*N1520*O1520,0)</f>
        <v/>
      </c>
      <c r="Z1520" s="12" t="inlineStr">
        <is>
          <t>VD 1.0 %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632</v>
      </c>
      <c r="U1521" s="16" t="n">
        <v>108</v>
      </c>
      <c r="V1521" s="16">
        <f>ROUNDUP((T1521+U1521+2*'Read Me'!$B$13)*(1+'Read Me'!$B$12),-1)</f>
        <v/>
      </c>
      <c r="W1521" s="16">
        <f>V1521*N1521*O1521</f>
        <v/>
      </c>
      <c r="X1521" s="12">
        <f>IF(LEFT(I1521,2)="MV",2*N1521*IF(L1521="1/C",O1521,1),0)</f>
        <v/>
      </c>
      <c r="Y1521" s="12">
        <f>IF(OR(LEFT(K1521,4)="LVAX",LEFT(K1521,6)="MV15AX",LEFT(K1521,4)="CTAX",LEFT(K1521,2)="W|"),2*N1521*O1521,0)</f>
        <v/>
      </c>
      <c r="Z1521" s="12" t="inlineStr">
        <is>
          <t>VD 1.0 %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649</v>
      </c>
      <c r="U1522" s="16" t="n">
        <v>126</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649</v>
      </c>
      <c r="U1523" s="16" t="n">
        <v>126</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649</v>
      </c>
      <c r="U1524" s="16" t="n">
        <v>126</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649</v>
      </c>
      <c r="U1525" s="16" t="n">
        <v>126</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827</v>
      </c>
      <c r="U1526" s="16" t="n">
        <v>124</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827</v>
      </c>
      <c r="U1527" s="16" t="n">
        <v>124</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827</v>
      </c>
      <c r="U1528" s="16" t="n">
        <v>124</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827</v>
      </c>
      <c r="U1529" s="16" t="n">
        <v>124</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R2B</t>
        </is>
      </c>
      <c r="F1592" s="12" t="inlineStr">
        <is>
          <t>R2B: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367</v>
      </c>
      <c r="U1592" s="16" t="n">
        <v>115</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R2B</t>
        </is>
      </c>
      <c r="F1593" s="12" t="inlineStr">
        <is>
          <t>R2B: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367</v>
      </c>
      <c r="U1593" s="16" t="n">
        <v>115</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R2B</t>
        </is>
      </c>
      <c r="F1594" s="12" t="inlineStr">
        <is>
          <t>R2B: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367</v>
      </c>
      <c r="U1594" s="16" t="n">
        <v>115</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R2B</t>
        </is>
      </c>
      <c r="F1595" s="12" t="inlineStr">
        <is>
          <t>R2B: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367</v>
      </c>
      <c r="U1595" s="16" t="n">
        <v>115</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R2B</t>
        </is>
      </c>
      <c r="F1596" s="12" t="inlineStr">
        <is>
          <t>R2B: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367</v>
      </c>
      <c r="U1596" s="16" t="n">
        <v>115</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R2B</t>
        </is>
      </c>
      <c r="F1597" s="12" t="inlineStr">
        <is>
          <t>R2B: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367</v>
      </c>
      <c r="U1597" s="16" t="n">
        <v>115</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R2C</t>
        </is>
      </c>
      <c r="F1661" s="12" t="inlineStr">
        <is>
          <t>R2C: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367</v>
      </c>
      <c r="U1661" s="16" t="n">
        <v>115</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R2C</t>
        </is>
      </c>
      <c r="F1662" s="12" t="inlineStr">
        <is>
          <t>R2C: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367</v>
      </c>
      <c r="U1662" s="16" t="n">
        <v>115</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R2C</t>
        </is>
      </c>
      <c r="F1663" s="12" t="inlineStr">
        <is>
          <t>R2C: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367</v>
      </c>
      <c r="U1663" s="16" t="n">
        <v>115</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R2C</t>
        </is>
      </c>
      <c r="F1664" s="12" t="inlineStr">
        <is>
          <t>R2C: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367</v>
      </c>
      <c r="U1664" s="16" t="n">
        <v>115</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R2C</t>
        </is>
      </c>
      <c r="F1665" s="12" t="inlineStr">
        <is>
          <t>R2C: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367</v>
      </c>
      <c r="U1665" s="16" t="n">
        <v>115</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R2C</t>
        </is>
      </c>
      <c r="F1666" s="12" t="inlineStr">
        <is>
          <t>R2C: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367</v>
      </c>
      <c r="U1666" s="16" t="n">
        <v>115</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R3</t>
        </is>
      </c>
      <c r="F1730" s="12" t="inlineStr">
        <is>
          <t>R3: ST auxiliary electrical e-house (40 x 65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512</v>
      </c>
      <c r="U1730" s="16" t="n">
        <v>150</v>
      </c>
      <c r="V1730" s="16">
        <f>ROUNDUP((T1730+U1730+2*'Read Me'!$B$13)*(1+'Read Me'!$B$12),-1)</f>
        <v/>
      </c>
      <c r="W1730" s="16">
        <f>V1730*N1730*O1730</f>
        <v/>
      </c>
      <c r="X1730" s="12">
        <f>IF(LEFT(I1730,2)="MV",2*N1730*IF(L1730="1/C",O1730,1),0)</f>
        <v/>
      </c>
      <c r="Y1730" s="12">
        <f>IF(OR(LEFT(K1730,4)="LVAX",LEFT(K1730,6)="MV15AX",LEFT(K1730,4)="CTAX",LEFT(K1730,2)="W|"),2*N1730*O1730,0)</f>
        <v/>
      </c>
      <c r="Z1730" s="12" t="inlineStr">
        <is>
          <t>VD 0.9 %</t>
        </is>
      </c>
      <c r="AA1730" s="12">
        <f>N1730*O1730</f>
        <v/>
      </c>
    </row>
    <row r="1731">
      <c r="A1731" s="12" t="inlineStr">
        <is>
          <t>A-P-0364</t>
        </is>
      </c>
      <c r="B1731" s="12" t="inlineStr">
        <is>
          <t>A</t>
        </is>
      </c>
      <c r="C1731" s="12" t="inlineStr">
        <is>
          <t>Power block</t>
        </is>
      </c>
      <c r="D1731" s="12" t="inlineStr">
        <is>
          <t>Motor 2 of 6, 2 kW</t>
        </is>
      </c>
      <c r="E1731" s="12" t="inlineStr">
        <is>
          <t>R3</t>
        </is>
      </c>
      <c r="F1731" s="12" t="inlineStr">
        <is>
          <t>R3: ST auxiliary electrical e-house (40 x 65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512</v>
      </c>
      <c r="U1731" s="16" t="n">
        <v>150</v>
      </c>
      <c r="V1731" s="16">
        <f>ROUNDUP((T1731+U1731+2*'Read Me'!$B$13)*(1+'Read Me'!$B$12),-1)</f>
        <v/>
      </c>
      <c r="W1731" s="16">
        <f>V1731*N1731*O1731</f>
        <v/>
      </c>
      <c r="X1731" s="12">
        <f>IF(LEFT(I1731,2)="MV",2*N1731*IF(L1731="1/C",O1731,1),0)</f>
        <v/>
      </c>
      <c r="Y1731" s="12">
        <f>IF(OR(LEFT(K1731,4)="LVAX",LEFT(K1731,6)="MV15AX",LEFT(K1731,4)="CTAX",LEFT(K1731,2)="W|"),2*N1731*O1731,0)</f>
        <v/>
      </c>
      <c r="Z1731" s="12" t="inlineStr">
        <is>
          <t>VD 0.9 %</t>
        </is>
      </c>
      <c r="AA1731" s="12">
        <f>N1731*O1731</f>
        <v/>
      </c>
    </row>
    <row r="1732">
      <c r="A1732" s="12" t="inlineStr">
        <is>
          <t>A-P-0365</t>
        </is>
      </c>
      <c r="B1732" s="12" t="inlineStr">
        <is>
          <t>A</t>
        </is>
      </c>
      <c r="C1732" s="12" t="inlineStr">
        <is>
          <t>Power block</t>
        </is>
      </c>
      <c r="D1732" s="12" t="inlineStr">
        <is>
          <t>Motor 3 of 6, 2 kW</t>
        </is>
      </c>
      <c r="E1732" s="12" t="inlineStr">
        <is>
          <t>R3</t>
        </is>
      </c>
      <c r="F1732" s="12" t="inlineStr">
        <is>
          <t>R3: ST auxiliary electrical e-house (40 x 65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512</v>
      </c>
      <c r="U1732" s="16" t="n">
        <v>150</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A-P-0366</t>
        </is>
      </c>
      <c r="B1733" s="12" t="inlineStr">
        <is>
          <t>A</t>
        </is>
      </c>
      <c r="C1733" s="12" t="inlineStr">
        <is>
          <t>Power block</t>
        </is>
      </c>
      <c r="D1733" s="12" t="inlineStr">
        <is>
          <t>Motor 4 of 6, 2 kW</t>
        </is>
      </c>
      <c r="E1733" s="12" t="inlineStr">
        <is>
          <t>R3</t>
        </is>
      </c>
      <c r="F1733" s="12" t="inlineStr">
        <is>
          <t>R3: ST auxiliary electrical e-house (40 x 65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512</v>
      </c>
      <c r="U1733" s="16" t="n">
        <v>150</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A-P-0367</t>
        </is>
      </c>
      <c r="B1734" s="12" t="inlineStr">
        <is>
          <t>A</t>
        </is>
      </c>
      <c r="C1734" s="12" t="inlineStr">
        <is>
          <t>Power block</t>
        </is>
      </c>
      <c r="D1734" s="12" t="inlineStr">
        <is>
          <t>Motor 5 of 6, 2 kW</t>
        </is>
      </c>
      <c r="E1734" s="12" t="inlineStr">
        <is>
          <t>R3</t>
        </is>
      </c>
      <c r="F1734" s="12" t="inlineStr">
        <is>
          <t>R3: ST auxiliary electrical e-house (40 x 65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512</v>
      </c>
      <c r="U1734" s="16" t="n">
        <v>150</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A-P-0368</t>
        </is>
      </c>
      <c r="B1735" s="12" t="inlineStr">
        <is>
          <t>A</t>
        </is>
      </c>
      <c r="C1735" s="12" t="inlineStr">
        <is>
          <t>Power block</t>
        </is>
      </c>
      <c r="D1735" s="12" t="inlineStr">
        <is>
          <t>Motor 6 of 6, 2 kW</t>
        </is>
      </c>
      <c r="E1735" s="12" t="inlineStr">
        <is>
          <t>R3</t>
        </is>
      </c>
      <c r="F1735" s="12" t="inlineStr">
        <is>
          <t>R3: ST auxiliary electrical e-house (40 x 65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512</v>
      </c>
      <c r="U1735" s="16" t="n">
        <v>150</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996</v>
      </c>
      <c r="U1774" s="16" t="n">
        <v>60</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1036</v>
      </c>
      <c r="U1775" s="16" t="n">
        <v>58</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726</v>
      </c>
      <c r="U1777" s="16" t="n">
        <v>66</v>
      </c>
      <c r="V1777" s="16">
        <f>ROUNDUP((T1777+U1777+2*'Read Me'!$B$13)*(1+'Read Me'!$B$12),-1)</f>
        <v/>
      </c>
      <c r="W1777" s="16">
        <f>V1777*N1777*O1777</f>
        <v/>
      </c>
      <c r="X1777" s="12">
        <f>IF(LEFT(I1777,2)="MV",2*N1777*IF(L1777="1/C",O1777,1),0)</f>
        <v/>
      </c>
      <c r="Y1777" s="12">
        <f>IF(OR(LEFT(K1777,4)="LVAX",LEFT(K1777,6)="MV15AX",LEFT(K1777,4)="CTAX",LEFT(K1777,2)="W|"),2*N1777*O1777,0)</f>
        <v/>
      </c>
      <c r="Z1777" s="12" t="inlineStr">
        <is>
          <t>VD 2.3 %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68</v>
      </c>
      <c r="V1781" s="16">
        <f>ROUNDUP((T1781+U1781+2*'Read Me'!$B$13)*(1+'Read Me'!$B$12),-1)</f>
        <v/>
      </c>
      <c r="W1781" s="16">
        <f>V1781*N1781*O1781</f>
        <v/>
      </c>
      <c r="X1781" s="12">
        <f>IF(LEFT(I1781,2)="MV",2*N1781*IF(L1781="1/C",O1781,1),0)</f>
        <v/>
      </c>
      <c r="Y1781" s="12">
        <f>IF(OR(LEFT(K1781,4)="LVAX",LEFT(K1781,6)="MV15AX",LEFT(K1781,4)="CTAX",LEFT(K1781,2)="W|"),2*N1781*O1781,0)</f>
        <v/>
      </c>
      <c r="Z1781" s="12" t="inlineStr">
        <is>
          <t>VD 0.3 %</t>
        </is>
      </c>
      <c r="AA1781" s="12">
        <f>N1781*O1781</f>
        <v/>
      </c>
    </row>
    <row r="1782">
      <c r="A1782" s="12" t="inlineStr">
        <is>
          <t>A-P-0415</t>
        </is>
      </c>
      <c r="B1782" s="12" t="inlineStr">
        <is>
          <t>A</t>
        </is>
      </c>
      <c r="C1782" s="12" t="inlineStr">
        <is>
          <t>Power block</t>
        </is>
      </c>
      <c r="D1782" s="12" t="inlineStr">
        <is>
          <t>Motor 1 of 2, 110 kW</t>
        </is>
      </c>
      <c r="E1782" s="12" t="inlineStr">
        <is>
          <t>R2B</t>
        </is>
      </c>
      <c r="F1782" s="12" t="inlineStr">
        <is>
          <t>R2B: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381</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2.1 %</t>
        </is>
      </c>
      <c r="AA1782" s="12">
        <f>N1782*O1782</f>
        <v/>
      </c>
    </row>
    <row r="1783">
      <c r="A1783" s="12" t="inlineStr">
        <is>
          <t>A-P-0416</t>
        </is>
      </c>
      <c r="B1783" s="12" t="inlineStr">
        <is>
          <t>A</t>
        </is>
      </c>
      <c r="C1783" s="12" t="inlineStr">
        <is>
          <t>Power block</t>
        </is>
      </c>
      <c r="D1783" s="12" t="inlineStr">
        <is>
          <t>Motor 2 of 2, 110 kW</t>
        </is>
      </c>
      <c r="E1783" s="12" t="inlineStr">
        <is>
          <t>R2B</t>
        </is>
      </c>
      <c r="F1783" s="12" t="inlineStr">
        <is>
          <t>R2B: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381</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2.1 %</t>
        </is>
      </c>
      <c r="AA1783" s="12">
        <f>N1783*O1783</f>
        <v/>
      </c>
    </row>
    <row r="1784">
      <c r="A1784" s="12" t="inlineStr">
        <is>
          <t>A-P-0417</t>
        </is>
      </c>
      <c r="B1784" s="12" t="inlineStr">
        <is>
          <t>A</t>
        </is>
      </c>
      <c r="C1784" s="12" t="inlineStr">
        <is>
          <t>Power block</t>
        </is>
      </c>
      <c r="D1784" s="12" t="inlineStr">
        <is>
          <t>Motor 1 of 2, 110 kW</t>
        </is>
      </c>
      <c r="E1784" s="12" t="inlineStr">
        <is>
          <t>R2C</t>
        </is>
      </c>
      <c r="F1784" s="12" t="inlineStr">
        <is>
          <t>R2C: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381</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2.1 %</t>
        </is>
      </c>
      <c r="AA1784" s="12">
        <f>N1784*O1784</f>
        <v/>
      </c>
    </row>
    <row r="1785">
      <c r="A1785" s="12" t="inlineStr">
        <is>
          <t>A-P-0418</t>
        </is>
      </c>
      <c r="B1785" s="12" t="inlineStr">
        <is>
          <t>A</t>
        </is>
      </c>
      <c r="C1785" s="12" t="inlineStr">
        <is>
          <t>Power block</t>
        </is>
      </c>
      <c r="D1785" s="12" t="inlineStr">
        <is>
          <t>Motor 2 of 2, 110 kW</t>
        </is>
      </c>
      <c r="E1785" s="12" t="inlineStr">
        <is>
          <t>R2C</t>
        </is>
      </c>
      <c r="F1785" s="12" t="inlineStr">
        <is>
          <t>R2C: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381</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2.1 %</t>
        </is>
      </c>
      <c r="AA1785" s="12">
        <f>N1785*O1785</f>
        <v/>
      </c>
    </row>
    <row r="1786">
      <c r="A1786" s="12" t="inlineStr">
        <is>
          <t>A-P-0419</t>
        </is>
      </c>
      <c r="B1786" s="12" t="inlineStr">
        <is>
          <t>A</t>
        </is>
      </c>
      <c r="C1786" s="12" t="inlineStr">
        <is>
          <t>Power block</t>
        </is>
      </c>
      <c r="D1786" s="12" t="inlineStr">
        <is>
          <t>Motor 1 of 2, 110 kW</t>
        </is>
      </c>
      <c r="E1786" s="12" t="inlineStr">
        <is>
          <t>R3</t>
        </is>
      </c>
      <c r="F1786" s="12" t="inlineStr">
        <is>
          <t>R3: ST auxiliary electrical e-house (40 x 65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510</v>
      </c>
      <c r="U1786" s="16" t="n">
        <v>114</v>
      </c>
      <c r="V1786" s="16">
        <f>ROUNDUP((T1786+U1786+2*'Read Me'!$B$13)*(1+'Read Me'!$B$12),-1)</f>
        <v/>
      </c>
      <c r="W1786" s="16">
        <f>V1786*N1786*O1786</f>
        <v/>
      </c>
      <c r="X1786" s="12">
        <f>IF(LEFT(I1786,2)="MV",2*N1786*IF(L1786="1/C",O1786,1),0)</f>
        <v/>
      </c>
      <c r="Y1786" s="12">
        <f>IF(OR(LEFT(K1786,4)="LVAX",LEFT(K1786,6)="MV15AX",LEFT(K1786,4)="CTAX",LEFT(K1786,2)="W|"),2*N1786*O1786,0)</f>
        <v/>
      </c>
      <c r="Z1786" s="12" t="inlineStr">
        <is>
          <t>VD 3.0 %</t>
        </is>
      </c>
      <c r="AA1786" s="12">
        <f>N1786*O1786</f>
        <v/>
      </c>
    </row>
    <row r="1787">
      <c r="A1787" s="12" t="inlineStr">
        <is>
          <t>A-P-0420</t>
        </is>
      </c>
      <c r="B1787" s="12" t="inlineStr">
        <is>
          <t>A</t>
        </is>
      </c>
      <c r="C1787" s="12" t="inlineStr">
        <is>
          <t>Power block</t>
        </is>
      </c>
      <c r="D1787" s="12" t="inlineStr">
        <is>
          <t>Motor 2 of 2, 110 kW</t>
        </is>
      </c>
      <c r="E1787" s="12" t="inlineStr">
        <is>
          <t>R3</t>
        </is>
      </c>
      <c r="F1787" s="12" t="inlineStr">
        <is>
          <t>R3: ST auxiliary electrical e-house (40 x 65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510</v>
      </c>
      <c r="U1787" s="16" t="n">
        <v>114</v>
      </c>
      <c r="V1787" s="16">
        <f>ROUNDUP((T1787+U1787+2*'Read Me'!$B$13)*(1+'Read Me'!$B$12),-1)</f>
        <v/>
      </c>
      <c r="W1787" s="16">
        <f>V1787*N1787*O1787</f>
        <v/>
      </c>
      <c r="X1787" s="12">
        <f>IF(LEFT(I1787,2)="MV",2*N1787*IF(L1787="1/C",O1787,1),0)</f>
        <v/>
      </c>
      <c r="Y1787" s="12">
        <f>IF(OR(LEFT(K1787,4)="LVAX",LEFT(K1787,6)="MV15AX",LEFT(K1787,4)="CTAX",LEFT(K1787,2)="W|"),2*N1787*O1787,0)</f>
        <v/>
      </c>
      <c r="Z1787" s="12" t="inlineStr">
        <is>
          <t>VD 3.0 %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489</v>
      </c>
      <c r="U1788" s="16" t="n">
        <v>123</v>
      </c>
      <c r="V1788" s="16">
        <f>ROUNDUP((T1788+U1788+2*'Read Me'!$B$13)*(1+'Read Me'!$B$12),-1)</f>
        <v/>
      </c>
      <c r="W1788" s="16">
        <f>V1788*N1788*O1788</f>
        <v/>
      </c>
      <c r="X1788" s="12">
        <f>IF(LEFT(I1788,2)="MV",2*N1788*IF(L1788="1/C",O1788,1),0)</f>
        <v/>
      </c>
      <c r="Y1788" s="12">
        <f>IF(OR(LEFT(K1788,4)="LVAX",LEFT(K1788,6)="MV15AX",LEFT(K1788,4)="CTAX",LEFT(K1788,2)="W|"),2*N1788*O1788,0)</f>
        <v/>
      </c>
      <c r="Z1788" s="12" t="inlineStr">
        <is>
          <t>VD 2.5 %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489</v>
      </c>
      <c r="U1789" s="16" t="n">
        <v>123</v>
      </c>
      <c r="V1789" s="16">
        <f>ROUNDUP((T1789+U1789+2*'Read Me'!$B$13)*(1+'Read Me'!$B$12),-1)</f>
        <v/>
      </c>
      <c r="W1789" s="16">
        <f>V1789*N1789*O1789</f>
        <v/>
      </c>
      <c r="X1789" s="12">
        <f>IF(LEFT(I1789,2)="MV",2*N1789*IF(L1789="1/C",O1789,1),0)</f>
        <v/>
      </c>
      <c r="Y1789" s="12">
        <f>IF(OR(LEFT(K1789,4)="LVAX",LEFT(K1789,6)="MV15AX",LEFT(K1789,4)="CTAX",LEFT(K1789,2)="W|"),2*N1789*O1789,0)</f>
        <v/>
      </c>
      <c r="Z1789" s="12" t="inlineStr">
        <is>
          <t>VD 2.5 %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489</v>
      </c>
      <c r="U1790" s="16" t="n">
        <v>123</v>
      </c>
      <c r="V1790" s="16">
        <f>ROUNDUP((T1790+U1790+2*'Read Me'!$B$13)*(1+'Read Me'!$B$12),-1)</f>
        <v/>
      </c>
      <c r="W1790" s="16">
        <f>V1790*N1790*O1790</f>
        <v/>
      </c>
      <c r="X1790" s="12">
        <f>IF(LEFT(I1790,2)="MV",2*N1790*IF(L1790="1/C",O1790,1),0)</f>
        <v/>
      </c>
      <c r="Y1790" s="12">
        <f>IF(OR(LEFT(K1790,4)="LVAX",LEFT(K1790,6)="MV15AX",LEFT(K1790,4)="CTAX",LEFT(K1790,2)="W|"),2*N1790*O1790,0)</f>
        <v/>
      </c>
      <c r="Z1790" s="12" t="inlineStr">
        <is>
          <t>VD 2.5 %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506</v>
      </c>
      <c r="U1791" s="16" t="n">
        <v>141</v>
      </c>
      <c r="V1791" s="16">
        <f>ROUNDUP((T1791+U1791+2*'Read Me'!$B$13)*(1+'Read Me'!$B$12),-1)</f>
        <v/>
      </c>
      <c r="W1791" s="16">
        <f>V1791*N1791*O1791</f>
        <v/>
      </c>
      <c r="X1791" s="12">
        <f>IF(LEFT(I1791,2)="MV",2*N1791*IF(L1791="1/C",O1791,1),0)</f>
        <v/>
      </c>
      <c r="Y1791" s="12">
        <f>IF(OR(LEFT(K1791,4)="LVAX",LEFT(K1791,6)="MV15AX",LEFT(K1791,4)="CTAX",LEFT(K1791,2)="W|"),2*N1791*O1791,0)</f>
        <v/>
      </c>
      <c r="Z1791" s="12" t="inlineStr">
        <is>
          <t>VD 2.7 %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LVAX|3/C+G|6</t>
        </is>
      </c>
      <c r="L1792" s="12" t="inlineStr">
        <is>
          <t>3/C+G</t>
        </is>
      </c>
      <c r="M1792" s="12" t="inlineStr">
        <is>
          <t>6</t>
        </is>
      </c>
      <c r="N1792" s="12" t="n">
        <v>1</v>
      </c>
      <c r="O1792" s="12" t="n">
        <v>1</v>
      </c>
      <c r="P1792" s="12" t="n">
        <v>480</v>
      </c>
      <c r="Q1792" s="12" t="n">
        <v>15</v>
      </c>
      <c r="R1792" s="12" t="n">
        <v>21.2</v>
      </c>
      <c r="S1792" s="12" t="inlineStr">
        <is>
          <t>Tray</t>
        </is>
      </c>
      <c r="T1792" s="16" t="n">
        <v>506</v>
      </c>
      <c r="U1792" s="16" t="n">
        <v>141</v>
      </c>
      <c r="V1792" s="16">
        <f>ROUNDUP((T1792+U1792+2*'Read Me'!$B$13)*(1+'Read Me'!$B$12),-1)</f>
        <v/>
      </c>
      <c r="W1792" s="16">
        <f>V1792*N1792*O1792</f>
        <v/>
      </c>
      <c r="X1792" s="12">
        <f>IF(LEFT(I1792,2)="MV",2*N1792*IF(L1792="1/C",O1792,1),0)</f>
        <v/>
      </c>
      <c r="Y1792" s="12">
        <f>IF(OR(LEFT(K1792,4)="LVAX",LEFT(K1792,6)="MV15AX",LEFT(K1792,4)="CTAX",LEFT(K1792,2)="W|"),2*N1792*O1792,0)</f>
        <v/>
      </c>
      <c r="Z1792" s="12" t="inlineStr">
        <is>
          <t>VD 2.7 %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LVAX|3/C+G|6</t>
        </is>
      </c>
      <c r="L1793" s="12" t="inlineStr">
        <is>
          <t>3/C+G</t>
        </is>
      </c>
      <c r="M1793" s="12" t="inlineStr">
        <is>
          <t>6</t>
        </is>
      </c>
      <c r="N1793" s="12" t="n">
        <v>1</v>
      </c>
      <c r="O1793" s="12" t="n">
        <v>1</v>
      </c>
      <c r="P1793" s="12" t="n">
        <v>480</v>
      </c>
      <c r="Q1793" s="12" t="n">
        <v>15</v>
      </c>
      <c r="R1793" s="12" t="n">
        <v>21.2</v>
      </c>
      <c r="S1793" s="12" t="inlineStr">
        <is>
          <t>Tray</t>
        </is>
      </c>
      <c r="T1793" s="16" t="n">
        <v>506</v>
      </c>
      <c r="U1793" s="16" t="n">
        <v>141</v>
      </c>
      <c r="V1793" s="16">
        <f>ROUNDUP((T1793+U1793+2*'Read Me'!$B$13)*(1+'Read Me'!$B$12),-1)</f>
        <v/>
      </c>
      <c r="W1793" s="16">
        <f>V1793*N1793*O1793</f>
        <v/>
      </c>
      <c r="X1793" s="12">
        <f>IF(LEFT(I1793,2)="MV",2*N1793*IF(L1793="1/C",O1793,1),0)</f>
        <v/>
      </c>
      <c r="Y1793" s="12">
        <f>IF(OR(LEFT(K1793,4)="LVAX",LEFT(K1793,6)="MV15AX",LEFT(K1793,4)="CTAX",LEFT(K1793,2)="W|"),2*N1793*O1793,0)</f>
        <v/>
      </c>
      <c r="Z1793" s="12" t="inlineStr">
        <is>
          <t>VD 2.7 %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684</v>
      </c>
      <c r="U1794" s="16" t="n">
        <v>139</v>
      </c>
      <c r="V1794" s="16">
        <f>ROUNDUP((T1794+U1794+2*'Read Me'!$B$13)*(1+'Read Me'!$B$12),-1)</f>
        <v/>
      </c>
      <c r="W1794" s="16">
        <f>V1794*N1794*O1794</f>
        <v/>
      </c>
      <c r="X1794" s="12">
        <f>IF(LEFT(I1794,2)="MV",2*N1794*IF(L1794="1/C",O1794,1),0)</f>
        <v/>
      </c>
      <c r="Y1794" s="12">
        <f>IF(OR(LEFT(K1794,4)="LVAX",LEFT(K1794,6)="MV15AX",LEFT(K1794,4)="CTAX",LEFT(K1794,2)="W|"),2*N1794*O1794,0)</f>
        <v/>
      </c>
      <c r="Z1794" s="12" t="inlineStr">
        <is>
          <t>VD 2.1 %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684</v>
      </c>
      <c r="U1795" s="16" t="n">
        <v>139</v>
      </c>
      <c r="V1795" s="16">
        <f>ROUNDUP((T1795+U1795+2*'Read Me'!$B$13)*(1+'Read Me'!$B$12),-1)</f>
        <v/>
      </c>
      <c r="W1795" s="16">
        <f>V1795*N1795*O1795</f>
        <v/>
      </c>
      <c r="X1795" s="12">
        <f>IF(LEFT(I1795,2)="MV",2*N1795*IF(L1795="1/C",O1795,1),0)</f>
        <v/>
      </c>
      <c r="Y1795" s="12">
        <f>IF(OR(LEFT(K1795,4)="LVAX",LEFT(K1795,6)="MV15AX",LEFT(K1795,4)="CTAX",LEFT(K1795,2)="W|"),2*N1795*O1795,0)</f>
        <v/>
      </c>
      <c r="Z1795" s="12" t="inlineStr">
        <is>
          <t>VD 2.1 %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684</v>
      </c>
      <c r="U1796" s="16" t="n">
        <v>139</v>
      </c>
      <c r="V1796" s="16">
        <f>ROUNDUP((T1796+U1796+2*'Read Me'!$B$13)*(1+'Read Me'!$B$12),-1)</f>
        <v/>
      </c>
      <c r="W1796" s="16">
        <f>V1796*N1796*O1796</f>
        <v/>
      </c>
      <c r="X1796" s="12">
        <f>IF(LEFT(I1796,2)="MV",2*N1796*IF(L1796="1/C",O1796,1),0)</f>
        <v/>
      </c>
      <c r="Y1796" s="12">
        <f>IF(OR(LEFT(K1796,4)="LVAX",LEFT(K1796,6)="MV15AX",LEFT(K1796,4)="CTAX",LEFT(K1796,2)="W|"),2*N1796*O1796,0)</f>
        <v/>
      </c>
      <c r="Z1796" s="12" t="inlineStr">
        <is>
          <t>VD 2.1 %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91</v>
      </c>
      <c r="U1797" s="16" t="n">
        <v>70</v>
      </c>
      <c r="V1797" s="16">
        <f>ROUNDUP((T1797+U1797+2*'Read Me'!$B$13)*(1+'Read Me'!$B$12),-1)</f>
        <v/>
      </c>
      <c r="W1797" s="16">
        <f>V1797*N1797*O1797</f>
        <v/>
      </c>
      <c r="X1797" s="12">
        <f>IF(LEFT(I1797,2)="MV",2*N1797*IF(L1797="1/C",O1797,1),0)</f>
        <v/>
      </c>
      <c r="Y1797" s="12">
        <f>IF(OR(LEFT(K1797,4)="LVAX",LEFT(K1797,6)="MV15AX",LEFT(K1797,4)="CTAX",LEFT(K1797,2)="W|"),2*N1797*O1797,0)</f>
        <v/>
      </c>
      <c r="Z1797" s="12" t="inlineStr">
        <is>
          <t>VD 1.1 %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91</v>
      </c>
      <c r="U1798" s="16" t="n">
        <v>70</v>
      </c>
      <c r="V1798" s="16">
        <f>ROUNDUP((T1798+U1798+2*'Read Me'!$B$13)*(1+'Read Me'!$B$12),-1)</f>
        <v/>
      </c>
      <c r="W1798" s="16">
        <f>V1798*N1798*O1798</f>
        <v/>
      </c>
      <c r="X1798" s="12">
        <f>IF(LEFT(I1798,2)="MV",2*N1798*IF(L1798="1/C",O1798,1),0)</f>
        <v/>
      </c>
      <c r="Y1798" s="12">
        <f>IF(OR(LEFT(K1798,4)="LVAX",LEFT(K1798,6)="MV15AX",LEFT(K1798,4)="CTAX",LEFT(K1798,2)="W|"),2*N1798*O1798,0)</f>
        <v/>
      </c>
      <c r="Z1798" s="12" t="inlineStr">
        <is>
          <t>VD 1.1 %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91</v>
      </c>
      <c r="U1799" s="16" t="n">
        <v>70</v>
      </c>
      <c r="V1799" s="16">
        <f>ROUNDUP((T1799+U1799+2*'Read Me'!$B$13)*(1+'Read Me'!$B$12),-1)</f>
        <v/>
      </c>
      <c r="W1799" s="16">
        <f>V1799*N1799*O1799</f>
        <v/>
      </c>
      <c r="X1799" s="12">
        <f>IF(LEFT(I1799,2)="MV",2*N1799*IF(L1799="1/C",O1799,1),0)</f>
        <v/>
      </c>
      <c r="Y1799" s="12">
        <f>IF(OR(LEFT(K1799,4)="LVAX",LEFT(K1799,6)="MV15AX",LEFT(K1799,4)="CTAX",LEFT(K1799,2)="W|"),2*N1799*O1799,0)</f>
        <v/>
      </c>
      <c r="Z1799" s="12" t="inlineStr">
        <is>
          <t>VD 1.1 %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91</v>
      </c>
      <c r="U1800" s="16" t="n">
        <v>70</v>
      </c>
      <c r="V1800" s="16">
        <f>ROUNDUP((T1800+U1800+2*'Read Me'!$B$13)*(1+'Read Me'!$B$12),-1)</f>
        <v/>
      </c>
      <c r="W1800" s="16">
        <f>V1800*N1800*O1800</f>
        <v/>
      </c>
      <c r="X1800" s="12">
        <f>IF(LEFT(I1800,2)="MV",2*N1800*IF(L1800="1/C",O1800,1),0)</f>
        <v/>
      </c>
      <c r="Y1800" s="12">
        <f>IF(OR(LEFT(K1800,4)="LVAX",LEFT(K1800,6)="MV15AX",LEFT(K1800,4)="CTAX",LEFT(K1800,2)="W|"),2*N1800*O1800,0)</f>
        <v/>
      </c>
      <c r="Z1800" s="12" t="inlineStr">
        <is>
          <t>VD 1.1 %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91</v>
      </c>
      <c r="U1801" s="16" t="n">
        <v>70</v>
      </c>
      <c r="V1801" s="16">
        <f>ROUNDUP((T1801+U1801+2*'Read Me'!$B$13)*(1+'Read Me'!$B$12),-1)</f>
        <v/>
      </c>
      <c r="W1801" s="16">
        <f>V1801*N1801*O1801</f>
        <v/>
      </c>
      <c r="X1801" s="12">
        <f>IF(LEFT(I1801,2)="MV",2*N1801*IF(L1801="1/C",O1801,1),0)</f>
        <v/>
      </c>
      <c r="Y1801" s="12">
        <f>IF(OR(LEFT(K1801,4)="LVAX",LEFT(K1801,6)="MV15AX",LEFT(K1801,4)="CTAX",LEFT(K1801,2)="W|"),2*N1801*O1801,0)</f>
        <v/>
      </c>
      <c r="Z1801" s="12" t="inlineStr">
        <is>
          <t>VD 1.1 %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91</v>
      </c>
      <c r="U1802" s="16" t="n">
        <v>70</v>
      </c>
      <c r="V1802" s="16">
        <f>ROUNDUP((T1802+U1802+2*'Read Me'!$B$13)*(1+'Read Me'!$B$12),-1)</f>
        <v/>
      </c>
      <c r="W1802" s="16">
        <f>V1802*N1802*O1802</f>
        <v/>
      </c>
      <c r="X1802" s="12">
        <f>IF(LEFT(I1802,2)="MV",2*N1802*IF(L1802="1/C",O1802,1),0)</f>
        <v/>
      </c>
      <c r="Y1802" s="12">
        <f>IF(OR(LEFT(K1802,4)="LVAX",LEFT(K1802,6)="MV15AX",LEFT(K1802,4)="CTAX",LEFT(K1802,2)="W|"),2*N1802*O1802,0)</f>
        <v/>
      </c>
      <c r="Z1802" s="12" t="inlineStr">
        <is>
          <t>VD 1.1 %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91</v>
      </c>
      <c r="U1803" s="16" t="n">
        <v>70</v>
      </c>
      <c r="V1803" s="16">
        <f>ROUNDUP((T1803+U1803+2*'Read Me'!$B$13)*(1+'Read Me'!$B$12),-1)</f>
        <v/>
      </c>
      <c r="W1803" s="16">
        <f>V1803*N1803*O1803</f>
        <v/>
      </c>
      <c r="X1803" s="12">
        <f>IF(LEFT(I1803,2)="MV",2*N1803*IF(L1803="1/C",O1803,1),0)</f>
        <v/>
      </c>
      <c r="Y1803" s="12">
        <f>IF(OR(LEFT(K1803,4)="LVAX",LEFT(K1803,6)="MV15AX",LEFT(K1803,4)="CTAX",LEFT(K1803,2)="W|"),2*N1803*O1803,0)</f>
        <v/>
      </c>
      <c r="Z1803" s="12" t="inlineStr">
        <is>
          <t>VD 1.1 %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91</v>
      </c>
      <c r="U1804" s="16" t="n">
        <v>70</v>
      </c>
      <c r="V1804" s="16">
        <f>ROUNDUP((T1804+U1804+2*'Read Me'!$B$13)*(1+'Read Me'!$B$12),-1)</f>
        <v/>
      </c>
      <c r="W1804" s="16">
        <f>V1804*N1804*O1804</f>
        <v/>
      </c>
      <c r="X1804" s="12">
        <f>IF(LEFT(I1804,2)="MV",2*N1804*IF(L1804="1/C",O1804,1),0)</f>
        <v/>
      </c>
      <c r="Y1804" s="12">
        <f>IF(OR(LEFT(K1804,4)="LVAX",LEFT(K1804,6)="MV15AX",LEFT(K1804,4)="CTAX",LEFT(K1804,2)="W|"),2*N1804*O1804,0)</f>
        <v/>
      </c>
      <c r="Z1804" s="12" t="inlineStr">
        <is>
          <t>VD 1.1 %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91</v>
      </c>
      <c r="U1805" s="16" t="n">
        <v>70</v>
      </c>
      <c r="V1805" s="16">
        <f>ROUNDUP((T1805+U1805+2*'Read Me'!$B$13)*(1+'Read Me'!$B$12),-1)</f>
        <v/>
      </c>
      <c r="W1805" s="16">
        <f>V1805*N1805*O1805</f>
        <v/>
      </c>
      <c r="X1805" s="12">
        <f>IF(LEFT(I1805,2)="MV",2*N1805*IF(L1805="1/C",O1805,1),0)</f>
        <v/>
      </c>
      <c r="Y1805" s="12">
        <f>IF(OR(LEFT(K1805,4)="LVAX",LEFT(K1805,6)="MV15AX",LEFT(K1805,4)="CTAX",LEFT(K1805,2)="W|"),2*N1805*O1805,0)</f>
        <v/>
      </c>
      <c r="Z1805" s="12" t="inlineStr">
        <is>
          <t>VD 1.1 %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91</v>
      </c>
      <c r="U1806" s="16" t="n">
        <v>70</v>
      </c>
      <c r="V1806" s="16">
        <f>ROUNDUP((T1806+U1806+2*'Read Me'!$B$13)*(1+'Read Me'!$B$12),-1)</f>
        <v/>
      </c>
      <c r="W1806" s="16">
        <f>V1806*N1806*O1806</f>
        <v/>
      </c>
      <c r="X1806" s="12">
        <f>IF(LEFT(I1806,2)="MV",2*N1806*IF(L1806="1/C",O1806,1),0)</f>
        <v/>
      </c>
      <c r="Y1806" s="12">
        <f>IF(OR(LEFT(K1806,4)="LVAX",LEFT(K1806,6)="MV15AX",LEFT(K1806,4)="CTAX",LEFT(K1806,2)="W|"),2*N1806*O1806,0)</f>
        <v/>
      </c>
      <c r="Z1806" s="12" t="inlineStr">
        <is>
          <t>VD 1.1 %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Tray</t>
        </is>
      </c>
      <c r="T1807" s="16" t="n">
        <v>14</v>
      </c>
      <c r="U1807" s="16" t="n">
        <v>78</v>
      </c>
      <c r="V1807" s="16">
        <f>ROUNDUP((T1807+U1807+2*'Read Me'!$B$13)*(1+'Read Me'!$B$12),-1)</f>
        <v/>
      </c>
      <c r="W1807" s="16">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Tray</t>
        </is>
      </c>
      <c r="T1808" s="16" t="n">
        <v>14</v>
      </c>
      <c r="U1808" s="16" t="n">
        <v>78</v>
      </c>
      <c r="V1808" s="16">
        <f>ROUNDUP((T1808+U1808+2*'Read Me'!$B$13)*(1+'Read Me'!$B$12),-1)</f>
        <v/>
      </c>
      <c r="W1808" s="16">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14</v>
      </c>
      <c r="U1809" s="16" t="n">
        <v>78</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14</v>
      </c>
      <c r="U1810" s="16" t="n">
        <v>78</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14</v>
      </c>
      <c r="U1811" s="16" t="n">
        <v>78</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14</v>
      </c>
      <c r="U1812" s="16" t="n">
        <v>78</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Tray</t>
        </is>
      </c>
      <c r="T1813" s="16" t="n">
        <v>14</v>
      </c>
      <c r="U1813" s="16" t="n">
        <v>78</v>
      </c>
      <c r="V1813" s="16">
        <f>ROUNDUP((T1813+U1813+2*'Read Me'!$B$13)*(1+'Read Me'!$B$12),-1)</f>
        <v/>
      </c>
      <c r="W1813" s="16">
        <f>V1813*N1813*O1813</f>
        <v/>
      </c>
      <c r="X1813" s="12">
        <f>IF(LEFT(I1813,2)="MV",2*N1813*IF(L1813="1/C",O1813,1),0)</f>
        <v/>
      </c>
      <c r="Y1813" s="12">
        <f>IF(OR(LEFT(K1813,4)="LVAX",LEFT(K1813,6)="MV15AX",LEFT(K1813,4)="CTAX",LEFT(K1813,2)="W|"),2*N1813*O1813,0)</f>
        <v/>
      </c>
      <c r="Z1813" s="12" t="inlineStr">
        <is>
          <t>VD 0.2 %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Tray</t>
        </is>
      </c>
      <c r="T1814" s="16" t="n">
        <v>14</v>
      </c>
      <c r="U1814" s="16" t="n">
        <v>78</v>
      </c>
      <c r="V1814" s="16">
        <f>ROUNDUP((T1814+U1814+2*'Read Me'!$B$13)*(1+'Read Me'!$B$12),-1)</f>
        <v/>
      </c>
      <c r="W1814" s="16">
        <f>V1814*N1814*O1814</f>
        <v/>
      </c>
      <c r="X1814" s="12">
        <f>IF(LEFT(I1814,2)="MV",2*N1814*IF(L1814="1/C",O1814,1),0)</f>
        <v/>
      </c>
      <c r="Y1814" s="12">
        <f>IF(OR(LEFT(K1814,4)="LVAX",LEFT(K1814,6)="MV15AX",LEFT(K1814,4)="CTAX",LEFT(K1814,2)="W|"),2*N1814*O1814,0)</f>
        <v/>
      </c>
      <c r="Z1814" s="12" t="inlineStr">
        <is>
          <t>VD 0.2 %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Tray</t>
        </is>
      </c>
      <c r="T1815" s="16" t="n">
        <v>14</v>
      </c>
      <c r="U1815" s="16" t="n">
        <v>78</v>
      </c>
      <c r="V1815" s="16">
        <f>ROUNDUP((T1815+U1815+2*'Read Me'!$B$13)*(1+'Read Me'!$B$12),-1)</f>
        <v/>
      </c>
      <c r="W1815" s="16">
        <f>V1815*N1815*O1815</f>
        <v/>
      </c>
      <c r="X1815" s="12">
        <f>IF(LEFT(I1815,2)="MV",2*N1815*IF(L1815="1/C",O1815,1),0)</f>
        <v/>
      </c>
      <c r="Y1815" s="12">
        <f>IF(OR(LEFT(K1815,4)="LVAX",LEFT(K1815,6)="MV15AX",LEFT(K1815,4)="CTAX",LEFT(K1815,2)="W|"),2*N1815*O1815,0)</f>
        <v/>
      </c>
      <c r="Z1815" s="12" t="inlineStr">
        <is>
          <t>VD 0.2 %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Tray</t>
        </is>
      </c>
      <c r="T1816" s="16" t="n">
        <v>14</v>
      </c>
      <c r="U1816" s="16" t="n">
        <v>78</v>
      </c>
      <c r="V1816" s="16">
        <f>ROUNDUP((T1816+U1816+2*'Read Me'!$B$13)*(1+'Read Me'!$B$12),-1)</f>
        <v/>
      </c>
      <c r="W1816" s="16">
        <f>V1816*N1816*O1816</f>
        <v/>
      </c>
      <c r="X1816" s="12">
        <f>IF(LEFT(I1816,2)="MV",2*N1816*IF(L1816="1/C",O1816,1),0)</f>
        <v/>
      </c>
      <c r="Y1816" s="12">
        <f>IF(OR(LEFT(K1816,4)="LVAX",LEFT(K1816,6)="MV15AX",LEFT(K1816,4)="CTAX",LEFT(K1816,2)="W|"),2*N1816*O1816,0)</f>
        <v/>
      </c>
      <c r="Z1816" s="12" t="inlineStr">
        <is>
          <t>VD 0.2 %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Tray</t>
        </is>
      </c>
      <c r="T1817" s="16" t="n">
        <v>14</v>
      </c>
      <c r="U1817" s="16" t="n">
        <v>78</v>
      </c>
      <c r="V1817" s="16">
        <f>ROUNDUP((T1817+U1817+2*'Read Me'!$B$13)*(1+'Read Me'!$B$12),-1)</f>
        <v/>
      </c>
      <c r="W1817" s="16">
        <f>V1817*N1817*O1817</f>
        <v/>
      </c>
      <c r="X1817" s="12">
        <f>IF(LEFT(I1817,2)="MV",2*N1817*IF(L1817="1/C",O1817,1),0)</f>
        <v/>
      </c>
      <c r="Y1817" s="12">
        <f>IF(OR(LEFT(K1817,4)="LVAX",LEFT(K1817,6)="MV15AX",LEFT(K1817,4)="CTAX",LEFT(K1817,2)="W|"),2*N1817*O1817,0)</f>
        <v/>
      </c>
      <c r="Z1817" s="12" t="inlineStr">
        <is>
          <t>VD 0.2 %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Tray</t>
        </is>
      </c>
      <c r="T1818" s="16" t="n">
        <v>14</v>
      </c>
      <c r="U1818" s="16" t="n">
        <v>78</v>
      </c>
      <c r="V1818" s="16">
        <f>ROUNDUP((T1818+U1818+2*'Read Me'!$B$13)*(1+'Read Me'!$B$12),-1)</f>
        <v/>
      </c>
      <c r="W1818" s="16">
        <f>V1818*N1818*O1818</f>
        <v/>
      </c>
      <c r="X1818" s="12">
        <f>IF(LEFT(I1818,2)="MV",2*N1818*IF(L1818="1/C",O1818,1),0)</f>
        <v/>
      </c>
      <c r="Y1818" s="12">
        <f>IF(OR(LEFT(K1818,4)="LVAX",LEFT(K1818,6)="MV15AX",LEFT(K1818,4)="CTAX",LEFT(K1818,2)="W|"),2*N1818*O1818,0)</f>
        <v/>
      </c>
      <c r="Z1818" s="12" t="inlineStr">
        <is>
          <t>VD 0.2 %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Tray</t>
        </is>
      </c>
      <c r="T1819" s="16" t="n">
        <v>14</v>
      </c>
      <c r="U1819" s="16" t="n">
        <v>78</v>
      </c>
      <c r="V1819" s="16">
        <f>ROUNDUP((T1819+U1819+2*'Read Me'!$B$13)*(1+'Read Me'!$B$12),-1)</f>
        <v/>
      </c>
      <c r="W1819" s="16">
        <f>V1819*N1819*O1819</f>
        <v/>
      </c>
      <c r="X1819" s="12">
        <f>IF(LEFT(I1819,2)="MV",2*N1819*IF(L1819="1/C",O1819,1),0)</f>
        <v/>
      </c>
      <c r="Y1819" s="12">
        <f>IF(OR(LEFT(K1819,4)="LVAX",LEFT(K1819,6)="MV15AX",LEFT(K1819,4)="CTAX",LEFT(K1819,2)="W|"),2*N1819*O1819,0)</f>
        <v/>
      </c>
      <c r="Z1819" s="12" t="inlineStr">
        <is>
          <t>VD 0.2 %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Tray</t>
        </is>
      </c>
      <c r="T1820" s="16" t="n">
        <v>14</v>
      </c>
      <c r="U1820" s="16" t="n">
        <v>78</v>
      </c>
      <c r="V1820" s="16">
        <f>ROUNDUP((T1820+U1820+2*'Read Me'!$B$13)*(1+'Read Me'!$B$12),-1)</f>
        <v/>
      </c>
      <c r="W1820" s="16">
        <f>V1820*N1820*O1820</f>
        <v/>
      </c>
      <c r="X1820" s="12">
        <f>IF(LEFT(I1820,2)="MV",2*N1820*IF(L1820="1/C",O1820,1),0)</f>
        <v/>
      </c>
      <c r="Y1820" s="12">
        <f>IF(OR(LEFT(K1820,4)="LVAX",LEFT(K1820,6)="MV15AX",LEFT(K1820,4)="CTAX",LEFT(K1820,2)="W|"),2*N1820*O1820,0)</f>
        <v/>
      </c>
      <c r="Z1820" s="12" t="inlineStr">
        <is>
          <t>VD 0.2 %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Tray</t>
        </is>
      </c>
      <c r="T1821" s="16" t="n">
        <v>14</v>
      </c>
      <c r="U1821" s="16" t="n">
        <v>78</v>
      </c>
      <c r="V1821" s="16">
        <f>ROUNDUP((T1821+U1821+2*'Read Me'!$B$13)*(1+'Read Me'!$B$12),-1)</f>
        <v/>
      </c>
      <c r="W1821" s="16">
        <f>V1821*N1821*O1821</f>
        <v/>
      </c>
      <c r="X1821" s="12">
        <f>IF(LEFT(I1821,2)="MV",2*N1821*IF(L1821="1/C",O1821,1),0)</f>
        <v/>
      </c>
      <c r="Y1821" s="12">
        <f>IF(OR(LEFT(K1821,4)="LVAX",LEFT(K1821,6)="MV15AX",LEFT(K1821,4)="CTAX",LEFT(K1821,2)="W|"),2*N1821*O1821,0)</f>
        <v/>
      </c>
      <c r="Z1821" s="12" t="inlineStr">
        <is>
          <t>VD 0.2 %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Tray</t>
        </is>
      </c>
      <c r="T1822" s="16" t="n">
        <v>14</v>
      </c>
      <c r="U1822" s="16" t="n">
        <v>78</v>
      </c>
      <c r="V1822" s="16">
        <f>ROUNDUP((T1822+U1822+2*'Read Me'!$B$13)*(1+'Read Me'!$B$12),-1)</f>
        <v/>
      </c>
      <c r="W1822" s="16">
        <f>V1822*N1822*O1822</f>
        <v/>
      </c>
      <c r="X1822" s="12">
        <f>IF(LEFT(I1822,2)="MV",2*N1822*IF(L1822="1/C",O1822,1),0)</f>
        <v/>
      </c>
      <c r="Y1822" s="12">
        <f>IF(OR(LEFT(K1822,4)="LVAX",LEFT(K1822,6)="MV15AX",LEFT(K1822,4)="CTAX",LEFT(K1822,2)="W|"),2*N1822*O1822,0)</f>
        <v/>
      </c>
      <c r="Z1822" s="12" t="inlineStr">
        <is>
          <t>VD 0.2 %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Tray</t>
        </is>
      </c>
      <c r="T1823" s="16" t="n">
        <v>14</v>
      </c>
      <c r="U1823" s="16" t="n">
        <v>78</v>
      </c>
      <c r="V1823" s="16">
        <f>ROUNDUP((T1823+U1823+2*'Read Me'!$B$13)*(1+'Read Me'!$B$12),-1)</f>
        <v/>
      </c>
      <c r="W1823" s="16">
        <f>V1823*N1823*O1823</f>
        <v/>
      </c>
      <c r="X1823" s="12">
        <f>IF(LEFT(I1823,2)="MV",2*N1823*IF(L1823="1/C",O1823,1),0)</f>
        <v/>
      </c>
      <c r="Y1823" s="12">
        <f>IF(OR(LEFT(K1823,4)="LVAX",LEFT(K1823,6)="MV15AX",LEFT(K1823,4)="CTAX",LEFT(K1823,2)="W|"),2*N1823*O1823,0)</f>
        <v/>
      </c>
      <c r="Z1823" s="12" t="inlineStr">
        <is>
          <t>VD 0.2 %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Tray</t>
        </is>
      </c>
      <c r="T1824" s="16" t="n">
        <v>14</v>
      </c>
      <c r="U1824" s="16" t="n">
        <v>78</v>
      </c>
      <c r="V1824" s="16">
        <f>ROUNDUP((T1824+U1824+2*'Read Me'!$B$13)*(1+'Read Me'!$B$12),-1)</f>
        <v/>
      </c>
      <c r="W1824" s="16">
        <f>V1824*N1824*O1824</f>
        <v/>
      </c>
      <c r="X1824" s="12">
        <f>IF(LEFT(I1824,2)="MV",2*N1824*IF(L1824="1/C",O1824,1),0)</f>
        <v/>
      </c>
      <c r="Y1824" s="12">
        <f>IF(OR(LEFT(K1824,4)="LVAX",LEFT(K1824,6)="MV15AX",LEFT(K1824,4)="CTAX",LEFT(K1824,2)="W|"),2*N1824*O1824,0)</f>
        <v/>
      </c>
      <c r="Z1824" s="12" t="inlineStr">
        <is>
          <t>VD 0.2 %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Tray</t>
        </is>
      </c>
      <c r="T1825" s="16" t="n">
        <v>14</v>
      </c>
      <c r="U1825" s="16" t="n">
        <v>78</v>
      </c>
      <c r="V1825" s="16">
        <f>ROUNDUP((T1825+U1825+2*'Read Me'!$B$13)*(1+'Read Me'!$B$12),-1)</f>
        <v/>
      </c>
      <c r="W1825" s="16">
        <f>V1825*N1825*O1825</f>
        <v/>
      </c>
      <c r="X1825" s="12">
        <f>IF(LEFT(I1825,2)="MV",2*N1825*IF(L1825="1/C",O1825,1),0)</f>
        <v/>
      </c>
      <c r="Y1825" s="12">
        <f>IF(OR(LEFT(K1825,4)="LVAX",LEFT(K1825,6)="MV15AX",LEFT(K1825,4)="CTAX",LEFT(K1825,2)="W|"),2*N1825*O1825,0)</f>
        <v/>
      </c>
      <c r="Z1825" s="12" t="inlineStr">
        <is>
          <t>VD 0.2 %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Tray</t>
        </is>
      </c>
      <c r="T1826" s="16" t="n">
        <v>14</v>
      </c>
      <c r="U1826" s="16" t="n">
        <v>78</v>
      </c>
      <c r="V1826" s="16">
        <f>ROUNDUP((T1826+U1826+2*'Read Me'!$B$13)*(1+'Read Me'!$B$12),-1)</f>
        <v/>
      </c>
      <c r="W1826" s="16">
        <f>V1826*N1826*O1826</f>
        <v/>
      </c>
      <c r="X1826" s="12">
        <f>IF(LEFT(I1826,2)="MV",2*N1826*IF(L1826="1/C",O1826,1),0)</f>
        <v/>
      </c>
      <c r="Y1826" s="12">
        <f>IF(OR(LEFT(K1826,4)="LVAX",LEFT(K1826,6)="MV15AX",LEFT(K1826,4)="CTAX",LEFT(K1826,2)="W|"),2*N1826*O1826,0)</f>
        <v/>
      </c>
      <c r="Z1826" s="12" t="inlineStr">
        <is>
          <t>VD 0.2 %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Tray</t>
        </is>
      </c>
      <c r="T1827" s="16" t="n">
        <v>14</v>
      </c>
      <c r="U1827" s="16" t="n">
        <v>78</v>
      </c>
      <c r="V1827" s="16">
        <f>ROUNDUP((T1827+U1827+2*'Read Me'!$B$13)*(1+'Read Me'!$B$12),-1)</f>
        <v/>
      </c>
      <c r="W1827" s="16">
        <f>V1827*N1827*O1827</f>
        <v/>
      </c>
      <c r="X1827" s="12">
        <f>IF(LEFT(I1827,2)="MV",2*N1827*IF(L1827="1/C",O1827,1),0)</f>
        <v/>
      </c>
      <c r="Y1827" s="12">
        <f>IF(OR(LEFT(K1827,4)="LVAX",LEFT(K1827,6)="MV15AX",LEFT(K1827,4)="CTAX",LEFT(K1827,2)="W|"),2*N1827*O1827,0)</f>
        <v/>
      </c>
      <c r="Z1827" s="12" t="inlineStr">
        <is>
          <t>VD 0.9 %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Tray</t>
        </is>
      </c>
      <c r="T1828" s="16" t="n">
        <v>14</v>
      </c>
      <c r="U1828" s="16" t="n">
        <v>78</v>
      </c>
      <c r="V1828" s="16">
        <f>ROUNDUP((T1828+U1828+2*'Read Me'!$B$13)*(1+'Read Me'!$B$12),-1)</f>
        <v/>
      </c>
      <c r="W1828" s="16">
        <f>V1828*N1828*O1828</f>
        <v/>
      </c>
      <c r="X1828" s="12">
        <f>IF(LEFT(I1828,2)="MV",2*N1828*IF(L1828="1/C",O1828,1),0)</f>
        <v/>
      </c>
      <c r="Y1828" s="12">
        <f>IF(OR(LEFT(K1828,4)="LVAX",LEFT(K1828,6)="MV15AX",LEFT(K1828,4)="CTAX",LEFT(K1828,2)="W|"),2*N1828*O1828,0)</f>
        <v/>
      </c>
      <c r="Z1828" s="12" t="inlineStr">
        <is>
          <t>VD 0.5 %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Tray</t>
        </is>
      </c>
      <c r="T1829" s="16" t="n">
        <v>14</v>
      </c>
      <c r="U1829" s="16" t="n">
        <v>78</v>
      </c>
      <c r="V1829" s="16">
        <f>ROUNDUP((T1829+U1829+2*'Read Me'!$B$13)*(1+'Read Me'!$B$12),-1)</f>
        <v/>
      </c>
      <c r="W1829" s="16">
        <f>V1829*N1829*O1829</f>
        <v/>
      </c>
      <c r="X1829" s="12">
        <f>IF(LEFT(I1829,2)="MV",2*N1829*IF(L1829="1/C",O1829,1),0)</f>
        <v/>
      </c>
      <c r="Y1829" s="12">
        <f>IF(OR(LEFT(K1829,4)="LVAX",LEFT(K1829,6)="MV15AX",LEFT(K1829,4)="CTAX",LEFT(K1829,2)="W|"),2*N1829*O1829,0)</f>
        <v/>
      </c>
      <c r="Z1829" s="12" t="inlineStr">
        <is>
          <t>VD 0.5 %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Tray</t>
        </is>
      </c>
      <c r="T1830" s="16" t="n">
        <v>14</v>
      </c>
      <c r="U1830" s="16" t="n">
        <v>78</v>
      </c>
      <c r="V1830" s="16">
        <f>ROUNDUP((T1830+U1830+2*'Read Me'!$B$13)*(1+'Read Me'!$B$12),-1)</f>
        <v/>
      </c>
      <c r="W1830" s="16">
        <f>V1830*N1830*O1830</f>
        <v/>
      </c>
      <c r="X1830" s="12">
        <f>IF(LEFT(I1830,2)="MV",2*N1830*IF(L1830="1/C",O1830,1),0)</f>
        <v/>
      </c>
      <c r="Y1830" s="12">
        <f>IF(OR(LEFT(K1830,4)="LVAX",LEFT(K1830,6)="MV15AX",LEFT(K1830,4)="CTAX",LEFT(K1830,2)="W|"),2*N1830*O1830,0)</f>
        <v/>
      </c>
      <c r="Z1830" s="12" t="inlineStr">
        <is>
          <t>VD 0.5 %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Tray</t>
        </is>
      </c>
      <c r="T1831" s="16" t="n">
        <v>14</v>
      </c>
      <c r="U1831" s="16" t="n">
        <v>78</v>
      </c>
      <c r="V1831" s="16">
        <f>ROUNDUP((T1831+U1831+2*'Read Me'!$B$13)*(1+'Read Me'!$B$12),-1)</f>
        <v/>
      </c>
      <c r="W1831" s="16">
        <f>V1831*N1831*O1831</f>
        <v/>
      </c>
      <c r="X1831" s="12">
        <f>IF(LEFT(I1831,2)="MV",2*N1831*IF(L1831="1/C",O1831,1),0)</f>
        <v/>
      </c>
      <c r="Y1831" s="12">
        <f>IF(OR(LEFT(K1831,4)="LVAX",LEFT(K1831,6)="MV15AX",LEFT(K1831,4)="CTAX",LEFT(K1831,2)="W|"),2*N1831*O1831,0)</f>
        <v/>
      </c>
      <c r="Z1831" s="12" t="inlineStr">
        <is>
          <t>VD 0.5 %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Tray</t>
        </is>
      </c>
      <c r="T1832" s="16" t="n">
        <v>465</v>
      </c>
      <c r="U1832" s="16" t="n">
        <v>82</v>
      </c>
      <c r="V1832" s="16">
        <f>ROUNDUP((T1832+U1832+2*'Read Me'!$B$13)*(1+'Read Me'!$B$12),-1)</f>
        <v/>
      </c>
      <c r="W1832" s="16">
        <f>V1832*N1832*O1832</f>
        <v/>
      </c>
      <c r="X1832" s="12">
        <f>IF(LEFT(I1832,2)="MV",2*N1832*IF(L1832="1/C",O1832,1),0)</f>
        <v/>
      </c>
      <c r="Y1832" s="12">
        <f>IF(OR(LEFT(K1832,4)="LVAX",LEFT(K1832,6)="MV15AX",LEFT(K1832,4)="CTAX",LEFT(K1832,2)="W|"),2*N1832*O1832,0)</f>
        <v/>
      </c>
      <c r="Z1832" s="12" t="inlineStr">
        <is>
          <t>VD 0.7 %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Tray</t>
        </is>
      </c>
      <c r="T1833" s="16" t="n">
        <v>465</v>
      </c>
      <c r="U1833" s="16" t="n">
        <v>82</v>
      </c>
      <c r="V1833" s="16">
        <f>ROUNDUP((T1833+U1833+2*'Read Me'!$B$13)*(1+'Read Me'!$B$12),-1)</f>
        <v/>
      </c>
      <c r="W1833" s="16">
        <f>V1833*N1833*O1833</f>
        <v/>
      </c>
      <c r="X1833" s="12">
        <f>IF(LEFT(I1833,2)="MV",2*N1833*IF(L1833="1/C",O1833,1),0)</f>
        <v/>
      </c>
      <c r="Y1833" s="12">
        <f>IF(OR(LEFT(K1833,4)="LVAX",LEFT(K1833,6)="MV15AX",LEFT(K1833,4)="CTAX",LEFT(K1833,2)="W|"),2*N1833*O1833,0)</f>
        <v/>
      </c>
      <c r="Z1833" s="12" t="inlineStr">
        <is>
          <t>VD 0.7 %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Tray</t>
        </is>
      </c>
      <c r="T1834" s="16" t="n">
        <v>465</v>
      </c>
      <c r="U1834" s="16" t="n">
        <v>82</v>
      </c>
      <c r="V1834" s="16">
        <f>ROUNDUP((T1834+U1834+2*'Read Me'!$B$13)*(1+'Read Me'!$B$12),-1)</f>
        <v/>
      </c>
      <c r="W1834" s="16">
        <f>V1834*N1834*O1834</f>
        <v/>
      </c>
      <c r="X1834" s="12">
        <f>IF(LEFT(I1834,2)="MV",2*N1834*IF(L1834="1/C",O1834,1),0)</f>
        <v/>
      </c>
      <c r="Y1834" s="12">
        <f>IF(OR(LEFT(K1834,4)="LVAX",LEFT(K1834,6)="MV15AX",LEFT(K1834,4)="CTAX",LEFT(K1834,2)="W|"),2*N1834*O1834,0)</f>
        <v/>
      </c>
      <c r="Z1834" s="12" t="inlineStr">
        <is>
          <t>VD 0.7 %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Tray</t>
        </is>
      </c>
      <c r="T1835" s="16" t="n">
        <v>465</v>
      </c>
      <c r="U1835" s="16" t="n">
        <v>82</v>
      </c>
      <c r="V1835" s="16">
        <f>ROUNDUP((T1835+U1835+2*'Read Me'!$B$13)*(1+'Read Me'!$B$12),-1)</f>
        <v/>
      </c>
      <c r="W1835" s="16">
        <f>V1835*N1835*O1835</f>
        <v/>
      </c>
      <c r="X1835" s="12">
        <f>IF(LEFT(I1835,2)="MV",2*N1835*IF(L1835="1/C",O1835,1),0)</f>
        <v/>
      </c>
      <c r="Y1835" s="12">
        <f>IF(OR(LEFT(K1835,4)="LVAX",LEFT(K1835,6)="MV15AX",LEFT(K1835,4)="CTAX",LEFT(K1835,2)="W|"),2*N1835*O1835,0)</f>
        <v/>
      </c>
      <c r="Z1835" s="12" t="inlineStr">
        <is>
          <t>VD 0.7 %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230</v>
      </c>
      <c r="U1836" s="16" t="n">
        <v>50</v>
      </c>
      <c r="V1836" s="16">
        <f>ROUNDUP((T1836+U1836+2*'Read Me'!$B$13)*(1+'Read Me'!$B$12),-1)</f>
        <v/>
      </c>
      <c r="W1836" s="16">
        <f>V1836*N1836*O1836</f>
        <v/>
      </c>
      <c r="X1836" s="12">
        <f>IF(LEFT(I1836,2)="MV",2*N1836*IF(L1836="1/C",O1836,1),0)</f>
        <v/>
      </c>
      <c r="Y1836" s="12">
        <f>IF(OR(LEFT(K1836,4)="LVAX",LEFT(K1836,6)="MV15AX",LEFT(K1836,4)="CTAX",LEFT(K1836,2)="W|"),2*N1836*O1836,0)</f>
        <v/>
      </c>
      <c r="Z1836" s="12" t="inlineStr">
        <is>
          <t>VD 2.9 %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2</v>
      </c>
      <c r="U1855" s="16" t="n">
        <v>109</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Tray</t>
        </is>
      </c>
      <c r="T1856" s="16" t="n">
        <v>2</v>
      </c>
      <c r="U1856" s="16" t="n">
        <v>109</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Tray</t>
        </is>
      </c>
      <c r="T1857" s="16" t="n">
        <v>2</v>
      </c>
      <c r="U1857" s="16" t="n">
        <v>109</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Tray</t>
        </is>
      </c>
      <c r="T1858" s="16" t="n">
        <v>2</v>
      </c>
      <c r="U1858" s="16" t="n">
        <v>109</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Tray</t>
        </is>
      </c>
      <c r="T1859" s="16" t="n">
        <v>2</v>
      </c>
      <c r="U1859" s="16" t="n">
        <v>109</v>
      </c>
      <c r="V1859" s="16">
        <f>ROUNDUP((T1859+U1859+2*'Read Me'!$B$13)*(1+'Read Me'!$B$12),-1)</f>
        <v/>
      </c>
      <c r="W1859" s="16">
        <f>V1859*N1859*O1859</f>
        <v/>
      </c>
      <c r="X1859" s="12">
        <f>IF(LEFT(I1859,2)="MV",2*N1859*IF(L1859="1/C",O1859,1),0)</f>
        <v/>
      </c>
      <c r="Y1859" s="12">
        <f>IF(OR(LEFT(K1859,4)="LVAX",LEFT(K1859,6)="MV15AX",LEFT(K1859,4)="CTAX",LEFT(K1859,2)="W|"),2*N1859*O1859,0)</f>
        <v/>
      </c>
      <c r="Z1859" s="12" t="inlineStr">
        <is>
          <t>VD 0.2 %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Tray</t>
        </is>
      </c>
      <c r="T1860" s="16" t="n">
        <v>2</v>
      </c>
      <c r="U1860" s="16" t="n">
        <v>109</v>
      </c>
      <c r="V1860" s="16">
        <f>ROUNDUP((T1860+U1860+2*'Read Me'!$B$13)*(1+'Read Me'!$B$12),-1)</f>
        <v/>
      </c>
      <c r="W1860" s="16">
        <f>V1860*N1860*O1860</f>
        <v/>
      </c>
      <c r="X1860" s="12">
        <f>IF(LEFT(I1860,2)="MV",2*N1860*IF(L1860="1/C",O1860,1),0)</f>
        <v/>
      </c>
      <c r="Y1860" s="12">
        <f>IF(OR(LEFT(K1860,4)="LVAX",LEFT(K1860,6)="MV15AX",LEFT(K1860,4)="CTAX",LEFT(K1860,2)="W|"),2*N1860*O1860,0)</f>
        <v/>
      </c>
      <c r="Z1860" s="12" t="inlineStr">
        <is>
          <t>VD 0.2 %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LV|3/C+G|6</t>
        </is>
      </c>
      <c r="L1873" s="12" t="inlineStr">
        <is>
          <t>3/C+G</t>
        </is>
      </c>
      <c r="M1873" s="12" t="inlineStr">
        <is>
          <t>6</t>
        </is>
      </c>
      <c r="N1873" s="12" t="n">
        <v>1</v>
      </c>
      <c r="O1873" s="12" t="n">
        <v>1</v>
      </c>
      <c r="P1873" s="12" t="n">
        <v>480</v>
      </c>
      <c r="Q1873" s="12" t="n">
        <v>15</v>
      </c>
      <c r="R1873" s="12" t="n">
        <v>21.2</v>
      </c>
      <c r="S1873" s="12" t="inlineStr">
        <is>
          <t>Tray</t>
        </is>
      </c>
      <c r="T1873" s="16" t="n">
        <v>409</v>
      </c>
      <c r="U1873" s="16" t="n">
        <v>117</v>
      </c>
      <c r="V1873" s="16">
        <f>ROUNDUP((T1873+U1873+2*'Read Me'!$B$13)*(1+'Read Me'!$B$12),-1)</f>
        <v/>
      </c>
      <c r="W1873" s="16">
        <f>V1873*N1873*O1873</f>
        <v/>
      </c>
      <c r="X1873" s="12">
        <f>IF(LEFT(I1873,2)="MV",2*N1873*IF(L1873="1/C",O1873,1),0)</f>
        <v/>
      </c>
      <c r="Y1873" s="12">
        <f>IF(OR(LEFT(K1873,4)="LVAX",LEFT(K1873,6)="MV15AX",LEFT(K1873,4)="CTAX",LEFT(K1873,2)="W|"),2*N1873*O1873,0)</f>
        <v/>
      </c>
      <c r="Z1873" s="12" t="inlineStr">
        <is>
          <t>VD 2.2 %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426</v>
      </c>
      <c r="U1874" s="16" t="n">
        <v>135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465</v>
      </c>
      <c r="U1876" s="16" t="n">
        <v>103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538</v>
      </c>
      <c r="U1877" s="16" t="n">
        <v>92</v>
      </c>
      <c r="V1877" s="16">
        <f>ROUNDUP((T1877+U1877+2*'Read Me'!$B$13)*(1+'Read Me'!$B$12),-1)</f>
        <v/>
      </c>
      <c r="W1877" s="16">
        <f>V1877*N1877*O1877</f>
        <v/>
      </c>
      <c r="X1877" s="12">
        <f>IF(LEFT(I1877,2)="MV",2*N1877*IF(L1877="1/C",O1877,1),0)</f>
        <v/>
      </c>
      <c r="Y1877" s="12">
        <f>IF(OR(LEFT(K1877,4)="LVAX",LEFT(K1877,6)="MV15AX",LEFT(K1877,4)="CTAX",LEFT(K1877,2)="W|"),2*N1877*O1877,0)</f>
        <v/>
      </c>
      <c r="Z1877" s="12" t="inlineStr">
        <is>
          <t>VD 2.9 %</t>
        </is>
      </c>
      <c r="AA1877" s="12">
        <f>N1877*O1877</f>
        <v/>
      </c>
    </row>
    <row r="1878">
      <c r="A1878" s="12" t="inlineStr">
        <is>
          <t>A-P-0511</t>
        </is>
      </c>
      <c r="B1878" s="12" t="inlineStr">
        <is>
          <t>A</t>
        </is>
      </c>
      <c r="C1878" s="12" t="inlineStr">
        <is>
          <t>Power block</t>
        </is>
      </c>
      <c r="D1878" s="12" t="inlineStr">
        <is>
          <t>Motor 1 of 6, 2 kW</t>
        </is>
      </c>
      <c r="E1878" s="12" t="inlineStr">
        <is>
          <t>R2B</t>
        </is>
      </c>
      <c r="F1878" s="12" t="inlineStr">
        <is>
          <t>R2B: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1271</v>
      </c>
      <c r="U1878" s="16" t="n">
        <v>129</v>
      </c>
      <c r="V1878" s="16">
        <f>ROUNDUP((T1878+U1878+2*'Read Me'!$B$13)*(1+'Read Me'!$B$12),-1)</f>
        <v/>
      </c>
      <c r="W1878" s="16">
        <f>V1878*N1878*O1878</f>
        <v/>
      </c>
      <c r="X1878" s="12">
        <f>IF(LEFT(I1878,2)="MV",2*N1878*IF(L1878="1/C",O1878,1),0)</f>
        <v/>
      </c>
      <c r="Y1878" s="12">
        <f>IF(OR(LEFT(K1878,4)="LVAX",LEFT(K1878,6)="MV15AX",LEFT(K1878,4)="CTAX",LEFT(K1878,2)="W|"),2*N1878*O1878,0)</f>
        <v/>
      </c>
      <c r="Z1878" s="12" t="inlineStr">
        <is>
          <t>VD 1.9 %</t>
        </is>
      </c>
      <c r="AA1878" s="12">
        <f>N1878*O1878</f>
        <v/>
      </c>
    </row>
    <row r="1879">
      <c r="A1879" s="12" t="inlineStr">
        <is>
          <t>A-P-0512</t>
        </is>
      </c>
      <c r="B1879" s="12" t="inlineStr">
        <is>
          <t>A</t>
        </is>
      </c>
      <c r="C1879" s="12" t="inlineStr">
        <is>
          <t>Power block</t>
        </is>
      </c>
      <c r="D1879" s="12" t="inlineStr">
        <is>
          <t>Motor 2 of 6, 2 kW</t>
        </is>
      </c>
      <c r="E1879" s="12" t="inlineStr">
        <is>
          <t>R2B</t>
        </is>
      </c>
      <c r="F1879" s="12" t="inlineStr">
        <is>
          <t>R2B: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1271</v>
      </c>
      <c r="U1879" s="16" t="n">
        <v>129</v>
      </c>
      <c r="V1879" s="16">
        <f>ROUNDUP((T1879+U1879+2*'Read Me'!$B$13)*(1+'Read Me'!$B$12),-1)</f>
        <v/>
      </c>
      <c r="W1879" s="16">
        <f>V1879*N1879*O1879</f>
        <v/>
      </c>
      <c r="X1879" s="12">
        <f>IF(LEFT(I1879,2)="MV",2*N1879*IF(L1879="1/C",O1879,1),0)</f>
        <v/>
      </c>
      <c r="Y1879" s="12">
        <f>IF(OR(LEFT(K1879,4)="LVAX",LEFT(K1879,6)="MV15AX",LEFT(K1879,4)="CTAX",LEFT(K1879,2)="W|"),2*N1879*O1879,0)</f>
        <v/>
      </c>
      <c r="Z1879" s="12" t="inlineStr">
        <is>
          <t>VD 1.9 %</t>
        </is>
      </c>
      <c r="AA1879" s="12">
        <f>N1879*O1879</f>
        <v/>
      </c>
    </row>
    <row r="1880">
      <c r="A1880" s="12" t="inlineStr">
        <is>
          <t>A-P-0513</t>
        </is>
      </c>
      <c r="B1880" s="12" t="inlineStr">
        <is>
          <t>A</t>
        </is>
      </c>
      <c r="C1880" s="12" t="inlineStr">
        <is>
          <t>Power block</t>
        </is>
      </c>
      <c r="D1880" s="12" t="inlineStr">
        <is>
          <t>Motor 3 of 6, 2 kW</t>
        </is>
      </c>
      <c r="E1880" s="12" t="inlineStr">
        <is>
          <t>R2B</t>
        </is>
      </c>
      <c r="F1880" s="12" t="inlineStr">
        <is>
          <t>R2B: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1271</v>
      </c>
      <c r="U1880" s="16" t="n">
        <v>129</v>
      </c>
      <c r="V1880" s="16">
        <f>ROUNDUP((T1880+U1880+2*'Read Me'!$B$13)*(1+'Read Me'!$B$12),-1)</f>
        <v/>
      </c>
      <c r="W1880" s="16">
        <f>V1880*N1880*O1880</f>
        <v/>
      </c>
      <c r="X1880" s="12">
        <f>IF(LEFT(I1880,2)="MV",2*N1880*IF(L1880="1/C",O1880,1),0)</f>
        <v/>
      </c>
      <c r="Y1880" s="12">
        <f>IF(OR(LEFT(K1880,4)="LVAX",LEFT(K1880,6)="MV15AX",LEFT(K1880,4)="CTAX",LEFT(K1880,2)="W|"),2*N1880*O1880,0)</f>
        <v/>
      </c>
      <c r="Z1880" s="12" t="inlineStr">
        <is>
          <t>VD 1.9 %</t>
        </is>
      </c>
      <c r="AA1880" s="12">
        <f>N1880*O1880</f>
        <v/>
      </c>
    </row>
    <row r="1881">
      <c r="A1881" s="12" t="inlineStr">
        <is>
          <t>A-P-0514</t>
        </is>
      </c>
      <c r="B1881" s="12" t="inlineStr">
        <is>
          <t>A</t>
        </is>
      </c>
      <c r="C1881" s="12" t="inlineStr">
        <is>
          <t>Power block</t>
        </is>
      </c>
      <c r="D1881" s="12" t="inlineStr">
        <is>
          <t>Motor 4 of 6, 2 kW</t>
        </is>
      </c>
      <c r="E1881" s="12" t="inlineStr">
        <is>
          <t>R2B</t>
        </is>
      </c>
      <c r="F1881" s="12" t="inlineStr">
        <is>
          <t>R2B: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1271</v>
      </c>
      <c r="U1881" s="16" t="n">
        <v>129</v>
      </c>
      <c r="V1881" s="16">
        <f>ROUNDUP((T1881+U1881+2*'Read Me'!$B$13)*(1+'Read Me'!$B$12),-1)</f>
        <v/>
      </c>
      <c r="W1881" s="16">
        <f>V1881*N1881*O1881</f>
        <v/>
      </c>
      <c r="X1881" s="12">
        <f>IF(LEFT(I1881,2)="MV",2*N1881*IF(L1881="1/C",O1881,1),0)</f>
        <v/>
      </c>
      <c r="Y1881" s="12">
        <f>IF(OR(LEFT(K1881,4)="LVAX",LEFT(K1881,6)="MV15AX",LEFT(K1881,4)="CTAX",LEFT(K1881,2)="W|"),2*N1881*O1881,0)</f>
        <v/>
      </c>
      <c r="Z1881" s="12" t="inlineStr">
        <is>
          <t>VD 1.9 %</t>
        </is>
      </c>
      <c r="AA1881" s="12">
        <f>N1881*O1881</f>
        <v/>
      </c>
    </row>
    <row r="1882">
      <c r="A1882" s="12" t="inlineStr">
        <is>
          <t>A-P-0515</t>
        </is>
      </c>
      <c r="B1882" s="12" t="inlineStr">
        <is>
          <t>A</t>
        </is>
      </c>
      <c r="C1882" s="12" t="inlineStr">
        <is>
          <t>Power block</t>
        </is>
      </c>
      <c r="D1882" s="12" t="inlineStr">
        <is>
          <t>Motor 5 of 6, 2 kW</t>
        </is>
      </c>
      <c r="E1882" s="12" t="inlineStr">
        <is>
          <t>R2B</t>
        </is>
      </c>
      <c r="F1882" s="12" t="inlineStr">
        <is>
          <t>R2B: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1271</v>
      </c>
      <c r="U1882" s="16" t="n">
        <v>129</v>
      </c>
      <c r="V1882" s="16">
        <f>ROUNDUP((T1882+U1882+2*'Read Me'!$B$13)*(1+'Read Me'!$B$12),-1)</f>
        <v/>
      </c>
      <c r="W1882" s="16">
        <f>V1882*N1882*O1882</f>
        <v/>
      </c>
      <c r="X1882" s="12">
        <f>IF(LEFT(I1882,2)="MV",2*N1882*IF(L1882="1/C",O1882,1),0)</f>
        <v/>
      </c>
      <c r="Y1882" s="12">
        <f>IF(OR(LEFT(K1882,4)="LVAX",LEFT(K1882,6)="MV15AX",LEFT(K1882,4)="CTAX",LEFT(K1882,2)="W|"),2*N1882*O1882,0)</f>
        <v/>
      </c>
      <c r="Z1882" s="12" t="inlineStr">
        <is>
          <t>VD 1.9 %</t>
        </is>
      </c>
      <c r="AA1882" s="12">
        <f>N1882*O1882</f>
        <v/>
      </c>
    </row>
    <row r="1883">
      <c r="A1883" s="12" t="inlineStr">
        <is>
          <t>A-P-0516</t>
        </is>
      </c>
      <c r="B1883" s="12" t="inlineStr">
        <is>
          <t>A</t>
        </is>
      </c>
      <c r="C1883" s="12" t="inlineStr">
        <is>
          <t>Power block</t>
        </is>
      </c>
      <c r="D1883" s="12" t="inlineStr">
        <is>
          <t>Motor 6 of 6, 2 kW</t>
        </is>
      </c>
      <c r="E1883" s="12" t="inlineStr">
        <is>
          <t>R2B</t>
        </is>
      </c>
      <c r="F1883" s="12" t="inlineStr">
        <is>
          <t>R2B: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1271</v>
      </c>
      <c r="U1883" s="16" t="n">
        <v>129</v>
      </c>
      <c r="V1883" s="16">
        <f>ROUNDUP((T1883+U1883+2*'Read Me'!$B$13)*(1+'Read Me'!$B$12),-1)</f>
        <v/>
      </c>
      <c r="W1883" s="16">
        <f>V1883*N1883*O1883</f>
        <v/>
      </c>
      <c r="X1883" s="12">
        <f>IF(LEFT(I1883,2)="MV",2*N1883*IF(L1883="1/C",O1883,1),0)</f>
        <v/>
      </c>
      <c r="Y1883" s="12">
        <f>IF(OR(LEFT(K1883,4)="LVAX",LEFT(K1883,6)="MV15AX",LEFT(K1883,4)="CTAX",LEFT(K1883,2)="W|"),2*N1883*O1883,0)</f>
        <v/>
      </c>
      <c r="Z1883" s="12" t="inlineStr">
        <is>
          <t>VD 1.9 %</t>
        </is>
      </c>
      <c r="AA1883" s="12">
        <f>N1883*O1883</f>
        <v/>
      </c>
    </row>
    <row r="1884">
      <c r="A1884" s="12" t="inlineStr">
        <is>
          <t>A-P-0517</t>
        </is>
      </c>
      <c r="B1884" s="12" t="inlineStr">
        <is>
          <t>A</t>
        </is>
      </c>
      <c r="C1884" s="12" t="inlineStr">
        <is>
          <t>Power block</t>
        </is>
      </c>
      <c r="D1884" s="12" t="inlineStr">
        <is>
          <t>Motor 1 of 6, 2 kW</t>
        </is>
      </c>
      <c r="E1884" s="12" t="inlineStr">
        <is>
          <t>R2C</t>
        </is>
      </c>
      <c r="F1884" s="12" t="inlineStr">
        <is>
          <t>R2C: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1282</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1.9 %</t>
        </is>
      </c>
      <c r="AA1884" s="12">
        <f>N1884*O1884</f>
        <v/>
      </c>
    </row>
    <row r="1885">
      <c r="A1885" s="12" t="inlineStr">
        <is>
          <t>A-P-0518</t>
        </is>
      </c>
      <c r="B1885" s="12" t="inlineStr">
        <is>
          <t>A</t>
        </is>
      </c>
      <c r="C1885" s="12" t="inlineStr">
        <is>
          <t>Power block</t>
        </is>
      </c>
      <c r="D1885" s="12" t="inlineStr">
        <is>
          <t>Motor 2 of 6, 2 kW</t>
        </is>
      </c>
      <c r="E1885" s="12" t="inlineStr">
        <is>
          <t>R2C</t>
        </is>
      </c>
      <c r="F1885" s="12" t="inlineStr">
        <is>
          <t>R2C: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1282</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1.9 %</t>
        </is>
      </c>
      <c r="AA1885" s="12">
        <f>N1885*O1885</f>
        <v/>
      </c>
    </row>
    <row r="1886">
      <c r="A1886" s="12" t="inlineStr">
        <is>
          <t>A-P-0519</t>
        </is>
      </c>
      <c r="B1886" s="12" t="inlineStr">
        <is>
          <t>A</t>
        </is>
      </c>
      <c r="C1886" s="12" t="inlineStr">
        <is>
          <t>Power block</t>
        </is>
      </c>
      <c r="D1886" s="12" t="inlineStr">
        <is>
          <t>Motor 3 of 6, 2 kW</t>
        </is>
      </c>
      <c r="E1886" s="12" t="inlineStr">
        <is>
          <t>R2C</t>
        </is>
      </c>
      <c r="F1886" s="12" t="inlineStr">
        <is>
          <t>R2C: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1282</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1.9 %</t>
        </is>
      </c>
      <c r="AA1886" s="12">
        <f>N1886*O1886</f>
        <v/>
      </c>
    </row>
    <row r="1887">
      <c r="A1887" s="12" t="inlineStr">
        <is>
          <t>A-P-0520</t>
        </is>
      </c>
      <c r="B1887" s="12" t="inlineStr">
        <is>
          <t>A</t>
        </is>
      </c>
      <c r="C1887" s="12" t="inlineStr">
        <is>
          <t>Power block</t>
        </is>
      </c>
      <c r="D1887" s="12" t="inlineStr">
        <is>
          <t>Motor 4 of 6, 2 kW</t>
        </is>
      </c>
      <c r="E1887" s="12" t="inlineStr">
        <is>
          <t>R2C</t>
        </is>
      </c>
      <c r="F1887" s="12" t="inlineStr">
        <is>
          <t>R2C: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1282</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1.9 %</t>
        </is>
      </c>
      <c r="AA1887" s="12">
        <f>N1887*O1887</f>
        <v/>
      </c>
    </row>
    <row r="1888">
      <c r="A1888" s="12" t="inlineStr">
        <is>
          <t>A-P-0521</t>
        </is>
      </c>
      <c r="B1888" s="12" t="inlineStr">
        <is>
          <t>A</t>
        </is>
      </c>
      <c r="C1888" s="12" t="inlineStr">
        <is>
          <t>Power block</t>
        </is>
      </c>
      <c r="D1888" s="12" t="inlineStr">
        <is>
          <t>Motor 5 of 6, 2 kW</t>
        </is>
      </c>
      <c r="E1888" s="12" t="inlineStr">
        <is>
          <t>R2C</t>
        </is>
      </c>
      <c r="F1888" s="12" t="inlineStr">
        <is>
          <t>R2C: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1282</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1.9 %</t>
        </is>
      </c>
      <c r="AA1888" s="12">
        <f>N1888*O1888</f>
        <v/>
      </c>
    </row>
    <row r="1889">
      <c r="A1889" s="12" t="inlineStr">
        <is>
          <t>A-P-0522</t>
        </is>
      </c>
      <c r="B1889" s="12" t="inlineStr">
        <is>
          <t>A</t>
        </is>
      </c>
      <c r="C1889" s="12" t="inlineStr">
        <is>
          <t>Power block</t>
        </is>
      </c>
      <c r="D1889" s="12" t="inlineStr">
        <is>
          <t>Motor 6 of 6, 2 kW</t>
        </is>
      </c>
      <c r="E1889" s="12" t="inlineStr">
        <is>
          <t>R2C</t>
        </is>
      </c>
      <c r="F1889" s="12" t="inlineStr">
        <is>
          <t>R2C: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1282</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1.9 %</t>
        </is>
      </c>
      <c r="AA1889" s="12">
        <f>N1889*O1889</f>
        <v/>
      </c>
    </row>
    <row r="1890">
      <c r="A1890" s="12" t="inlineStr">
        <is>
          <t>A-P-0523</t>
        </is>
      </c>
      <c r="B1890" s="12" t="inlineStr">
        <is>
          <t>A</t>
        </is>
      </c>
      <c r="C1890" s="12" t="inlineStr">
        <is>
          <t>Power block</t>
        </is>
      </c>
      <c r="D1890" s="12" t="inlineStr">
        <is>
          <t>Motor 1 of 6, 2 kW</t>
        </is>
      </c>
      <c r="E1890" s="12" t="inlineStr">
        <is>
          <t>R3</t>
        </is>
      </c>
      <c r="F1890" s="12" t="inlineStr">
        <is>
          <t>R3: ST auxiliary electrical e-house (40 x 65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452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0.7 %</t>
        </is>
      </c>
      <c r="AA1890" s="12">
        <f>N1890*O1890</f>
        <v/>
      </c>
    </row>
    <row r="1891">
      <c r="A1891" s="12" t="inlineStr">
        <is>
          <t>A-P-0524</t>
        </is>
      </c>
      <c r="B1891" s="12" t="inlineStr">
        <is>
          <t>A</t>
        </is>
      </c>
      <c r="C1891" s="12" t="inlineStr">
        <is>
          <t>Power block</t>
        </is>
      </c>
      <c r="D1891" s="12" t="inlineStr">
        <is>
          <t>Motor 2 of 6, 2 kW</t>
        </is>
      </c>
      <c r="E1891" s="12" t="inlineStr">
        <is>
          <t>R3</t>
        </is>
      </c>
      <c r="F1891" s="12" t="inlineStr">
        <is>
          <t>R3: ST auxiliary electrical e-house (40 x 65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452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0.7 %</t>
        </is>
      </c>
      <c r="AA1891" s="12">
        <f>N1891*O1891</f>
        <v/>
      </c>
    </row>
    <row r="1892">
      <c r="A1892" s="12" t="inlineStr">
        <is>
          <t>A-P-0525</t>
        </is>
      </c>
      <c r="B1892" s="12" t="inlineStr">
        <is>
          <t>A</t>
        </is>
      </c>
      <c r="C1892" s="12" t="inlineStr">
        <is>
          <t>Power block</t>
        </is>
      </c>
      <c r="D1892" s="12" t="inlineStr">
        <is>
          <t>Motor 3 of 6, 2 kW</t>
        </is>
      </c>
      <c r="E1892" s="12" t="inlineStr">
        <is>
          <t>R3</t>
        </is>
      </c>
      <c r="F1892" s="12" t="inlineStr">
        <is>
          <t>R3: ST auxiliary electrical e-house (40 x 65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452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0.7 %</t>
        </is>
      </c>
      <c r="AA1892" s="12">
        <f>N1892*O1892</f>
        <v/>
      </c>
    </row>
    <row r="1893">
      <c r="A1893" s="12" t="inlineStr">
        <is>
          <t>A-P-0526</t>
        </is>
      </c>
      <c r="B1893" s="12" t="inlineStr">
        <is>
          <t>A</t>
        </is>
      </c>
      <c r="C1893" s="12" t="inlineStr">
        <is>
          <t>Power block</t>
        </is>
      </c>
      <c r="D1893" s="12" t="inlineStr">
        <is>
          <t>Motor 4 of 6, 2 kW</t>
        </is>
      </c>
      <c r="E1893" s="12" t="inlineStr">
        <is>
          <t>R3</t>
        </is>
      </c>
      <c r="F1893" s="12" t="inlineStr">
        <is>
          <t>R3: ST auxiliary electrical e-house (40 x 65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452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0.7 %</t>
        </is>
      </c>
      <c r="AA1893" s="12">
        <f>N1893*O1893</f>
        <v/>
      </c>
    </row>
    <row r="1894">
      <c r="A1894" s="12" t="inlineStr">
        <is>
          <t>A-P-0527</t>
        </is>
      </c>
      <c r="B1894" s="12" t="inlineStr">
        <is>
          <t>A</t>
        </is>
      </c>
      <c r="C1894" s="12" t="inlineStr">
        <is>
          <t>Power block</t>
        </is>
      </c>
      <c r="D1894" s="12" t="inlineStr">
        <is>
          <t>Motor 5 of 6, 2 kW</t>
        </is>
      </c>
      <c r="E1894" s="12" t="inlineStr">
        <is>
          <t>R3</t>
        </is>
      </c>
      <c r="F1894" s="12" t="inlineStr">
        <is>
          <t>R3: ST auxiliary electrical e-house (40 x 65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452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0.7 %</t>
        </is>
      </c>
      <c r="AA1894" s="12">
        <f>N1894*O1894</f>
        <v/>
      </c>
    </row>
    <row r="1895">
      <c r="A1895" s="12" t="inlineStr">
        <is>
          <t>A-P-0528</t>
        </is>
      </c>
      <c r="B1895" s="12" t="inlineStr">
        <is>
          <t>A</t>
        </is>
      </c>
      <c r="C1895" s="12" t="inlineStr">
        <is>
          <t>Power block</t>
        </is>
      </c>
      <c r="D1895" s="12" t="inlineStr">
        <is>
          <t>Motor 6 of 6, 2 kW</t>
        </is>
      </c>
      <c r="E1895" s="12" t="inlineStr">
        <is>
          <t>R3</t>
        </is>
      </c>
      <c r="F1895" s="12" t="inlineStr">
        <is>
          <t>R3: ST auxiliary electrical e-house (40 x 65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452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0.7 %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LVAX|3/C+G|4</t>
        </is>
      </c>
      <c r="L1896" s="12" t="inlineStr">
        <is>
          <t>3/C+G</t>
        </is>
      </c>
      <c r="M1896" s="12" t="inlineStr">
        <is>
          <t>4</t>
        </is>
      </c>
      <c r="N1896" s="12" t="n">
        <v>1</v>
      </c>
      <c r="O1896" s="12" t="n">
        <v>1</v>
      </c>
      <c r="P1896" s="12" t="n">
        <v>480</v>
      </c>
      <c r="Q1896" s="12" t="n">
        <v>22</v>
      </c>
      <c r="R1896" s="12" t="n">
        <v>31.1</v>
      </c>
      <c r="S1896" s="12" t="inlineStr">
        <is>
          <t>Tray</t>
        </is>
      </c>
      <c r="T1896" s="16" t="n">
        <v>414</v>
      </c>
      <c r="U1896" s="16" t="n">
        <v>117</v>
      </c>
      <c r="V1896" s="16">
        <f>ROUNDUP((T1896+U1896+2*'Read Me'!$B$13)*(1+'Read Me'!$B$12),-1)</f>
        <v/>
      </c>
      <c r="W1896" s="16">
        <f>V1896*N1896*O1896</f>
        <v/>
      </c>
      <c r="X1896" s="12">
        <f>IF(LEFT(I1896,2)="MV",2*N1896*IF(L1896="1/C",O1896,1),0)</f>
        <v/>
      </c>
      <c r="Y1896" s="12">
        <f>IF(OR(LEFT(K1896,4)="LVAX",LEFT(K1896,6)="MV15AX",LEFT(K1896,4)="CTAX",LEFT(K1896,2)="W|"),2*N1896*O1896,0)</f>
        <v/>
      </c>
      <c r="Z1896" s="12" t="inlineStr">
        <is>
          <t>VD 2.0 %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LVAX|3/C+G|4</t>
        </is>
      </c>
      <c r="L1897" s="12" t="inlineStr">
        <is>
          <t>3/C+G</t>
        </is>
      </c>
      <c r="M1897" s="12" t="inlineStr">
        <is>
          <t>4</t>
        </is>
      </c>
      <c r="N1897" s="12" t="n">
        <v>1</v>
      </c>
      <c r="O1897" s="12" t="n">
        <v>1</v>
      </c>
      <c r="P1897" s="12" t="n">
        <v>480</v>
      </c>
      <c r="Q1897" s="12" t="n">
        <v>22</v>
      </c>
      <c r="R1897" s="12" t="n">
        <v>31.1</v>
      </c>
      <c r="S1897" s="12" t="inlineStr">
        <is>
          <t>Tray</t>
        </is>
      </c>
      <c r="T1897" s="16" t="n">
        <v>414</v>
      </c>
      <c r="U1897" s="16" t="n">
        <v>117</v>
      </c>
      <c r="V1897" s="16">
        <f>ROUNDUP((T1897+U1897+2*'Read Me'!$B$13)*(1+'Read Me'!$B$12),-1)</f>
        <v/>
      </c>
      <c r="W1897" s="16">
        <f>V1897*N1897*O1897</f>
        <v/>
      </c>
      <c r="X1897" s="12">
        <f>IF(LEFT(I1897,2)="MV",2*N1897*IF(L1897="1/C",O1897,1),0)</f>
        <v/>
      </c>
      <c r="Y1897" s="12">
        <f>IF(OR(LEFT(K1897,4)="LVAX",LEFT(K1897,6)="MV15AX",LEFT(K1897,4)="CTAX",LEFT(K1897,2)="W|"),2*N1897*O1897,0)</f>
        <v/>
      </c>
      <c r="Z1897" s="12" t="inlineStr">
        <is>
          <t>VD 2.0 %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431</v>
      </c>
      <c r="U1898" s="16" t="n">
        <v>135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431</v>
      </c>
      <c r="U1899" s="16" t="n">
        <v>135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1105</v>
      </c>
      <c r="U1902" s="16" t="n">
        <v>144</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1105</v>
      </c>
      <c r="U1903" s="16" t="n">
        <v>144</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662</v>
      </c>
      <c r="U1904" s="16" t="n">
        <v>141</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662</v>
      </c>
      <c r="U1905" s="16" t="n">
        <v>141</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836</v>
      </c>
      <c r="U1906" s="16" t="n">
        <v>68</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836</v>
      </c>
      <c r="U1907" s="16" t="n">
        <v>68</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684</v>
      </c>
      <c r="U1908" s="16" t="n">
        <v>68</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610</v>
      </c>
      <c r="U1910" s="16" t="n">
        <v>74</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780</v>
      </c>
      <c r="U1911" s="16" t="n">
        <v>97</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1057</v>
      </c>
      <c r="U1912" s="16" t="n">
        <v>36</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Conduit link</t>
        </is>
      </c>
      <c r="T1913" s="16" t="n">
        <v>159</v>
      </c>
      <c r="U1913" s="16" t="n">
        <v>111</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Duct bank</t>
        </is>
      </c>
      <c r="T1914" s="16" t="n">
        <v>16</v>
      </c>
      <c r="U1914" s="16" t="n">
        <v>116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84</v>
      </c>
      <c r="U1916" s="16" t="n">
        <v>92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512</v>
      </c>
      <c r="U1917" s="16" t="n">
        <v>141</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684</v>
      </c>
      <c r="U1918" s="16" t="n">
        <v>68</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816</v>
      </c>
      <c r="U1919" s="16" t="n">
        <v>152</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696</v>
      </c>
      <c r="U1920" s="16" t="n">
        <v>68</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Tray</t>
        </is>
      </c>
      <c r="T1922" s="16" t="n">
        <v>24</v>
      </c>
      <c r="U1922" s="16" t="n">
        <v>57</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Tray</t>
        </is>
      </c>
      <c r="T1923" s="16" t="n">
        <v>24</v>
      </c>
      <c r="U1923" s="16" t="n">
        <v>57</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Tray</t>
        </is>
      </c>
      <c r="T1924" s="16" t="n">
        <v>24</v>
      </c>
      <c r="U1924" s="16" t="n">
        <v>57</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690</v>
      </c>
      <c r="U1925" s="16" t="n">
        <v>90</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623</v>
      </c>
      <c r="U1928" s="16" t="n">
        <v>72</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591</v>
      </c>
      <c r="U1929" s="16" t="n">
        <v>72</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559</v>
      </c>
      <c r="U1930" s="16" t="n">
        <v>72</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527</v>
      </c>
      <c r="U1931" s="16" t="n">
        <v>72</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495</v>
      </c>
      <c r="U1932" s="16" t="n">
        <v>72</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495</v>
      </c>
      <c r="U1933" s="16" t="n">
        <v>72</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527</v>
      </c>
      <c r="U1934" s="16" t="n">
        <v>72</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559</v>
      </c>
      <c r="U1935" s="16" t="n">
        <v>72</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591</v>
      </c>
      <c r="U1936" s="16" t="n">
        <v>72</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623</v>
      </c>
      <c r="U1937" s="16" t="n">
        <v>72</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573</v>
      </c>
      <c r="U1938" s="16" t="n">
        <v>72</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541</v>
      </c>
      <c r="U1939" s="16" t="n">
        <v>72</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509</v>
      </c>
      <c r="U1940" s="16" t="n">
        <v>72</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477</v>
      </c>
      <c r="U1941" s="16" t="n">
        <v>72</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445</v>
      </c>
      <c r="U1942" s="16" t="n">
        <v>72</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445</v>
      </c>
      <c r="U1943" s="16" t="n">
        <v>72</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477</v>
      </c>
      <c r="U1944" s="16" t="n">
        <v>72</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509</v>
      </c>
      <c r="U1945" s="16" t="n">
        <v>72</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541</v>
      </c>
      <c r="U1946" s="16" t="n">
        <v>72</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573</v>
      </c>
      <c r="U1947" s="16" t="n">
        <v>72</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523</v>
      </c>
      <c r="U1948" s="16" t="n">
        <v>72</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491</v>
      </c>
      <c r="U1949" s="16" t="n">
        <v>72</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459</v>
      </c>
      <c r="U1950" s="16" t="n">
        <v>72</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427</v>
      </c>
      <c r="U1951" s="16" t="n">
        <v>72</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395</v>
      </c>
      <c r="U1952" s="16" t="n">
        <v>72</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395</v>
      </c>
      <c r="U1953" s="16" t="n">
        <v>72</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427</v>
      </c>
      <c r="U1954" s="16" t="n">
        <v>72</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459</v>
      </c>
      <c r="U1955" s="16" t="n">
        <v>72</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491</v>
      </c>
      <c r="U1956" s="16" t="n">
        <v>72</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523</v>
      </c>
      <c r="U1957" s="16" t="n">
        <v>72</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473</v>
      </c>
      <c r="U1958" s="16" t="n">
        <v>72</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441</v>
      </c>
      <c r="U1959" s="16" t="n">
        <v>72</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409</v>
      </c>
      <c r="U1960" s="16" t="n">
        <v>72</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377</v>
      </c>
      <c r="U1961" s="16" t="n">
        <v>72</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345</v>
      </c>
      <c r="U1962" s="16" t="n">
        <v>72</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345</v>
      </c>
      <c r="U1963" s="16" t="n">
        <v>72</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377</v>
      </c>
      <c r="U1964" s="16" t="n">
        <v>72</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409</v>
      </c>
      <c r="U1965" s="16" t="n">
        <v>72</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441</v>
      </c>
      <c r="U1966" s="16" t="n">
        <v>72</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473</v>
      </c>
      <c r="U1967" s="16" t="n">
        <v>72</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473</v>
      </c>
      <c r="U1968" s="16" t="n">
        <v>72</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441</v>
      </c>
      <c r="U1969" s="16" t="n">
        <v>72</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409</v>
      </c>
      <c r="U1970" s="16" t="n">
        <v>72</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377</v>
      </c>
      <c r="U1971" s="16" t="n">
        <v>72</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345</v>
      </c>
      <c r="U1972" s="16" t="n">
        <v>72</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345</v>
      </c>
      <c r="U1973" s="16" t="n">
        <v>72</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377</v>
      </c>
      <c r="U1974" s="16" t="n">
        <v>72</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409</v>
      </c>
      <c r="U1975" s="16" t="n">
        <v>72</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441</v>
      </c>
      <c r="U1976" s="16" t="n">
        <v>72</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473</v>
      </c>
      <c r="U1977" s="16" t="n">
        <v>72</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523</v>
      </c>
      <c r="U1978" s="16" t="n">
        <v>72</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491</v>
      </c>
      <c r="U1979" s="16" t="n">
        <v>72</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459</v>
      </c>
      <c r="U1980" s="16" t="n">
        <v>72</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427</v>
      </c>
      <c r="U1981" s="16" t="n">
        <v>72</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395</v>
      </c>
      <c r="U1982" s="16" t="n">
        <v>72</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395</v>
      </c>
      <c r="U1983" s="16" t="n">
        <v>72</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427</v>
      </c>
      <c r="U1984" s="16" t="n">
        <v>72</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459</v>
      </c>
      <c r="U1985" s="16" t="n">
        <v>72</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491</v>
      </c>
      <c r="U1986" s="16" t="n">
        <v>72</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523</v>
      </c>
      <c r="U1987" s="16" t="n">
        <v>72</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573</v>
      </c>
      <c r="U1988" s="16" t="n">
        <v>72</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541</v>
      </c>
      <c r="U1989" s="16" t="n">
        <v>72</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509</v>
      </c>
      <c r="U1990" s="16" t="n">
        <v>72</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477</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445</v>
      </c>
      <c r="U1992" s="16" t="n">
        <v>72</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445</v>
      </c>
      <c r="U1993" s="16" t="n">
        <v>72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477</v>
      </c>
      <c r="U1994" s="16" t="n">
        <v>72</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509</v>
      </c>
      <c r="U1995" s="16" t="n">
        <v>72</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541</v>
      </c>
      <c r="U1996" s="16" t="n">
        <v>72</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573</v>
      </c>
      <c r="U1997" s="16" t="n">
        <v>72</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623</v>
      </c>
      <c r="U1998" s="16" t="n">
        <v>72</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591</v>
      </c>
      <c r="U1999" s="16" t="n">
        <v>72</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559</v>
      </c>
      <c r="U2000" s="16" t="n">
        <v>72</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527</v>
      </c>
      <c r="U2001" s="16" t="n">
        <v>72</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495</v>
      </c>
      <c r="U2002" s="16" t="n">
        <v>72</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495</v>
      </c>
      <c r="U2003" s="16" t="n">
        <v>72</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527</v>
      </c>
      <c r="U2004" s="16" t="n">
        <v>72</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559</v>
      </c>
      <c r="U2005" s="16" t="n">
        <v>72</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591</v>
      </c>
      <c r="U2006" s="16" t="n">
        <v>72</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623</v>
      </c>
      <c r="U2007" s="16" t="n">
        <v>72</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225</v>
      </c>
      <c r="U2008" s="16" t="n">
        <v>86</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225</v>
      </c>
      <c r="U2009" s="16" t="n">
        <v>86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225</v>
      </c>
      <c r="U2010" s="16" t="n">
        <v>86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225</v>
      </c>
      <c r="U2011" s="16" t="n">
        <v>86</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225</v>
      </c>
      <c r="U2012" s="16" t="n">
        <v>86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225</v>
      </c>
      <c r="U2013" s="16" t="n">
        <v>86</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225</v>
      </c>
      <c r="U2014" s="16" t="n">
        <v>86</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225</v>
      </c>
      <c r="U2015" s="16" t="n">
        <v>86</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225</v>
      </c>
      <c r="U2016" s="16" t="n">
        <v>86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225</v>
      </c>
      <c r="U2017" s="16" t="n">
        <v>86</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225</v>
      </c>
      <c r="U2018" s="16" t="n">
        <v>86</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225</v>
      </c>
      <c r="U2019" s="16" t="n">
        <v>86</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225</v>
      </c>
      <c r="U2020" s="16" t="n">
        <v>86</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225</v>
      </c>
      <c r="U2021" s="16" t="n">
        <v>86</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225</v>
      </c>
      <c r="U2022" s="16" t="n">
        <v>86</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225</v>
      </c>
      <c r="U2023" s="16" t="n">
        <v>86</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225</v>
      </c>
      <c r="U2024" s="16" t="n">
        <v>86</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225</v>
      </c>
      <c r="U2025" s="16" t="n">
        <v>86</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225</v>
      </c>
      <c r="U2026" s="16" t="n">
        <v>86</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225</v>
      </c>
      <c r="U2027" s="16" t="n">
        <v>86</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225</v>
      </c>
      <c r="U2028" s="16" t="n">
        <v>86</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225</v>
      </c>
      <c r="U2029" s="16" t="n">
        <v>86</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225</v>
      </c>
      <c r="U2030" s="16" t="n">
        <v>86</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225</v>
      </c>
      <c r="U2031" s="16" t="n">
        <v>86</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225</v>
      </c>
      <c r="U2032" s="16" t="n">
        <v>86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225</v>
      </c>
      <c r="U2033" s="16" t="n">
        <v>86</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225</v>
      </c>
      <c r="U2034" s="16" t="n">
        <v>86</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225</v>
      </c>
      <c r="U2035" s="16" t="n">
        <v>86</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225</v>
      </c>
      <c r="U2036" s="16" t="n">
        <v>86</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225</v>
      </c>
      <c r="U2037" s="16" t="n">
        <v>86</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681</v>
      </c>
      <c r="U2038" s="16" t="n">
        <v>128</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681</v>
      </c>
      <c r="U2039" s="16" t="n">
        <v>128</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681</v>
      </c>
      <c r="U2040" s="16" t="n">
        <v>128</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681</v>
      </c>
      <c r="U2041" s="16" t="n">
        <v>128</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681</v>
      </c>
      <c r="U2042" s="16" t="n">
        <v>128</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681</v>
      </c>
      <c r="U2043" s="16" t="n">
        <v>128</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681</v>
      </c>
      <c r="U2044" s="16" t="n">
        <v>128</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681</v>
      </c>
      <c r="U2045" s="16" t="n">
        <v>128</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681</v>
      </c>
      <c r="U2046" s="16" t="n">
        <v>128</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681</v>
      </c>
      <c r="U2047" s="16" t="n">
        <v>128</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681</v>
      </c>
      <c r="U2048" s="16" t="n">
        <v>128</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681</v>
      </c>
      <c r="U2049" s="16" t="n">
        <v>128</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690</v>
      </c>
      <c r="U2050" s="16" t="n">
        <v>92</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690</v>
      </c>
      <c r="U2051" s="16" t="n">
        <v>92</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5</v>
      </c>
      <c r="U2052" s="16" t="n">
        <v>94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5</v>
      </c>
      <c r="U2053" s="16" t="n">
        <v>94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5</v>
      </c>
      <c r="U2054" s="16" t="n">
        <v>94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5</v>
      </c>
      <c r="U2055" s="16" t="n">
        <v>94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5</v>
      </c>
      <c r="U2056" s="16" t="n">
        <v>106</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5</v>
      </c>
      <c r="U2057" s="16" t="n">
        <v>106</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5</v>
      </c>
      <c r="U2058" s="16" t="n">
        <v>106</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5</v>
      </c>
      <c r="U2059" s="16" t="n">
        <v>106</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93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93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93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93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81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81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81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81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72</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72</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72</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72</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72</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72</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72</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72</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141</v>
      </c>
      <c r="U2076" s="16" t="n">
        <v>83</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141</v>
      </c>
      <c r="U2077" s="16" t="n">
        <v>83</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141</v>
      </c>
      <c r="U2078" s="16" t="n">
        <v>83</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141</v>
      </c>
      <c r="U2079" s="16" t="n">
        <v>83</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141</v>
      </c>
      <c r="U2080" s="16" t="n">
        <v>83</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141</v>
      </c>
      <c r="U2081" s="16" t="n">
        <v>83</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167</v>
      </c>
      <c r="U2082" s="16" t="n">
        <v>83</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167</v>
      </c>
      <c r="U2083" s="16" t="n">
        <v>83</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167</v>
      </c>
      <c r="U2084" s="16" t="n">
        <v>83</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167</v>
      </c>
      <c r="U2085" s="16" t="n">
        <v>83</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167</v>
      </c>
      <c r="U2086" s="16" t="n">
        <v>83</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167</v>
      </c>
      <c r="U2087" s="16" t="n">
        <v>83</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196</v>
      </c>
      <c r="U2088" s="16" t="n">
        <v>70</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196</v>
      </c>
      <c r="U2089" s="16" t="n">
        <v>70</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196</v>
      </c>
      <c r="U2090" s="16" t="n">
        <v>70</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196</v>
      </c>
      <c r="U2091" s="16" t="n">
        <v>70</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196</v>
      </c>
      <c r="U2092" s="16" t="n">
        <v>70</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196</v>
      </c>
      <c r="U2093" s="16" t="n">
        <v>70</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190</v>
      </c>
      <c r="U2094" s="16" t="n">
        <v>96</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190</v>
      </c>
      <c r="U2095" s="16" t="n">
        <v>96</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190</v>
      </c>
      <c r="U2096" s="16" t="n">
        <v>96</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190</v>
      </c>
      <c r="U2097" s="16" t="n">
        <v>96</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190</v>
      </c>
      <c r="U2098" s="16" t="n">
        <v>96</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190</v>
      </c>
      <c r="U2099" s="16" t="n">
        <v>96</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533</v>
      </c>
      <c r="U2100" s="16" t="n">
        <v>86</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533</v>
      </c>
      <c r="U2101" s="16" t="n">
        <v>86</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1373</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5</v>
      </c>
      <c r="U2103" s="16" t="n">
        <v>86</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72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234</v>
      </c>
      <c r="U2106" s="16" t="n">
        <v>72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234</v>
      </c>
      <c r="U2108" s="16" t="n">
        <v>72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234</v>
      </c>
      <c r="U2110" s="16" t="n">
        <v>72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234</v>
      </c>
      <c r="U2112" s="16" t="n">
        <v>72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234</v>
      </c>
      <c r="U2114" s="16" t="n">
        <v>72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234</v>
      </c>
      <c r="U2116" s="16" t="n">
        <v>72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234</v>
      </c>
      <c r="U2118" s="16" t="n">
        <v>72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234</v>
      </c>
      <c r="U2120" s="16" t="n">
        <v>72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234</v>
      </c>
      <c r="U2122" s="16" t="n">
        <v>72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234</v>
      </c>
      <c r="U2124" s="16" t="n">
        <v>72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234</v>
      </c>
      <c r="U2126" s="16" t="n">
        <v>72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234</v>
      </c>
      <c r="U2128" s="16" t="n">
        <v>72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234</v>
      </c>
      <c r="U2130" s="16" t="n">
        <v>72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687</v>
      </c>
      <c r="U2132" s="16" t="n">
        <v>114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687</v>
      </c>
      <c r="U2134" s="16" t="n">
        <v>114</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687</v>
      </c>
      <c r="U2136" s="16" t="n">
        <v>114</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696</v>
      </c>
      <c r="U2138" s="16" t="n">
        <v>78</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696</v>
      </c>
      <c r="U2140" s="16" t="n">
        <v>78</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539</v>
      </c>
      <c r="U2142" s="16" t="n">
        <v>116</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539</v>
      </c>
      <c r="U2144" s="16" t="n">
        <v>116</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539</v>
      </c>
      <c r="U2146" s="16" t="n">
        <v>116</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539</v>
      </c>
      <c r="U2148" s="16" t="n">
        <v>116</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417</v>
      </c>
      <c r="U2150" s="16" t="n">
        <v>86</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417</v>
      </c>
      <c r="U2152" s="16" t="n">
        <v>86</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5</v>
      </c>
      <c r="U2153" s="16" t="n">
        <v>94</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5</v>
      </c>
      <c r="U2154" s="16" t="n">
        <v>106</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93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81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146</v>
      </c>
      <c r="U2158" s="16" t="n">
        <v>69</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146</v>
      </c>
      <c r="U2160" s="16" t="n">
        <v>69</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172</v>
      </c>
      <c r="U2162" s="16" t="n">
        <v>69</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172</v>
      </c>
      <c r="U2164" s="16" t="n">
        <v>69</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201</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201</v>
      </c>
      <c r="U2168" s="16" t="n">
        <v>56</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195</v>
      </c>
      <c r="U2170" s="16" t="n">
        <v>82</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195</v>
      </c>
      <c r="U2172" s="16" t="n">
        <v>82</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539</v>
      </c>
      <c r="U2174" s="16" t="n">
        <v>72</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539</v>
      </c>
      <c r="U2176" s="16" t="n">
        <v>72</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623</v>
      </c>
      <c r="U2177" s="16" t="n">
        <v>72</v>
      </c>
      <c r="V2177" s="16">
        <f>ROUNDUP((T2177+U2177+2*'Read Me'!$B$13)*(1+'Read Me'!$B$12),-1)</f>
        <v/>
      </c>
      <c r="W2177" s="16">
        <f>V2177*N2177*O2177</f>
        <v/>
      </c>
      <c r="X2177" s="12">
        <f>IF(LEFT(I2177,2)="MV",2*N2177*IF(L2177="1/C",O2177,1),0)</f>
        <v/>
      </c>
      <c r="Y2177" s="12">
        <f>IF(OR(LEFT(K2177,4)="LVAX",LEFT(K2177,6)="MV15AX",LEFT(K2177,4)="CTAX",LEFT(K2177,2)="W|"),2*N2177*O2177,0)</f>
        <v/>
      </c>
      <c r="Z2177" s="12" t="inlineStr">
        <is>
          <t>VD 2.1 %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591</v>
      </c>
      <c r="U2178" s="16" t="n">
        <v>72</v>
      </c>
      <c r="V2178" s="16">
        <f>ROUNDUP((T2178+U2178+2*'Read Me'!$B$13)*(1+'Read Me'!$B$12),-1)</f>
        <v/>
      </c>
      <c r="W2178" s="16">
        <f>V2178*N2178*O2178</f>
        <v/>
      </c>
      <c r="X2178" s="12">
        <f>IF(LEFT(I2178,2)="MV",2*N2178*IF(L2178="1/C",O2178,1),0)</f>
        <v/>
      </c>
      <c r="Y2178" s="12">
        <f>IF(OR(LEFT(K2178,4)="LVAX",LEFT(K2178,6)="MV15AX",LEFT(K2178,4)="CTAX",LEFT(K2178,2)="W|"),2*N2178*O2178,0)</f>
        <v/>
      </c>
      <c r="Z2178" s="12" t="inlineStr">
        <is>
          <t>VD 2.1 %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559</v>
      </c>
      <c r="U2179" s="16" t="n">
        <v>72</v>
      </c>
      <c r="V2179" s="16">
        <f>ROUNDUP((T2179+U2179+2*'Read Me'!$B$13)*(1+'Read Me'!$B$12),-1)</f>
        <v/>
      </c>
      <c r="W2179" s="16">
        <f>V2179*N2179*O2179</f>
        <v/>
      </c>
      <c r="X2179" s="12">
        <f>IF(LEFT(I2179,2)="MV",2*N2179*IF(L2179="1/C",O2179,1),0)</f>
        <v/>
      </c>
      <c r="Y2179" s="12">
        <f>IF(OR(LEFT(K2179,4)="LVAX",LEFT(K2179,6)="MV15AX",LEFT(K2179,4)="CTAX",LEFT(K2179,2)="W|"),2*N2179*O2179,0)</f>
        <v/>
      </c>
      <c r="Z2179" s="12" t="inlineStr">
        <is>
          <t>VD 2.0 %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527</v>
      </c>
      <c r="U2180" s="16" t="n">
        <v>72</v>
      </c>
      <c r="V2180" s="16">
        <f>ROUNDUP((T2180+U2180+2*'Read Me'!$B$13)*(1+'Read Me'!$B$12),-1)</f>
        <v/>
      </c>
      <c r="W2180" s="16">
        <f>V2180*N2180*O2180</f>
        <v/>
      </c>
      <c r="X2180" s="12">
        <f>IF(LEFT(I2180,2)="MV",2*N2180*IF(L2180="1/C",O2180,1),0)</f>
        <v/>
      </c>
      <c r="Y2180" s="12">
        <f>IF(OR(LEFT(K2180,4)="LVAX",LEFT(K2180,6)="MV15AX",LEFT(K2180,4)="CTAX",LEFT(K2180,2)="W|"),2*N2180*O2180,0)</f>
        <v/>
      </c>
      <c r="Z2180" s="12" t="inlineStr">
        <is>
          <t>VD 1.9 %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495</v>
      </c>
      <c r="U2181" s="16" t="n">
        <v>72</v>
      </c>
      <c r="V2181" s="16">
        <f>ROUNDUP((T2181+U2181+2*'Read Me'!$B$13)*(1+'Read Me'!$B$12),-1)</f>
        <v/>
      </c>
      <c r="W2181" s="16">
        <f>V2181*N2181*O2181</f>
        <v/>
      </c>
      <c r="X2181" s="12">
        <f>IF(LEFT(I2181,2)="MV",2*N2181*IF(L2181="1/C",O2181,1),0)</f>
        <v/>
      </c>
      <c r="Y2181" s="12">
        <f>IF(OR(LEFT(K2181,4)="LVAX",LEFT(K2181,6)="MV15AX",LEFT(K2181,4)="CTAX",LEFT(K2181,2)="W|"),2*N2181*O2181,0)</f>
        <v/>
      </c>
      <c r="Z2181" s="12" t="inlineStr">
        <is>
          <t>VD 1.8 %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495</v>
      </c>
      <c r="U2182" s="16" t="n">
        <v>72</v>
      </c>
      <c r="V2182" s="16">
        <f>ROUNDUP((T2182+U2182+2*'Read Me'!$B$13)*(1+'Read Me'!$B$12),-1)</f>
        <v/>
      </c>
      <c r="W2182" s="16">
        <f>V2182*N2182*O2182</f>
        <v/>
      </c>
      <c r="X2182" s="12">
        <f>IF(LEFT(I2182,2)="MV",2*N2182*IF(L2182="1/C",O2182,1),0)</f>
        <v/>
      </c>
      <c r="Y2182" s="12">
        <f>IF(OR(LEFT(K2182,4)="LVAX",LEFT(K2182,6)="MV15AX",LEFT(K2182,4)="CTAX",LEFT(K2182,2)="W|"),2*N2182*O2182,0)</f>
        <v/>
      </c>
      <c r="Z2182" s="12" t="inlineStr">
        <is>
          <t>VD 1.8 %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527</v>
      </c>
      <c r="U2183" s="16" t="n">
        <v>72</v>
      </c>
      <c r="V2183" s="16">
        <f>ROUNDUP((T2183+U2183+2*'Read Me'!$B$13)*(1+'Read Me'!$B$12),-1)</f>
        <v/>
      </c>
      <c r="W2183" s="16">
        <f>V2183*N2183*O2183</f>
        <v/>
      </c>
      <c r="X2183" s="12">
        <f>IF(LEFT(I2183,2)="MV",2*N2183*IF(L2183="1/C",O2183,1),0)</f>
        <v/>
      </c>
      <c r="Y2183" s="12">
        <f>IF(OR(LEFT(K2183,4)="LVAX",LEFT(K2183,6)="MV15AX",LEFT(K2183,4)="CTAX",LEFT(K2183,2)="W|"),2*N2183*O2183,0)</f>
        <v/>
      </c>
      <c r="Z2183" s="12" t="inlineStr">
        <is>
          <t>VD 1.9 %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559</v>
      </c>
      <c r="U2184" s="16" t="n">
        <v>72</v>
      </c>
      <c r="V2184" s="16">
        <f>ROUNDUP((T2184+U2184+2*'Read Me'!$B$13)*(1+'Read Me'!$B$12),-1)</f>
        <v/>
      </c>
      <c r="W2184" s="16">
        <f>V2184*N2184*O2184</f>
        <v/>
      </c>
      <c r="X2184" s="12">
        <f>IF(LEFT(I2184,2)="MV",2*N2184*IF(L2184="1/C",O2184,1),0)</f>
        <v/>
      </c>
      <c r="Y2184" s="12">
        <f>IF(OR(LEFT(K2184,4)="LVAX",LEFT(K2184,6)="MV15AX",LEFT(K2184,4)="CTAX",LEFT(K2184,2)="W|"),2*N2184*O2184,0)</f>
        <v/>
      </c>
      <c r="Z2184" s="12" t="inlineStr">
        <is>
          <t>VD 2.0 %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591</v>
      </c>
      <c r="U2185" s="16" t="n">
        <v>72</v>
      </c>
      <c r="V2185" s="16">
        <f>ROUNDUP((T2185+U2185+2*'Read Me'!$B$13)*(1+'Read Me'!$B$12),-1)</f>
        <v/>
      </c>
      <c r="W2185" s="16">
        <f>V2185*N2185*O2185</f>
        <v/>
      </c>
      <c r="X2185" s="12">
        <f>IF(LEFT(I2185,2)="MV",2*N2185*IF(L2185="1/C",O2185,1),0)</f>
        <v/>
      </c>
      <c r="Y2185" s="12">
        <f>IF(OR(LEFT(K2185,4)="LVAX",LEFT(K2185,6)="MV15AX",LEFT(K2185,4)="CTAX",LEFT(K2185,2)="W|"),2*N2185*O2185,0)</f>
        <v/>
      </c>
      <c r="Z2185" s="12" t="inlineStr">
        <is>
          <t>VD 2.1 %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623</v>
      </c>
      <c r="U2186" s="16" t="n">
        <v>72</v>
      </c>
      <c r="V2186" s="16">
        <f>ROUNDUP((T2186+U2186+2*'Read Me'!$B$13)*(1+'Read Me'!$B$12),-1)</f>
        <v/>
      </c>
      <c r="W2186" s="16">
        <f>V2186*N2186*O2186</f>
        <v/>
      </c>
      <c r="X2186" s="12">
        <f>IF(LEFT(I2186,2)="MV",2*N2186*IF(L2186="1/C",O2186,1),0)</f>
        <v/>
      </c>
      <c r="Y2186" s="12">
        <f>IF(OR(LEFT(K2186,4)="LVAX",LEFT(K2186,6)="MV15AX",LEFT(K2186,4)="CTAX",LEFT(K2186,2)="W|"),2*N2186*O2186,0)</f>
        <v/>
      </c>
      <c r="Z2186" s="12" t="inlineStr">
        <is>
          <t>VD 2.1 %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573</v>
      </c>
      <c r="U2187" s="16" t="n">
        <v>72</v>
      </c>
      <c r="V2187" s="16">
        <f>ROUNDUP((T2187+U2187+2*'Read Me'!$B$13)*(1+'Read Me'!$B$12),-1)</f>
        <v/>
      </c>
      <c r="W2187" s="16">
        <f>V2187*N2187*O2187</f>
        <v/>
      </c>
      <c r="X2187" s="12">
        <f>IF(LEFT(I2187,2)="MV",2*N2187*IF(L2187="1/C",O2187,1),0)</f>
        <v/>
      </c>
      <c r="Y2187" s="12">
        <f>IF(OR(LEFT(K2187,4)="LVAX",LEFT(K2187,6)="MV15AX",LEFT(K2187,4)="CTAX",LEFT(K2187,2)="W|"),2*N2187*O2187,0)</f>
        <v/>
      </c>
      <c r="Z2187" s="12" t="inlineStr">
        <is>
          <t>VD 2.0 %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541</v>
      </c>
      <c r="U2188" s="16" t="n">
        <v>72</v>
      </c>
      <c r="V2188" s="16">
        <f>ROUNDUP((T2188+U2188+2*'Read Me'!$B$13)*(1+'Read Me'!$B$12),-1)</f>
        <v/>
      </c>
      <c r="W2188" s="16">
        <f>V2188*N2188*O2188</f>
        <v/>
      </c>
      <c r="X2188" s="12">
        <f>IF(LEFT(I2188,2)="MV",2*N2188*IF(L2188="1/C",O2188,1),0)</f>
        <v/>
      </c>
      <c r="Y2188" s="12">
        <f>IF(OR(LEFT(K2188,4)="LVAX",LEFT(K2188,6)="MV15AX",LEFT(K2188,4)="CTAX",LEFT(K2188,2)="W|"),2*N2188*O2188,0)</f>
        <v/>
      </c>
      <c r="Z2188" s="12" t="inlineStr">
        <is>
          <t>VD 1.9 %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509</v>
      </c>
      <c r="U2189" s="16" t="n">
        <v>72</v>
      </c>
      <c r="V2189" s="16">
        <f>ROUNDUP((T2189+U2189+2*'Read Me'!$B$13)*(1+'Read Me'!$B$12),-1)</f>
        <v/>
      </c>
      <c r="W2189" s="16">
        <f>V2189*N2189*O2189</f>
        <v/>
      </c>
      <c r="X2189" s="12">
        <f>IF(LEFT(I2189,2)="MV",2*N2189*IF(L2189="1/C",O2189,1),0)</f>
        <v/>
      </c>
      <c r="Y2189" s="12">
        <f>IF(OR(LEFT(K2189,4)="LVAX",LEFT(K2189,6)="MV15AX",LEFT(K2189,4)="CTAX",LEFT(K2189,2)="W|"),2*N2189*O2189,0)</f>
        <v/>
      </c>
      <c r="Z2189" s="12" t="inlineStr">
        <is>
          <t>VD 1.8 %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477</v>
      </c>
      <c r="U2190" s="16" t="n">
        <v>72</v>
      </c>
      <c r="V2190" s="16">
        <f>ROUNDUP((T2190+U2190+2*'Read Me'!$B$13)*(1+'Read Me'!$B$12),-1)</f>
        <v/>
      </c>
      <c r="W2190" s="16">
        <f>V2190*N2190*O2190</f>
        <v/>
      </c>
      <c r="X2190" s="12">
        <f>IF(LEFT(I2190,2)="MV",2*N2190*IF(L2190="1/C",O2190,1),0)</f>
        <v/>
      </c>
      <c r="Y2190" s="12">
        <f>IF(OR(LEFT(K2190,4)="LVAX",LEFT(K2190,6)="MV15AX",LEFT(K2190,4)="CTAX",LEFT(K2190,2)="W|"),2*N2190*O2190,0)</f>
        <v/>
      </c>
      <c r="Z2190" s="12" t="inlineStr">
        <is>
          <t>VD 1.7 %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445</v>
      </c>
      <c r="U2191" s="16" t="n">
        <v>72</v>
      </c>
      <c r="V2191" s="16">
        <f>ROUNDUP((T2191+U2191+2*'Read Me'!$B$13)*(1+'Read Me'!$B$12),-1)</f>
        <v/>
      </c>
      <c r="W2191" s="16">
        <f>V2191*N2191*O2191</f>
        <v/>
      </c>
      <c r="X2191" s="12">
        <f>IF(LEFT(I2191,2)="MV",2*N2191*IF(L2191="1/C",O2191,1),0)</f>
        <v/>
      </c>
      <c r="Y2191" s="12">
        <f>IF(OR(LEFT(K2191,4)="LVAX",LEFT(K2191,6)="MV15AX",LEFT(K2191,4)="CTAX",LEFT(K2191,2)="W|"),2*N2191*O2191,0)</f>
        <v/>
      </c>
      <c r="Z2191" s="12" t="inlineStr">
        <is>
          <t>VD 1.6 %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445</v>
      </c>
      <c r="U2192" s="16" t="n">
        <v>72</v>
      </c>
      <c r="V2192" s="16">
        <f>ROUNDUP((T2192+U2192+2*'Read Me'!$B$13)*(1+'Read Me'!$B$12),-1)</f>
        <v/>
      </c>
      <c r="W2192" s="16">
        <f>V2192*N2192*O2192</f>
        <v/>
      </c>
      <c r="X2192" s="12">
        <f>IF(LEFT(I2192,2)="MV",2*N2192*IF(L2192="1/C",O2192,1),0)</f>
        <v/>
      </c>
      <c r="Y2192" s="12">
        <f>IF(OR(LEFT(K2192,4)="LVAX",LEFT(K2192,6)="MV15AX",LEFT(K2192,4)="CTAX",LEFT(K2192,2)="W|"),2*N2192*O2192,0)</f>
        <v/>
      </c>
      <c r="Z2192" s="12" t="inlineStr">
        <is>
          <t>VD 1.6 %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477</v>
      </c>
      <c r="U2193" s="16" t="n">
        <v>72</v>
      </c>
      <c r="V2193" s="16">
        <f>ROUNDUP((T2193+U2193+2*'Read Me'!$B$13)*(1+'Read Me'!$B$12),-1)</f>
        <v/>
      </c>
      <c r="W2193" s="16">
        <f>V2193*N2193*O2193</f>
        <v/>
      </c>
      <c r="X2193" s="12">
        <f>IF(LEFT(I2193,2)="MV",2*N2193*IF(L2193="1/C",O2193,1),0)</f>
        <v/>
      </c>
      <c r="Y2193" s="12">
        <f>IF(OR(LEFT(K2193,4)="LVAX",LEFT(K2193,6)="MV15AX",LEFT(K2193,4)="CTAX",LEFT(K2193,2)="W|"),2*N2193*O2193,0)</f>
        <v/>
      </c>
      <c r="Z2193" s="12" t="inlineStr">
        <is>
          <t>VD 1.7 %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509</v>
      </c>
      <c r="U2194" s="16" t="n">
        <v>72</v>
      </c>
      <c r="V2194" s="16">
        <f>ROUNDUP((T2194+U2194+2*'Read Me'!$B$13)*(1+'Read Me'!$B$12),-1)</f>
        <v/>
      </c>
      <c r="W2194" s="16">
        <f>V2194*N2194*O2194</f>
        <v/>
      </c>
      <c r="X2194" s="12">
        <f>IF(LEFT(I2194,2)="MV",2*N2194*IF(L2194="1/C",O2194,1),0)</f>
        <v/>
      </c>
      <c r="Y2194" s="12">
        <f>IF(OR(LEFT(K2194,4)="LVAX",LEFT(K2194,6)="MV15AX",LEFT(K2194,4)="CTAX",LEFT(K2194,2)="W|"),2*N2194*O2194,0)</f>
        <v/>
      </c>
      <c r="Z2194" s="12" t="inlineStr">
        <is>
          <t>VD 1.8 %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541</v>
      </c>
      <c r="U2195" s="16" t="n">
        <v>72</v>
      </c>
      <c r="V2195" s="16">
        <f>ROUNDUP((T2195+U2195+2*'Read Me'!$B$13)*(1+'Read Me'!$B$12),-1)</f>
        <v/>
      </c>
      <c r="W2195" s="16">
        <f>V2195*N2195*O2195</f>
        <v/>
      </c>
      <c r="X2195" s="12">
        <f>IF(LEFT(I2195,2)="MV",2*N2195*IF(L2195="1/C",O2195,1),0)</f>
        <v/>
      </c>
      <c r="Y2195" s="12">
        <f>IF(OR(LEFT(K2195,4)="LVAX",LEFT(K2195,6)="MV15AX",LEFT(K2195,4)="CTAX",LEFT(K2195,2)="W|"),2*N2195*O2195,0)</f>
        <v/>
      </c>
      <c r="Z2195" s="12" t="inlineStr">
        <is>
          <t>VD 1.9 %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573</v>
      </c>
      <c r="U2196" s="16" t="n">
        <v>72</v>
      </c>
      <c r="V2196" s="16">
        <f>ROUNDUP((T2196+U2196+2*'Read Me'!$B$13)*(1+'Read Me'!$B$12),-1)</f>
        <v/>
      </c>
      <c r="W2196" s="16">
        <f>V2196*N2196*O2196</f>
        <v/>
      </c>
      <c r="X2196" s="12">
        <f>IF(LEFT(I2196,2)="MV",2*N2196*IF(L2196="1/C",O2196,1),0)</f>
        <v/>
      </c>
      <c r="Y2196" s="12">
        <f>IF(OR(LEFT(K2196,4)="LVAX",LEFT(K2196,6)="MV15AX",LEFT(K2196,4)="CTAX",LEFT(K2196,2)="W|"),2*N2196*O2196,0)</f>
        <v/>
      </c>
      <c r="Z2196" s="12" t="inlineStr">
        <is>
          <t>VD 2.0 %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523</v>
      </c>
      <c r="U2197" s="16" t="n">
        <v>72</v>
      </c>
      <c r="V2197" s="16">
        <f>ROUNDUP((T2197+U2197+2*'Read Me'!$B$13)*(1+'Read Me'!$B$12),-1)</f>
        <v/>
      </c>
      <c r="W2197" s="16">
        <f>V2197*N2197*O2197</f>
        <v/>
      </c>
      <c r="X2197" s="12">
        <f>IF(LEFT(I2197,2)="MV",2*N2197*IF(L2197="1/C",O2197,1),0)</f>
        <v/>
      </c>
      <c r="Y2197" s="12">
        <f>IF(OR(LEFT(K2197,4)="LVAX",LEFT(K2197,6)="MV15AX",LEFT(K2197,4)="CTAX",LEFT(K2197,2)="W|"),2*N2197*O2197,0)</f>
        <v/>
      </c>
      <c r="Z2197" s="12" t="inlineStr">
        <is>
          <t>VD 1.8 %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491</v>
      </c>
      <c r="U2198" s="16" t="n">
        <v>72</v>
      </c>
      <c r="V2198" s="16">
        <f>ROUNDUP((T2198+U2198+2*'Read Me'!$B$13)*(1+'Read Me'!$B$12),-1)</f>
        <v/>
      </c>
      <c r="W2198" s="16">
        <f>V2198*N2198*O2198</f>
        <v/>
      </c>
      <c r="X2198" s="12">
        <f>IF(LEFT(I2198,2)="MV",2*N2198*IF(L2198="1/C",O2198,1),0)</f>
        <v/>
      </c>
      <c r="Y2198" s="12">
        <f>IF(OR(LEFT(K2198,4)="LVAX",LEFT(K2198,6)="MV15AX",LEFT(K2198,4)="CTAX",LEFT(K2198,2)="W|"),2*N2198*O2198,0)</f>
        <v/>
      </c>
      <c r="Z2198" s="12" t="inlineStr">
        <is>
          <t>VD 1.7 %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459</v>
      </c>
      <c r="U2199" s="16" t="n">
        <v>72</v>
      </c>
      <c r="V2199" s="16">
        <f>ROUNDUP((T2199+U2199+2*'Read Me'!$B$13)*(1+'Read Me'!$B$12),-1)</f>
        <v/>
      </c>
      <c r="W2199" s="16">
        <f>V2199*N2199*O2199</f>
        <v/>
      </c>
      <c r="X2199" s="12">
        <f>IF(LEFT(I2199,2)="MV",2*N2199*IF(L2199="1/C",O2199,1),0)</f>
        <v/>
      </c>
      <c r="Y2199" s="12">
        <f>IF(OR(LEFT(K2199,4)="LVAX",LEFT(K2199,6)="MV15AX",LEFT(K2199,4)="CTAX",LEFT(K2199,2)="W|"),2*N2199*O2199,0)</f>
        <v/>
      </c>
      <c r="Z2199" s="12" t="inlineStr">
        <is>
          <t>VD 1.6 %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427</v>
      </c>
      <c r="U2200" s="16" t="n">
        <v>72</v>
      </c>
      <c r="V2200" s="16">
        <f>ROUNDUP((T2200+U2200+2*'Read Me'!$B$13)*(1+'Read Me'!$B$12),-1)</f>
        <v/>
      </c>
      <c r="W2200" s="16">
        <f>V2200*N2200*O2200</f>
        <v/>
      </c>
      <c r="X2200" s="12">
        <f>IF(LEFT(I2200,2)="MV",2*N2200*IF(L2200="1/C",O2200,1),0)</f>
        <v/>
      </c>
      <c r="Y2200" s="12">
        <f>IF(OR(LEFT(K2200,4)="LVAX",LEFT(K2200,6)="MV15AX",LEFT(K2200,4)="CTAX",LEFT(K2200,2)="W|"),2*N2200*O2200,0)</f>
        <v/>
      </c>
      <c r="Z2200" s="12" t="inlineStr">
        <is>
          <t>VD 1.5 %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395</v>
      </c>
      <c r="U2201" s="16" t="n">
        <v>72</v>
      </c>
      <c r="V2201" s="16">
        <f>ROUNDUP((T2201+U2201+2*'Read Me'!$B$13)*(1+'Read Me'!$B$12),-1)</f>
        <v/>
      </c>
      <c r="W2201" s="16">
        <f>V2201*N2201*O2201</f>
        <v/>
      </c>
      <c r="X2201" s="12">
        <f>IF(LEFT(I2201,2)="MV",2*N2201*IF(L2201="1/C",O2201,1),0)</f>
        <v/>
      </c>
      <c r="Y2201" s="12">
        <f>IF(OR(LEFT(K2201,4)="LVAX",LEFT(K2201,6)="MV15AX",LEFT(K2201,4)="CTAX",LEFT(K2201,2)="W|"),2*N2201*O2201,0)</f>
        <v/>
      </c>
      <c r="Z2201" s="12" t="inlineStr">
        <is>
          <t>VD 1.4 %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395</v>
      </c>
      <c r="U2202" s="16" t="n">
        <v>72</v>
      </c>
      <c r="V2202" s="16">
        <f>ROUNDUP((T2202+U2202+2*'Read Me'!$B$13)*(1+'Read Me'!$B$12),-1)</f>
        <v/>
      </c>
      <c r="W2202" s="16">
        <f>V2202*N2202*O2202</f>
        <v/>
      </c>
      <c r="X2202" s="12">
        <f>IF(LEFT(I2202,2)="MV",2*N2202*IF(L2202="1/C",O2202,1),0)</f>
        <v/>
      </c>
      <c r="Y2202" s="12">
        <f>IF(OR(LEFT(K2202,4)="LVAX",LEFT(K2202,6)="MV15AX",LEFT(K2202,4)="CTAX",LEFT(K2202,2)="W|"),2*N2202*O2202,0)</f>
        <v/>
      </c>
      <c r="Z2202" s="12" t="inlineStr">
        <is>
          <t>VD 1.4 %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427</v>
      </c>
      <c r="U2203" s="16" t="n">
        <v>72</v>
      </c>
      <c r="V2203" s="16">
        <f>ROUNDUP((T2203+U2203+2*'Read Me'!$B$13)*(1+'Read Me'!$B$12),-1)</f>
        <v/>
      </c>
      <c r="W2203" s="16">
        <f>V2203*N2203*O2203</f>
        <v/>
      </c>
      <c r="X2203" s="12">
        <f>IF(LEFT(I2203,2)="MV",2*N2203*IF(L2203="1/C",O2203,1),0)</f>
        <v/>
      </c>
      <c r="Y2203" s="12">
        <f>IF(OR(LEFT(K2203,4)="LVAX",LEFT(K2203,6)="MV15AX",LEFT(K2203,4)="CTAX",LEFT(K2203,2)="W|"),2*N2203*O2203,0)</f>
        <v/>
      </c>
      <c r="Z2203" s="12" t="inlineStr">
        <is>
          <t>VD 1.5 %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459</v>
      </c>
      <c r="U2204" s="16" t="n">
        <v>72</v>
      </c>
      <c r="V2204" s="16">
        <f>ROUNDUP((T2204+U2204+2*'Read Me'!$B$13)*(1+'Read Me'!$B$12),-1)</f>
        <v/>
      </c>
      <c r="W2204" s="16">
        <f>V2204*N2204*O2204</f>
        <v/>
      </c>
      <c r="X2204" s="12">
        <f>IF(LEFT(I2204,2)="MV",2*N2204*IF(L2204="1/C",O2204,1),0)</f>
        <v/>
      </c>
      <c r="Y2204" s="12">
        <f>IF(OR(LEFT(K2204,4)="LVAX",LEFT(K2204,6)="MV15AX",LEFT(K2204,4)="CTAX",LEFT(K2204,2)="W|"),2*N2204*O2204,0)</f>
        <v/>
      </c>
      <c r="Z2204" s="12" t="inlineStr">
        <is>
          <t>VD 1.6 %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491</v>
      </c>
      <c r="U2205" s="16" t="n">
        <v>72</v>
      </c>
      <c r="V2205" s="16">
        <f>ROUNDUP((T2205+U2205+2*'Read Me'!$B$13)*(1+'Read Me'!$B$12),-1)</f>
        <v/>
      </c>
      <c r="W2205" s="16">
        <f>V2205*N2205*O2205</f>
        <v/>
      </c>
      <c r="X2205" s="12">
        <f>IF(LEFT(I2205,2)="MV",2*N2205*IF(L2205="1/C",O2205,1),0)</f>
        <v/>
      </c>
      <c r="Y2205" s="12">
        <f>IF(OR(LEFT(K2205,4)="LVAX",LEFT(K2205,6)="MV15AX",LEFT(K2205,4)="CTAX",LEFT(K2205,2)="W|"),2*N2205*O2205,0)</f>
        <v/>
      </c>
      <c r="Z2205" s="12" t="inlineStr">
        <is>
          <t>VD 1.7 %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523</v>
      </c>
      <c r="U2206" s="16" t="n">
        <v>72</v>
      </c>
      <c r="V2206" s="16">
        <f>ROUNDUP((T2206+U2206+2*'Read Me'!$B$13)*(1+'Read Me'!$B$12),-1)</f>
        <v/>
      </c>
      <c r="W2206" s="16">
        <f>V2206*N2206*O2206</f>
        <v/>
      </c>
      <c r="X2206" s="12">
        <f>IF(LEFT(I2206,2)="MV",2*N2206*IF(L2206="1/C",O2206,1),0)</f>
        <v/>
      </c>
      <c r="Y2206" s="12">
        <f>IF(OR(LEFT(K2206,4)="LVAX",LEFT(K2206,6)="MV15AX",LEFT(K2206,4)="CTAX",LEFT(K2206,2)="W|"),2*N2206*O2206,0)</f>
        <v/>
      </c>
      <c r="Z2206" s="12" t="inlineStr">
        <is>
          <t>VD 1.8 %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473</v>
      </c>
      <c r="U2207" s="16" t="n">
        <v>72</v>
      </c>
      <c r="V2207" s="16">
        <f>ROUNDUP((T2207+U2207+2*'Read Me'!$B$13)*(1+'Read Me'!$B$12),-1)</f>
        <v/>
      </c>
      <c r="W2207" s="16">
        <f>V2207*N2207*O2207</f>
        <v/>
      </c>
      <c r="X2207" s="12">
        <f>IF(LEFT(I2207,2)="MV",2*N2207*IF(L2207="1/C",O2207,1),0)</f>
        <v/>
      </c>
      <c r="Y2207" s="12">
        <f>IF(OR(LEFT(K2207,4)="LVAX",LEFT(K2207,6)="MV15AX",LEFT(K2207,4)="CTAX",LEFT(K2207,2)="W|"),2*N2207*O2207,0)</f>
        <v/>
      </c>
      <c r="Z2207" s="12" t="inlineStr">
        <is>
          <t>VD 1.7 %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441</v>
      </c>
      <c r="U2208" s="16" t="n">
        <v>72</v>
      </c>
      <c r="V2208" s="16">
        <f>ROUNDUP((T2208+U2208+2*'Read Me'!$B$13)*(1+'Read Me'!$B$12),-1)</f>
        <v/>
      </c>
      <c r="W2208" s="16">
        <f>V2208*N2208*O2208</f>
        <v/>
      </c>
      <c r="X2208" s="12">
        <f>IF(LEFT(I2208,2)="MV",2*N2208*IF(L2208="1/C",O2208,1),0)</f>
        <v/>
      </c>
      <c r="Y2208" s="12">
        <f>IF(OR(LEFT(K2208,4)="LVAX",LEFT(K2208,6)="MV15AX",LEFT(K2208,4)="CTAX",LEFT(K2208,2)="W|"),2*N2208*O2208,0)</f>
        <v/>
      </c>
      <c r="Z2208" s="12" t="inlineStr">
        <is>
          <t>VD 1.6 %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409</v>
      </c>
      <c r="U2209" s="16" t="n">
        <v>72</v>
      </c>
      <c r="V2209" s="16">
        <f>ROUNDUP((T2209+U2209+2*'Read Me'!$B$13)*(1+'Read Me'!$B$12),-1)</f>
        <v/>
      </c>
      <c r="W2209" s="16">
        <f>V2209*N2209*O2209</f>
        <v/>
      </c>
      <c r="X2209" s="12">
        <f>IF(LEFT(I2209,2)="MV",2*N2209*IF(L2209="1/C",O2209,1),0)</f>
        <v/>
      </c>
      <c r="Y2209" s="12">
        <f>IF(OR(LEFT(K2209,4)="LVAX",LEFT(K2209,6)="MV15AX",LEFT(K2209,4)="CTAX",LEFT(K2209,2)="W|"),2*N2209*O2209,0)</f>
        <v/>
      </c>
      <c r="Z2209" s="12" t="inlineStr">
        <is>
          <t>VD 1.5 %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377</v>
      </c>
      <c r="U2210" s="16" t="n">
        <v>72</v>
      </c>
      <c r="V2210" s="16">
        <f>ROUNDUP((T2210+U2210+2*'Read Me'!$B$13)*(1+'Read Me'!$B$12),-1)</f>
        <v/>
      </c>
      <c r="W2210" s="16">
        <f>V2210*N2210*O2210</f>
        <v/>
      </c>
      <c r="X2210" s="12">
        <f>IF(LEFT(I2210,2)="MV",2*N2210*IF(L2210="1/C",O2210,1),0)</f>
        <v/>
      </c>
      <c r="Y2210" s="12">
        <f>IF(OR(LEFT(K2210,4)="LVAX",LEFT(K2210,6)="MV15AX",LEFT(K2210,4)="CTAX",LEFT(K2210,2)="W|"),2*N2210*O2210,0)</f>
        <v/>
      </c>
      <c r="Z2210" s="12" t="inlineStr">
        <is>
          <t>VD 1.4 %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345</v>
      </c>
      <c r="U2211" s="16" t="n">
        <v>72</v>
      </c>
      <c r="V2211" s="16">
        <f>ROUNDUP((T2211+U2211+2*'Read Me'!$B$13)*(1+'Read Me'!$B$12),-1)</f>
        <v/>
      </c>
      <c r="W2211" s="16">
        <f>V2211*N2211*O2211</f>
        <v/>
      </c>
      <c r="X2211" s="12">
        <f>IF(LEFT(I2211,2)="MV",2*N2211*IF(L2211="1/C",O2211,1),0)</f>
        <v/>
      </c>
      <c r="Y2211" s="12">
        <f>IF(OR(LEFT(K2211,4)="LVAX",LEFT(K2211,6)="MV15AX",LEFT(K2211,4)="CTAX",LEFT(K2211,2)="W|"),2*N2211*O2211,0)</f>
        <v/>
      </c>
      <c r="Z2211" s="12" t="inlineStr">
        <is>
          <t>VD 1.3 %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345</v>
      </c>
      <c r="U2212" s="16" t="n">
        <v>72</v>
      </c>
      <c r="V2212" s="16">
        <f>ROUNDUP((T2212+U2212+2*'Read Me'!$B$13)*(1+'Read Me'!$B$12),-1)</f>
        <v/>
      </c>
      <c r="W2212" s="16">
        <f>V2212*N2212*O2212</f>
        <v/>
      </c>
      <c r="X2212" s="12">
        <f>IF(LEFT(I2212,2)="MV",2*N2212*IF(L2212="1/C",O2212,1),0)</f>
        <v/>
      </c>
      <c r="Y2212" s="12">
        <f>IF(OR(LEFT(K2212,4)="LVAX",LEFT(K2212,6)="MV15AX",LEFT(K2212,4)="CTAX",LEFT(K2212,2)="W|"),2*N2212*O2212,0)</f>
        <v/>
      </c>
      <c r="Z2212" s="12" t="inlineStr">
        <is>
          <t>VD 1.3 %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377</v>
      </c>
      <c r="U2213" s="16" t="n">
        <v>72</v>
      </c>
      <c r="V2213" s="16">
        <f>ROUNDUP((T2213+U2213+2*'Read Me'!$B$13)*(1+'Read Me'!$B$12),-1)</f>
        <v/>
      </c>
      <c r="W2213" s="16">
        <f>V2213*N2213*O2213</f>
        <v/>
      </c>
      <c r="X2213" s="12">
        <f>IF(LEFT(I2213,2)="MV",2*N2213*IF(L2213="1/C",O2213,1),0)</f>
        <v/>
      </c>
      <c r="Y2213" s="12">
        <f>IF(OR(LEFT(K2213,4)="LVAX",LEFT(K2213,6)="MV15AX",LEFT(K2213,4)="CTAX",LEFT(K2213,2)="W|"),2*N2213*O2213,0)</f>
        <v/>
      </c>
      <c r="Z2213" s="12" t="inlineStr">
        <is>
          <t>VD 1.4 %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409</v>
      </c>
      <c r="U2214" s="16" t="n">
        <v>72</v>
      </c>
      <c r="V2214" s="16">
        <f>ROUNDUP((T2214+U2214+2*'Read Me'!$B$13)*(1+'Read Me'!$B$12),-1)</f>
        <v/>
      </c>
      <c r="W2214" s="16">
        <f>V2214*N2214*O2214</f>
        <v/>
      </c>
      <c r="X2214" s="12">
        <f>IF(LEFT(I2214,2)="MV",2*N2214*IF(L2214="1/C",O2214,1),0)</f>
        <v/>
      </c>
      <c r="Y2214" s="12">
        <f>IF(OR(LEFT(K2214,4)="LVAX",LEFT(K2214,6)="MV15AX",LEFT(K2214,4)="CTAX",LEFT(K2214,2)="W|"),2*N2214*O2214,0)</f>
        <v/>
      </c>
      <c r="Z2214" s="12" t="inlineStr">
        <is>
          <t>VD 1.5 %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441</v>
      </c>
      <c r="U2215" s="16" t="n">
        <v>72</v>
      </c>
      <c r="V2215" s="16">
        <f>ROUNDUP((T2215+U2215+2*'Read Me'!$B$13)*(1+'Read Me'!$B$12),-1)</f>
        <v/>
      </c>
      <c r="W2215" s="16">
        <f>V2215*N2215*O2215</f>
        <v/>
      </c>
      <c r="X2215" s="12">
        <f>IF(LEFT(I2215,2)="MV",2*N2215*IF(L2215="1/C",O2215,1),0)</f>
        <v/>
      </c>
      <c r="Y2215" s="12">
        <f>IF(OR(LEFT(K2215,4)="LVAX",LEFT(K2215,6)="MV15AX",LEFT(K2215,4)="CTAX",LEFT(K2215,2)="W|"),2*N2215*O2215,0)</f>
        <v/>
      </c>
      <c r="Z2215" s="12" t="inlineStr">
        <is>
          <t>VD 1.6 %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473</v>
      </c>
      <c r="U2216" s="16" t="n">
        <v>72</v>
      </c>
      <c r="V2216" s="16">
        <f>ROUNDUP((T2216+U2216+2*'Read Me'!$B$13)*(1+'Read Me'!$B$12),-1)</f>
        <v/>
      </c>
      <c r="W2216" s="16">
        <f>V2216*N2216*O2216</f>
        <v/>
      </c>
      <c r="X2216" s="12">
        <f>IF(LEFT(I2216,2)="MV",2*N2216*IF(L2216="1/C",O2216,1),0)</f>
        <v/>
      </c>
      <c r="Y2216" s="12">
        <f>IF(OR(LEFT(K2216,4)="LVAX",LEFT(K2216,6)="MV15AX",LEFT(K2216,4)="CTAX",LEFT(K2216,2)="W|"),2*N2216*O2216,0)</f>
        <v/>
      </c>
      <c r="Z2216" s="12" t="inlineStr">
        <is>
          <t>VD 1.7 %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473</v>
      </c>
      <c r="U2217" s="16" t="n">
        <v>72</v>
      </c>
      <c r="V2217" s="16">
        <f>ROUNDUP((T2217+U2217+2*'Read Me'!$B$13)*(1+'Read Me'!$B$12),-1)</f>
        <v/>
      </c>
      <c r="W2217" s="16">
        <f>V2217*N2217*O2217</f>
        <v/>
      </c>
      <c r="X2217" s="12">
        <f>IF(LEFT(I2217,2)="MV",2*N2217*IF(L2217="1/C",O2217,1),0)</f>
        <v/>
      </c>
      <c r="Y2217" s="12">
        <f>IF(OR(LEFT(K2217,4)="LVAX",LEFT(K2217,6)="MV15AX",LEFT(K2217,4)="CTAX",LEFT(K2217,2)="W|"),2*N2217*O2217,0)</f>
        <v/>
      </c>
      <c r="Z2217" s="12" t="inlineStr">
        <is>
          <t>VD 1.7 %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441</v>
      </c>
      <c r="U2218" s="16" t="n">
        <v>72</v>
      </c>
      <c r="V2218" s="16">
        <f>ROUNDUP((T2218+U2218+2*'Read Me'!$B$13)*(1+'Read Me'!$B$12),-1)</f>
        <v/>
      </c>
      <c r="W2218" s="16">
        <f>V2218*N2218*O2218</f>
        <v/>
      </c>
      <c r="X2218" s="12">
        <f>IF(LEFT(I2218,2)="MV",2*N2218*IF(L2218="1/C",O2218,1),0)</f>
        <v/>
      </c>
      <c r="Y2218" s="12">
        <f>IF(OR(LEFT(K2218,4)="LVAX",LEFT(K2218,6)="MV15AX",LEFT(K2218,4)="CTAX",LEFT(K2218,2)="W|"),2*N2218*O2218,0)</f>
        <v/>
      </c>
      <c r="Z2218" s="12" t="inlineStr">
        <is>
          <t>VD 1.6 %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409</v>
      </c>
      <c r="U2219" s="16" t="n">
        <v>72</v>
      </c>
      <c r="V2219" s="16">
        <f>ROUNDUP((T2219+U2219+2*'Read Me'!$B$13)*(1+'Read Me'!$B$12),-1)</f>
        <v/>
      </c>
      <c r="W2219" s="16">
        <f>V2219*N2219*O2219</f>
        <v/>
      </c>
      <c r="X2219" s="12">
        <f>IF(LEFT(I2219,2)="MV",2*N2219*IF(L2219="1/C",O2219,1),0)</f>
        <v/>
      </c>
      <c r="Y2219" s="12">
        <f>IF(OR(LEFT(K2219,4)="LVAX",LEFT(K2219,6)="MV15AX",LEFT(K2219,4)="CTAX",LEFT(K2219,2)="W|"),2*N2219*O2219,0)</f>
        <v/>
      </c>
      <c r="Z2219" s="12" t="inlineStr">
        <is>
          <t>VD 1.5 %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377</v>
      </c>
      <c r="U2220" s="16" t="n">
        <v>72</v>
      </c>
      <c r="V2220" s="16">
        <f>ROUNDUP((T2220+U2220+2*'Read Me'!$B$13)*(1+'Read Me'!$B$12),-1)</f>
        <v/>
      </c>
      <c r="W2220" s="16">
        <f>V2220*N2220*O2220</f>
        <v/>
      </c>
      <c r="X2220" s="12">
        <f>IF(LEFT(I2220,2)="MV",2*N2220*IF(L2220="1/C",O2220,1),0)</f>
        <v/>
      </c>
      <c r="Y2220" s="12">
        <f>IF(OR(LEFT(K2220,4)="LVAX",LEFT(K2220,6)="MV15AX",LEFT(K2220,4)="CTAX",LEFT(K2220,2)="W|"),2*N2220*O2220,0)</f>
        <v/>
      </c>
      <c r="Z2220" s="12" t="inlineStr">
        <is>
          <t>VD 1.4 %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345</v>
      </c>
      <c r="U2221" s="16" t="n">
        <v>72</v>
      </c>
      <c r="V2221" s="16">
        <f>ROUNDUP((T2221+U2221+2*'Read Me'!$B$13)*(1+'Read Me'!$B$12),-1)</f>
        <v/>
      </c>
      <c r="W2221" s="16">
        <f>V2221*N2221*O2221</f>
        <v/>
      </c>
      <c r="X2221" s="12">
        <f>IF(LEFT(I2221,2)="MV",2*N2221*IF(L2221="1/C",O2221,1),0)</f>
        <v/>
      </c>
      <c r="Y2221" s="12">
        <f>IF(OR(LEFT(K2221,4)="LVAX",LEFT(K2221,6)="MV15AX",LEFT(K2221,4)="CTAX",LEFT(K2221,2)="W|"),2*N2221*O2221,0)</f>
        <v/>
      </c>
      <c r="Z2221" s="12" t="inlineStr">
        <is>
          <t>VD 1.3 %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345</v>
      </c>
      <c r="U2222" s="16" t="n">
        <v>72</v>
      </c>
      <c r="V2222" s="16">
        <f>ROUNDUP((T2222+U2222+2*'Read Me'!$B$13)*(1+'Read Me'!$B$12),-1)</f>
        <v/>
      </c>
      <c r="W2222" s="16">
        <f>V2222*N2222*O2222</f>
        <v/>
      </c>
      <c r="X2222" s="12">
        <f>IF(LEFT(I2222,2)="MV",2*N2222*IF(L2222="1/C",O2222,1),0)</f>
        <v/>
      </c>
      <c r="Y2222" s="12">
        <f>IF(OR(LEFT(K2222,4)="LVAX",LEFT(K2222,6)="MV15AX",LEFT(K2222,4)="CTAX",LEFT(K2222,2)="W|"),2*N2222*O2222,0)</f>
        <v/>
      </c>
      <c r="Z2222" s="12" t="inlineStr">
        <is>
          <t>VD 1.3 %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377</v>
      </c>
      <c r="U2223" s="16" t="n">
        <v>72</v>
      </c>
      <c r="V2223" s="16">
        <f>ROUNDUP((T2223+U2223+2*'Read Me'!$B$13)*(1+'Read Me'!$B$12),-1)</f>
        <v/>
      </c>
      <c r="W2223" s="16">
        <f>V2223*N2223*O2223</f>
        <v/>
      </c>
      <c r="X2223" s="12">
        <f>IF(LEFT(I2223,2)="MV",2*N2223*IF(L2223="1/C",O2223,1),0)</f>
        <v/>
      </c>
      <c r="Y2223" s="12">
        <f>IF(OR(LEFT(K2223,4)="LVAX",LEFT(K2223,6)="MV15AX",LEFT(K2223,4)="CTAX",LEFT(K2223,2)="W|"),2*N2223*O2223,0)</f>
        <v/>
      </c>
      <c r="Z2223" s="12" t="inlineStr">
        <is>
          <t>VD 1.4 %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409</v>
      </c>
      <c r="U2224" s="16" t="n">
        <v>72</v>
      </c>
      <c r="V2224" s="16">
        <f>ROUNDUP((T2224+U2224+2*'Read Me'!$B$13)*(1+'Read Me'!$B$12),-1)</f>
        <v/>
      </c>
      <c r="W2224" s="16">
        <f>V2224*N2224*O2224</f>
        <v/>
      </c>
      <c r="X2224" s="12">
        <f>IF(LEFT(I2224,2)="MV",2*N2224*IF(L2224="1/C",O2224,1),0)</f>
        <v/>
      </c>
      <c r="Y2224" s="12">
        <f>IF(OR(LEFT(K2224,4)="LVAX",LEFT(K2224,6)="MV15AX",LEFT(K2224,4)="CTAX",LEFT(K2224,2)="W|"),2*N2224*O2224,0)</f>
        <v/>
      </c>
      <c r="Z2224" s="12" t="inlineStr">
        <is>
          <t>VD 1.5 %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441</v>
      </c>
      <c r="U2225" s="16" t="n">
        <v>72</v>
      </c>
      <c r="V2225" s="16">
        <f>ROUNDUP((T2225+U2225+2*'Read Me'!$B$13)*(1+'Read Me'!$B$12),-1)</f>
        <v/>
      </c>
      <c r="W2225" s="16">
        <f>V2225*N2225*O2225</f>
        <v/>
      </c>
      <c r="X2225" s="12">
        <f>IF(LEFT(I2225,2)="MV",2*N2225*IF(L2225="1/C",O2225,1),0)</f>
        <v/>
      </c>
      <c r="Y2225" s="12">
        <f>IF(OR(LEFT(K2225,4)="LVAX",LEFT(K2225,6)="MV15AX",LEFT(K2225,4)="CTAX",LEFT(K2225,2)="W|"),2*N2225*O2225,0)</f>
        <v/>
      </c>
      <c r="Z2225" s="12" t="inlineStr">
        <is>
          <t>VD 1.6 %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473</v>
      </c>
      <c r="U2226" s="16" t="n">
        <v>72</v>
      </c>
      <c r="V2226" s="16">
        <f>ROUNDUP((T2226+U2226+2*'Read Me'!$B$13)*(1+'Read Me'!$B$12),-1)</f>
        <v/>
      </c>
      <c r="W2226" s="16">
        <f>V2226*N2226*O2226</f>
        <v/>
      </c>
      <c r="X2226" s="12">
        <f>IF(LEFT(I2226,2)="MV",2*N2226*IF(L2226="1/C",O2226,1),0)</f>
        <v/>
      </c>
      <c r="Y2226" s="12">
        <f>IF(OR(LEFT(K2226,4)="LVAX",LEFT(K2226,6)="MV15AX",LEFT(K2226,4)="CTAX",LEFT(K2226,2)="W|"),2*N2226*O2226,0)</f>
        <v/>
      </c>
      <c r="Z2226" s="12" t="inlineStr">
        <is>
          <t>VD 1.7 %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523</v>
      </c>
      <c r="U2227" s="16" t="n">
        <v>72</v>
      </c>
      <c r="V2227" s="16">
        <f>ROUNDUP((T2227+U2227+2*'Read Me'!$B$13)*(1+'Read Me'!$B$12),-1)</f>
        <v/>
      </c>
      <c r="W2227" s="16">
        <f>V2227*N2227*O2227</f>
        <v/>
      </c>
      <c r="X2227" s="12">
        <f>IF(LEFT(I2227,2)="MV",2*N2227*IF(L2227="1/C",O2227,1),0)</f>
        <v/>
      </c>
      <c r="Y2227" s="12">
        <f>IF(OR(LEFT(K2227,4)="LVAX",LEFT(K2227,6)="MV15AX",LEFT(K2227,4)="CTAX",LEFT(K2227,2)="W|"),2*N2227*O2227,0)</f>
        <v/>
      </c>
      <c r="Z2227" s="12" t="inlineStr">
        <is>
          <t>VD 1.8 %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491</v>
      </c>
      <c r="U2228" s="16" t="n">
        <v>72</v>
      </c>
      <c r="V2228" s="16">
        <f>ROUNDUP((T2228+U2228+2*'Read Me'!$B$13)*(1+'Read Me'!$B$12),-1)</f>
        <v/>
      </c>
      <c r="W2228" s="16">
        <f>V2228*N2228*O2228</f>
        <v/>
      </c>
      <c r="X2228" s="12">
        <f>IF(LEFT(I2228,2)="MV",2*N2228*IF(L2228="1/C",O2228,1),0)</f>
        <v/>
      </c>
      <c r="Y2228" s="12">
        <f>IF(OR(LEFT(K2228,4)="LVAX",LEFT(K2228,6)="MV15AX",LEFT(K2228,4)="CTAX",LEFT(K2228,2)="W|"),2*N2228*O2228,0)</f>
        <v/>
      </c>
      <c r="Z2228" s="12" t="inlineStr">
        <is>
          <t>VD 1.7 %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459</v>
      </c>
      <c r="U2229" s="16" t="n">
        <v>72</v>
      </c>
      <c r="V2229" s="16">
        <f>ROUNDUP((T2229+U2229+2*'Read Me'!$B$13)*(1+'Read Me'!$B$12),-1)</f>
        <v/>
      </c>
      <c r="W2229" s="16">
        <f>V2229*N2229*O2229</f>
        <v/>
      </c>
      <c r="X2229" s="12">
        <f>IF(LEFT(I2229,2)="MV",2*N2229*IF(L2229="1/C",O2229,1),0)</f>
        <v/>
      </c>
      <c r="Y2229" s="12">
        <f>IF(OR(LEFT(K2229,4)="LVAX",LEFT(K2229,6)="MV15AX",LEFT(K2229,4)="CTAX",LEFT(K2229,2)="W|"),2*N2229*O2229,0)</f>
        <v/>
      </c>
      <c r="Z2229" s="12" t="inlineStr">
        <is>
          <t>VD 1.6 %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427</v>
      </c>
      <c r="U2230" s="16" t="n">
        <v>72</v>
      </c>
      <c r="V2230" s="16">
        <f>ROUNDUP((T2230+U2230+2*'Read Me'!$B$13)*(1+'Read Me'!$B$12),-1)</f>
        <v/>
      </c>
      <c r="W2230" s="16">
        <f>V2230*N2230*O2230</f>
        <v/>
      </c>
      <c r="X2230" s="12">
        <f>IF(LEFT(I2230,2)="MV",2*N2230*IF(L2230="1/C",O2230,1),0)</f>
        <v/>
      </c>
      <c r="Y2230" s="12">
        <f>IF(OR(LEFT(K2230,4)="LVAX",LEFT(K2230,6)="MV15AX",LEFT(K2230,4)="CTAX",LEFT(K2230,2)="W|"),2*N2230*O2230,0)</f>
        <v/>
      </c>
      <c r="Z2230" s="12" t="inlineStr">
        <is>
          <t>VD 1.5 %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395</v>
      </c>
      <c r="U2231" s="16" t="n">
        <v>72</v>
      </c>
      <c r="V2231" s="16">
        <f>ROUNDUP((T2231+U2231+2*'Read Me'!$B$13)*(1+'Read Me'!$B$12),-1)</f>
        <v/>
      </c>
      <c r="W2231" s="16">
        <f>V2231*N2231*O2231</f>
        <v/>
      </c>
      <c r="X2231" s="12">
        <f>IF(LEFT(I2231,2)="MV",2*N2231*IF(L2231="1/C",O2231,1),0)</f>
        <v/>
      </c>
      <c r="Y2231" s="12">
        <f>IF(OR(LEFT(K2231,4)="LVAX",LEFT(K2231,6)="MV15AX",LEFT(K2231,4)="CTAX",LEFT(K2231,2)="W|"),2*N2231*O2231,0)</f>
        <v/>
      </c>
      <c r="Z2231" s="12" t="inlineStr">
        <is>
          <t>VD 1.4 %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395</v>
      </c>
      <c r="U2232" s="16" t="n">
        <v>72</v>
      </c>
      <c r="V2232" s="16">
        <f>ROUNDUP((T2232+U2232+2*'Read Me'!$B$13)*(1+'Read Me'!$B$12),-1)</f>
        <v/>
      </c>
      <c r="W2232" s="16">
        <f>V2232*N2232*O2232</f>
        <v/>
      </c>
      <c r="X2232" s="12">
        <f>IF(LEFT(I2232,2)="MV",2*N2232*IF(L2232="1/C",O2232,1),0)</f>
        <v/>
      </c>
      <c r="Y2232" s="12">
        <f>IF(OR(LEFT(K2232,4)="LVAX",LEFT(K2232,6)="MV15AX",LEFT(K2232,4)="CTAX",LEFT(K2232,2)="W|"),2*N2232*O2232,0)</f>
        <v/>
      </c>
      <c r="Z2232" s="12" t="inlineStr">
        <is>
          <t>VD 1.4 %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427</v>
      </c>
      <c r="U2233" s="16" t="n">
        <v>72</v>
      </c>
      <c r="V2233" s="16">
        <f>ROUNDUP((T2233+U2233+2*'Read Me'!$B$13)*(1+'Read Me'!$B$12),-1)</f>
        <v/>
      </c>
      <c r="W2233" s="16">
        <f>V2233*N2233*O2233</f>
        <v/>
      </c>
      <c r="X2233" s="12">
        <f>IF(LEFT(I2233,2)="MV",2*N2233*IF(L2233="1/C",O2233,1),0)</f>
        <v/>
      </c>
      <c r="Y2233" s="12">
        <f>IF(OR(LEFT(K2233,4)="LVAX",LEFT(K2233,6)="MV15AX",LEFT(K2233,4)="CTAX",LEFT(K2233,2)="W|"),2*N2233*O2233,0)</f>
        <v/>
      </c>
      <c r="Z2233" s="12" t="inlineStr">
        <is>
          <t>VD 1.5 %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459</v>
      </c>
      <c r="U2234" s="16" t="n">
        <v>72</v>
      </c>
      <c r="V2234" s="16">
        <f>ROUNDUP((T2234+U2234+2*'Read Me'!$B$13)*(1+'Read Me'!$B$12),-1)</f>
        <v/>
      </c>
      <c r="W2234" s="16">
        <f>V2234*N2234*O2234</f>
        <v/>
      </c>
      <c r="X2234" s="12">
        <f>IF(LEFT(I2234,2)="MV",2*N2234*IF(L2234="1/C",O2234,1),0)</f>
        <v/>
      </c>
      <c r="Y2234" s="12">
        <f>IF(OR(LEFT(K2234,4)="LVAX",LEFT(K2234,6)="MV15AX",LEFT(K2234,4)="CTAX",LEFT(K2234,2)="W|"),2*N2234*O2234,0)</f>
        <v/>
      </c>
      <c r="Z2234" s="12" t="inlineStr">
        <is>
          <t>VD 1.6 %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491</v>
      </c>
      <c r="U2235" s="16" t="n">
        <v>72</v>
      </c>
      <c r="V2235" s="16">
        <f>ROUNDUP((T2235+U2235+2*'Read Me'!$B$13)*(1+'Read Me'!$B$12),-1)</f>
        <v/>
      </c>
      <c r="W2235" s="16">
        <f>V2235*N2235*O2235</f>
        <v/>
      </c>
      <c r="X2235" s="12">
        <f>IF(LEFT(I2235,2)="MV",2*N2235*IF(L2235="1/C",O2235,1),0)</f>
        <v/>
      </c>
      <c r="Y2235" s="12">
        <f>IF(OR(LEFT(K2235,4)="LVAX",LEFT(K2235,6)="MV15AX",LEFT(K2235,4)="CTAX",LEFT(K2235,2)="W|"),2*N2235*O2235,0)</f>
        <v/>
      </c>
      <c r="Z2235" s="12" t="inlineStr">
        <is>
          <t>VD 1.7 %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523</v>
      </c>
      <c r="U2236" s="16" t="n">
        <v>72</v>
      </c>
      <c r="V2236" s="16">
        <f>ROUNDUP((T2236+U2236+2*'Read Me'!$B$13)*(1+'Read Me'!$B$12),-1)</f>
        <v/>
      </c>
      <c r="W2236" s="16">
        <f>V2236*N2236*O2236</f>
        <v/>
      </c>
      <c r="X2236" s="12">
        <f>IF(LEFT(I2236,2)="MV",2*N2236*IF(L2236="1/C",O2236,1),0)</f>
        <v/>
      </c>
      <c r="Y2236" s="12">
        <f>IF(OR(LEFT(K2236,4)="LVAX",LEFT(K2236,6)="MV15AX",LEFT(K2236,4)="CTAX",LEFT(K2236,2)="W|"),2*N2236*O2236,0)</f>
        <v/>
      </c>
      <c r="Z2236" s="12" t="inlineStr">
        <is>
          <t>VD 1.8 %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573</v>
      </c>
      <c r="U2237" s="16" t="n">
        <v>72</v>
      </c>
      <c r="V2237" s="16">
        <f>ROUNDUP((T2237+U2237+2*'Read Me'!$B$13)*(1+'Read Me'!$B$12),-1)</f>
        <v/>
      </c>
      <c r="W2237" s="16">
        <f>V2237*N2237*O2237</f>
        <v/>
      </c>
      <c r="X2237" s="12">
        <f>IF(LEFT(I2237,2)="MV",2*N2237*IF(L2237="1/C",O2237,1),0)</f>
        <v/>
      </c>
      <c r="Y2237" s="12">
        <f>IF(OR(LEFT(K2237,4)="LVAX",LEFT(K2237,6)="MV15AX",LEFT(K2237,4)="CTAX",LEFT(K2237,2)="W|"),2*N2237*O2237,0)</f>
        <v/>
      </c>
      <c r="Z2237" s="12" t="inlineStr">
        <is>
          <t>VD 2.0 %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541</v>
      </c>
      <c r="U2238" s="16" t="n">
        <v>72</v>
      </c>
      <c r="V2238" s="16">
        <f>ROUNDUP((T2238+U2238+2*'Read Me'!$B$13)*(1+'Read Me'!$B$12),-1)</f>
        <v/>
      </c>
      <c r="W2238" s="16">
        <f>V2238*N2238*O2238</f>
        <v/>
      </c>
      <c r="X2238" s="12">
        <f>IF(LEFT(I2238,2)="MV",2*N2238*IF(L2238="1/C",O2238,1),0)</f>
        <v/>
      </c>
      <c r="Y2238" s="12">
        <f>IF(OR(LEFT(K2238,4)="LVAX",LEFT(K2238,6)="MV15AX",LEFT(K2238,4)="CTAX",LEFT(K2238,2)="W|"),2*N2238*O2238,0)</f>
        <v/>
      </c>
      <c r="Z2238" s="12" t="inlineStr">
        <is>
          <t>VD 1.9 %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509</v>
      </c>
      <c r="U2239" s="16" t="n">
        <v>72</v>
      </c>
      <c r="V2239" s="16">
        <f>ROUNDUP((T2239+U2239+2*'Read Me'!$B$13)*(1+'Read Me'!$B$12),-1)</f>
        <v/>
      </c>
      <c r="W2239" s="16">
        <f>V2239*N2239*O2239</f>
        <v/>
      </c>
      <c r="X2239" s="12">
        <f>IF(LEFT(I2239,2)="MV",2*N2239*IF(L2239="1/C",O2239,1),0)</f>
        <v/>
      </c>
      <c r="Y2239" s="12">
        <f>IF(OR(LEFT(K2239,4)="LVAX",LEFT(K2239,6)="MV15AX",LEFT(K2239,4)="CTAX",LEFT(K2239,2)="W|"),2*N2239*O2239,0)</f>
        <v/>
      </c>
      <c r="Z2239" s="12" t="inlineStr">
        <is>
          <t>VD 1.8 %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477</v>
      </c>
      <c r="U2240" s="16" t="n">
        <v>72</v>
      </c>
      <c r="V2240" s="16">
        <f>ROUNDUP((T2240+U2240+2*'Read Me'!$B$13)*(1+'Read Me'!$B$12),-1)</f>
        <v/>
      </c>
      <c r="W2240" s="16">
        <f>V2240*N2240*O2240</f>
        <v/>
      </c>
      <c r="X2240" s="12">
        <f>IF(LEFT(I2240,2)="MV",2*N2240*IF(L2240="1/C",O2240,1),0)</f>
        <v/>
      </c>
      <c r="Y2240" s="12">
        <f>IF(OR(LEFT(K2240,4)="LVAX",LEFT(K2240,6)="MV15AX",LEFT(K2240,4)="CTAX",LEFT(K2240,2)="W|"),2*N2240*O2240,0)</f>
        <v/>
      </c>
      <c r="Z2240" s="12" t="inlineStr">
        <is>
          <t>VD 1.7 %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445</v>
      </c>
      <c r="U2241" s="16" t="n">
        <v>72</v>
      </c>
      <c r="V2241" s="16">
        <f>ROUNDUP((T2241+U2241+2*'Read Me'!$B$13)*(1+'Read Me'!$B$12),-1)</f>
        <v/>
      </c>
      <c r="W2241" s="16">
        <f>V2241*N2241*O2241</f>
        <v/>
      </c>
      <c r="X2241" s="12">
        <f>IF(LEFT(I2241,2)="MV",2*N2241*IF(L2241="1/C",O2241,1),0)</f>
        <v/>
      </c>
      <c r="Y2241" s="12">
        <f>IF(OR(LEFT(K2241,4)="LVAX",LEFT(K2241,6)="MV15AX",LEFT(K2241,4)="CTAX",LEFT(K2241,2)="W|"),2*N2241*O2241,0)</f>
        <v/>
      </c>
      <c r="Z2241" s="12" t="inlineStr">
        <is>
          <t>VD 1.6 %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445</v>
      </c>
      <c r="U2242" s="16" t="n">
        <v>72</v>
      </c>
      <c r="V2242" s="16">
        <f>ROUNDUP((T2242+U2242+2*'Read Me'!$B$13)*(1+'Read Me'!$B$12),-1)</f>
        <v/>
      </c>
      <c r="W2242" s="16">
        <f>V2242*N2242*O2242</f>
        <v/>
      </c>
      <c r="X2242" s="12">
        <f>IF(LEFT(I2242,2)="MV",2*N2242*IF(L2242="1/C",O2242,1),0)</f>
        <v/>
      </c>
      <c r="Y2242" s="12">
        <f>IF(OR(LEFT(K2242,4)="LVAX",LEFT(K2242,6)="MV15AX",LEFT(K2242,4)="CTAX",LEFT(K2242,2)="W|"),2*N2242*O2242,0)</f>
        <v/>
      </c>
      <c r="Z2242" s="12" t="inlineStr">
        <is>
          <t>VD 1.6 %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477</v>
      </c>
      <c r="U2243" s="16" t="n">
        <v>72</v>
      </c>
      <c r="V2243" s="16">
        <f>ROUNDUP((T2243+U2243+2*'Read Me'!$B$13)*(1+'Read Me'!$B$12),-1)</f>
        <v/>
      </c>
      <c r="W2243" s="16">
        <f>V2243*N2243*O2243</f>
        <v/>
      </c>
      <c r="X2243" s="12">
        <f>IF(LEFT(I2243,2)="MV",2*N2243*IF(L2243="1/C",O2243,1),0)</f>
        <v/>
      </c>
      <c r="Y2243" s="12">
        <f>IF(OR(LEFT(K2243,4)="LVAX",LEFT(K2243,6)="MV15AX",LEFT(K2243,4)="CTAX",LEFT(K2243,2)="W|"),2*N2243*O2243,0)</f>
        <v/>
      </c>
      <c r="Z2243" s="12" t="inlineStr">
        <is>
          <t>VD 1.7 %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509</v>
      </c>
      <c r="U2244" s="16" t="n">
        <v>72</v>
      </c>
      <c r="V2244" s="16">
        <f>ROUNDUP((T2244+U2244+2*'Read Me'!$B$13)*(1+'Read Me'!$B$12),-1)</f>
        <v/>
      </c>
      <c r="W2244" s="16">
        <f>V2244*N2244*O2244</f>
        <v/>
      </c>
      <c r="X2244" s="12">
        <f>IF(LEFT(I2244,2)="MV",2*N2244*IF(L2244="1/C",O2244,1),0)</f>
        <v/>
      </c>
      <c r="Y2244" s="12">
        <f>IF(OR(LEFT(K2244,4)="LVAX",LEFT(K2244,6)="MV15AX",LEFT(K2244,4)="CTAX",LEFT(K2244,2)="W|"),2*N2244*O2244,0)</f>
        <v/>
      </c>
      <c r="Z2244" s="12" t="inlineStr">
        <is>
          <t>VD 1.8 %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541</v>
      </c>
      <c r="U2245" s="16" t="n">
        <v>72</v>
      </c>
      <c r="V2245" s="16">
        <f>ROUNDUP((T2245+U2245+2*'Read Me'!$B$13)*(1+'Read Me'!$B$12),-1)</f>
        <v/>
      </c>
      <c r="W2245" s="16">
        <f>V2245*N2245*O2245</f>
        <v/>
      </c>
      <c r="X2245" s="12">
        <f>IF(LEFT(I2245,2)="MV",2*N2245*IF(L2245="1/C",O2245,1),0)</f>
        <v/>
      </c>
      <c r="Y2245" s="12">
        <f>IF(OR(LEFT(K2245,4)="LVAX",LEFT(K2245,6)="MV15AX",LEFT(K2245,4)="CTAX",LEFT(K2245,2)="W|"),2*N2245*O2245,0)</f>
        <v/>
      </c>
      <c r="Z2245" s="12" t="inlineStr">
        <is>
          <t>VD 1.9 %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573</v>
      </c>
      <c r="U2246" s="16" t="n">
        <v>72</v>
      </c>
      <c r="V2246" s="16">
        <f>ROUNDUP((T2246+U2246+2*'Read Me'!$B$13)*(1+'Read Me'!$B$12),-1)</f>
        <v/>
      </c>
      <c r="W2246" s="16">
        <f>V2246*N2246*O2246</f>
        <v/>
      </c>
      <c r="X2246" s="12">
        <f>IF(LEFT(I2246,2)="MV",2*N2246*IF(L2246="1/C",O2246,1),0)</f>
        <v/>
      </c>
      <c r="Y2246" s="12">
        <f>IF(OR(LEFT(K2246,4)="LVAX",LEFT(K2246,6)="MV15AX",LEFT(K2246,4)="CTAX",LEFT(K2246,2)="W|"),2*N2246*O2246,0)</f>
        <v/>
      </c>
      <c r="Z2246" s="12" t="inlineStr">
        <is>
          <t>VD 2.0 %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623</v>
      </c>
      <c r="U2247" s="16" t="n">
        <v>72</v>
      </c>
      <c r="V2247" s="16">
        <f>ROUNDUP((T2247+U2247+2*'Read Me'!$B$13)*(1+'Read Me'!$B$12),-1)</f>
        <v/>
      </c>
      <c r="W2247" s="16">
        <f>V2247*N2247*O2247</f>
        <v/>
      </c>
      <c r="X2247" s="12">
        <f>IF(LEFT(I2247,2)="MV",2*N2247*IF(L2247="1/C",O2247,1),0)</f>
        <v/>
      </c>
      <c r="Y2247" s="12">
        <f>IF(OR(LEFT(K2247,4)="LVAX",LEFT(K2247,6)="MV15AX",LEFT(K2247,4)="CTAX",LEFT(K2247,2)="W|"),2*N2247*O2247,0)</f>
        <v/>
      </c>
      <c r="Z2247" s="12" t="inlineStr">
        <is>
          <t>VD 2.1 %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591</v>
      </c>
      <c r="U2248" s="16" t="n">
        <v>72</v>
      </c>
      <c r="V2248" s="16">
        <f>ROUNDUP((T2248+U2248+2*'Read Me'!$B$13)*(1+'Read Me'!$B$12),-1)</f>
        <v/>
      </c>
      <c r="W2248" s="16">
        <f>V2248*N2248*O2248</f>
        <v/>
      </c>
      <c r="X2248" s="12">
        <f>IF(LEFT(I2248,2)="MV",2*N2248*IF(L2248="1/C",O2248,1),0)</f>
        <v/>
      </c>
      <c r="Y2248" s="12">
        <f>IF(OR(LEFT(K2248,4)="LVAX",LEFT(K2248,6)="MV15AX",LEFT(K2248,4)="CTAX",LEFT(K2248,2)="W|"),2*N2248*O2248,0)</f>
        <v/>
      </c>
      <c r="Z2248" s="12" t="inlineStr">
        <is>
          <t>VD 2.1 %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559</v>
      </c>
      <c r="U2249" s="16" t="n">
        <v>72</v>
      </c>
      <c r="V2249" s="16">
        <f>ROUNDUP((T2249+U2249+2*'Read Me'!$B$13)*(1+'Read Me'!$B$12),-1)</f>
        <v/>
      </c>
      <c r="W2249" s="16">
        <f>V2249*N2249*O2249</f>
        <v/>
      </c>
      <c r="X2249" s="12">
        <f>IF(LEFT(I2249,2)="MV",2*N2249*IF(L2249="1/C",O2249,1),0)</f>
        <v/>
      </c>
      <c r="Y2249" s="12">
        <f>IF(OR(LEFT(K2249,4)="LVAX",LEFT(K2249,6)="MV15AX",LEFT(K2249,4)="CTAX",LEFT(K2249,2)="W|"),2*N2249*O2249,0)</f>
        <v/>
      </c>
      <c r="Z2249" s="12" t="inlineStr">
        <is>
          <t>VD 2.0 %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527</v>
      </c>
      <c r="U2250" s="16" t="n">
        <v>72</v>
      </c>
      <c r="V2250" s="16">
        <f>ROUNDUP((T2250+U2250+2*'Read Me'!$B$13)*(1+'Read Me'!$B$12),-1)</f>
        <v/>
      </c>
      <c r="W2250" s="16">
        <f>V2250*N2250*O2250</f>
        <v/>
      </c>
      <c r="X2250" s="12">
        <f>IF(LEFT(I2250,2)="MV",2*N2250*IF(L2250="1/C",O2250,1),0)</f>
        <v/>
      </c>
      <c r="Y2250" s="12">
        <f>IF(OR(LEFT(K2250,4)="LVAX",LEFT(K2250,6)="MV15AX",LEFT(K2250,4)="CTAX",LEFT(K2250,2)="W|"),2*N2250*O2250,0)</f>
        <v/>
      </c>
      <c r="Z2250" s="12" t="inlineStr">
        <is>
          <t>VD 1.9 %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495</v>
      </c>
      <c r="U2251" s="16" t="n">
        <v>72</v>
      </c>
      <c r="V2251" s="16">
        <f>ROUNDUP((T2251+U2251+2*'Read Me'!$B$13)*(1+'Read Me'!$B$12),-1)</f>
        <v/>
      </c>
      <c r="W2251" s="16">
        <f>V2251*N2251*O2251</f>
        <v/>
      </c>
      <c r="X2251" s="12">
        <f>IF(LEFT(I2251,2)="MV",2*N2251*IF(L2251="1/C",O2251,1),0)</f>
        <v/>
      </c>
      <c r="Y2251" s="12">
        <f>IF(OR(LEFT(K2251,4)="LVAX",LEFT(K2251,6)="MV15AX",LEFT(K2251,4)="CTAX",LEFT(K2251,2)="W|"),2*N2251*O2251,0)</f>
        <v/>
      </c>
      <c r="Z2251" s="12" t="inlineStr">
        <is>
          <t>VD 1.8 %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495</v>
      </c>
      <c r="U2252" s="16" t="n">
        <v>72</v>
      </c>
      <c r="V2252" s="16">
        <f>ROUNDUP((T2252+U2252+2*'Read Me'!$B$13)*(1+'Read Me'!$B$12),-1)</f>
        <v/>
      </c>
      <c r="W2252" s="16">
        <f>V2252*N2252*O2252</f>
        <v/>
      </c>
      <c r="X2252" s="12">
        <f>IF(LEFT(I2252,2)="MV",2*N2252*IF(L2252="1/C",O2252,1),0)</f>
        <v/>
      </c>
      <c r="Y2252" s="12">
        <f>IF(OR(LEFT(K2252,4)="LVAX",LEFT(K2252,6)="MV15AX",LEFT(K2252,4)="CTAX",LEFT(K2252,2)="W|"),2*N2252*O2252,0)</f>
        <v/>
      </c>
      <c r="Z2252" s="12" t="inlineStr">
        <is>
          <t>VD 1.8 %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527</v>
      </c>
      <c r="U2253" s="16" t="n">
        <v>72</v>
      </c>
      <c r="V2253" s="16">
        <f>ROUNDUP((T2253+U2253+2*'Read Me'!$B$13)*(1+'Read Me'!$B$12),-1)</f>
        <v/>
      </c>
      <c r="W2253" s="16">
        <f>V2253*N2253*O2253</f>
        <v/>
      </c>
      <c r="X2253" s="12">
        <f>IF(LEFT(I2253,2)="MV",2*N2253*IF(L2253="1/C",O2253,1),0)</f>
        <v/>
      </c>
      <c r="Y2253" s="12">
        <f>IF(OR(LEFT(K2253,4)="LVAX",LEFT(K2253,6)="MV15AX",LEFT(K2253,4)="CTAX",LEFT(K2253,2)="W|"),2*N2253*O2253,0)</f>
        <v/>
      </c>
      <c r="Z2253" s="12" t="inlineStr">
        <is>
          <t>VD 1.9 %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559</v>
      </c>
      <c r="U2254" s="16" t="n">
        <v>72</v>
      </c>
      <c r="V2254" s="16">
        <f>ROUNDUP((T2254+U2254+2*'Read Me'!$B$13)*(1+'Read Me'!$B$12),-1)</f>
        <v/>
      </c>
      <c r="W2254" s="16">
        <f>V2254*N2254*O2254</f>
        <v/>
      </c>
      <c r="X2254" s="12">
        <f>IF(LEFT(I2254,2)="MV",2*N2254*IF(L2254="1/C",O2254,1),0)</f>
        <v/>
      </c>
      <c r="Y2254" s="12">
        <f>IF(OR(LEFT(K2254,4)="LVAX",LEFT(K2254,6)="MV15AX",LEFT(K2254,4)="CTAX",LEFT(K2254,2)="W|"),2*N2254*O2254,0)</f>
        <v/>
      </c>
      <c r="Z2254" s="12" t="inlineStr">
        <is>
          <t>VD 2.0 %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591</v>
      </c>
      <c r="U2255" s="16" t="n">
        <v>72</v>
      </c>
      <c r="V2255" s="16">
        <f>ROUNDUP((T2255+U2255+2*'Read Me'!$B$13)*(1+'Read Me'!$B$12),-1)</f>
        <v/>
      </c>
      <c r="W2255" s="16">
        <f>V2255*N2255*O2255</f>
        <v/>
      </c>
      <c r="X2255" s="12">
        <f>IF(LEFT(I2255,2)="MV",2*N2255*IF(L2255="1/C",O2255,1),0)</f>
        <v/>
      </c>
      <c r="Y2255" s="12">
        <f>IF(OR(LEFT(K2255,4)="LVAX",LEFT(K2255,6)="MV15AX",LEFT(K2255,4)="CTAX",LEFT(K2255,2)="W|"),2*N2255*O2255,0)</f>
        <v/>
      </c>
      <c r="Z2255" s="12" t="inlineStr">
        <is>
          <t>VD 2.1 %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623</v>
      </c>
      <c r="U2256" s="16" t="n">
        <v>72</v>
      </c>
      <c r="V2256" s="16">
        <f>ROUNDUP((T2256+U2256+2*'Read Me'!$B$13)*(1+'Read Me'!$B$12),-1)</f>
        <v/>
      </c>
      <c r="W2256" s="16">
        <f>V2256*N2256*O2256</f>
        <v/>
      </c>
      <c r="X2256" s="12">
        <f>IF(LEFT(I2256,2)="MV",2*N2256*IF(L2256="1/C",O2256,1),0)</f>
        <v/>
      </c>
      <c r="Y2256" s="12">
        <f>IF(OR(LEFT(K2256,4)="LVAX",LEFT(K2256,6)="MV15AX",LEFT(K2256,4)="CTAX",LEFT(K2256,2)="W|"),2*N2256*O2256,0)</f>
        <v/>
      </c>
      <c r="Z2256" s="12" t="inlineStr">
        <is>
          <t>VD 2.1 %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225</v>
      </c>
      <c r="U2257" s="16" t="n">
        <v>86</v>
      </c>
      <c r="V2257" s="16">
        <f>ROUNDUP((T2257+U2257+2*'Read Me'!$B$13)*(1+'Read Me'!$B$12),-1)</f>
        <v/>
      </c>
      <c r="W2257" s="16">
        <f>V2257*N2257*O2257</f>
        <v/>
      </c>
      <c r="X2257" s="12">
        <f>IF(LEFT(I2257,2)="MV",2*N2257*IF(L2257="1/C",O2257,1),0)</f>
        <v/>
      </c>
      <c r="Y2257" s="12">
        <f>IF(OR(LEFT(K2257,4)="LVAX",LEFT(K2257,6)="MV15AX",LEFT(K2257,4)="CTAX",LEFT(K2257,2)="W|"),2*N2257*O2257,0)</f>
        <v/>
      </c>
      <c r="Z2257" s="12" t="inlineStr">
        <is>
          <t>VD 0.5 %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225</v>
      </c>
      <c r="U2258" s="16" t="n">
        <v>86</v>
      </c>
      <c r="V2258" s="16">
        <f>ROUNDUP((T2258+U2258+2*'Read Me'!$B$13)*(1+'Read Me'!$B$12),-1)</f>
        <v/>
      </c>
      <c r="W2258" s="16">
        <f>V2258*N2258*O2258</f>
        <v/>
      </c>
      <c r="X2258" s="12">
        <f>IF(LEFT(I2258,2)="MV",2*N2258*IF(L2258="1/C",O2258,1),0)</f>
        <v/>
      </c>
      <c r="Y2258" s="12">
        <f>IF(OR(LEFT(K2258,4)="LVAX",LEFT(K2258,6)="MV15AX",LEFT(K2258,4)="CTAX",LEFT(K2258,2)="W|"),2*N2258*O2258,0)</f>
        <v/>
      </c>
      <c r="Z2258" s="12" t="inlineStr">
        <is>
          <t>VD 0.5 %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225</v>
      </c>
      <c r="U2259" s="16" t="n">
        <v>86</v>
      </c>
      <c r="V2259" s="16">
        <f>ROUNDUP((T2259+U2259+2*'Read Me'!$B$13)*(1+'Read Me'!$B$12),-1)</f>
        <v/>
      </c>
      <c r="W2259" s="16">
        <f>V2259*N2259*O2259</f>
        <v/>
      </c>
      <c r="X2259" s="12">
        <f>IF(LEFT(I2259,2)="MV",2*N2259*IF(L2259="1/C",O2259,1),0)</f>
        <v/>
      </c>
      <c r="Y2259" s="12">
        <f>IF(OR(LEFT(K2259,4)="LVAX",LEFT(K2259,6)="MV15AX",LEFT(K2259,4)="CTAX",LEFT(K2259,2)="W|"),2*N2259*O2259,0)</f>
        <v/>
      </c>
      <c r="Z2259" s="12" t="inlineStr">
        <is>
          <t>VD 0.5 %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225</v>
      </c>
      <c r="U2260" s="16" t="n">
        <v>86</v>
      </c>
      <c r="V2260" s="16">
        <f>ROUNDUP((T2260+U2260+2*'Read Me'!$B$13)*(1+'Read Me'!$B$12),-1)</f>
        <v/>
      </c>
      <c r="W2260" s="16">
        <f>V2260*N2260*O2260</f>
        <v/>
      </c>
      <c r="X2260" s="12">
        <f>IF(LEFT(I2260,2)="MV",2*N2260*IF(L2260="1/C",O2260,1),0)</f>
        <v/>
      </c>
      <c r="Y2260" s="12">
        <f>IF(OR(LEFT(K2260,4)="LVAX",LEFT(K2260,6)="MV15AX",LEFT(K2260,4)="CTAX",LEFT(K2260,2)="W|"),2*N2260*O2260,0)</f>
        <v/>
      </c>
      <c r="Z2260" s="12" t="inlineStr">
        <is>
          <t>VD 0.5 %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225</v>
      </c>
      <c r="U2261" s="16" t="n">
        <v>86</v>
      </c>
      <c r="V2261" s="16">
        <f>ROUNDUP((T2261+U2261+2*'Read Me'!$B$13)*(1+'Read Me'!$B$12),-1)</f>
        <v/>
      </c>
      <c r="W2261" s="16">
        <f>V2261*N2261*O2261</f>
        <v/>
      </c>
      <c r="X2261" s="12">
        <f>IF(LEFT(I2261,2)="MV",2*N2261*IF(L2261="1/C",O2261,1),0)</f>
        <v/>
      </c>
      <c r="Y2261" s="12">
        <f>IF(OR(LEFT(K2261,4)="LVAX",LEFT(K2261,6)="MV15AX",LEFT(K2261,4)="CTAX",LEFT(K2261,2)="W|"),2*N2261*O2261,0)</f>
        <v/>
      </c>
      <c r="Z2261" s="12" t="inlineStr">
        <is>
          <t>VD 0.5 %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225</v>
      </c>
      <c r="U2262" s="16" t="n">
        <v>86</v>
      </c>
      <c r="V2262" s="16">
        <f>ROUNDUP((T2262+U2262+2*'Read Me'!$B$13)*(1+'Read Me'!$B$12),-1)</f>
        <v/>
      </c>
      <c r="W2262" s="16">
        <f>V2262*N2262*O2262</f>
        <v/>
      </c>
      <c r="X2262" s="12">
        <f>IF(LEFT(I2262,2)="MV",2*N2262*IF(L2262="1/C",O2262,1),0)</f>
        <v/>
      </c>
      <c r="Y2262" s="12">
        <f>IF(OR(LEFT(K2262,4)="LVAX",LEFT(K2262,6)="MV15AX",LEFT(K2262,4)="CTAX",LEFT(K2262,2)="W|"),2*N2262*O2262,0)</f>
        <v/>
      </c>
      <c r="Z2262" s="12" t="inlineStr">
        <is>
          <t>VD 0.5 %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225</v>
      </c>
      <c r="U2263" s="16" t="n">
        <v>86</v>
      </c>
      <c r="V2263" s="16">
        <f>ROUNDUP((T2263+U2263+2*'Read Me'!$B$13)*(1+'Read Me'!$B$12),-1)</f>
        <v/>
      </c>
      <c r="W2263" s="16">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225</v>
      </c>
      <c r="U2264" s="16" t="n">
        <v>86</v>
      </c>
      <c r="V2264" s="16">
        <f>ROUNDUP((T2264+U2264+2*'Read Me'!$B$13)*(1+'Read Me'!$B$12),-1)</f>
        <v/>
      </c>
      <c r="W2264" s="16">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225</v>
      </c>
      <c r="U2265" s="16" t="n">
        <v>86</v>
      </c>
      <c r="V2265" s="16">
        <f>ROUNDUP((T2265+U2265+2*'Read Me'!$B$13)*(1+'Read Me'!$B$12),-1)</f>
        <v/>
      </c>
      <c r="W2265" s="16">
        <f>V2265*N2265*O2265</f>
        <v/>
      </c>
      <c r="X2265" s="12">
        <f>IF(LEFT(I2265,2)="MV",2*N2265*IF(L2265="1/C",O2265,1),0)</f>
        <v/>
      </c>
      <c r="Y2265" s="12">
        <f>IF(OR(LEFT(K2265,4)="LVAX",LEFT(K2265,6)="MV15AX",LEFT(K2265,4)="CTAX",LEFT(K2265,2)="W|"),2*N2265*O2265,0)</f>
        <v/>
      </c>
      <c r="Z2265" s="12" t="inlineStr">
        <is>
          <t>VD 0.5 %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225</v>
      </c>
      <c r="U2266" s="16" t="n">
        <v>86</v>
      </c>
      <c r="V2266" s="16">
        <f>ROUNDUP((T2266+U2266+2*'Read Me'!$B$13)*(1+'Read Me'!$B$12),-1)</f>
        <v/>
      </c>
      <c r="W2266" s="16">
        <f>V2266*N2266*O2266</f>
        <v/>
      </c>
      <c r="X2266" s="12">
        <f>IF(LEFT(I2266,2)="MV",2*N2266*IF(L2266="1/C",O2266,1),0)</f>
        <v/>
      </c>
      <c r="Y2266" s="12">
        <f>IF(OR(LEFT(K2266,4)="LVAX",LEFT(K2266,6)="MV15AX",LEFT(K2266,4)="CTAX",LEFT(K2266,2)="W|"),2*N2266*O2266,0)</f>
        <v/>
      </c>
      <c r="Z2266" s="12" t="inlineStr">
        <is>
          <t>VD 0.5 %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225</v>
      </c>
      <c r="U2267" s="16" t="n">
        <v>86</v>
      </c>
      <c r="V2267" s="16">
        <f>ROUNDUP((T2267+U2267+2*'Read Me'!$B$13)*(1+'Read Me'!$B$12),-1)</f>
        <v/>
      </c>
      <c r="W2267" s="16">
        <f>V2267*N2267*O2267</f>
        <v/>
      </c>
      <c r="X2267" s="12">
        <f>IF(LEFT(I2267,2)="MV",2*N2267*IF(L2267="1/C",O2267,1),0)</f>
        <v/>
      </c>
      <c r="Y2267" s="12">
        <f>IF(OR(LEFT(K2267,4)="LVAX",LEFT(K2267,6)="MV15AX",LEFT(K2267,4)="CTAX",LEFT(K2267,2)="W|"),2*N2267*O2267,0)</f>
        <v/>
      </c>
      <c r="Z2267" s="12" t="inlineStr">
        <is>
          <t>VD 0.5 %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225</v>
      </c>
      <c r="U2268" s="16" t="n">
        <v>86</v>
      </c>
      <c r="V2268" s="16">
        <f>ROUNDUP((T2268+U2268+2*'Read Me'!$B$13)*(1+'Read Me'!$B$12),-1)</f>
        <v/>
      </c>
      <c r="W2268" s="16">
        <f>V2268*N2268*O2268</f>
        <v/>
      </c>
      <c r="X2268" s="12">
        <f>IF(LEFT(I2268,2)="MV",2*N2268*IF(L2268="1/C",O2268,1),0)</f>
        <v/>
      </c>
      <c r="Y2268" s="12">
        <f>IF(OR(LEFT(K2268,4)="LVAX",LEFT(K2268,6)="MV15AX",LEFT(K2268,4)="CTAX",LEFT(K2268,2)="W|"),2*N2268*O2268,0)</f>
        <v/>
      </c>
      <c r="Z2268" s="12" t="inlineStr">
        <is>
          <t>VD 0.5 %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225</v>
      </c>
      <c r="U2269" s="16" t="n">
        <v>86</v>
      </c>
      <c r="V2269" s="16">
        <f>ROUNDUP((T2269+U2269+2*'Read Me'!$B$13)*(1+'Read Me'!$B$12),-1)</f>
        <v/>
      </c>
      <c r="W2269" s="16">
        <f>V2269*N2269*O2269</f>
        <v/>
      </c>
      <c r="X2269" s="12">
        <f>IF(LEFT(I2269,2)="MV",2*N2269*IF(L2269="1/C",O2269,1),0)</f>
        <v/>
      </c>
      <c r="Y2269" s="12">
        <f>IF(OR(LEFT(K2269,4)="LVAX",LEFT(K2269,6)="MV15AX",LEFT(K2269,4)="CTAX",LEFT(K2269,2)="W|"),2*N2269*O2269,0)</f>
        <v/>
      </c>
      <c r="Z2269" s="12" t="inlineStr">
        <is>
          <t>VD 0.5 %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225</v>
      </c>
      <c r="U2270" s="16" t="n">
        <v>86</v>
      </c>
      <c r="V2270" s="16">
        <f>ROUNDUP((T2270+U2270+2*'Read Me'!$B$13)*(1+'Read Me'!$B$12),-1)</f>
        <v/>
      </c>
      <c r="W2270" s="16">
        <f>V2270*N2270*O2270</f>
        <v/>
      </c>
      <c r="X2270" s="12">
        <f>IF(LEFT(I2270,2)="MV",2*N2270*IF(L2270="1/C",O2270,1),0)</f>
        <v/>
      </c>
      <c r="Y2270" s="12">
        <f>IF(OR(LEFT(K2270,4)="LVAX",LEFT(K2270,6)="MV15AX",LEFT(K2270,4)="CTAX",LEFT(K2270,2)="W|"),2*N2270*O2270,0)</f>
        <v/>
      </c>
      <c r="Z2270" s="12" t="inlineStr">
        <is>
          <t>VD 0.5 %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225</v>
      </c>
      <c r="U2271" s="16" t="n">
        <v>86</v>
      </c>
      <c r="V2271" s="16">
        <f>ROUNDUP((T2271+U2271+2*'Read Me'!$B$13)*(1+'Read Me'!$B$12),-1)</f>
        <v/>
      </c>
      <c r="W2271" s="16">
        <f>V2271*N2271*O2271</f>
        <v/>
      </c>
      <c r="X2271" s="12">
        <f>IF(LEFT(I2271,2)="MV",2*N2271*IF(L2271="1/C",O2271,1),0)</f>
        <v/>
      </c>
      <c r="Y2271" s="12">
        <f>IF(OR(LEFT(K2271,4)="LVAX",LEFT(K2271,6)="MV15AX",LEFT(K2271,4)="CTAX",LEFT(K2271,2)="W|"),2*N2271*O2271,0)</f>
        <v/>
      </c>
      <c r="Z2271" s="12" t="inlineStr">
        <is>
          <t>VD 0.5 %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225</v>
      </c>
      <c r="U2272" s="16" t="n">
        <v>86</v>
      </c>
      <c r="V2272" s="16">
        <f>ROUNDUP((T2272+U2272+2*'Read Me'!$B$13)*(1+'Read Me'!$B$12),-1)</f>
        <v/>
      </c>
      <c r="W2272" s="16">
        <f>V2272*N2272*O2272</f>
        <v/>
      </c>
      <c r="X2272" s="12">
        <f>IF(LEFT(I2272,2)="MV",2*N2272*IF(L2272="1/C",O2272,1),0)</f>
        <v/>
      </c>
      <c r="Y2272" s="12">
        <f>IF(OR(LEFT(K2272,4)="LVAX",LEFT(K2272,6)="MV15AX",LEFT(K2272,4)="CTAX",LEFT(K2272,2)="W|"),2*N2272*O2272,0)</f>
        <v/>
      </c>
      <c r="Z2272" s="12" t="inlineStr">
        <is>
          <t>VD 0.5 %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225</v>
      </c>
      <c r="U2273" s="16" t="n">
        <v>86</v>
      </c>
      <c r="V2273" s="16">
        <f>ROUNDUP((T2273+U2273+2*'Read Me'!$B$13)*(1+'Read Me'!$B$12),-1)</f>
        <v/>
      </c>
      <c r="W2273" s="16">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225</v>
      </c>
      <c r="U2274" s="16" t="n">
        <v>86</v>
      </c>
      <c r="V2274" s="16">
        <f>ROUNDUP((T2274+U2274+2*'Read Me'!$B$13)*(1+'Read Me'!$B$12),-1)</f>
        <v/>
      </c>
      <c r="W2274" s="16">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225</v>
      </c>
      <c r="U2275" s="16" t="n">
        <v>86</v>
      </c>
      <c r="V2275" s="16">
        <f>ROUNDUP((T2275+U2275+2*'Read Me'!$B$13)*(1+'Read Me'!$B$12),-1)</f>
        <v/>
      </c>
      <c r="W2275" s="16">
        <f>V2275*N2275*O2275</f>
        <v/>
      </c>
      <c r="X2275" s="12">
        <f>IF(LEFT(I2275,2)="MV",2*N2275*IF(L2275="1/C",O2275,1),0)</f>
        <v/>
      </c>
      <c r="Y2275" s="12">
        <f>IF(OR(LEFT(K2275,4)="LVAX",LEFT(K2275,6)="MV15AX",LEFT(K2275,4)="CTAX",LEFT(K2275,2)="W|"),2*N2275*O2275,0)</f>
        <v/>
      </c>
      <c r="Z2275" s="12" t="inlineStr">
        <is>
          <t>VD 0.5 %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225</v>
      </c>
      <c r="U2276" s="16" t="n">
        <v>86</v>
      </c>
      <c r="V2276" s="16">
        <f>ROUNDUP((T2276+U2276+2*'Read Me'!$B$13)*(1+'Read Me'!$B$12),-1)</f>
        <v/>
      </c>
      <c r="W2276" s="16">
        <f>V2276*N2276*O2276</f>
        <v/>
      </c>
      <c r="X2276" s="12">
        <f>IF(LEFT(I2276,2)="MV",2*N2276*IF(L2276="1/C",O2276,1),0)</f>
        <v/>
      </c>
      <c r="Y2276" s="12">
        <f>IF(OR(LEFT(K2276,4)="LVAX",LEFT(K2276,6)="MV15AX",LEFT(K2276,4)="CTAX",LEFT(K2276,2)="W|"),2*N2276*O2276,0)</f>
        <v/>
      </c>
      <c r="Z2276" s="12" t="inlineStr">
        <is>
          <t>VD 0.5 %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225</v>
      </c>
      <c r="U2277" s="16" t="n">
        <v>86</v>
      </c>
      <c r="V2277" s="16">
        <f>ROUNDUP((T2277+U2277+2*'Read Me'!$B$13)*(1+'Read Me'!$B$12),-1)</f>
        <v/>
      </c>
      <c r="W2277" s="16">
        <f>V2277*N2277*O2277</f>
        <v/>
      </c>
      <c r="X2277" s="12">
        <f>IF(LEFT(I2277,2)="MV",2*N2277*IF(L2277="1/C",O2277,1),0)</f>
        <v/>
      </c>
      <c r="Y2277" s="12">
        <f>IF(OR(LEFT(K2277,4)="LVAX",LEFT(K2277,6)="MV15AX",LEFT(K2277,4)="CTAX",LEFT(K2277,2)="W|"),2*N2277*O2277,0)</f>
        <v/>
      </c>
      <c r="Z2277" s="12" t="inlineStr">
        <is>
          <t>VD 0.5 %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225</v>
      </c>
      <c r="U2278" s="16" t="n">
        <v>86</v>
      </c>
      <c r="V2278" s="16">
        <f>ROUNDUP((T2278+U2278+2*'Read Me'!$B$13)*(1+'Read Me'!$B$12),-1)</f>
        <v/>
      </c>
      <c r="W2278" s="16">
        <f>V2278*N2278*O2278</f>
        <v/>
      </c>
      <c r="X2278" s="12">
        <f>IF(LEFT(I2278,2)="MV",2*N2278*IF(L2278="1/C",O2278,1),0)</f>
        <v/>
      </c>
      <c r="Y2278" s="12">
        <f>IF(OR(LEFT(K2278,4)="LVAX",LEFT(K2278,6)="MV15AX",LEFT(K2278,4)="CTAX",LEFT(K2278,2)="W|"),2*N2278*O2278,0)</f>
        <v/>
      </c>
      <c r="Z2278" s="12" t="inlineStr">
        <is>
          <t>VD 0.5 %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225</v>
      </c>
      <c r="U2279" s="16" t="n">
        <v>86</v>
      </c>
      <c r="V2279" s="16">
        <f>ROUNDUP((T2279+U2279+2*'Read Me'!$B$13)*(1+'Read Me'!$B$12),-1)</f>
        <v/>
      </c>
      <c r="W2279" s="16">
        <f>V2279*N2279*O2279</f>
        <v/>
      </c>
      <c r="X2279" s="12">
        <f>IF(LEFT(I2279,2)="MV",2*N2279*IF(L2279="1/C",O2279,1),0)</f>
        <v/>
      </c>
      <c r="Y2279" s="12">
        <f>IF(OR(LEFT(K2279,4)="LVAX",LEFT(K2279,6)="MV15AX",LEFT(K2279,4)="CTAX",LEFT(K2279,2)="W|"),2*N2279*O2279,0)</f>
        <v/>
      </c>
      <c r="Z2279" s="12" t="inlineStr">
        <is>
          <t>VD 0.5 %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225</v>
      </c>
      <c r="U2280" s="16" t="n">
        <v>86</v>
      </c>
      <c r="V2280" s="16">
        <f>ROUNDUP((T2280+U2280+2*'Read Me'!$B$13)*(1+'Read Me'!$B$12),-1)</f>
        <v/>
      </c>
      <c r="W2280" s="16">
        <f>V2280*N2280*O2280</f>
        <v/>
      </c>
      <c r="X2280" s="12">
        <f>IF(LEFT(I2280,2)="MV",2*N2280*IF(L2280="1/C",O2280,1),0)</f>
        <v/>
      </c>
      <c r="Y2280" s="12">
        <f>IF(OR(LEFT(K2280,4)="LVAX",LEFT(K2280,6)="MV15AX",LEFT(K2280,4)="CTAX",LEFT(K2280,2)="W|"),2*N2280*O2280,0)</f>
        <v/>
      </c>
      <c r="Z2280" s="12" t="inlineStr">
        <is>
          <t>VD 0.5 %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225</v>
      </c>
      <c r="U2281" s="16" t="n">
        <v>86</v>
      </c>
      <c r="V2281" s="16">
        <f>ROUNDUP((T2281+U2281+2*'Read Me'!$B$13)*(1+'Read Me'!$B$12),-1)</f>
        <v/>
      </c>
      <c r="W2281" s="16">
        <f>V2281*N2281*O2281</f>
        <v/>
      </c>
      <c r="X2281" s="12">
        <f>IF(LEFT(I2281,2)="MV",2*N2281*IF(L2281="1/C",O2281,1),0)</f>
        <v/>
      </c>
      <c r="Y2281" s="12">
        <f>IF(OR(LEFT(K2281,4)="LVAX",LEFT(K2281,6)="MV15AX",LEFT(K2281,4)="CTAX",LEFT(K2281,2)="W|"),2*N2281*O2281,0)</f>
        <v/>
      </c>
      <c r="Z2281" s="12" t="inlineStr">
        <is>
          <t>VD 0.5 %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225</v>
      </c>
      <c r="U2282" s="16" t="n">
        <v>86</v>
      </c>
      <c r="V2282" s="16">
        <f>ROUNDUP((T2282+U2282+2*'Read Me'!$B$13)*(1+'Read Me'!$B$12),-1)</f>
        <v/>
      </c>
      <c r="W2282" s="16">
        <f>V2282*N2282*O2282</f>
        <v/>
      </c>
      <c r="X2282" s="12">
        <f>IF(LEFT(I2282,2)="MV",2*N2282*IF(L2282="1/C",O2282,1),0)</f>
        <v/>
      </c>
      <c r="Y2282" s="12">
        <f>IF(OR(LEFT(K2282,4)="LVAX",LEFT(K2282,6)="MV15AX",LEFT(K2282,4)="CTAX",LEFT(K2282,2)="W|"),2*N2282*O2282,0)</f>
        <v/>
      </c>
      <c r="Z2282" s="12" t="inlineStr">
        <is>
          <t>VD 0.5 %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225</v>
      </c>
      <c r="U2283" s="16" t="n">
        <v>86</v>
      </c>
      <c r="V2283" s="16">
        <f>ROUNDUP((T2283+U2283+2*'Read Me'!$B$13)*(1+'Read Me'!$B$12),-1)</f>
        <v/>
      </c>
      <c r="W2283" s="16">
        <f>V2283*N2283*O2283</f>
        <v/>
      </c>
      <c r="X2283" s="12">
        <f>IF(LEFT(I2283,2)="MV",2*N2283*IF(L2283="1/C",O2283,1),0)</f>
        <v/>
      </c>
      <c r="Y2283" s="12">
        <f>IF(OR(LEFT(K2283,4)="LVAX",LEFT(K2283,6)="MV15AX",LEFT(K2283,4)="CTAX",LEFT(K2283,2)="W|"),2*N2283*O2283,0)</f>
        <v/>
      </c>
      <c r="Z2283" s="12" t="inlineStr">
        <is>
          <t>VD 0.5 %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225</v>
      </c>
      <c r="U2284" s="16" t="n">
        <v>86</v>
      </c>
      <c r="V2284" s="16">
        <f>ROUNDUP((T2284+U2284+2*'Read Me'!$B$13)*(1+'Read Me'!$B$12),-1)</f>
        <v/>
      </c>
      <c r="W2284" s="16">
        <f>V2284*N2284*O2284</f>
        <v/>
      </c>
      <c r="X2284" s="12">
        <f>IF(LEFT(I2284,2)="MV",2*N2284*IF(L2284="1/C",O2284,1),0)</f>
        <v/>
      </c>
      <c r="Y2284" s="12">
        <f>IF(OR(LEFT(K2284,4)="LVAX",LEFT(K2284,6)="MV15AX",LEFT(K2284,4)="CTAX",LEFT(K2284,2)="W|"),2*N2284*O2284,0)</f>
        <v/>
      </c>
      <c r="Z2284" s="12" t="inlineStr">
        <is>
          <t>VD 0.5 %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225</v>
      </c>
      <c r="U2285" s="16" t="n">
        <v>86</v>
      </c>
      <c r="V2285" s="16">
        <f>ROUNDUP((T2285+U2285+2*'Read Me'!$B$13)*(1+'Read Me'!$B$12),-1)</f>
        <v/>
      </c>
      <c r="W2285" s="16">
        <f>V2285*N2285*O2285</f>
        <v/>
      </c>
      <c r="X2285" s="12">
        <f>IF(LEFT(I2285,2)="MV",2*N2285*IF(L2285="1/C",O2285,1),0)</f>
        <v/>
      </c>
      <c r="Y2285" s="12">
        <f>IF(OR(LEFT(K2285,4)="LVAX",LEFT(K2285,6)="MV15AX",LEFT(K2285,4)="CTAX",LEFT(K2285,2)="W|"),2*N2285*O2285,0)</f>
        <v/>
      </c>
      <c r="Z2285" s="12" t="inlineStr">
        <is>
          <t>VD 0.5 %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225</v>
      </c>
      <c r="U2286" s="16" t="n">
        <v>86</v>
      </c>
      <c r="V2286" s="16">
        <f>ROUNDUP((T2286+U2286+2*'Read Me'!$B$13)*(1+'Read Me'!$B$12),-1)</f>
        <v/>
      </c>
      <c r="W2286" s="16">
        <f>V2286*N2286*O2286</f>
        <v/>
      </c>
      <c r="X2286" s="12">
        <f>IF(LEFT(I2286,2)="MV",2*N2286*IF(L2286="1/C",O2286,1),0)</f>
        <v/>
      </c>
      <c r="Y2286" s="12">
        <f>IF(OR(LEFT(K2286,4)="LVAX",LEFT(K2286,6)="MV15AX",LEFT(K2286,4)="CTAX",LEFT(K2286,2)="W|"),2*N2286*O2286,0)</f>
        <v/>
      </c>
      <c r="Z2286" s="12" t="inlineStr">
        <is>
          <t>VD 0.5 %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525</v>
      </c>
      <c r="U2287" s="16" t="n">
        <v>86</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525</v>
      </c>
      <c r="U2288" s="16" t="n">
        <v>86</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525</v>
      </c>
      <c r="U2289" s="16" t="n">
        <v>86</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525</v>
      </c>
      <c r="U2290" s="16" t="n">
        <v>86</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525</v>
      </c>
      <c r="U2291" s="16" t="n">
        <v>86</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525</v>
      </c>
      <c r="U2292" s="16" t="n">
        <v>86</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525</v>
      </c>
      <c r="U2293" s="16" t="n">
        <v>86</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225</v>
      </c>
      <c r="U2294" s="16" t="n">
        <v>86</v>
      </c>
      <c r="V2294" s="16">
        <f>ROUNDUP((T2294+U2294+2*'Read Me'!$B$13)*(1+'Read Me'!$B$12),-1)</f>
        <v/>
      </c>
      <c r="W2294" s="16">
        <f>V2294*N2294*O2294</f>
        <v/>
      </c>
      <c r="X2294" s="12">
        <f>IF(LEFT(I2294,2)="MV",2*N2294*IF(L2294="1/C",O2294,1),0)</f>
        <v/>
      </c>
      <c r="Y2294" s="12">
        <f>IF(OR(LEFT(K2294,4)="LVAX",LEFT(K2294,6)="MV15AX",LEFT(K2294,4)="CTAX",LEFT(K2294,2)="W|"),2*N2294*O2294,0)</f>
        <v/>
      </c>
      <c r="Z2294" s="12" t="inlineStr">
        <is>
          <t>VD 1.8 %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225</v>
      </c>
      <c r="U2295" s="16" t="n">
        <v>86</v>
      </c>
      <c r="V2295" s="16">
        <f>ROUNDUP((T2295+U2295+2*'Read Me'!$B$13)*(1+'Read Me'!$B$12),-1)</f>
        <v/>
      </c>
      <c r="W2295" s="16">
        <f>V2295*N2295*O2295</f>
        <v/>
      </c>
      <c r="X2295" s="12">
        <f>IF(LEFT(I2295,2)="MV",2*N2295*IF(L2295="1/C",O2295,1),0)</f>
        <v/>
      </c>
      <c r="Y2295" s="12">
        <f>IF(OR(LEFT(K2295,4)="LVAX",LEFT(K2295,6)="MV15AX",LEFT(K2295,4)="CTAX",LEFT(K2295,2)="W|"),2*N2295*O2295,0)</f>
        <v/>
      </c>
      <c r="Z2295" s="12" t="inlineStr">
        <is>
          <t>VD 1.8 %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225</v>
      </c>
      <c r="U2296" s="16" t="n">
        <v>86</v>
      </c>
      <c r="V2296" s="16">
        <f>ROUNDUP((T2296+U2296+2*'Read Me'!$B$13)*(1+'Read Me'!$B$12),-1)</f>
        <v/>
      </c>
      <c r="W2296" s="16">
        <f>V2296*N2296*O2296</f>
        <v/>
      </c>
      <c r="X2296" s="12">
        <f>IF(LEFT(I2296,2)="MV",2*N2296*IF(L2296="1/C",O2296,1),0)</f>
        <v/>
      </c>
      <c r="Y2296" s="12">
        <f>IF(OR(LEFT(K2296,4)="LVAX",LEFT(K2296,6)="MV15AX",LEFT(K2296,4)="CTAX",LEFT(K2296,2)="W|"),2*N2296*O2296,0)</f>
        <v/>
      </c>
      <c r="Z2296" s="12" t="inlineStr">
        <is>
          <t>VD 1.8 %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225</v>
      </c>
      <c r="U2297" s="16" t="n">
        <v>86</v>
      </c>
      <c r="V2297" s="16">
        <f>ROUNDUP((T2297+U2297+2*'Read Me'!$B$13)*(1+'Read Me'!$B$12),-1)</f>
        <v/>
      </c>
      <c r="W2297" s="16">
        <f>V2297*N2297*O2297</f>
        <v/>
      </c>
      <c r="X2297" s="12">
        <f>IF(LEFT(I2297,2)="MV",2*N2297*IF(L2297="1/C",O2297,1),0)</f>
        <v/>
      </c>
      <c r="Y2297" s="12">
        <f>IF(OR(LEFT(K2297,4)="LVAX",LEFT(K2297,6)="MV15AX",LEFT(K2297,4)="CTAX",LEFT(K2297,2)="W|"),2*N2297*O2297,0)</f>
        <v/>
      </c>
      <c r="Z2297" s="12" t="inlineStr">
        <is>
          <t>VD 1.8 %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791</v>
      </c>
      <c r="U2298" s="16" t="n">
        <v>128</v>
      </c>
      <c r="V2298" s="16">
        <f>ROUNDUP((T2298+U2298+2*'Read Me'!$B$13)*(1+'Read Me'!$B$12),-1)</f>
        <v/>
      </c>
      <c r="W2298" s="16">
        <f>V2298*N2298*O2298</f>
        <v/>
      </c>
      <c r="X2298" s="12">
        <f>IF(LEFT(I2298,2)="MV",2*N2298*IF(L2298="1/C",O2298,1),0)</f>
        <v/>
      </c>
      <c r="Y2298" s="12">
        <f>IF(OR(LEFT(K2298,4)="LVAX",LEFT(K2298,6)="MV15AX",LEFT(K2298,4)="CTAX",LEFT(K2298,2)="W|"),2*N2298*O2298,0)</f>
        <v/>
      </c>
      <c r="Z2298" s="12" t="inlineStr">
        <is>
          <t>VD 2.2 %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791</v>
      </c>
      <c r="U2299" s="16" t="n">
        <v>128</v>
      </c>
      <c r="V2299" s="16">
        <f>ROUNDUP((T2299+U2299+2*'Read Me'!$B$13)*(1+'Read Me'!$B$12),-1)</f>
        <v/>
      </c>
      <c r="W2299" s="16">
        <f>V2299*N2299*O2299</f>
        <v/>
      </c>
      <c r="X2299" s="12">
        <f>IF(LEFT(I2299,2)="MV",2*N2299*IF(L2299="1/C",O2299,1),0)</f>
        <v/>
      </c>
      <c r="Y2299" s="12">
        <f>IF(OR(LEFT(K2299,4)="LVAX",LEFT(K2299,6)="MV15AX",LEFT(K2299,4)="CTAX",LEFT(K2299,2)="W|"),2*N2299*O2299,0)</f>
        <v/>
      </c>
      <c r="Z2299" s="12" t="inlineStr">
        <is>
          <t>VD 2.2 %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791</v>
      </c>
      <c r="U2300" s="16" t="n">
        <v>128</v>
      </c>
      <c r="V2300" s="16">
        <f>ROUNDUP((T2300+U2300+2*'Read Me'!$B$13)*(1+'Read Me'!$B$12),-1)</f>
        <v/>
      </c>
      <c r="W2300" s="16">
        <f>V2300*N2300*O2300</f>
        <v/>
      </c>
      <c r="X2300" s="12">
        <f>IF(LEFT(I2300,2)="MV",2*N2300*IF(L2300="1/C",O2300,1),0)</f>
        <v/>
      </c>
      <c r="Y2300" s="12">
        <f>IF(OR(LEFT(K2300,4)="LVAX",LEFT(K2300,6)="MV15AX",LEFT(K2300,4)="CTAX",LEFT(K2300,2)="W|"),2*N2300*O2300,0)</f>
        <v/>
      </c>
      <c r="Z2300" s="12" t="inlineStr">
        <is>
          <t>VD 2.2 %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791</v>
      </c>
      <c r="U2301" s="16" t="n">
        <v>128</v>
      </c>
      <c r="V2301" s="16">
        <f>ROUNDUP((T2301+U2301+2*'Read Me'!$B$13)*(1+'Read Me'!$B$12),-1)</f>
        <v/>
      </c>
      <c r="W2301" s="16">
        <f>V2301*N2301*O2301</f>
        <v/>
      </c>
      <c r="X2301" s="12">
        <f>IF(LEFT(I2301,2)="MV",2*N2301*IF(L2301="1/C",O2301,1),0)</f>
        <v/>
      </c>
      <c r="Y2301" s="12">
        <f>IF(OR(LEFT(K2301,4)="LVAX",LEFT(K2301,6)="MV15AX",LEFT(K2301,4)="CTAX",LEFT(K2301,2)="W|"),2*N2301*O2301,0)</f>
        <v/>
      </c>
      <c r="Z2301" s="12" t="inlineStr">
        <is>
          <t>VD 2.2 %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791</v>
      </c>
      <c r="U2302" s="16" t="n">
        <v>128</v>
      </c>
      <c r="V2302" s="16">
        <f>ROUNDUP((T2302+U2302+2*'Read Me'!$B$13)*(1+'Read Me'!$B$12),-1)</f>
        <v/>
      </c>
      <c r="W2302" s="16">
        <f>V2302*N2302*O2302</f>
        <v/>
      </c>
      <c r="X2302" s="12">
        <f>IF(LEFT(I2302,2)="MV",2*N2302*IF(L2302="1/C",O2302,1),0)</f>
        <v/>
      </c>
      <c r="Y2302" s="12">
        <f>IF(OR(LEFT(K2302,4)="LVAX",LEFT(K2302,6)="MV15AX",LEFT(K2302,4)="CTAX",LEFT(K2302,2)="W|"),2*N2302*O2302,0)</f>
        <v/>
      </c>
      <c r="Z2302" s="12" t="inlineStr">
        <is>
          <t>VD 2.2 %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791</v>
      </c>
      <c r="U2303" s="16" t="n">
        <v>128</v>
      </c>
      <c r="V2303" s="16">
        <f>ROUNDUP((T2303+U2303+2*'Read Me'!$B$13)*(1+'Read Me'!$B$12),-1)</f>
        <v/>
      </c>
      <c r="W2303" s="16">
        <f>V2303*N2303*O2303</f>
        <v/>
      </c>
      <c r="X2303" s="12">
        <f>IF(LEFT(I2303,2)="MV",2*N2303*IF(L2303="1/C",O2303,1),0)</f>
        <v/>
      </c>
      <c r="Y2303" s="12">
        <f>IF(OR(LEFT(K2303,4)="LVAX",LEFT(K2303,6)="MV15AX",LEFT(K2303,4)="CTAX",LEFT(K2303,2)="W|"),2*N2303*O2303,0)</f>
        <v/>
      </c>
      <c r="Z2303" s="12" t="inlineStr">
        <is>
          <t>VD 2.2 %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791</v>
      </c>
      <c r="U2304" s="16" t="n">
        <v>128</v>
      </c>
      <c r="V2304" s="16">
        <f>ROUNDUP((T2304+U2304+2*'Read Me'!$B$13)*(1+'Read Me'!$B$12),-1)</f>
        <v/>
      </c>
      <c r="W2304" s="16">
        <f>V2304*N2304*O2304</f>
        <v/>
      </c>
      <c r="X2304" s="12">
        <f>IF(LEFT(I2304,2)="MV",2*N2304*IF(L2304="1/C",O2304,1),0)</f>
        <v/>
      </c>
      <c r="Y2304" s="12">
        <f>IF(OR(LEFT(K2304,4)="LVAX",LEFT(K2304,6)="MV15AX",LEFT(K2304,4)="CTAX",LEFT(K2304,2)="W|"),2*N2304*O2304,0)</f>
        <v/>
      </c>
      <c r="Z2304" s="12" t="inlineStr">
        <is>
          <t>VD 2.2 %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791</v>
      </c>
      <c r="U2305" s="16" t="n">
        <v>128</v>
      </c>
      <c r="V2305" s="16">
        <f>ROUNDUP((T2305+U2305+2*'Read Me'!$B$13)*(1+'Read Me'!$B$12),-1)</f>
        <v/>
      </c>
      <c r="W2305" s="16">
        <f>V2305*N2305*O2305</f>
        <v/>
      </c>
      <c r="X2305" s="12">
        <f>IF(LEFT(I2305,2)="MV",2*N2305*IF(L2305="1/C",O2305,1),0)</f>
        <v/>
      </c>
      <c r="Y2305" s="12">
        <f>IF(OR(LEFT(K2305,4)="LVAX",LEFT(K2305,6)="MV15AX",LEFT(K2305,4)="CTAX",LEFT(K2305,2)="W|"),2*N2305*O2305,0)</f>
        <v/>
      </c>
      <c r="Z2305" s="12" t="inlineStr">
        <is>
          <t>VD 2.2 %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791</v>
      </c>
      <c r="U2306" s="16" t="n">
        <v>128</v>
      </c>
      <c r="V2306" s="16">
        <f>ROUNDUP((T2306+U2306+2*'Read Me'!$B$13)*(1+'Read Me'!$B$12),-1)</f>
        <v/>
      </c>
      <c r="W2306" s="16">
        <f>V2306*N2306*O2306</f>
        <v/>
      </c>
      <c r="X2306" s="12">
        <f>IF(LEFT(I2306,2)="MV",2*N2306*IF(L2306="1/C",O2306,1),0)</f>
        <v/>
      </c>
      <c r="Y2306" s="12">
        <f>IF(OR(LEFT(K2306,4)="LVAX",LEFT(K2306,6)="MV15AX",LEFT(K2306,4)="CTAX",LEFT(K2306,2)="W|"),2*N2306*O2306,0)</f>
        <v/>
      </c>
      <c r="Z2306" s="12" t="inlineStr">
        <is>
          <t>VD 2.2 %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791</v>
      </c>
      <c r="U2307" s="16" t="n">
        <v>128</v>
      </c>
      <c r="V2307" s="16">
        <f>ROUNDUP((T2307+U2307+2*'Read Me'!$B$13)*(1+'Read Me'!$B$12),-1)</f>
        <v/>
      </c>
      <c r="W2307" s="16">
        <f>V2307*N2307*O2307</f>
        <v/>
      </c>
      <c r="X2307" s="12">
        <f>IF(LEFT(I2307,2)="MV",2*N2307*IF(L2307="1/C",O2307,1),0)</f>
        <v/>
      </c>
      <c r="Y2307" s="12">
        <f>IF(OR(LEFT(K2307,4)="LVAX",LEFT(K2307,6)="MV15AX",LEFT(K2307,4)="CTAX",LEFT(K2307,2)="W|"),2*N2307*O2307,0)</f>
        <v/>
      </c>
      <c r="Z2307" s="12" t="inlineStr">
        <is>
          <t>VD 2.2 %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791</v>
      </c>
      <c r="U2308" s="16" t="n">
        <v>128</v>
      </c>
      <c r="V2308" s="16">
        <f>ROUNDUP((T2308+U2308+2*'Read Me'!$B$13)*(1+'Read Me'!$B$12),-1)</f>
        <v/>
      </c>
      <c r="W2308" s="16">
        <f>V2308*N2308*O2308</f>
        <v/>
      </c>
      <c r="X2308" s="12">
        <f>IF(LEFT(I2308,2)="MV",2*N2308*IF(L2308="1/C",O2308,1),0)</f>
        <v/>
      </c>
      <c r="Y2308" s="12">
        <f>IF(OR(LEFT(K2308,4)="LVAX",LEFT(K2308,6)="MV15AX",LEFT(K2308,4)="CTAX",LEFT(K2308,2)="W|"),2*N2308*O2308,0)</f>
        <v/>
      </c>
      <c r="Z2308" s="12" t="inlineStr">
        <is>
          <t>VD 2.2 %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791</v>
      </c>
      <c r="U2309" s="16" t="n">
        <v>128</v>
      </c>
      <c r="V2309" s="16">
        <f>ROUNDUP((T2309+U2309+2*'Read Me'!$B$13)*(1+'Read Me'!$B$12),-1)</f>
        <v/>
      </c>
      <c r="W2309" s="16">
        <f>V2309*N2309*O2309</f>
        <v/>
      </c>
      <c r="X2309" s="12">
        <f>IF(LEFT(I2309,2)="MV",2*N2309*IF(L2309="1/C",O2309,1),0)</f>
        <v/>
      </c>
      <c r="Y2309" s="12">
        <f>IF(OR(LEFT(K2309,4)="LVAX",LEFT(K2309,6)="MV15AX",LEFT(K2309,4)="CTAX",LEFT(K2309,2)="W|"),2*N2309*O2309,0)</f>
        <v/>
      </c>
      <c r="Z2309" s="12" t="inlineStr">
        <is>
          <t>VD 2.2 %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690</v>
      </c>
      <c r="U2310" s="16" t="n">
        <v>92</v>
      </c>
      <c r="V2310" s="16">
        <f>ROUNDUP((T2310+U2310+2*'Read Me'!$B$13)*(1+'Read Me'!$B$12),-1)</f>
        <v/>
      </c>
      <c r="W2310" s="16">
        <f>V2310*N2310*O2310</f>
        <v/>
      </c>
      <c r="X2310" s="12">
        <f>IF(LEFT(I2310,2)="MV",2*N2310*IF(L2310="1/C",O2310,1),0)</f>
        <v/>
      </c>
      <c r="Y2310" s="12">
        <f>IF(OR(LEFT(K2310,4)="LVAX",LEFT(K2310,6)="MV15AX",LEFT(K2310,4)="CTAX",LEFT(K2310,2)="W|"),2*N2310*O2310,0)</f>
        <v/>
      </c>
      <c r="Z2310" s="12" t="inlineStr">
        <is>
          <t>VD 2.4 %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690</v>
      </c>
      <c r="U2311" s="16" t="n">
        <v>92</v>
      </c>
      <c r="V2311" s="16">
        <f>ROUNDUP((T2311+U2311+2*'Read Me'!$B$13)*(1+'Read Me'!$B$12),-1)</f>
        <v/>
      </c>
      <c r="W2311" s="16">
        <f>V2311*N2311*O2311</f>
        <v/>
      </c>
      <c r="X2311" s="12">
        <f>IF(LEFT(I2311,2)="MV",2*N2311*IF(L2311="1/C",O2311,1),0)</f>
        <v/>
      </c>
      <c r="Y2311" s="12">
        <f>IF(OR(LEFT(K2311,4)="LVAX",LEFT(K2311,6)="MV15AX",LEFT(K2311,4)="CTAX",LEFT(K2311,2)="W|"),2*N2311*O2311,0)</f>
        <v/>
      </c>
      <c r="Z2311" s="12" t="inlineStr">
        <is>
          <t>VD 2.4 %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411</v>
      </c>
      <c r="U2312" s="16" t="n">
        <v>100</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91</v>
      </c>
      <c r="V2313" s="16">
        <f>ROUNDUP((T2313+U2313+2*'Read Me'!$B$13)*(1+'Read Me'!$B$12),-1)</f>
        <v/>
      </c>
      <c r="W2313" s="16">
        <f>V2313*N2313*O2313</f>
        <v/>
      </c>
      <c r="X2313" s="12">
        <f>IF(LEFT(I2313,2)="MV",2*N2313*IF(L2313="1/C",O2313,1),0)</f>
        <v/>
      </c>
      <c r="Y2313" s="12">
        <f>IF(OR(LEFT(K2313,4)="LVAX",LEFT(K2313,6)="MV15AX",LEFT(K2313,4)="CTAX",LEFT(K2313,2)="W|"),2*N2313*O2313,0)</f>
        <v/>
      </c>
      <c r="Z2313" s="12" t="inlineStr">
        <is>
          <t>VD 0.4 %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141</v>
      </c>
      <c r="U2314" s="16" t="n">
        <v>83</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141</v>
      </c>
      <c r="U2315" s="16" t="n">
        <v>83</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141</v>
      </c>
      <c r="U2316" s="16" t="n">
        <v>83</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141</v>
      </c>
      <c r="U2317" s="16" t="n">
        <v>83</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141</v>
      </c>
      <c r="U2318" s="16" t="n">
        <v>83</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141</v>
      </c>
      <c r="U2319" s="16" t="n">
        <v>83</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167</v>
      </c>
      <c r="U2320" s="16" t="n">
        <v>83</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167</v>
      </c>
      <c r="U2321" s="16" t="n">
        <v>83</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167</v>
      </c>
      <c r="U2322" s="16" t="n">
        <v>83</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167</v>
      </c>
      <c r="U2323" s="16" t="n">
        <v>83</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167</v>
      </c>
      <c r="U2324" s="16" t="n">
        <v>83</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167</v>
      </c>
      <c r="U2325" s="16" t="n">
        <v>83</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196</v>
      </c>
      <c r="U2326" s="16" t="n">
        <v>70</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196</v>
      </c>
      <c r="U2327" s="16" t="n">
        <v>70</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196</v>
      </c>
      <c r="U2328" s="16" t="n">
        <v>70</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196</v>
      </c>
      <c r="U2329" s="16" t="n">
        <v>70</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196</v>
      </c>
      <c r="U2330" s="16" t="n">
        <v>70</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196</v>
      </c>
      <c r="U2331" s="16" t="n">
        <v>70</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190</v>
      </c>
      <c r="U2332" s="16" t="n">
        <v>96</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190</v>
      </c>
      <c r="U2333" s="16" t="n">
        <v>96</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190</v>
      </c>
      <c r="U2334" s="16" t="n">
        <v>96</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190</v>
      </c>
      <c r="U2335" s="16" t="n">
        <v>96</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190</v>
      </c>
      <c r="U2336" s="16" t="n">
        <v>96</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190</v>
      </c>
      <c r="U2337" s="16" t="n">
        <v>96</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533</v>
      </c>
      <c r="U2338" s="16" t="n">
        <v>86</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533</v>
      </c>
      <c r="U2339" s="16" t="n">
        <v>86</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1242</v>
      </c>
      <c r="U2340" s="16" t="n">
        <v>85</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1288</v>
      </c>
      <c r="U2341" s="16" t="n">
        <v>98</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1418</v>
      </c>
      <c r="U2342" s="16" t="n">
        <v>40</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1291</v>
      </c>
      <c r="U2343" s="16" t="n">
        <v>98</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1274</v>
      </c>
      <c r="U2344" s="16" t="n">
        <v>160</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1274</v>
      </c>
      <c r="U2346" s="16" t="n">
        <v>160</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91</v>
      </c>
      <c r="U2348" s="16" t="n">
        <v>223</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91</v>
      </c>
      <c r="U2349" s="16" t="n">
        <v>223</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91</v>
      </c>
      <c r="U2350" s="16" t="n">
        <v>223</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91</v>
      </c>
      <c r="U2351" s="16" t="n">
        <v>223</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91</v>
      </c>
      <c r="U2352" s="16" t="n">
        <v>223</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91</v>
      </c>
      <c r="U2353" s="16" t="n">
        <v>223</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91</v>
      </c>
      <c r="U2354" s="16" t="n">
        <v>223</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Duct bank</t>
        </is>
      </c>
      <c r="T2355" s="16" t="n">
        <v>982</v>
      </c>
      <c r="U2355" s="16" t="n">
        <v>210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Duct bank</t>
        </is>
      </c>
      <c r="T2356" s="16" t="n">
        <v>982</v>
      </c>
      <c r="U2356" s="16" t="n">
        <v>210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Duct bank</t>
        </is>
      </c>
      <c r="T2357" s="16" t="n">
        <v>982</v>
      </c>
      <c r="U2357" s="16" t="n">
        <v>210</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Duct bank</t>
        </is>
      </c>
      <c r="T2358" s="16" t="n">
        <v>982</v>
      </c>
      <c r="U2358" s="16" t="n">
        <v>210</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Duct bank</t>
        </is>
      </c>
      <c r="T2359" s="16" t="n">
        <v>982</v>
      </c>
      <c r="U2359" s="16" t="n">
        <v>210</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Duct bank</t>
        </is>
      </c>
      <c r="T2360" s="16" t="n">
        <v>982</v>
      </c>
      <c r="U2360" s="16" t="n">
        <v>210</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Duct bank</t>
        </is>
      </c>
      <c r="T2361" s="16" t="n">
        <v>982</v>
      </c>
      <c r="U2361" s="16" t="n">
        <v>210</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Duct bank</t>
        </is>
      </c>
      <c r="T2362" s="16" t="n">
        <v>982</v>
      </c>
      <c r="U2362" s="16" t="n">
        <v>170</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Duct bank</t>
        </is>
      </c>
      <c r="T2363" s="16" t="n">
        <v>982</v>
      </c>
      <c r="U2363" s="16" t="n">
        <v>170</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Duct bank</t>
        </is>
      </c>
      <c r="T2364" s="16" t="n">
        <v>982</v>
      </c>
      <c r="U2364" s="16" t="n">
        <v>170</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Duct bank</t>
        </is>
      </c>
      <c r="T2365" s="16" t="n">
        <v>982</v>
      </c>
      <c r="U2365" s="16" t="n">
        <v>170</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Duct bank</t>
        </is>
      </c>
      <c r="T2366" s="16" t="n">
        <v>982</v>
      </c>
      <c r="U2366" s="16" t="n">
        <v>170</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Duct bank</t>
        </is>
      </c>
      <c r="T2367" s="16" t="n">
        <v>982</v>
      </c>
      <c r="U2367" s="16" t="n">
        <v>170</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Duct bank</t>
        </is>
      </c>
      <c r="T2368" s="16" t="n">
        <v>982</v>
      </c>
      <c r="U2368" s="16" t="n">
        <v>170</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Duct bank</t>
        </is>
      </c>
      <c r="T2369" s="16" t="n">
        <v>1185</v>
      </c>
      <c r="U2369" s="16" t="n">
        <v>247</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Duct bank</t>
        </is>
      </c>
      <c r="T2370" s="16" t="n">
        <v>1185</v>
      </c>
      <c r="U2370" s="16" t="n">
        <v>247</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Duct bank</t>
        </is>
      </c>
      <c r="T2371" s="16" t="n">
        <v>1185</v>
      </c>
      <c r="U2371" s="16" t="n">
        <v>247</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Duct bank</t>
        </is>
      </c>
      <c r="T2372" s="16" t="n">
        <v>1185</v>
      </c>
      <c r="U2372" s="16" t="n">
        <v>247</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Duct bank</t>
        </is>
      </c>
      <c r="T2373" s="16" t="n">
        <v>1185</v>
      </c>
      <c r="U2373" s="16" t="n">
        <v>247</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Duct bank</t>
        </is>
      </c>
      <c r="T2374" s="16" t="n">
        <v>1185</v>
      </c>
      <c r="U2374" s="16" t="n">
        <v>247</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Duct bank</t>
        </is>
      </c>
      <c r="T2375" s="16" t="n">
        <v>1185</v>
      </c>
      <c r="U2375" s="16" t="n">
        <v>247</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Duct bank</t>
        </is>
      </c>
      <c r="T2376" s="16" t="n">
        <v>1185</v>
      </c>
      <c r="U2376" s="16" t="n">
        <v>207</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Duct bank</t>
        </is>
      </c>
      <c r="T2377" s="16" t="n">
        <v>1185</v>
      </c>
      <c r="U2377" s="16" t="n">
        <v>207</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Duct bank</t>
        </is>
      </c>
      <c r="T2378" s="16" t="n">
        <v>1185</v>
      </c>
      <c r="U2378" s="16" t="n">
        <v>207</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Duct bank</t>
        </is>
      </c>
      <c r="T2379" s="16" t="n">
        <v>1185</v>
      </c>
      <c r="U2379" s="16" t="n">
        <v>207</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Duct bank</t>
        </is>
      </c>
      <c r="T2380" s="16" t="n">
        <v>1185</v>
      </c>
      <c r="U2380" s="16" t="n">
        <v>207</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Duct bank</t>
        </is>
      </c>
      <c r="T2381" s="16" t="n">
        <v>1185</v>
      </c>
      <c r="U2381" s="16" t="n">
        <v>207</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Duct bank</t>
        </is>
      </c>
      <c r="T2382" s="16" t="n">
        <v>1185</v>
      </c>
      <c r="U2382" s="16" t="n">
        <v>207</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Duct bank</t>
        </is>
      </c>
      <c r="T2383" s="16" t="n">
        <v>1185</v>
      </c>
      <c r="U2383" s="16" t="n">
        <v>167</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Duct bank</t>
        </is>
      </c>
      <c r="T2384" s="16" t="n">
        <v>1185</v>
      </c>
      <c r="U2384" s="16" t="n">
        <v>167</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Duct bank</t>
        </is>
      </c>
      <c r="T2385" s="16" t="n">
        <v>1185</v>
      </c>
      <c r="U2385" s="16" t="n">
        <v>167</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Duct bank</t>
        </is>
      </c>
      <c r="T2386" s="16" t="n">
        <v>1185</v>
      </c>
      <c r="U2386" s="16" t="n">
        <v>167</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Duct bank</t>
        </is>
      </c>
      <c r="T2387" s="16" t="n">
        <v>1185</v>
      </c>
      <c r="U2387" s="16" t="n">
        <v>167</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Duct bank</t>
        </is>
      </c>
      <c r="T2388" s="16" t="n">
        <v>1185</v>
      </c>
      <c r="U2388" s="16" t="n">
        <v>167</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Duct bank</t>
        </is>
      </c>
      <c r="T2389" s="16" t="n">
        <v>1185</v>
      </c>
      <c r="U2389" s="16" t="n">
        <v>167</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886</v>
      </c>
      <c r="U2390" s="16" t="n">
        <v>228</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886</v>
      </c>
      <c r="U2391" s="16" t="n">
        <v>228</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886</v>
      </c>
      <c r="U2392" s="16" t="n">
        <v>228</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886</v>
      </c>
      <c r="U2393" s="16" t="n">
        <v>228</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886</v>
      </c>
      <c r="U2394" s="16" t="n">
        <v>228</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886</v>
      </c>
      <c r="U2395" s="16" t="n">
        <v>228</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886</v>
      </c>
      <c r="U2396" s="16" t="n">
        <v>228</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886</v>
      </c>
      <c r="U2397" s="16" t="n">
        <v>240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886</v>
      </c>
      <c r="U2398" s="16" t="n">
        <v>240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886</v>
      </c>
      <c r="U2399" s="16" t="n">
        <v>240</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886</v>
      </c>
      <c r="U2400" s="16" t="n">
        <v>240</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886</v>
      </c>
      <c r="U2401" s="16" t="n">
        <v>240</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886</v>
      </c>
      <c r="U2402" s="16" t="n">
        <v>240</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886</v>
      </c>
      <c r="U2403" s="16" t="n">
        <v>240</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Duct bank</t>
        </is>
      </c>
      <c r="T2404" s="16" t="n">
        <v>1349</v>
      </c>
      <c r="U2404" s="16" t="n">
        <v>203</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Duct bank</t>
        </is>
      </c>
      <c r="T2405" s="16" t="n">
        <v>1349</v>
      </c>
      <c r="U2405" s="16" t="n">
        <v>203</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Duct bank</t>
        </is>
      </c>
      <c r="T2406" s="16" t="n">
        <v>1349</v>
      </c>
      <c r="U2406" s="16" t="n">
        <v>203</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Duct bank</t>
        </is>
      </c>
      <c r="T2407" s="16" t="n">
        <v>1349</v>
      </c>
      <c r="U2407" s="16" t="n">
        <v>203</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Duct bank</t>
        </is>
      </c>
      <c r="T2408" s="16" t="n">
        <v>1349</v>
      </c>
      <c r="U2408" s="16" t="n">
        <v>203</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Duct bank</t>
        </is>
      </c>
      <c r="T2409" s="16" t="n">
        <v>1349</v>
      </c>
      <c r="U2409" s="16" t="n">
        <v>203</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Duct bank</t>
        </is>
      </c>
      <c r="T2410" s="16" t="n">
        <v>1349</v>
      </c>
      <c r="U2410" s="16" t="n">
        <v>203</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Estimated</t>
        </is>
      </c>
      <c r="T2411" s="16" t="n">
        <v>1361</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Estimated</t>
        </is>
      </c>
      <c r="T2412" s="16" t="n">
        <v>1361</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Estimated</t>
        </is>
      </c>
      <c r="T2413" s="16" t="n">
        <v>1361</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Estimated</t>
        </is>
      </c>
      <c r="T2414" s="16" t="n">
        <v>1361</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Estimated</t>
        </is>
      </c>
      <c r="T2415" s="16" t="n">
        <v>1361</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Estimated</t>
        </is>
      </c>
      <c r="T2416" s="16" t="n">
        <v>1361</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Estimated</t>
        </is>
      </c>
      <c r="T2417" s="16" t="n">
        <v>1361</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Estimated</t>
        </is>
      </c>
      <c r="T2418" s="16" t="n">
        <v>1321</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Estimated</t>
        </is>
      </c>
      <c r="T2419" s="16" t="n">
        <v>1321</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Estimated</t>
        </is>
      </c>
      <c r="T2420" s="16" t="n">
        <v>1321</v>
      </c>
      <c r="U2420" s="16" t="n">
        <v>40</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Estimated</t>
        </is>
      </c>
      <c r="T2421" s="16" t="n">
        <v>1321</v>
      </c>
      <c r="U2421" s="16" t="n">
        <v>40</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Estimated</t>
        </is>
      </c>
      <c r="T2422" s="16" t="n">
        <v>1321</v>
      </c>
      <c r="U2422" s="16" t="n">
        <v>40</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Estimated</t>
        </is>
      </c>
      <c r="T2423" s="16" t="n">
        <v>1321</v>
      </c>
      <c r="U2423" s="16" t="n">
        <v>40</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Estimated</t>
        </is>
      </c>
      <c r="T2424" s="16" t="n">
        <v>1321</v>
      </c>
      <c r="U2424" s="16" t="n">
        <v>40</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Estimated</t>
        </is>
      </c>
      <c r="T2425" s="16" t="n">
        <v>1281</v>
      </c>
      <c r="U2425" s="16" t="n">
        <v>40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Estimated</t>
        </is>
      </c>
      <c r="T2426" s="16" t="n">
        <v>1281</v>
      </c>
      <c r="U2426" s="16" t="n">
        <v>40</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Estimated</t>
        </is>
      </c>
      <c r="T2427" s="16" t="n">
        <v>1281</v>
      </c>
      <c r="U2427" s="16" t="n">
        <v>40</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Estimated</t>
        </is>
      </c>
      <c r="T2428" s="16" t="n">
        <v>1281</v>
      </c>
      <c r="U2428" s="16" t="n">
        <v>40</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Estimated</t>
        </is>
      </c>
      <c r="T2429" s="16" t="n">
        <v>1281</v>
      </c>
      <c r="U2429" s="16" t="n">
        <v>40</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Estimated</t>
        </is>
      </c>
      <c r="T2430" s="16" t="n">
        <v>1281</v>
      </c>
      <c r="U2430" s="16" t="n">
        <v>40</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Estimated</t>
        </is>
      </c>
      <c r="T2431" s="16" t="n">
        <v>1281</v>
      </c>
      <c r="U2431" s="16" t="n">
        <v>40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1584</v>
      </c>
      <c r="U2432" s="16" t="n">
        <v>166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1584</v>
      </c>
      <c r="U2433" s="16" t="n">
        <v>166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1584</v>
      </c>
      <c r="U2434" s="16" t="n">
        <v>166</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1584</v>
      </c>
      <c r="U2435" s="16" t="n">
        <v>166</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1584</v>
      </c>
      <c r="U2436" s="16" t="n">
        <v>166</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1584</v>
      </c>
      <c r="U2437" s="16" t="n">
        <v>166</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1584</v>
      </c>
      <c r="U2438" s="16" t="n">
        <v>166</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Estimated</t>
        </is>
      </c>
      <c r="T2439" s="16" t="n">
        <v>1461</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Estimated</t>
        </is>
      </c>
      <c r="T2440" s="16" t="n">
        <v>1461</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Estimated</t>
        </is>
      </c>
      <c r="T2441" s="16" t="n">
        <v>1461</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Estimated</t>
        </is>
      </c>
      <c r="T2442" s="16" t="n">
        <v>1461</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Estimated</t>
        </is>
      </c>
      <c r="T2443" s="16" t="n">
        <v>1461</v>
      </c>
      <c r="U2443" s="16" t="n">
        <v>40</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Estimated</t>
        </is>
      </c>
      <c r="T2444" s="16" t="n">
        <v>1461</v>
      </c>
      <c r="U2444" s="16" t="n">
        <v>40</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Estimated</t>
        </is>
      </c>
      <c r="T2445" s="16" t="n">
        <v>1461</v>
      </c>
      <c r="U2445" s="16" t="n">
        <v>40</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Estimated</t>
        </is>
      </c>
      <c r="T2446" s="16" t="n">
        <v>1421</v>
      </c>
      <c r="U2446" s="16" t="n">
        <v>40</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Estimated</t>
        </is>
      </c>
      <c r="T2447" s="16" t="n">
        <v>1421</v>
      </c>
      <c r="U2447" s="16" t="n">
        <v>40</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Estimated</t>
        </is>
      </c>
      <c r="T2448" s="16" t="n">
        <v>1421</v>
      </c>
      <c r="U2448" s="16" t="n">
        <v>40</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Estimated</t>
        </is>
      </c>
      <c r="T2449" s="16" t="n">
        <v>1421</v>
      </c>
      <c r="U2449" s="16" t="n">
        <v>40</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Estimated</t>
        </is>
      </c>
      <c r="T2450" s="16" t="n">
        <v>1421</v>
      </c>
      <c r="U2450" s="16" t="n">
        <v>40</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Estimated</t>
        </is>
      </c>
      <c r="T2451" s="16" t="n">
        <v>1421</v>
      </c>
      <c r="U2451" s="16" t="n">
        <v>40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Estimated</t>
        </is>
      </c>
      <c r="T2452" s="16" t="n">
        <v>1421</v>
      </c>
      <c r="U2452" s="16" t="n">
        <v>40</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757</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1139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68340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91</v>
      </c>
      <c r="U2486" s="16" t="n">
        <v>223</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91</v>
      </c>
      <c r="U2488" s="16" t="n">
        <v>223</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Duct bank</t>
        </is>
      </c>
      <c r="T2490" s="16" t="n">
        <v>982</v>
      </c>
      <c r="U2490" s="16" t="n">
        <v>210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Duct bank</t>
        </is>
      </c>
      <c r="T2492" s="16" t="n">
        <v>982</v>
      </c>
      <c r="U2492" s="16" t="n">
        <v>210</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Duct bank</t>
        </is>
      </c>
      <c r="T2494" s="16" t="n">
        <v>982</v>
      </c>
      <c r="U2494" s="16" t="n">
        <v>170</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Duct bank</t>
        </is>
      </c>
      <c r="T2496" s="16" t="n">
        <v>982</v>
      </c>
      <c r="U2496" s="16" t="n">
        <v>170</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Duct bank</t>
        </is>
      </c>
      <c r="T2498" s="16" t="n">
        <v>1185</v>
      </c>
      <c r="U2498" s="16" t="n">
        <v>247</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Duct bank</t>
        </is>
      </c>
      <c r="T2500" s="16" t="n">
        <v>1185</v>
      </c>
      <c r="U2500" s="16" t="n">
        <v>247</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Duct bank</t>
        </is>
      </c>
      <c r="T2502" s="16" t="n">
        <v>1185</v>
      </c>
      <c r="U2502" s="16" t="n">
        <v>207</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Duct bank</t>
        </is>
      </c>
      <c r="T2504" s="16" t="n">
        <v>1185</v>
      </c>
      <c r="U2504" s="16" t="n">
        <v>207</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Duct bank</t>
        </is>
      </c>
      <c r="T2506" s="16" t="n">
        <v>1185</v>
      </c>
      <c r="U2506" s="16" t="n">
        <v>167</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Duct bank</t>
        </is>
      </c>
      <c r="T2508" s="16" t="n">
        <v>1185</v>
      </c>
      <c r="U2508" s="16" t="n">
        <v>167</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886</v>
      </c>
      <c r="U2510" s="16" t="n">
        <v>228</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886</v>
      </c>
      <c r="U2512" s="16" t="n">
        <v>228</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886</v>
      </c>
      <c r="U2514" s="16" t="n">
        <v>240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886</v>
      </c>
      <c r="U2516" s="16" t="n">
        <v>240</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Duct bank</t>
        </is>
      </c>
      <c r="T2518" s="16" t="n">
        <v>1349</v>
      </c>
      <c r="U2518" s="16" t="n">
        <v>203</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Duct bank</t>
        </is>
      </c>
      <c r="T2520" s="16" t="n">
        <v>1349</v>
      </c>
      <c r="U2520" s="16" t="n">
        <v>203</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Estimated</t>
        </is>
      </c>
      <c r="T2522" s="16" t="n">
        <v>1361</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Estimated</t>
        </is>
      </c>
      <c r="T2524" s="16" t="n">
        <v>1361</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Estimated</t>
        </is>
      </c>
      <c r="T2526" s="16" t="n">
        <v>1321</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Estimated</t>
        </is>
      </c>
      <c r="T2528" s="16" t="n">
        <v>1321</v>
      </c>
      <c r="U2528" s="16" t="n">
        <v>40</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Estimated</t>
        </is>
      </c>
      <c r="T2530" s="16" t="n">
        <v>1281</v>
      </c>
      <c r="U2530" s="16" t="n">
        <v>40</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Estimated</t>
        </is>
      </c>
      <c r="T2532" s="16" t="n">
        <v>1281</v>
      </c>
      <c r="U2532" s="16" t="n">
        <v>40</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1584</v>
      </c>
      <c r="U2534" s="16" t="n">
        <v>166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1584</v>
      </c>
      <c r="U2536" s="16" t="n">
        <v>166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Estimated</t>
        </is>
      </c>
      <c r="T2538" s="16" t="n">
        <v>1461</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Estimated</t>
        </is>
      </c>
      <c r="T2540" s="16" t="n">
        <v>1461</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Estimated</t>
        </is>
      </c>
      <c r="T2542" s="16" t="n">
        <v>1421</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Estimated</t>
        </is>
      </c>
      <c r="T2544" s="16" t="n">
        <v>1421</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Duct bank</t>
        </is>
      </c>
      <c r="T2562" s="16" t="n">
        <v>1264</v>
      </c>
      <c r="U2562" s="16" t="n">
        <v>250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Duct bank</t>
        </is>
      </c>
      <c r="T2564" s="16" t="n">
        <v>1264</v>
      </c>
      <c r="U2564" s="16" t="n">
        <v>206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2419</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2419</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2419</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2419</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2419</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2419</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Conduit link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Conduit link</t>
        </is>
      </c>
      <c r="T2631" s="16" t="n">
        <v>33</v>
      </c>
      <c r="U2631" s="16" t="n">
        <v>90</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Conduit link</t>
        </is>
      </c>
      <c r="T2633" s="16" t="n">
        <v>33</v>
      </c>
      <c r="U2633" s="16" t="n">
        <v>90</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2419</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2419</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2419</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2419</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2419</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2419</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2009</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1949</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2059</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1949</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2059</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1833</v>
      </c>
      <c r="U2659" s="16" t="n">
        <v>192</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2400</v>
      </c>
      <c r="U2684" s="16" t="n">
        <v>68</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2400</v>
      </c>
      <c r="U2685" s="16" t="n">
        <v>68</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2400</v>
      </c>
      <c r="U2686" s="16" t="n">
        <v>68</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Estimated</t>
        </is>
      </c>
      <c r="T2689" s="16" t="n">
        <v>1158</v>
      </c>
      <c r="U2689" s="16" t="n">
        <v>40</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Estimated</t>
        </is>
      </c>
      <c r="T2690" s="16" t="n">
        <v>1158</v>
      </c>
      <c r="U2690" s="16" t="n">
        <v>40</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Estimated</t>
        </is>
      </c>
      <c r="T2691" s="16" t="n">
        <v>1311</v>
      </c>
      <c r="U2691" s="16" t="n">
        <v>40</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Estimated</t>
        </is>
      </c>
      <c r="T2692" s="16" t="n">
        <v>1311</v>
      </c>
      <c r="U2692" s="16" t="n">
        <v>40</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Estimated</t>
        </is>
      </c>
      <c r="T2693" s="16" t="n">
        <v>1311</v>
      </c>
      <c r="U2693" s="16" t="n">
        <v>40</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Conduit link</t>
        </is>
      </c>
      <c r="T2694" s="16" t="n">
        <v>177</v>
      </c>
      <c r="U2694" s="16" t="n">
        <v>32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Estimated</t>
        </is>
      </c>
      <c r="T2695" s="16" t="n">
        <v>1161</v>
      </c>
      <c r="U2695" s="16" t="n">
        <v>40</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Estimated</t>
        </is>
      </c>
      <c r="T2696" s="16" t="n">
        <v>1161</v>
      </c>
      <c r="U2696" s="16" t="n">
        <v>40</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Estimated</t>
        </is>
      </c>
      <c r="T2700" s="16" t="n">
        <v>1021</v>
      </c>
      <c r="U2700" s="16" t="n">
        <v>40</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Estimated</t>
        </is>
      </c>
      <c r="T2701" s="16" t="n">
        <v>1021</v>
      </c>
      <c r="U2701" s="16" t="n">
        <v>40</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Estimated</t>
        </is>
      </c>
      <c r="T2702" s="16" t="n">
        <v>1021</v>
      </c>
      <c r="U2702" s="16" t="n">
        <v>40</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Estimated</t>
        </is>
      </c>
      <c r="T2703" s="16" t="n">
        <v>1021</v>
      </c>
      <c r="U2703" s="16" t="n">
        <v>40</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Estimated</t>
        </is>
      </c>
      <c r="T2704" s="16" t="n">
        <v>1021</v>
      </c>
      <c r="U2704" s="16" t="n">
        <v>40</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Estimated</t>
        </is>
      </c>
      <c r="T2705" s="16" t="n">
        <v>1021</v>
      </c>
      <c r="U2705" s="16" t="n">
        <v>40</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Estimated</t>
        </is>
      </c>
      <c r="T2706" s="16" t="n">
        <v>1021</v>
      </c>
      <c r="U2706" s="16" t="n">
        <v>40</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Estimated</t>
        </is>
      </c>
      <c r="T2707" s="16" t="n">
        <v>1021</v>
      </c>
      <c r="U2707" s="16" t="n">
        <v>40</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1764</v>
      </c>
      <c r="U2708" s="16" t="n">
        <v>59</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1764</v>
      </c>
      <c r="U2709" s="16" t="n">
        <v>59</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1764</v>
      </c>
      <c r="U2710" s="16" t="n">
        <v>59</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1764</v>
      </c>
      <c r="U2711" s="16" t="n">
        <v>59</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1764</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1764</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1764</v>
      </c>
      <c r="U2714" s="16" t="n">
        <v>59</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1764</v>
      </c>
      <c r="U2715" s="16" t="n">
        <v>59</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1764</v>
      </c>
      <c r="U2716" s="16" t="n">
        <v>59</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1764</v>
      </c>
      <c r="U2717" s="16" t="n">
        <v>59</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1764</v>
      </c>
      <c r="U2718" s="16" t="n">
        <v>59</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1764</v>
      </c>
      <c r="U2719" s="16" t="n">
        <v>59</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1764</v>
      </c>
      <c r="U2720" s="16" t="n">
        <v>59</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1764</v>
      </c>
      <c r="U2721" s="16" t="n">
        <v>59</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1764</v>
      </c>
      <c r="U2722" s="16" t="n">
        <v>59</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1764</v>
      </c>
      <c r="U2723" s="16" t="n">
        <v>59</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1764</v>
      </c>
      <c r="U2724" s="16" t="n">
        <v>59</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1764</v>
      </c>
      <c r="U2725" s="16" t="n">
        <v>59</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1764</v>
      </c>
      <c r="U2726" s="16" t="n">
        <v>59</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1764</v>
      </c>
      <c r="U2727" s="16" t="n">
        <v>59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1194</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Conduit link</t>
        </is>
      </c>
      <c r="T2730" s="16" t="n">
        <v>222</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Conduit link</t>
        </is>
      </c>
      <c r="T2744" s="16" t="n">
        <v>177</v>
      </c>
      <c r="U2744" s="16" t="n">
        <v>32</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Conduit link</t>
        </is>
      </c>
      <c r="T2746" s="16" t="n">
        <v>48</v>
      </c>
      <c r="U2746" s="16" t="n">
        <v>79</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Conduit link</t>
        </is>
      </c>
      <c r="T2748" s="16" t="n">
        <v>48</v>
      </c>
      <c r="U2748" s="16" t="n">
        <v>79</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Conduit link</t>
        </is>
      </c>
      <c r="T2750" s="16" t="n">
        <v>20</v>
      </c>
      <c r="U2750" s="16" t="n">
        <v>120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Conduit link</t>
        </is>
      </c>
      <c r="T2752" s="16" t="n">
        <v>20</v>
      </c>
      <c r="U2752" s="16" t="n">
        <v>120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Conduit link</t>
        </is>
      </c>
      <c r="T2754" s="16" t="n">
        <v>222</v>
      </c>
      <c r="U2754" s="16" t="n">
        <v>32</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Conduit link</t>
        </is>
      </c>
      <c r="T2756" s="16" t="n">
        <v>222</v>
      </c>
      <c r="U2756" s="16" t="n">
        <v>32</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Conduit link</t>
        </is>
      </c>
      <c r="T2758" s="16" t="n">
        <v>222</v>
      </c>
      <c r="U2758" s="16" t="n">
        <v>32</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Conduit link</t>
        </is>
      </c>
      <c r="T2764" s="16" t="n">
        <v>35</v>
      </c>
      <c r="U2764" s="16" t="n">
        <v>63</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Conduit link</t>
        </is>
      </c>
      <c r="T2766" s="16" t="n">
        <v>35</v>
      </c>
      <c r="U2766" s="16" t="n">
        <v>63</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Tray</t>
        </is>
      </c>
      <c r="T2776" s="16" t="n">
        <v>0</v>
      </c>
      <c r="U2776" s="16" t="n">
        <v>62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Tray</t>
        </is>
      </c>
      <c r="T2778" s="16" t="n">
        <v>0</v>
      </c>
      <c r="U2778" s="16" t="n">
        <v>62</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Tray</t>
        </is>
      </c>
      <c r="T2780" s="16" t="n">
        <v>0</v>
      </c>
      <c r="U2780" s="16" t="n">
        <v>62</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LV|3/C+G|6</t>
        </is>
      </c>
      <c r="L2795" s="12" t="inlineStr">
        <is>
          <t>3/C+G</t>
        </is>
      </c>
      <c r="M2795" s="12" t="inlineStr">
        <is>
          <t>6</t>
        </is>
      </c>
      <c r="N2795" s="12" t="n">
        <v>1</v>
      </c>
      <c r="O2795" s="12" t="n">
        <v>1</v>
      </c>
      <c r="P2795" s="12" t="n">
        <v>480</v>
      </c>
      <c r="Q2795" s="12" t="n">
        <v>7</v>
      </c>
      <c r="R2795" s="12" t="n">
        <v>9.9</v>
      </c>
      <c r="S2795" s="12" t="inlineStr">
        <is>
          <t>Estimated</t>
        </is>
      </c>
      <c r="T2795" s="16" t="n">
        <v>1158</v>
      </c>
      <c r="U2795" s="16" t="n">
        <v>40</v>
      </c>
      <c r="V2795" s="16">
        <f>ROUNDUP((T2795+U2795+2*'Read Me'!$B$13)*(1+'Read Me'!$B$12),-1)</f>
        <v/>
      </c>
      <c r="W2795" s="16">
        <f>V2795*N2795*O2795</f>
        <v/>
      </c>
      <c r="X2795" s="12">
        <f>IF(LEFT(I2795,2)="MV",2*N2795*IF(L2795="1/C",O2795,1),0)</f>
        <v/>
      </c>
      <c r="Y2795" s="12">
        <f>IF(OR(LEFT(K2795,4)="LVAX",LEFT(K2795,6)="MV15AX",LEFT(K2795,4)="CTAX",LEFT(K2795,2)="W|"),2*N2795*O2795,0)</f>
        <v/>
      </c>
      <c r="Z2795" s="12" t="inlineStr">
        <is>
          <t>VD 2.3 %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LV|3/C+G|6</t>
        </is>
      </c>
      <c r="L2796" s="12" t="inlineStr">
        <is>
          <t>3/C+G</t>
        </is>
      </c>
      <c r="M2796" s="12" t="inlineStr">
        <is>
          <t>6</t>
        </is>
      </c>
      <c r="N2796" s="12" t="n">
        <v>1</v>
      </c>
      <c r="O2796" s="12" t="n">
        <v>1</v>
      </c>
      <c r="P2796" s="12" t="n">
        <v>480</v>
      </c>
      <c r="Q2796" s="12" t="n">
        <v>7</v>
      </c>
      <c r="R2796" s="12" t="n">
        <v>9.9</v>
      </c>
      <c r="S2796" s="12" t="inlineStr">
        <is>
          <t>Estimated</t>
        </is>
      </c>
      <c r="T2796" s="16" t="n">
        <v>1158</v>
      </c>
      <c r="U2796" s="16" t="n">
        <v>40</v>
      </c>
      <c r="V2796" s="16">
        <f>ROUNDUP((T2796+U2796+2*'Read Me'!$B$13)*(1+'Read Me'!$B$12),-1)</f>
        <v/>
      </c>
      <c r="W2796" s="16">
        <f>V2796*N2796*O2796</f>
        <v/>
      </c>
      <c r="X2796" s="12">
        <f>IF(LEFT(I2796,2)="MV",2*N2796*IF(L2796="1/C",O2796,1),0)</f>
        <v/>
      </c>
      <c r="Y2796" s="12">
        <f>IF(OR(LEFT(K2796,4)="LVAX",LEFT(K2796,6)="MV15AX",LEFT(K2796,4)="CTAX",LEFT(K2796,2)="W|"),2*N2796*O2796,0)</f>
        <v/>
      </c>
      <c r="Z2796" s="12" t="inlineStr">
        <is>
          <t>VD 2.3 %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LV|3/C+G|1/0</t>
        </is>
      </c>
      <c r="L2797" s="12" t="inlineStr">
        <is>
          <t>3/C+G</t>
        </is>
      </c>
      <c r="M2797" s="12" t="inlineStr">
        <is>
          <t>1/0</t>
        </is>
      </c>
      <c r="N2797" s="12" t="n">
        <v>1</v>
      </c>
      <c r="O2797" s="12" t="n">
        <v>1</v>
      </c>
      <c r="P2797" s="12" t="n">
        <v>480</v>
      </c>
      <c r="Q2797" s="12" t="n">
        <v>30</v>
      </c>
      <c r="R2797" s="12" t="n">
        <v>42.5</v>
      </c>
      <c r="S2797" s="12" t="inlineStr">
        <is>
          <t>Estimated</t>
        </is>
      </c>
      <c r="T2797" s="16" t="n">
        <v>1311</v>
      </c>
      <c r="U2797" s="16" t="n">
        <v>40</v>
      </c>
      <c r="V2797" s="16">
        <f>ROUNDUP((T2797+U2797+2*'Read Me'!$B$13)*(1+'Read Me'!$B$12),-1)</f>
        <v/>
      </c>
      <c r="W2797" s="16">
        <f>V2797*N2797*O2797</f>
        <v/>
      </c>
      <c r="X2797" s="12">
        <f>IF(LEFT(I2797,2)="MV",2*N2797*IF(L2797="1/C",O2797,1),0)</f>
        <v/>
      </c>
      <c r="Y2797" s="12">
        <f>IF(OR(LEFT(K2797,4)="LVAX",LEFT(K2797,6)="MV15AX",LEFT(K2797,4)="CTAX",LEFT(K2797,2)="W|"),2*N2797*O2797,0)</f>
        <v/>
      </c>
      <c r="Z2797" s="12" t="inlineStr">
        <is>
          <t>VD 2.8 %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LV|3/C+G|1/0</t>
        </is>
      </c>
      <c r="L2798" s="12" t="inlineStr">
        <is>
          <t>3/C+G</t>
        </is>
      </c>
      <c r="M2798" s="12" t="inlineStr">
        <is>
          <t>1/0</t>
        </is>
      </c>
      <c r="N2798" s="12" t="n">
        <v>1</v>
      </c>
      <c r="O2798" s="12" t="n">
        <v>1</v>
      </c>
      <c r="P2798" s="12" t="n">
        <v>480</v>
      </c>
      <c r="Q2798" s="12" t="n">
        <v>30</v>
      </c>
      <c r="R2798" s="12" t="n">
        <v>42.5</v>
      </c>
      <c r="S2798" s="12" t="inlineStr">
        <is>
          <t>Estimated</t>
        </is>
      </c>
      <c r="T2798" s="16" t="n">
        <v>1311</v>
      </c>
      <c r="U2798" s="16" t="n">
        <v>40</v>
      </c>
      <c r="V2798" s="16">
        <f>ROUNDUP((T2798+U2798+2*'Read Me'!$B$13)*(1+'Read Me'!$B$12),-1)</f>
        <v/>
      </c>
      <c r="W2798" s="16">
        <f>V2798*N2798*O2798</f>
        <v/>
      </c>
      <c r="X2798" s="12">
        <f>IF(LEFT(I2798,2)="MV",2*N2798*IF(L2798="1/C",O2798,1),0)</f>
        <v/>
      </c>
      <c r="Y2798" s="12">
        <f>IF(OR(LEFT(K2798,4)="LVAX",LEFT(K2798,6)="MV15AX",LEFT(K2798,4)="CTAX",LEFT(K2798,2)="W|"),2*N2798*O2798,0)</f>
        <v/>
      </c>
      <c r="Z2798" s="12" t="inlineStr">
        <is>
          <t>VD 2.8 %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LV|3/C+G|1/0</t>
        </is>
      </c>
      <c r="L2799" s="12" t="inlineStr">
        <is>
          <t>3/C+G</t>
        </is>
      </c>
      <c r="M2799" s="12" t="inlineStr">
        <is>
          <t>1/0</t>
        </is>
      </c>
      <c r="N2799" s="12" t="n">
        <v>1</v>
      </c>
      <c r="O2799" s="12" t="n">
        <v>1</v>
      </c>
      <c r="P2799" s="12" t="n">
        <v>480</v>
      </c>
      <c r="Q2799" s="12" t="n">
        <v>30</v>
      </c>
      <c r="R2799" s="12" t="n">
        <v>42.5</v>
      </c>
      <c r="S2799" s="12" t="inlineStr">
        <is>
          <t>Estimated</t>
        </is>
      </c>
      <c r="T2799" s="16" t="n">
        <v>1311</v>
      </c>
      <c r="U2799" s="16" t="n">
        <v>40</v>
      </c>
      <c r="V2799" s="16">
        <f>ROUNDUP((T2799+U2799+2*'Read Me'!$B$13)*(1+'Read Me'!$B$12),-1)</f>
        <v/>
      </c>
      <c r="W2799" s="16">
        <f>V2799*N2799*O2799</f>
        <v/>
      </c>
      <c r="X2799" s="12">
        <f>IF(LEFT(I2799,2)="MV",2*N2799*IF(L2799="1/C",O2799,1),0)</f>
        <v/>
      </c>
      <c r="Y2799" s="12">
        <f>IF(OR(LEFT(K2799,4)="LVAX",LEFT(K2799,6)="MV15AX",LEFT(K2799,4)="CTAX",LEFT(K2799,2)="W|"),2*N2799*O2799,0)</f>
        <v/>
      </c>
      <c r="Z2799" s="12" t="inlineStr">
        <is>
          <t>VD 2.8 %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LV|3/C+G|6</t>
        </is>
      </c>
      <c r="L2800" s="12" t="inlineStr">
        <is>
          <t>3/C+G</t>
        </is>
      </c>
      <c r="M2800" s="12" t="inlineStr">
        <is>
          <t>6</t>
        </is>
      </c>
      <c r="N2800" s="12" t="n">
        <v>1</v>
      </c>
      <c r="O2800" s="12" t="n">
        <v>1</v>
      </c>
      <c r="P2800" s="12" t="n">
        <v>480</v>
      </c>
      <c r="Q2800" s="12" t="n">
        <v>10</v>
      </c>
      <c r="R2800" s="12" t="n">
        <v>12.7</v>
      </c>
      <c r="S2800" s="12" t="inlineStr">
        <is>
          <t>Estimated</t>
        </is>
      </c>
      <c r="T2800" s="16" t="n">
        <v>1088</v>
      </c>
      <c r="U2800" s="16" t="n">
        <v>40</v>
      </c>
      <c r="V2800" s="16">
        <f>ROUNDUP((T2800+U2800+2*'Read Me'!$B$13)*(1+'Read Me'!$B$12),-1)</f>
        <v/>
      </c>
      <c r="W2800" s="16">
        <f>V2800*N2800*O2800</f>
        <v/>
      </c>
      <c r="X2800" s="12">
        <f>IF(LEFT(I2800,2)="MV",2*N2800*IF(L2800="1/C",O2800,1),0)</f>
        <v/>
      </c>
      <c r="Y2800" s="12">
        <f>IF(OR(LEFT(K2800,4)="LVAX",LEFT(K2800,6)="MV15AX",LEFT(K2800,4)="CTAX",LEFT(K2800,2)="W|"),2*N2800*O2800,0)</f>
        <v/>
      </c>
      <c r="Z2800" s="12" t="inlineStr">
        <is>
          <t>VD 2.8 %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LV|3/C+G|6</t>
        </is>
      </c>
      <c r="L2802" s="12" t="inlineStr">
        <is>
          <t>3/C+G</t>
        </is>
      </c>
      <c r="M2802" s="12" t="inlineStr">
        <is>
          <t>6</t>
        </is>
      </c>
      <c r="N2802" s="12" t="n">
        <v>1</v>
      </c>
      <c r="O2802" s="12" t="n">
        <v>1</v>
      </c>
      <c r="P2802" s="12" t="n">
        <v>480</v>
      </c>
      <c r="Q2802" s="12" t="n">
        <v>10</v>
      </c>
      <c r="R2802" s="12" t="n">
        <v>14.2</v>
      </c>
      <c r="S2802" s="12" t="inlineStr">
        <is>
          <t>Estimated</t>
        </is>
      </c>
      <c r="T2802" s="16" t="n">
        <v>1041</v>
      </c>
      <c r="U2802" s="16" t="n">
        <v>40</v>
      </c>
      <c r="V2802" s="16">
        <f>ROUNDUP((T2802+U2802+2*'Read Me'!$B$13)*(1+'Read Me'!$B$12),-1)</f>
        <v/>
      </c>
      <c r="W2802" s="16">
        <f>V2802*N2802*O2802</f>
        <v/>
      </c>
      <c r="X2802" s="12">
        <f>IF(LEFT(I2802,2)="MV",2*N2802*IF(L2802="1/C",O2802,1),0)</f>
        <v/>
      </c>
      <c r="Y2802" s="12">
        <f>IF(OR(LEFT(K2802,4)="LVAX",LEFT(K2802,6)="MV15AX",LEFT(K2802,4)="CTAX",LEFT(K2802,2)="W|"),2*N2802*O2802,0)</f>
        <v/>
      </c>
      <c r="Z2802" s="12" t="inlineStr">
        <is>
          <t>VD 3.0 %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1933</v>
      </c>
      <c r="U2803" s="16" t="n">
        <v>59</v>
      </c>
      <c r="V2803" s="16">
        <f>ROUNDUP((T2803+U2803+2*'Read Me'!$B$13)*(1+'Read Me'!$B$12),-1)</f>
        <v/>
      </c>
      <c r="W2803" s="16">
        <f>V2803*N2803*O2803</f>
        <v/>
      </c>
      <c r="X2803" s="12">
        <f>IF(LEFT(I2803,2)="MV",2*N2803*IF(L2803="1/C",O2803,1),0)</f>
        <v/>
      </c>
      <c r="Y2803" s="12">
        <f>IF(OR(LEFT(K2803,4)="LVAX",LEFT(K2803,6)="MV15AX",LEFT(K2803,4)="CTAX",LEFT(K2803,2)="W|"),2*N2803*O2803,0)</f>
        <v/>
      </c>
      <c r="Z2803" s="12" t="inlineStr">
        <is>
          <t>VD 2.2 %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2</v>
      </c>
      <c r="O2804" s="12" t="n">
        <v>1</v>
      </c>
      <c r="P2804" s="12" t="n">
        <v>480</v>
      </c>
      <c r="Q2804" s="12" t="n">
        <v>250</v>
      </c>
      <c r="R2804" s="12" t="n">
        <v>353.8</v>
      </c>
      <c r="S2804" s="12" t="inlineStr">
        <is>
          <t>Estimated</t>
        </is>
      </c>
      <c r="T2804" s="16" t="n">
        <v>1161</v>
      </c>
      <c r="U2804" s="16" t="n">
        <v>40</v>
      </c>
      <c r="V2804" s="16">
        <f>ROUNDUP((T2804+U2804+2*'Read Me'!$B$13)*(1+'Read Me'!$B$12),-1)</f>
        <v/>
      </c>
      <c r="W2804" s="16">
        <f>V2804*N2804*O2804</f>
        <v/>
      </c>
      <c r="X2804" s="12">
        <f>IF(LEFT(I2804,2)="MV",2*N2804*IF(L2804="1/C",O2804,1),0)</f>
        <v/>
      </c>
      <c r="Y2804" s="12">
        <f>IF(OR(LEFT(K2804,4)="LVAX",LEFT(K2804,6)="MV15AX",LEFT(K2804,4)="CTAX",LEFT(K2804,2)="W|"),2*N2804*O2804,0)</f>
        <v/>
      </c>
      <c r="Z2804" s="12" t="inlineStr">
        <is>
          <t>VD 2.2 %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15</v>
      </c>
      <c r="R2805" s="12" t="n">
        <v>21.2</v>
      </c>
      <c r="S2805" s="12" t="inlineStr">
        <is>
          <t>Estimated</t>
        </is>
      </c>
      <c r="T2805" s="16" t="n">
        <v>1161</v>
      </c>
      <c r="U2805" s="16" t="n">
        <v>40</v>
      </c>
      <c r="V2805" s="16">
        <f>ROUNDUP((T2805+U2805+2*'Read Me'!$B$13)*(1+'Read Me'!$B$12),-1)</f>
        <v/>
      </c>
      <c r="W2805" s="16">
        <f>V2805*N2805*O2805</f>
        <v/>
      </c>
      <c r="X2805" s="12">
        <f>IF(LEFT(I2805,2)="MV",2*N2805*IF(L2805="1/C",O2805,1),0)</f>
        <v/>
      </c>
      <c r="Y2805" s="12">
        <f>IF(OR(LEFT(K2805,4)="LVAX",LEFT(K2805,6)="MV15AX",LEFT(K2805,4)="CTAX",LEFT(K2805,2)="W|"),2*N2805*O2805,0)</f>
        <v/>
      </c>
      <c r="Z2805" s="12" t="inlineStr">
        <is>
          <t>VD 2.0 %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LVAX|3/C+G|2</t>
        </is>
      </c>
      <c r="L2806" s="12" t="inlineStr">
        <is>
          <t>3/C+G</t>
        </is>
      </c>
      <c r="M2806" s="12" t="inlineStr">
        <is>
          <t>2</t>
        </is>
      </c>
      <c r="N2806" s="12" t="n">
        <v>1</v>
      </c>
      <c r="O2806" s="12" t="n">
        <v>1</v>
      </c>
      <c r="P2806" s="12" t="n">
        <v>480</v>
      </c>
      <c r="Q2806" s="12" t="n">
        <v>15</v>
      </c>
      <c r="R2806" s="12" t="n">
        <v>21.2</v>
      </c>
      <c r="S2806" s="12" t="inlineStr">
        <is>
          <t>Estimated</t>
        </is>
      </c>
      <c r="T2806" s="16" t="n">
        <v>1434</v>
      </c>
      <c r="U2806" s="16" t="n">
        <v>40</v>
      </c>
      <c r="V2806" s="16">
        <f>ROUNDUP((T2806+U2806+2*'Read Me'!$B$13)*(1+'Read Me'!$B$12),-1)</f>
        <v/>
      </c>
      <c r="W2806" s="16">
        <f>V2806*N2806*O2806</f>
        <v/>
      </c>
      <c r="X2806" s="12">
        <f>IF(LEFT(I2806,2)="MV",2*N2806*IF(L2806="1/C",O2806,1),0)</f>
        <v/>
      </c>
      <c r="Y2806" s="12">
        <f>IF(OR(LEFT(K2806,4)="LVAX",LEFT(K2806,6)="MV15AX",LEFT(K2806,4)="CTAX",LEFT(K2806,2)="W|"),2*N2806*O2806,0)</f>
        <v/>
      </c>
      <c r="Z2806" s="12" t="inlineStr">
        <is>
          <t>VD 2.4 %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LV|3/C+G|500</t>
        </is>
      </c>
      <c r="L2807" s="12" t="inlineStr">
        <is>
          <t>3/C+G</t>
        </is>
      </c>
      <c r="M2807" s="12" t="inlineStr">
        <is>
          <t>500 kcmil</t>
        </is>
      </c>
      <c r="N2807" s="12" t="n">
        <v>1</v>
      </c>
      <c r="O2807" s="12" t="n">
        <v>1</v>
      </c>
      <c r="P2807" s="12" t="n">
        <v>480</v>
      </c>
      <c r="Q2807" s="12" t="n">
        <v>120</v>
      </c>
      <c r="R2807" s="12" t="n">
        <v>169.8</v>
      </c>
      <c r="S2807" s="12" t="inlineStr">
        <is>
          <t>Estimated</t>
        </is>
      </c>
      <c r="T2807" s="16" t="n">
        <v>1218</v>
      </c>
      <c r="U2807" s="16" t="n">
        <v>40</v>
      </c>
      <c r="V2807" s="16">
        <f>ROUNDUP((T2807+U2807+2*'Read Me'!$B$13)*(1+'Read Me'!$B$12),-1)</f>
        <v/>
      </c>
      <c r="W2807" s="16">
        <f>V2807*N2807*O2807</f>
        <v/>
      </c>
      <c r="X2807" s="12">
        <f>IF(LEFT(I2807,2)="MV",2*N2807*IF(L2807="1/C",O2807,1),0)</f>
        <v/>
      </c>
      <c r="Y2807" s="12">
        <f>IF(OR(LEFT(K2807,4)="LVAX",LEFT(K2807,6)="MV15AX",LEFT(K2807,4)="CTAX",LEFT(K2807,2)="W|"),2*N2807*O2807,0)</f>
        <v/>
      </c>
      <c r="Z2807" s="12" t="inlineStr">
        <is>
          <t>VD 2.2 %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LV|3/C+G|6</t>
        </is>
      </c>
      <c r="L2832" s="12" t="inlineStr">
        <is>
          <t>3/C+G</t>
        </is>
      </c>
      <c r="M2832" s="12" t="inlineStr">
        <is>
          <t>6</t>
        </is>
      </c>
      <c r="N2832" s="12" t="n">
        <v>1</v>
      </c>
      <c r="O2832" s="12" t="n">
        <v>1</v>
      </c>
      <c r="P2832" s="12" t="n">
        <v>480</v>
      </c>
      <c r="Q2832" s="12" t="n">
        <v>10</v>
      </c>
      <c r="R2832" s="12" t="n">
        <v>14.2</v>
      </c>
      <c r="S2832" s="12" t="inlineStr">
        <is>
          <t>Estimated</t>
        </is>
      </c>
      <c r="T2832" s="16" t="n">
        <v>1002</v>
      </c>
      <c r="U2832" s="16" t="n">
        <v>40</v>
      </c>
      <c r="V2832" s="16">
        <f>ROUNDUP((T2832+U2832+2*'Read Me'!$B$13)*(1+'Read Me'!$B$12),-1)</f>
        <v/>
      </c>
      <c r="W2832" s="16">
        <f>V2832*N2832*O2832</f>
        <v/>
      </c>
      <c r="X2832" s="12">
        <f>IF(LEFT(I2832,2)="MV",2*N2832*IF(L2832="1/C",O2832,1),0)</f>
        <v/>
      </c>
      <c r="Y2832" s="12">
        <f>IF(OR(LEFT(K2832,4)="LVAX",LEFT(K2832,6)="MV15AX",LEFT(K2832,4)="CTAX",LEFT(K2832,2)="W|"),2*N2832*O2832,0)</f>
        <v/>
      </c>
      <c r="Z2832" s="12" t="inlineStr">
        <is>
          <t>VD 2.9 %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1889</v>
      </c>
      <c r="U2859" s="16" t="n">
        <v>59</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15</v>
      </c>
      <c r="R2860" s="12" t="n">
        <v>21.2</v>
      </c>
      <c r="S2860" s="12" t="inlineStr">
        <is>
          <t>Estimated</t>
        </is>
      </c>
      <c r="T2860" s="16" t="n">
        <v>1021</v>
      </c>
      <c r="U2860" s="16" t="n">
        <v>40</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LV|3/C+G|4</t>
        </is>
      </c>
      <c r="L2861" s="12" t="inlineStr">
        <is>
          <t>3/C+G</t>
        </is>
      </c>
      <c r="M2861" s="12" t="inlineStr">
        <is>
          <t>4</t>
        </is>
      </c>
      <c r="N2861" s="12" t="n">
        <v>1</v>
      </c>
      <c r="O2861" s="12" t="n">
        <v>1</v>
      </c>
      <c r="P2861" s="12" t="n">
        <v>480</v>
      </c>
      <c r="Q2861" s="12" t="n">
        <v>15</v>
      </c>
      <c r="R2861" s="12" t="n">
        <v>21.2</v>
      </c>
      <c r="S2861" s="12" t="inlineStr">
        <is>
          <t>Estimated</t>
        </is>
      </c>
      <c r="T2861" s="16" t="n">
        <v>1021</v>
      </c>
      <c r="U2861" s="16" t="n">
        <v>40</v>
      </c>
      <c r="V2861" s="16">
        <f>ROUNDUP((T2861+U2861+2*'Read Me'!$B$13)*(1+'Read Me'!$B$12),-1)</f>
        <v/>
      </c>
      <c r="W2861" s="16">
        <f>V2861*N2861*O2861</f>
        <v/>
      </c>
      <c r="X2861" s="12">
        <f>IF(LEFT(I2861,2)="MV",2*N2861*IF(L2861="1/C",O2861,1),0)</f>
        <v/>
      </c>
      <c r="Y2861" s="12">
        <f>IF(OR(LEFT(K2861,4)="LVAX",LEFT(K2861,6)="MV15AX",LEFT(K2861,4)="CTAX",LEFT(K2861,2)="W|"),2*N2861*O2861,0)</f>
        <v/>
      </c>
      <c r="Z2861" s="12" t="inlineStr">
        <is>
          <t>VD 2.8 %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LV|3/C+G|4</t>
        </is>
      </c>
      <c r="L2862" s="12" t="inlineStr">
        <is>
          <t>3/C+G</t>
        </is>
      </c>
      <c r="M2862" s="12" t="inlineStr">
        <is>
          <t>4</t>
        </is>
      </c>
      <c r="N2862" s="12" t="n">
        <v>1</v>
      </c>
      <c r="O2862" s="12" t="n">
        <v>1</v>
      </c>
      <c r="P2862" s="12" t="n">
        <v>480</v>
      </c>
      <c r="Q2862" s="12" t="n">
        <v>15</v>
      </c>
      <c r="R2862" s="12" t="n">
        <v>21.2</v>
      </c>
      <c r="S2862" s="12" t="inlineStr">
        <is>
          <t>Estimated</t>
        </is>
      </c>
      <c r="T2862" s="16" t="n">
        <v>1021</v>
      </c>
      <c r="U2862" s="16" t="n">
        <v>40</v>
      </c>
      <c r="V2862" s="16">
        <f>ROUNDUP((T2862+U2862+2*'Read Me'!$B$13)*(1+'Read Me'!$B$12),-1)</f>
        <v/>
      </c>
      <c r="W2862" s="16">
        <f>V2862*N2862*O2862</f>
        <v/>
      </c>
      <c r="X2862" s="12">
        <f>IF(LEFT(I2862,2)="MV",2*N2862*IF(L2862="1/C",O2862,1),0)</f>
        <v/>
      </c>
      <c r="Y2862" s="12">
        <f>IF(OR(LEFT(K2862,4)="LVAX",LEFT(K2862,6)="MV15AX",LEFT(K2862,4)="CTAX",LEFT(K2862,2)="W|"),2*N2862*O2862,0)</f>
        <v/>
      </c>
      <c r="Z2862" s="12" t="inlineStr">
        <is>
          <t>VD 2.8 %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LV|3/C+G|4</t>
        </is>
      </c>
      <c r="L2863" s="12" t="inlineStr">
        <is>
          <t>3/C+G</t>
        </is>
      </c>
      <c r="M2863" s="12" t="inlineStr">
        <is>
          <t>4</t>
        </is>
      </c>
      <c r="N2863" s="12" t="n">
        <v>1</v>
      </c>
      <c r="O2863" s="12" t="n">
        <v>1</v>
      </c>
      <c r="P2863" s="12" t="n">
        <v>480</v>
      </c>
      <c r="Q2863" s="12" t="n">
        <v>15</v>
      </c>
      <c r="R2863" s="12" t="n">
        <v>21.2</v>
      </c>
      <c r="S2863" s="12" t="inlineStr">
        <is>
          <t>Estimated</t>
        </is>
      </c>
      <c r="T2863" s="16" t="n">
        <v>1021</v>
      </c>
      <c r="U2863" s="16" t="n">
        <v>40</v>
      </c>
      <c r="V2863" s="16">
        <f>ROUNDUP((T2863+U2863+2*'Read Me'!$B$13)*(1+'Read Me'!$B$12),-1)</f>
        <v/>
      </c>
      <c r="W2863" s="16">
        <f>V2863*N2863*O2863</f>
        <v/>
      </c>
      <c r="X2863" s="12">
        <f>IF(LEFT(I2863,2)="MV",2*N2863*IF(L2863="1/C",O2863,1),0)</f>
        <v/>
      </c>
      <c r="Y2863" s="12">
        <f>IF(OR(LEFT(K2863,4)="LVAX",LEFT(K2863,6)="MV15AX",LEFT(K2863,4)="CTAX",LEFT(K2863,2)="W|"),2*N2863*O2863,0)</f>
        <v/>
      </c>
      <c r="Z2863" s="12" t="inlineStr">
        <is>
          <t>VD 2.8 %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LV|3/C+G|4</t>
        </is>
      </c>
      <c r="L2864" s="12" t="inlineStr">
        <is>
          <t>3/C+G</t>
        </is>
      </c>
      <c r="M2864" s="12" t="inlineStr">
        <is>
          <t>4</t>
        </is>
      </c>
      <c r="N2864" s="12" t="n">
        <v>1</v>
      </c>
      <c r="O2864" s="12" t="n">
        <v>1</v>
      </c>
      <c r="P2864" s="12" t="n">
        <v>480</v>
      </c>
      <c r="Q2864" s="12" t="n">
        <v>15</v>
      </c>
      <c r="R2864" s="12" t="n">
        <v>21.2</v>
      </c>
      <c r="S2864" s="12" t="inlineStr">
        <is>
          <t>Estimated</t>
        </is>
      </c>
      <c r="T2864" s="16" t="n">
        <v>1021</v>
      </c>
      <c r="U2864" s="16" t="n">
        <v>40</v>
      </c>
      <c r="V2864" s="16">
        <f>ROUNDUP((T2864+U2864+2*'Read Me'!$B$13)*(1+'Read Me'!$B$12),-1)</f>
        <v/>
      </c>
      <c r="W2864" s="16">
        <f>V2864*N2864*O2864</f>
        <v/>
      </c>
      <c r="X2864" s="12">
        <f>IF(LEFT(I2864,2)="MV",2*N2864*IF(L2864="1/C",O2864,1),0)</f>
        <v/>
      </c>
      <c r="Y2864" s="12">
        <f>IF(OR(LEFT(K2864,4)="LVAX",LEFT(K2864,6)="MV15AX",LEFT(K2864,4)="CTAX",LEFT(K2864,2)="W|"),2*N2864*O2864,0)</f>
        <v/>
      </c>
      <c r="Z2864" s="12" t="inlineStr">
        <is>
          <t>VD 2.8 %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LV|3/C+G|4</t>
        </is>
      </c>
      <c r="L2865" s="12" t="inlineStr">
        <is>
          <t>3/C+G</t>
        </is>
      </c>
      <c r="M2865" s="12" t="inlineStr">
        <is>
          <t>4</t>
        </is>
      </c>
      <c r="N2865" s="12" t="n">
        <v>1</v>
      </c>
      <c r="O2865" s="12" t="n">
        <v>1</v>
      </c>
      <c r="P2865" s="12" t="n">
        <v>480</v>
      </c>
      <c r="Q2865" s="12" t="n">
        <v>15</v>
      </c>
      <c r="R2865" s="12" t="n">
        <v>21.2</v>
      </c>
      <c r="S2865" s="12" t="inlineStr">
        <is>
          <t>Estimated</t>
        </is>
      </c>
      <c r="T2865" s="16" t="n">
        <v>1021</v>
      </c>
      <c r="U2865" s="16" t="n">
        <v>40</v>
      </c>
      <c r="V2865" s="16">
        <f>ROUNDUP((T2865+U2865+2*'Read Me'!$B$13)*(1+'Read Me'!$B$12),-1)</f>
        <v/>
      </c>
      <c r="W2865" s="16">
        <f>V2865*N2865*O2865</f>
        <v/>
      </c>
      <c r="X2865" s="12">
        <f>IF(LEFT(I2865,2)="MV",2*N2865*IF(L2865="1/C",O2865,1),0)</f>
        <v/>
      </c>
      <c r="Y2865" s="12">
        <f>IF(OR(LEFT(K2865,4)="LVAX",LEFT(K2865,6)="MV15AX",LEFT(K2865,4)="CTAX",LEFT(K2865,2)="W|"),2*N2865*O2865,0)</f>
        <v/>
      </c>
      <c r="Z2865" s="12" t="inlineStr">
        <is>
          <t>VD 2.8 %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LV|3/C+G|4</t>
        </is>
      </c>
      <c r="L2866" s="12" t="inlineStr">
        <is>
          <t>3/C+G</t>
        </is>
      </c>
      <c r="M2866" s="12" t="inlineStr">
        <is>
          <t>4</t>
        </is>
      </c>
      <c r="N2866" s="12" t="n">
        <v>1</v>
      </c>
      <c r="O2866" s="12" t="n">
        <v>1</v>
      </c>
      <c r="P2866" s="12" t="n">
        <v>480</v>
      </c>
      <c r="Q2866" s="12" t="n">
        <v>15</v>
      </c>
      <c r="R2866" s="12" t="n">
        <v>21.2</v>
      </c>
      <c r="S2866" s="12" t="inlineStr">
        <is>
          <t>Estimated</t>
        </is>
      </c>
      <c r="T2866" s="16" t="n">
        <v>1021</v>
      </c>
      <c r="U2866" s="16" t="n">
        <v>40</v>
      </c>
      <c r="V2866" s="16">
        <f>ROUNDUP((T2866+U2866+2*'Read Me'!$B$13)*(1+'Read Me'!$B$12),-1)</f>
        <v/>
      </c>
      <c r="W2866" s="16">
        <f>V2866*N2866*O2866</f>
        <v/>
      </c>
      <c r="X2866" s="12">
        <f>IF(LEFT(I2866,2)="MV",2*N2866*IF(L2866="1/C",O2866,1),0)</f>
        <v/>
      </c>
      <c r="Y2866" s="12">
        <f>IF(OR(LEFT(K2866,4)="LVAX",LEFT(K2866,6)="MV15AX",LEFT(K2866,4)="CTAX",LEFT(K2866,2)="W|"),2*N2866*O2866,0)</f>
        <v/>
      </c>
      <c r="Z2866" s="12" t="inlineStr">
        <is>
          <t>VD 2.8 %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LV|3/C+G|4</t>
        </is>
      </c>
      <c r="L2867" s="12" t="inlineStr">
        <is>
          <t>3/C+G</t>
        </is>
      </c>
      <c r="M2867" s="12" t="inlineStr">
        <is>
          <t>4</t>
        </is>
      </c>
      <c r="N2867" s="12" t="n">
        <v>1</v>
      </c>
      <c r="O2867" s="12" t="n">
        <v>1</v>
      </c>
      <c r="P2867" s="12" t="n">
        <v>480</v>
      </c>
      <c r="Q2867" s="12" t="n">
        <v>15</v>
      </c>
      <c r="R2867" s="12" t="n">
        <v>21.2</v>
      </c>
      <c r="S2867" s="12" t="inlineStr">
        <is>
          <t>Estimated</t>
        </is>
      </c>
      <c r="T2867" s="16" t="n">
        <v>1021</v>
      </c>
      <c r="U2867" s="16" t="n">
        <v>40</v>
      </c>
      <c r="V2867" s="16">
        <f>ROUNDUP((T2867+U2867+2*'Read Me'!$B$13)*(1+'Read Me'!$B$12),-1)</f>
        <v/>
      </c>
      <c r="W2867" s="16">
        <f>V2867*N2867*O2867</f>
        <v/>
      </c>
      <c r="X2867" s="12">
        <f>IF(LEFT(I2867,2)="MV",2*N2867*IF(L2867="1/C",O2867,1),0)</f>
        <v/>
      </c>
      <c r="Y2867" s="12">
        <f>IF(OR(LEFT(K2867,4)="LVAX",LEFT(K2867,6)="MV15AX",LEFT(K2867,4)="CTAX",LEFT(K2867,2)="W|"),2*N2867*O2867,0)</f>
        <v/>
      </c>
      <c r="Z2867" s="12" t="inlineStr">
        <is>
          <t>VD 2.8 %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1764</v>
      </c>
      <c r="U2868" s="16" t="n">
        <v>59</v>
      </c>
      <c r="V2868" s="16">
        <f>ROUNDUP((T2868+U2868+2*'Read Me'!$B$13)*(1+'Read Me'!$B$12),-1)</f>
        <v/>
      </c>
      <c r="W2868" s="16">
        <f>V2868*N2868*O2868</f>
        <v/>
      </c>
      <c r="X2868" s="12">
        <f>IF(LEFT(I2868,2)="MV",2*N2868*IF(L2868="1/C",O2868,1),0)</f>
        <v/>
      </c>
      <c r="Y2868" s="12">
        <f>IF(OR(LEFT(K2868,4)="LVAX",LEFT(K2868,6)="MV15AX",LEFT(K2868,4)="CTAX",LEFT(K2868,2)="W|"),2*N2868*O2868,0)</f>
        <v/>
      </c>
      <c r="Z2868" s="12" t="inlineStr">
        <is>
          <t>VD 3.0 %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1764</v>
      </c>
      <c r="U2869" s="16" t="n">
        <v>59</v>
      </c>
      <c r="V2869" s="16">
        <f>ROUNDUP((T2869+U2869+2*'Read Me'!$B$13)*(1+'Read Me'!$B$12),-1)</f>
        <v/>
      </c>
      <c r="W2869" s="16">
        <f>V2869*N2869*O2869</f>
        <v/>
      </c>
      <c r="X2869" s="12">
        <f>IF(LEFT(I2869,2)="MV",2*N2869*IF(L2869="1/C",O2869,1),0)</f>
        <v/>
      </c>
      <c r="Y2869" s="12">
        <f>IF(OR(LEFT(K2869,4)="LVAX",LEFT(K2869,6)="MV15AX",LEFT(K2869,4)="CTAX",LEFT(K2869,2)="W|"),2*N2869*O2869,0)</f>
        <v/>
      </c>
      <c r="Z2869" s="12" t="inlineStr">
        <is>
          <t>VD 3.0 %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1764</v>
      </c>
      <c r="U2870" s="16" t="n">
        <v>59</v>
      </c>
      <c r="V2870" s="16">
        <f>ROUNDUP((T2870+U2870+2*'Read Me'!$B$13)*(1+'Read Me'!$B$12),-1)</f>
        <v/>
      </c>
      <c r="W2870" s="16">
        <f>V2870*N2870*O2870</f>
        <v/>
      </c>
      <c r="X2870" s="12">
        <f>IF(LEFT(I2870,2)="MV",2*N2870*IF(L2870="1/C",O2870,1),0)</f>
        <v/>
      </c>
      <c r="Y2870" s="12">
        <f>IF(OR(LEFT(K2870,4)="LVAX",LEFT(K2870,6)="MV15AX",LEFT(K2870,4)="CTAX",LEFT(K2870,2)="W|"),2*N2870*O2870,0)</f>
        <v/>
      </c>
      <c r="Z2870" s="12" t="inlineStr">
        <is>
          <t>VD 3.0 %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1764</v>
      </c>
      <c r="U2871" s="16" t="n">
        <v>59</v>
      </c>
      <c r="V2871" s="16">
        <f>ROUNDUP((T2871+U2871+2*'Read Me'!$B$13)*(1+'Read Me'!$B$12),-1)</f>
        <v/>
      </c>
      <c r="W2871" s="16">
        <f>V2871*N2871*O2871</f>
        <v/>
      </c>
      <c r="X2871" s="12">
        <f>IF(LEFT(I2871,2)="MV",2*N2871*IF(L2871="1/C",O2871,1),0)</f>
        <v/>
      </c>
      <c r="Y2871" s="12">
        <f>IF(OR(LEFT(K2871,4)="LVAX",LEFT(K2871,6)="MV15AX",LEFT(K2871,4)="CTAX",LEFT(K2871,2)="W|"),2*N2871*O2871,0)</f>
        <v/>
      </c>
      <c r="Z2871" s="12" t="inlineStr">
        <is>
          <t>VD 3.0 %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1764</v>
      </c>
      <c r="U2872" s="16" t="n">
        <v>59</v>
      </c>
      <c r="V2872" s="16">
        <f>ROUNDUP((T2872+U2872+2*'Read Me'!$B$13)*(1+'Read Me'!$B$12),-1)</f>
        <v/>
      </c>
      <c r="W2872" s="16">
        <f>V2872*N2872*O2872</f>
        <v/>
      </c>
      <c r="X2872" s="12">
        <f>IF(LEFT(I2872,2)="MV",2*N2872*IF(L2872="1/C",O2872,1),0)</f>
        <v/>
      </c>
      <c r="Y2872" s="12">
        <f>IF(OR(LEFT(K2872,4)="LVAX",LEFT(K2872,6)="MV15AX",LEFT(K2872,4)="CTAX",LEFT(K2872,2)="W|"),2*N2872*O2872,0)</f>
        <v/>
      </c>
      <c r="Z2872" s="12" t="inlineStr">
        <is>
          <t>VD 3.0 %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1764</v>
      </c>
      <c r="U2873" s="16" t="n">
        <v>59</v>
      </c>
      <c r="V2873" s="16">
        <f>ROUNDUP((T2873+U2873+2*'Read Me'!$B$13)*(1+'Read Me'!$B$12),-1)</f>
        <v/>
      </c>
      <c r="W2873" s="16">
        <f>V2873*N2873*O2873</f>
        <v/>
      </c>
      <c r="X2873" s="12">
        <f>IF(LEFT(I2873,2)="MV",2*N2873*IF(L2873="1/C",O2873,1),0)</f>
        <v/>
      </c>
      <c r="Y2873" s="12">
        <f>IF(OR(LEFT(K2873,4)="LVAX",LEFT(K2873,6)="MV15AX",LEFT(K2873,4)="CTAX",LEFT(K2873,2)="W|"),2*N2873*O2873,0)</f>
        <v/>
      </c>
      <c r="Z2873" s="12" t="inlineStr">
        <is>
          <t>VD 3.0 %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1764</v>
      </c>
      <c r="U2874" s="16" t="n">
        <v>59</v>
      </c>
      <c r="V2874" s="16">
        <f>ROUNDUP((T2874+U2874+2*'Read Me'!$B$13)*(1+'Read Me'!$B$12),-1)</f>
        <v/>
      </c>
      <c r="W2874" s="16">
        <f>V2874*N2874*O2874</f>
        <v/>
      </c>
      <c r="X2874" s="12">
        <f>IF(LEFT(I2874,2)="MV",2*N2874*IF(L2874="1/C",O2874,1),0)</f>
        <v/>
      </c>
      <c r="Y2874" s="12">
        <f>IF(OR(LEFT(K2874,4)="LVAX",LEFT(K2874,6)="MV15AX",LEFT(K2874,4)="CTAX",LEFT(K2874,2)="W|"),2*N2874*O2874,0)</f>
        <v/>
      </c>
      <c r="Z2874" s="12" t="inlineStr">
        <is>
          <t>VD 3.0 %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1764</v>
      </c>
      <c r="U2875" s="16" t="n">
        <v>59</v>
      </c>
      <c r="V2875" s="16">
        <f>ROUNDUP((T2875+U2875+2*'Read Me'!$B$13)*(1+'Read Me'!$B$12),-1)</f>
        <v/>
      </c>
      <c r="W2875" s="16">
        <f>V2875*N2875*O2875</f>
        <v/>
      </c>
      <c r="X2875" s="12">
        <f>IF(LEFT(I2875,2)="MV",2*N2875*IF(L2875="1/C",O2875,1),0)</f>
        <v/>
      </c>
      <c r="Y2875" s="12">
        <f>IF(OR(LEFT(K2875,4)="LVAX",LEFT(K2875,6)="MV15AX",LEFT(K2875,4)="CTAX",LEFT(K2875,2)="W|"),2*N2875*O2875,0)</f>
        <v/>
      </c>
      <c r="Z2875" s="12" t="inlineStr">
        <is>
          <t>VD 3.0 %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1764</v>
      </c>
      <c r="U2876" s="16" t="n">
        <v>59</v>
      </c>
      <c r="V2876" s="16">
        <f>ROUNDUP((T2876+U2876+2*'Read Me'!$B$13)*(1+'Read Me'!$B$12),-1)</f>
        <v/>
      </c>
      <c r="W2876" s="16">
        <f>V2876*N2876*O2876</f>
        <v/>
      </c>
      <c r="X2876" s="12">
        <f>IF(LEFT(I2876,2)="MV",2*N2876*IF(L2876="1/C",O2876,1),0)</f>
        <v/>
      </c>
      <c r="Y2876" s="12">
        <f>IF(OR(LEFT(K2876,4)="LVAX",LEFT(K2876,6)="MV15AX",LEFT(K2876,4)="CTAX",LEFT(K2876,2)="W|"),2*N2876*O2876,0)</f>
        <v/>
      </c>
      <c r="Z2876" s="12" t="inlineStr">
        <is>
          <t>VD 3.0 %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1764</v>
      </c>
      <c r="U2877" s="16" t="n">
        <v>59</v>
      </c>
      <c r="V2877" s="16">
        <f>ROUNDUP((T2877+U2877+2*'Read Me'!$B$13)*(1+'Read Me'!$B$12),-1)</f>
        <v/>
      </c>
      <c r="W2877" s="16">
        <f>V2877*N2877*O2877</f>
        <v/>
      </c>
      <c r="X2877" s="12">
        <f>IF(LEFT(I2877,2)="MV",2*N2877*IF(L2877="1/C",O2877,1),0)</f>
        <v/>
      </c>
      <c r="Y2877" s="12">
        <f>IF(OR(LEFT(K2877,4)="LVAX",LEFT(K2877,6)="MV15AX",LEFT(K2877,4)="CTAX",LEFT(K2877,2)="W|"),2*N2877*O2877,0)</f>
        <v/>
      </c>
      <c r="Z2877" s="12" t="inlineStr">
        <is>
          <t>VD 3.0 %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1764</v>
      </c>
      <c r="U2878" s="16" t="n">
        <v>59</v>
      </c>
      <c r="V2878" s="16">
        <f>ROUNDUP((T2878+U2878+2*'Read Me'!$B$13)*(1+'Read Me'!$B$12),-1)</f>
        <v/>
      </c>
      <c r="W2878" s="16">
        <f>V2878*N2878*O2878</f>
        <v/>
      </c>
      <c r="X2878" s="12">
        <f>IF(LEFT(I2878,2)="MV",2*N2878*IF(L2878="1/C",O2878,1),0)</f>
        <v/>
      </c>
      <c r="Y2878" s="12">
        <f>IF(OR(LEFT(K2878,4)="LVAX",LEFT(K2878,6)="MV15AX",LEFT(K2878,4)="CTAX",LEFT(K2878,2)="W|"),2*N2878*O2878,0)</f>
        <v/>
      </c>
      <c r="Z2878" s="12" t="inlineStr">
        <is>
          <t>VD 3.0 %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1764</v>
      </c>
      <c r="U2879" s="16" t="n">
        <v>59</v>
      </c>
      <c r="V2879" s="16">
        <f>ROUNDUP((T2879+U2879+2*'Read Me'!$B$13)*(1+'Read Me'!$B$12),-1)</f>
        <v/>
      </c>
      <c r="W2879" s="16">
        <f>V2879*N2879*O2879</f>
        <v/>
      </c>
      <c r="X2879" s="12">
        <f>IF(LEFT(I2879,2)="MV",2*N2879*IF(L2879="1/C",O2879,1),0)</f>
        <v/>
      </c>
      <c r="Y2879" s="12">
        <f>IF(OR(LEFT(K2879,4)="LVAX",LEFT(K2879,6)="MV15AX",LEFT(K2879,4)="CTAX",LEFT(K2879,2)="W|"),2*N2879*O2879,0)</f>
        <v/>
      </c>
      <c r="Z2879" s="12" t="inlineStr">
        <is>
          <t>VD 3.0 %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1764</v>
      </c>
      <c r="U2880" s="16" t="n">
        <v>59</v>
      </c>
      <c r="V2880" s="16">
        <f>ROUNDUP((T2880+U2880+2*'Read Me'!$B$13)*(1+'Read Me'!$B$12),-1)</f>
        <v/>
      </c>
      <c r="W2880" s="16">
        <f>V2880*N2880*O2880</f>
        <v/>
      </c>
      <c r="X2880" s="12">
        <f>IF(LEFT(I2880,2)="MV",2*N2880*IF(L2880="1/C",O2880,1),0)</f>
        <v/>
      </c>
      <c r="Y2880" s="12">
        <f>IF(OR(LEFT(K2880,4)="LVAX",LEFT(K2880,6)="MV15AX",LEFT(K2880,4)="CTAX",LEFT(K2880,2)="W|"),2*N2880*O2880,0)</f>
        <v/>
      </c>
      <c r="Z2880" s="12" t="inlineStr">
        <is>
          <t>VD 3.0 %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1764</v>
      </c>
      <c r="U2881" s="16" t="n">
        <v>59</v>
      </c>
      <c r="V2881" s="16">
        <f>ROUNDUP((T2881+U2881+2*'Read Me'!$B$13)*(1+'Read Me'!$B$12),-1)</f>
        <v/>
      </c>
      <c r="W2881" s="16">
        <f>V2881*N2881*O2881</f>
        <v/>
      </c>
      <c r="X2881" s="12">
        <f>IF(LEFT(I2881,2)="MV",2*N2881*IF(L2881="1/C",O2881,1),0)</f>
        <v/>
      </c>
      <c r="Y2881" s="12">
        <f>IF(OR(LEFT(K2881,4)="LVAX",LEFT(K2881,6)="MV15AX",LEFT(K2881,4)="CTAX",LEFT(K2881,2)="W|"),2*N2881*O2881,0)</f>
        <v/>
      </c>
      <c r="Z2881" s="12" t="inlineStr">
        <is>
          <t>VD 3.0 %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1764</v>
      </c>
      <c r="U2882" s="16" t="n">
        <v>59</v>
      </c>
      <c r="V2882" s="16">
        <f>ROUNDUP((T2882+U2882+2*'Read Me'!$B$13)*(1+'Read Me'!$B$12),-1)</f>
        <v/>
      </c>
      <c r="W2882" s="16">
        <f>V2882*N2882*O2882</f>
        <v/>
      </c>
      <c r="X2882" s="12">
        <f>IF(LEFT(I2882,2)="MV",2*N2882*IF(L2882="1/C",O2882,1),0)</f>
        <v/>
      </c>
      <c r="Y2882" s="12">
        <f>IF(OR(LEFT(K2882,4)="LVAX",LEFT(K2882,6)="MV15AX",LEFT(K2882,4)="CTAX",LEFT(K2882,2)="W|"),2*N2882*O2882,0)</f>
        <v/>
      </c>
      <c r="Z2882" s="12" t="inlineStr">
        <is>
          <t>VD 3.0 %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1764</v>
      </c>
      <c r="U2883" s="16" t="n">
        <v>59</v>
      </c>
      <c r="V2883" s="16">
        <f>ROUNDUP((T2883+U2883+2*'Read Me'!$B$13)*(1+'Read Me'!$B$12),-1)</f>
        <v/>
      </c>
      <c r="W2883" s="16">
        <f>V2883*N2883*O2883</f>
        <v/>
      </c>
      <c r="X2883" s="12">
        <f>IF(LEFT(I2883,2)="MV",2*N2883*IF(L2883="1/C",O2883,1),0)</f>
        <v/>
      </c>
      <c r="Y2883" s="12">
        <f>IF(OR(LEFT(K2883,4)="LVAX",LEFT(K2883,6)="MV15AX",LEFT(K2883,4)="CTAX",LEFT(K2883,2)="W|"),2*N2883*O2883,0)</f>
        <v/>
      </c>
      <c r="Z2883" s="12" t="inlineStr">
        <is>
          <t>VD 3.0 %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1764</v>
      </c>
      <c r="U2884" s="16" t="n">
        <v>59</v>
      </c>
      <c r="V2884" s="16">
        <f>ROUNDUP((T2884+U2884+2*'Read Me'!$B$13)*(1+'Read Me'!$B$12),-1)</f>
        <v/>
      </c>
      <c r="W2884" s="16">
        <f>V2884*N2884*O2884</f>
        <v/>
      </c>
      <c r="X2884" s="12">
        <f>IF(LEFT(I2884,2)="MV",2*N2884*IF(L2884="1/C",O2884,1),0)</f>
        <v/>
      </c>
      <c r="Y2884" s="12">
        <f>IF(OR(LEFT(K2884,4)="LVAX",LEFT(K2884,6)="MV15AX",LEFT(K2884,4)="CTAX",LEFT(K2884,2)="W|"),2*N2884*O2884,0)</f>
        <v/>
      </c>
      <c r="Z2884" s="12" t="inlineStr">
        <is>
          <t>VD 3.0 %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1764</v>
      </c>
      <c r="U2885" s="16" t="n">
        <v>59</v>
      </c>
      <c r="V2885" s="16">
        <f>ROUNDUP((T2885+U2885+2*'Read Me'!$B$13)*(1+'Read Me'!$B$12),-1)</f>
        <v/>
      </c>
      <c r="W2885" s="16">
        <f>V2885*N2885*O2885</f>
        <v/>
      </c>
      <c r="X2885" s="12">
        <f>IF(LEFT(I2885,2)="MV",2*N2885*IF(L2885="1/C",O2885,1),0)</f>
        <v/>
      </c>
      <c r="Y2885" s="12">
        <f>IF(OR(LEFT(K2885,4)="LVAX",LEFT(K2885,6)="MV15AX",LEFT(K2885,4)="CTAX",LEFT(K2885,2)="W|"),2*N2885*O2885,0)</f>
        <v/>
      </c>
      <c r="Z2885" s="12" t="inlineStr">
        <is>
          <t>VD 3.0 %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1764</v>
      </c>
      <c r="U2886" s="16" t="n">
        <v>59</v>
      </c>
      <c r="V2886" s="16">
        <f>ROUNDUP((T2886+U2886+2*'Read Me'!$B$13)*(1+'Read Me'!$B$12),-1)</f>
        <v/>
      </c>
      <c r="W2886" s="16">
        <f>V2886*N2886*O2886</f>
        <v/>
      </c>
      <c r="X2886" s="12">
        <f>IF(LEFT(I2886,2)="MV",2*N2886*IF(L2886="1/C",O2886,1),0)</f>
        <v/>
      </c>
      <c r="Y2886" s="12">
        <f>IF(OR(LEFT(K2886,4)="LVAX",LEFT(K2886,6)="MV15AX",LEFT(K2886,4)="CTAX",LEFT(K2886,2)="W|"),2*N2886*O2886,0)</f>
        <v/>
      </c>
      <c r="Z2886" s="12" t="inlineStr">
        <is>
          <t>VD 3.0 %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1764</v>
      </c>
      <c r="U2887" s="16" t="n">
        <v>59</v>
      </c>
      <c r="V2887" s="16">
        <f>ROUNDUP((T2887+U2887+2*'Read Me'!$B$13)*(1+'Read Me'!$B$12),-1)</f>
        <v/>
      </c>
      <c r="W2887" s="16">
        <f>V2887*N2887*O2887</f>
        <v/>
      </c>
      <c r="X2887" s="12">
        <f>IF(LEFT(I2887,2)="MV",2*N2887*IF(L2887="1/C",O2887,1),0)</f>
        <v/>
      </c>
      <c r="Y2887" s="12">
        <f>IF(OR(LEFT(K2887,4)="LVAX",LEFT(K2887,6)="MV15AX",LEFT(K2887,4)="CTAX",LEFT(K2887,2)="W|"),2*N2887*O2887,0)</f>
        <v/>
      </c>
      <c r="Z2887" s="12" t="inlineStr">
        <is>
          <t>VD 3.0 %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574</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609</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20</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870</v>
      </c>
      <c r="U2896" s="16" t="n">
        <v>96</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870</v>
      </c>
      <c r="U2897" s="16" t="n">
        <v>96</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845</v>
      </c>
      <c r="U2898" s="16" t="n">
        <v>284</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300</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Estimated</t>
        </is>
      </c>
      <c r="T2900" s="16" t="n">
        <v>1598</v>
      </c>
      <c r="U2900" s="16" t="n">
        <v>40</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1967</v>
      </c>
      <c r="U2901" s="16" t="n">
        <v>59</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1967</v>
      </c>
      <c r="U2902" s="16" t="n">
        <v>59</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Conduit link</t>
        </is>
      </c>
      <c r="T2903" s="16" t="n">
        <v>69</v>
      </c>
      <c r="U2903" s="16" t="n">
        <v>77</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20</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300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Conduit link</t>
        </is>
      </c>
      <c r="T2907" s="16" t="n">
        <v>69</v>
      </c>
      <c r="U2907" s="16" t="n">
        <v>77</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574</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609</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20</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300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Conduit link</t>
        </is>
      </c>
      <c r="T2913" s="16" t="n">
        <v>69</v>
      </c>
      <c r="U2913" s="16" t="n">
        <v>77</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574</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574</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574</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609</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609</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609</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326</v>
      </c>
      <c r="U2921" s="16" t="n">
        <v>32</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326</v>
      </c>
      <c r="U2923" s="16" t="n">
        <v>32</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1397</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1397</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975</v>
      </c>
      <c r="U2928" s="16" t="n">
        <v>154</v>
      </c>
      <c r="V2928" s="16">
        <f>ROUNDUP((T2928+U2928+2*'Read Me'!$B$13)*(1+'Read Me'!$B$12),-1)</f>
        <v/>
      </c>
      <c r="W2928" s="16">
        <f>V2928*N2928*O2928</f>
        <v/>
      </c>
      <c r="X2928" s="12">
        <f>IF(LEFT(I2928,2)="MV",2*N2928*IF(L2928="1/C",O2928,1),0)</f>
        <v/>
      </c>
      <c r="Y2928" s="12">
        <f>IF(OR(LEFT(K2928,4)="LVAX",LEFT(K2928,6)="MV15AX",LEFT(K2928,4)="CTAX",LEFT(K2928,2)="W|"),2*N2928*O2928,0)</f>
        <v/>
      </c>
      <c r="Z2928" s="12" t="inlineStr">
        <is>
          <t>VD 2.0 %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1098</v>
      </c>
      <c r="U2929" s="16" t="n">
        <v>59</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999</v>
      </c>
      <c r="U2930" s="16" t="n">
        <v>89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LV|3/C+G|4</t>
        </is>
      </c>
      <c r="L2931" s="12" t="inlineStr">
        <is>
          <t>3/C+G</t>
        </is>
      </c>
      <c r="M2931" s="12" t="inlineStr">
        <is>
          <t>4</t>
        </is>
      </c>
      <c r="N2931" s="12" t="n">
        <v>1</v>
      </c>
      <c r="O2931" s="12" t="n">
        <v>1</v>
      </c>
      <c r="P2931" s="12" t="n">
        <v>480</v>
      </c>
      <c r="Q2931" s="12" t="n">
        <v>15</v>
      </c>
      <c r="R2931" s="12" t="n">
        <v>21.2</v>
      </c>
      <c r="S2931" s="12" t="inlineStr">
        <is>
          <t>Tray</t>
        </is>
      </c>
      <c r="T2931" s="16" t="n">
        <v>1034</v>
      </c>
      <c r="U2931" s="16" t="n">
        <v>92</v>
      </c>
      <c r="V2931" s="16">
        <f>ROUNDUP((T2931+U2931+2*'Read Me'!$B$13)*(1+'Read Me'!$B$12),-1)</f>
        <v/>
      </c>
      <c r="W2931" s="16">
        <f>V2931*N2931*O2931</f>
        <v/>
      </c>
      <c r="X2931" s="12">
        <f>IF(LEFT(I2931,2)="MV",2*N2931*IF(L2931="1/C",O2931,1),0)</f>
        <v/>
      </c>
      <c r="Y2931" s="12">
        <f>IF(OR(LEFT(K2931,4)="LVAX",LEFT(K2931,6)="MV15AX",LEFT(K2931,4)="CTAX",LEFT(K2931,2)="W|"),2*N2931*O2931,0)</f>
        <v/>
      </c>
      <c r="Z2931" s="12" t="inlineStr">
        <is>
          <t>VD 2.9 %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1185</v>
      </c>
      <c r="U2932" s="16" t="n">
        <v>59</v>
      </c>
      <c r="V2932" s="16">
        <f>ROUNDUP((T2932+U2932+2*'Read Me'!$B$13)*(1+'Read Me'!$B$12),-1)</f>
        <v/>
      </c>
      <c r="W2932" s="16">
        <f>V2932*N2932*O2932</f>
        <v/>
      </c>
      <c r="X2932" s="12">
        <f>IF(LEFT(I2932,2)="MV",2*N2932*IF(L2932="1/C",O2932,1),0)</f>
        <v/>
      </c>
      <c r="Y2932" s="12">
        <f>IF(OR(LEFT(K2932,4)="LVAX",LEFT(K2932,6)="MV15AX",LEFT(K2932,4)="CTAX",LEFT(K2932,2)="W|"),2*N2932*O2932,0)</f>
        <v/>
      </c>
      <c r="Z2932" s="12" t="inlineStr">
        <is>
          <t>VD 2.6 %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870</v>
      </c>
      <c r="U2933" s="16" t="n">
        <v>96</v>
      </c>
      <c r="V2933" s="16">
        <f>ROUNDUP((T2933+U2933+2*'Read Me'!$B$13)*(1+'Read Me'!$B$12),-1)</f>
        <v/>
      </c>
      <c r="W2933" s="16">
        <f>V2933*N2933*O2933</f>
        <v/>
      </c>
      <c r="X2933" s="12">
        <f>IF(LEFT(I2933,2)="MV",2*N2933*IF(L2933="1/C",O2933,1),0)</f>
        <v/>
      </c>
      <c r="Y2933" s="12">
        <f>IF(OR(LEFT(K2933,4)="LVAX",LEFT(K2933,6)="MV15AX",LEFT(K2933,4)="CTAX",LEFT(K2933,2)="W|"),2*N2933*O2933,0)</f>
        <v/>
      </c>
      <c r="Z2933" s="12" t="inlineStr">
        <is>
          <t>VD 2.9 %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870</v>
      </c>
      <c r="U2934" s="16" t="n">
        <v>96</v>
      </c>
      <c r="V2934" s="16">
        <f>ROUNDUP((T2934+U2934+2*'Read Me'!$B$13)*(1+'Read Me'!$B$12),-1)</f>
        <v/>
      </c>
      <c r="W2934" s="16">
        <f>V2934*N2934*O2934</f>
        <v/>
      </c>
      <c r="X2934" s="12">
        <f>IF(LEFT(I2934,2)="MV",2*N2934*IF(L2934="1/C",O2934,1),0)</f>
        <v/>
      </c>
      <c r="Y2934" s="12">
        <f>IF(OR(LEFT(K2934,4)="LVAX",LEFT(K2934,6)="MV15AX",LEFT(K2934,4)="CTAX",LEFT(K2934,2)="W|"),2*N2934*O2934,0)</f>
        <v/>
      </c>
      <c r="Z2934" s="12" t="inlineStr">
        <is>
          <t>VD 2.9 %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LV|3/C+G|3/0</t>
        </is>
      </c>
      <c r="L2935" s="12" t="inlineStr">
        <is>
          <t>3/C+G</t>
        </is>
      </c>
      <c r="M2935" s="12" t="inlineStr">
        <is>
          <t>3/0</t>
        </is>
      </c>
      <c r="N2935" s="12" t="n">
        <v>1</v>
      </c>
      <c r="O2935" s="12" t="n">
        <v>1</v>
      </c>
      <c r="P2935" s="12" t="n">
        <v>480</v>
      </c>
      <c r="Q2935" s="12" t="n">
        <v>60</v>
      </c>
      <c r="R2935" s="12" t="n">
        <v>84.90000000000001</v>
      </c>
      <c r="S2935" s="12" t="inlineStr">
        <is>
          <t>Tray</t>
        </is>
      </c>
      <c r="T2935" s="16" t="n">
        <v>870</v>
      </c>
      <c r="U2935" s="16" t="n">
        <v>59</v>
      </c>
      <c r="V2935" s="16">
        <f>ROUNDUP((T2935+U2935+2*'Read Me'!$B$13)*(1+'Read Me'!$B$12),-1)</f>
        <v/>
      </c>
      <c r="W2935" s="16">
        <f>V2935*N2935*O2935</f>
        <v/>
      </c>
      <c r="X2935" s="12">
        <f>IF(LEFT(I2935,2)="MV",2*N2935*IF(L2935="1/C",O2935,1),0)</f>
        <v/>
      </c>
      <c r="Y2935" s="12">
        <f>IF(OR(LEFT(K2935,4)="LVAX",LEFT(K2935,6)="MV15AX",LEFT(K2935,4)="CTAX",LEFT(K2935,2)="W|"),2*N2935*O2935,0)</f>
        <v/>
      </c>
      <c r="Z2935" s="12" t="inlineStr">
        <is>
          <t>VD 2.4 %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1967</v>
      </c>
      <c r="U2937" s="16" t="n">
        <v>59</v>
      </c>
      <c r="V2937" s="16">
        <f>ROUNDUP((T2937+U2937+2*'Read Me'!$B$13)*(1+'Read Me'!$B$12),-1)</f>
        <v/>
      </c>
      <c r="W2937" s="16">
        <f>V2937*N2937*O2937</f>
        <v/>
      </c>
      <c r="X2937" s="12">
        <f>IF(LEFT(I2937,2)="MV",2*N2937*IF(L2937="1/C",O2937,1),0)</f>
        <v/>
      </c>
      <c r="Y2937" s="12">
        <f>IF(OR(LEFT(K2937,4)="LVAX",LEFT(K2937,6)="MV15AX",LEFT(K2937,4)="CTAX",LEFT(K2937,2)="W|"),2*N2937*O2937,0)</f>
        <v/>
      </c>
      <c r="Z2937" s="12" t="inlineStr">
        <is>
          <t>VD 2.2 %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1967</v>
      </c>
      <c r="U2938" s="16" t="n">
        <v>59</v>
      </c>
      <c r="V2938" s="16">
        <f>ROUNDUP((T2938+U2938+2*'Read Me'!$B$13)*(1+'Read Me'!$B$12),-1)</f>
        <v/>
      </c>
      <c r="W2938" s="16">
        <f>V2938*N2938*O2938</f>
        <v/>
      </c>
      <c r="X2938" s="12">
        <f>IF(LEFT(I2938,2)="MV",2*N2938*IF(L2938="1/C",O2938,1),0)</f>
        <v/>
      </c>
      <c r="Y2938" s="12">
        <f>IF(OR(LEFT(K2938,4)="LVAX",LEFT(K2938,6)="MV15AX",LEFT(K2938,4)="CTAX",LEFT(K2938,2)="W|"),2*N2938*O2938,0)</f>
        <v/>
      </c>
      <c r="Z2938" s="12" t="inlineStr">
        <is>
          <t>VD 2.2 %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870</v>
      </c>
      <c r="U2939" s="16" t="n">
        <v>118</v>
      </c>
      <c r="V2939" s="16">
        <f>ROUNDUP((T2939+U2939+2*'Read Me'!$B$13)*(1+'Read Me'!$B$12),-1)</f>
        <v/>
      </c>
      <c r="W2939" s="16">
        <f>V2939*N2939*O2939</f>
        <v/>
      </c>
      <c r="X2939" s="12">
        <f>IF(LEFT(I2939,2)="MV",2*N2939*IF(L2939="1/C",O2939,1),0)</f>
        <v/>
      </c>
      <c r="Y2939" s="12">
        <f>IF(OR(LEFT(K2939,4)="LVAX",LEFT(K2939,6)="MV15AX",LEFT(K2939,4)="CTAX",LEFT(K2939,2)="W|"),2*N2939*O2939,0)</f>
        <v/>
      </c>
      <c r="Z2939" s="12" t="inlineStr">
        <is>
          <t>VD 2.9 %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624</v>
      </c>
      <c r="U2943" s="16" t="n">
        <v>50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624</v>
      </c>
      <c r="U2944" s="16" t="n">
        <v>50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624</v>
      </c>
      <c r="U2945" s="16" t="n">
        <v>50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624</v>
      </c>
      <c r="U2946" s="16" t="n">
        <v>50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624</v>
      </c>
      <c r="U2947" s="16" t="n">
        <v>50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624</v>
      </c>
      <c r="U2948" s="16" t="n">
        <v>50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624</v>
      </c>
      <c r="U2949" s="16" t="n">
        <v>50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624</v>
      </c>
      <c r="U2950" s="16" t="n">
        <v>50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624</v>
      </c>
      <c r="U2951" s="16" t="n">
        <v>50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624</v>
      </c>
      <c r="U2952" s="16" t="n">
        <v>50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606</v>
      </c>
      <c r="U2953" s="16" t="n">
        <v>51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606</v>
      </c>
      <c r="U2954" s="16" t="n">
        <v>51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464</v>
      </c>
      <c r="U2955" s="16" t="n">
        <v>50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464</v>
      </c>
      <c r="U2956" s="16" t="n">
        <v>50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464</v>
      </c>
      <c r="U2957" s="16" t="n">
        <v>50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464</v>
      </c>
      <c r="U2958" s="16" t="n">
        <v>50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464</v>
      </c>
      <c r="U2959" s="16" t="n">
        <v>50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464</v>
      </c>
      <c r="U2960" s="16" t="n">
        <v>50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464</v>
      </c>
      <c r="U2961" s="16" t="n">
        <v>50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464</v>
      </c>
      <c r="U2962" s="16" t="n">
        <v>50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464</v>
      </c>
      <c r="U2963" s="16" t="n">
        <v>50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464</v>
      </c>
      <c r="U2964" s="16" t="n">
        <v>50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446</v>
      </c>
      <c r="U2965" s="16" t="n">
        <v>51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446</v>
      </c>
      <c r="U2966" s="16" t="n">
        <v>51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304</v>
      </c>
      <c r="U2967" s="16" t="n">
        <v>50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304</v>
      </c>
      <c r="U2968" s="16" t="n">
        <v>50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304</v>
      </c>
      <c r="U2969" s="16" t="n">
        <v>50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304</v>
      </c>
      <c r="U2970" s="16" t="n">
        <v>50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304</v>
      </c>
      <c r="U2971" s="16" t="n">
        <v>50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304</v>
      </c>
      <c r="U2972" s="16" t="n">
        <v>50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304</v>
      </c>
      <c r="U2973" s="16" t="n">
        <v>50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304</v>
      </c>
      <c r="U2974" s="16" t="n">
        <v>50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304</v>
      </c>
      <c r="U2975" s="16" t="n">
        <v>50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304</v>
      </c>
      <c r="U2976" s="16" t="n">
        <v>50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199</v>
      </c>
      <c r="U2977" s="16" t="n">
        <v>138</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199</v>
      </c>
      <c r="U2978" s="16" t="n">
        <v>138</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140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140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Duct bank</t>
        </is>
      </c>
      <c r="T2989" s="16" t="n">
        <v>140</v>
      </c>
      <c r="U2989" s="16" t="n">
        <v>32</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6" t="n">
        <v>140</v>
      </c>
      <c r="U2990" s="16" t="n">
        <v>32</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360</v>
      </c>
      <c r="U2993" s="16" t="n">
        <v>34</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360</v>
      </c>
      <c r="U2994" s="16" t="n">
        <v>34</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360</v>
      </c>
      <c r="U2995" s="16" t="n">
        <v>34</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360</v>
      </c>
      <c r="U2996" s="16" t="n">
        <v>34</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360</v>
      </c>
      <c r="U2997" s="16" t="n">
        <v>34</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360</v>
      </c>
      <c r="U2998" s="16" t="n">
        <v>34</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410</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410</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410</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410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410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410</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48</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48</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48</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48</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48</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48</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48</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48</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48</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48</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48</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48</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48</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48</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48</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48</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48</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48</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48</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48</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48</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48</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48</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48</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48</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48</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48</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48</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48</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48</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Conduit link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Conduit link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Conduit link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Conduit link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Conduit link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Conduit link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569</v>
      </c>
      <c r="U3072" s="16" t="n">
        <v>134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569</v>
      </c>
      <c r="U3073" s="16" t="n">
        <v>134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469</v>
      </c>
      <c r="U3074" s="16" t="n">
        <v>92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469</v>
      </c>
      <c r="U3075" s="16" t="n">
        <v>92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249</v>
      </c>
      <c r="U3076" s="16" t="n">
        <v>134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249</v>
      </c>
      <c r="U3077" s="16" t="n">
        <v>134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Estimated</t>
        </is>
      </c>
      <c r="T3078" s="16" t="n">
        <v>702</v>
      </c>
      <c r="U3078" s="16" t="n">
        <v>40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Estimated</t>
        </is>
      </c>
      <c r="T3079" s="16" t="n">
        <v>702</v>
      </c>
      <c r="U3079" s="16" t="n">
        <v>40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Estimated</t>
        </is>
      </c>
      <c r="T3080" s="16" t="n">
        <v>542</v>
      </c>
      <c r="U3080" s="16" t="n">
        <v>40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Estimated</t>
        </is>
      </c>
      <c r="T3081" s="16" t="n">
        <v>542</v>
      </c>
      <c r="U3081" s="16" t="n">
        <v>40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Estimated</t>
        </is>
      </c>
      <c r="T3082" s="16" t="n">
        <v>382</v>
      </c>
      <c r="U3082" s="16" t="n">
        <v>40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Estimated</t>
        </is>
      </c>
      <c r="T3083" s="16" t="n">
        <v>382</v>
      </c>
      <c r="U3083" s="16" t="n">
        <v>40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Conduit link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Conduit link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Conduit link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Conduit link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519</v>
      </c>
      <c r="U3120" s="16" t="n">
        <v>66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519</v>
      </c>
      <c r="U3121" s="16" t="n">
        <v>66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359</v>
      </c>
      <c r="U3122" s="16" t="n">
        <v>66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359</v>
      </c>
      <c r="U3123" s="16" t="n">
        <v>66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199</v>
      </c>
      <c r="U3124" s="16" t="n">
        <v>66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199</v>
      </c>
      <c r="U3125" s="16" t="n">
        <v>66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Estimated</t>
        </is>
      </c>
      <c r="T3126" s="16" t="n">
        <v>1833</v>
      </c>
      <c r="U3126" s="16" t="n">
        <v>40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Estimated</t>
        </is>
      </c>
      <c r="T3127" s="16" t="n">
        <v>1576</v>
      </c>
      <c r="U3127" s="16" t="n">
        <v>40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Estimated</t>
        </is>
      </c>
      <c r="T3128" s="16" t="n">
        <v>2530</v>
      </c>
      <c r="U3128" s="16" t="n">
        <v>40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666</v>
      </c>
      <c r="U3131" s="16" t="n">
        <v>236</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973</v>
      </c>
      <c r="U3133" s="16" t="n">
        <v>119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973</v>
      </c>
      <c r="U3135" s="16" t="n">
        <v>119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973</v>
      </c>
      <c r="U3137" s="16" t="n">
        <v>119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973</v>
      </c>
      <c r="U3139" s="16" t="n">
        <v>119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973</v>
      </c>
      <c r="U3141" s="16" t="n">
        <v>119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955</v>
      </c>
      <c r="U3143" s="16" t="n">
        <v>120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955</v>
      </c>
      <c r="U3145" s="16" t="n">
        <v>120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813</v>
      </c>
      <c r="U3147" s="16" t="n">
        <v>119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813</v>
      </c>
      <c r="U3149" s="16" t="n">
        <v>119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813</v>
      </c>
      <c r="U3151" s="16" t="n">
        <v>119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813</v>
      </c>
      <c r="U3153" s="16" t="n">
        <v>119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813</v>
      </c>
      <c r="U3155" s="16" t="n">
        <v>119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795</v>
      </c>
      <c r="U3157" s="16" t="n">
        <v>120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795</v>
      </c>
      <c r="U3159" s="16" t="n">
        <v>120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653</v>
      </c>
      <c r="U3161" s="16" t="n">
        <v>119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653</v>
      </c>
      <c r="U3163" s="16" t="n">
        <v>119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653</v>
      </c>
      <c r="U3165" s="16" t="n">
        <v>119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653</v>
      </c>
      <c r="U3167" s="16" t="n">
        <v>119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653</v>
      </c>
      <c r="U3169" s="16" t="n">
        <v>119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635</v>
      </c>
      <c r="U3171" s="16" t="n">
        <v>120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635</v>
      </c>
      <c r="U3173" s="16" t="n">
        <v>120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871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871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871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871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871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711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711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711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711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711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419</v>
      </c>
      <c r="U3199" s="16" t="n">
        <v>189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419</v>
      </c>
      <c r="U3201" s="16" t="n">
        <v>189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419</v>
      </c>
      <c r="U3203" s="16" t="n">
        <v>189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419</v>
      </c>
      <c r="U3205" s="16" t="n">
        <v>189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419</v>
      </c>
      <c r="U3207" s="16" t="n">
        <v>189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666</v>
      </c>
      <c r="U3217" s="16" t="n">
        <v>176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666</v>
      </c>
      <c r="U3219" s="16" t="n">
        <v>176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948</v>
      </c>
      <c r="U3221" s="16" t="n">
        <v>117</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948</v>
      </c>
      <c r="U3223" s="16" t="n">
        <v>117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948</v>
      </c>
      <c r="U3225" s="16" t="n">
        <v>117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948</v>
      </c>
      <c r="U3227" s="16" t="n">
        <v>117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948</v>
      </c>
      <c r="U3229" s="16" t="n">
        <v>117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918</v>
      </c>
      <c r="U3295" s="16" t="n">
        <v>203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918</v>
      </c>
      <c r="U3297" s="16" t="n">
        <v>203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118</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871</v>
      </c>
      <c r="U3299" s="16" t="n">
        <v>128</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118</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871</v>
      </c>
      <c r="U3301" s="16" t="n">
        <v>128</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818</v>
      </c>
      <c r="U3303" s="16" t="n">
        <v>161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818</v>
      </c>
      <c r="U3305" s="16" t="n">
        <v>161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118</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711</v>
      </c>
      <c r="U3307" s="16" t="n">
        <v>128</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118</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711</v>
      </c>
      <c r="U3309" s="16" t="n">
        <v>128</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598</v>
      </c>
      <c r="U3311" s="16" t="n">
        <v>203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598</v>
      </c>
      <c r="U3313" s="16" t="n">
        <v>203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118</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551</v>
      </c>
      <c r="U3315" s="16" t="n">
        <v>128</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118</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551</v>
      </c>
      <c r="U3317" s="16" t="n">
        <v>128</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Estimated</t>
        </is>
      </c>
      <c r="T3319" s="16" t="n">
        <v>960</v>
      </c>
      <c r="U3319" s="16" t="n">
        <v>40</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Estimated</t>
        </is>
      </c>
      <c r="T3321" s="16" t="n">
        <v>960</v>
      </c>
      <c r="U3321" s="16" t="n">
        <v>40</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Estimated</t>
        </is>
      </c>
      <c r="T3323" s="16" t="n">
        <v>800</v>
      </c>
      <c r="U3323" s="16" t="n">
        <v>40</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Estimated</t>
        </is>
      </c>
      <c r="T3325" s="16" t="n">
        <v>800</v>
      </c>
      <c r="U3325" s="16" t="n">
        <v>40</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Estimated</t>
        </is>
      </c>
      <c r="T3327" s="16" t="n">
        <v>640</v>
      </c>
      <c r="U3327" s="16" t="n">
        <v>40</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Estimated</t>
        </is>
      </c>
      <c r="T3329" s="16" t="n">
        <v>640</v>
      </c>
      <c r="U3329" s="16" t="n">
        <v>40</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868</v>
      </c>
      <c r="U3347" s="16" t="n">
        <v>151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868</v>
      </c>
      <c r="U3349" s="16" t="n">
        <v>151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868</v>
      </c>
      <c r="U3351" s="16" t="n">
        <v>151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868</v>
      </c>
      <c r="U3353" s="16" t="n">
        <v>151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708</v>
      </c>
      <c r="U3355" s="16" t="n">
        <v>151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708</v>
      </c>
      <c r="U3357" s="16" t="n">
        <v>151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708</v>
      </c>
      <c r="U3359" s="16" t="n">
        <v>151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708</v>
      </c>
      <c r="U3361" s="16" t="n">
        <v>151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868</v>
      </c>
      <c r="U3405" s="16" t="n">
        <v>135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868</v>
      </c>
      <c r="U3407" s="16" t="n">
        <v>135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708</v>
      </c>
      <c r="U3409" s="16" t="n">
        <v>135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708</v>
      </c>
      <c r="U3411" s="16" t="n">
        <v>135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548</v>
      </c>
      <c r="U3413" s="16" t="n">
        <v>135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548</v>
      </c>
      <c r="U3415" s="16" t="n">
        <v>135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624</v>
      </c>
      <c r="U3416" s="16" t="n">
        <v>50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624</v>
      </c>
      <c r="U3417" s="16" t="n">
        <v>50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624</v>
      </c>
      <c r="U3418" s="16" t="n">
        <v>50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624</v>
      </c>
      <c r="U3419" s="16" t="n">
        <v>50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624</v>
      </c>
      <c r="U3420" s="16" t="n">
        <v>50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624</v>
      </c>
      <c r="U3421" s="16" t="n">
        <v>50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624</v>
      </c>
      <c r="U3422" s="16" t="n">
        <v>50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624</v>
      </c>
      <c r="U3423" s="16" t="n">
        <v>50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624</v>
      </c>
      <c r="U3424" s="16" t="n">
        <v>50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624</v>
      </c>
      <c r="U3425" s="16" t="n">
        <v>50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624</v>
      </c>
      <c r="U3426" s="16" t="n">
        <v>50</v>
      </c>
      <c r="V3426" s="16">
        <f>ROUNDUP((T3426+U3426+2*'Read Me'!$B$13)*(1+'Read Me'!$B$12),-1)</f>
        <v/>
      </c>
      <c r="W3426" s="16">
        <f>V3426*N3426*O3426</f>
        <v/>
      </c>
      <c r="X3426" s="12">
        <f>IF(LEFT(I3426,2)="MV",2*N3426*IF(L3426="1/C",O3426,1),0)</f>
        <v/>
      </c>
      <c r="Y3426" s="12">
        <f>IF(OR(LEFT(K3426,4)="LVAX",LEFT(K3426,6)="MV15AX",LEFT(K3426,4)="CTAX",LEFT(K3426,2)="W|"),2*N3426*O3426,0)</f>
        <v/>
      </c>
      <c r="Z3426" s="12" t="inlineStr">
        <is>
          <t>VD 2.9 %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924</v>
      </c>
      <c r="U3427" s="16" t="n">
        <v>50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924</v>
      </c>
      <c r="U3428" s="16" t="n">
        <v>50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924</v>
      </c>
      <c r="U3429" s="16" t="n">
        <v>50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624</v>
      </c>
      <c r="U3430" s="16" t="n">
        <v>50</v>
      </c>
      <c r="V3430" s="16">
        <f>ROUNDUP((T3430+U3430+2*'Read Me'!$B$13)*(1+'Read Me'!$B$12),-1)</f>
        <v/>
      </c>
      <c r="W3430" s="16">
        <f>V3430*N3430*O3430</f>
        <v/>
      </c>
      <c r="X3430" s="12">
        <f>IF(LEFT(I3430,2)="MV",2*N3430*IF(L3430="1/C",O3430,1),0)</f>
        <v/>
      </c>
      <c r="Y3430" s="12">
        <f>IF(OR(LEFT(K3430,4)="LVAX",LEFT(K3430,6)="MV15AX",LEFT(K3430,4)="CTAX",LEFT(K3430,2)="W|"),2*N3430*O3430,0)</f>
        <v/>
      </c>
      <c r="Z3430" s="12" t="inlineStr">
        <is>
          <t>VD 2.5 %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624</v>
      </c>
      <c r="U3431" s="16" t="n">
        <v>50</v>
      </c>
      <c r="V3431" s="16">
        <f>ROUNDUP((T3431+U3431+2*'Read Me'!$B$13)*(1+'Read Me'!$B$12),-1)</f>
        <v/>
      </c>
      <c r="W3431" s="16">
        <f>V3431*N3431*O3431</f>
        <v/>
      </c>
      <c r="X3431" s="12">
        <f>IF(LEFT(I3431,2)="MV",2*N3431*IF(L3431="1/C",O3431,1),0)</f>
        <v/>
      </c>
      <c r="Y3431" s="12">
        <f>IF(OR(LEFT(K3431,4)="LVAX",LEFT(K3431,6)="MV15AX",LEFT(K3431,4)="CTAX",LEFT(K3431,2)="W|"),2*N3431*O3431,0)</f>
        <v/>
      </c>
      <c r="Z3431" s="12" t="inlineStr">
        <is>
          <t>VD 2.5 %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624</v>
      </c>
      <c r="U3432" s="16" t="n">
        <v>50</v>
      </c>
      <c r="V3432" s="16">
        <f>ROUNDUP((T3432+U3432+2*'Read Me'!$B$13)*(1+'Read Me'!$B$12),-1)</f>
        <v/>
      </c>
      <c r="W3432" s="16">
        <f>V3432*N3432*O3432</f>
        <v/>
      </c>
      <c r="X3432" s="12">
        <f>IF(LEFT(I3432,2)="MV",2*N3432*IF(L3432="1/C",O3432,1),0)</f>
        <v/>
      </c>
      <c r="Y3432" s="12">
        <f>IF(OR(LEFT(K3432,4)="LVAX",LEFT(K3432,6)="MV15AX",LEFT(K3432,4)="CTAX",LEFT(K3432,2)="W|"),2*N3432*O3432,0)</f>
        <v/>
      </c>
      <c r="Z3432" s="12" t="inlineStr">
        <is>
          <t>VD 2.5 %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624</v>
      </c>
      <c r="U3433" s="16" t="n">
        <v>50</v>
      </c>
      <c r="V3433" s="16">
        <f>ROUNDUP((T3433+U3433+2*'Read Me'!$B$13)*(1+'Read Me'!$B$12),-1)</f>
        <v/>
      </c>
      <c r="W3433" s="16">
        <f>V3433*N3433*O3433</f>
        <v/>
      </c>
      <c r="X3433" s="12">
        <f>IF(LEFT(I3433,2)="MV",2*N3433*IF(L3433="1/C",O3433,1),0)</f>
        <v/>
      </c>
      <c r="Y3433" s="12">
        <f>IF(OR(LEFT(K3433,4)="LVAX",LEFT(K3433,6)="MV15AX",LEFT(K3433,4)="CTAX",LEFT(K3433,2)="W|"),2*N3433*O3433,0)</f>
        <v/>
      </c>
      <c r="Z3433" s="12" t="inlineStr">
        <is>
          <t>VD 2.5 %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606</v>
      </c>
      <c r="U3434" s="16" t="n">
        <v>51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606</v>
      </c>
      <c r="U3435" s="16" t="n">
        <v>51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464</v>
      </c>
      <c r="U3436" s="16" t="n">
        <v>50</v>
      </c>
      <c r="V3436" s="16">
        <f>ROUNDUP((T3436+U3436+2*'Read Me'!$B$13)*(1+'Read Me'!$B$12),-1)</f>
        <v/>
      </c>
      <c r="W3436" s="16">
        <f>V3436*N3436*O3436</f>
        <v/>
      </c>
      <c r="X3436" s="12">
        <f>IF(LEFT(I3436,2)="MV",2*N3436*IF(L3436="1/C",O3436,1),0)</f>
        <v/>
      </c>
      <c r="Y3436" s="12">
        <f>IF(OR(LEFT(K3436,4)="LVAX",LEFT(K3436,6)="MV15AX",LEFT(K3436,4)="CTAX",LEFT(K3436,2)="W|"),2*N3436*O3436,0)</f>
        <v/>
      </c>
      <c r="Z3436" s="12" t="inlineStr">
        <is>
          <t>VD 0.9 %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464</v>
      </c>
      <c r="U3437" s="16" t="n">
        <v>50</v>
      </c>
      <c r="V3437" s="16">
        <f>ROUNDUP((T3437+U3437+2*'Read Me'!$B$13)*(1+'Read Me'!$B$12),-1)</f>
        <v/>
      </c>
      <c r="W3437" s="16">
        <f>V3437*N3437*O3437</f>
        <v/>
      </c>
      <c r="X3437" s="12">
        <f>IF(LEFT(I3437,2)="MV",2*N3437*IF(L3437="1/C",O3437,1),0)</f>
        <v/>
      </c>
      <c r="Y3437" s="12">
        <f>IF(OR(LEFT(K3437,4)="LVAX",LEFT(K3437,6)="MV15AX",LEFT(K3437,4)="CTAX",LEFT(K3437,2)="W|"),2*N3437*O3437,0)</f>
        <v/>
      </c>
      <c r="Z3437" s="12" t="inlineStr">
        <is>
          <t>VD 0.9 %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464</v>
      </c>
      <c r="U3438" s="16" t="n">
        <v>50</v>
      </c>
      <c r="V3438" s="16">
        <f>ROUNDUP((T3438+U3438+2*'Read Me'!$B$13)*(1+'Read Me'!$B$12),-1)</f>
        <v/>
      </c>
      <c r="W3438" s="16">
        <f>V3438*N3438*O3438</f>
        <v/>
      </c>
      <c r="X3438" s="12">
        <f>IF(LEFT(I3438,2)="MV",2*N3438*IF(L3438="1/C",O3438,1),0)</f>
        <v/>
      </c>
      <c r="Y3438" s="12">
        <f>IF(OR(LEFT(K3438,4)="LVAX",LEFT(K3438,6)="MV15AX",LEFT(K3438,4)="CTAX",LEFT(K3438,2)="W|"),2*N3438*O3438,0)</f>
        <v/>
      </c>
      <c r="Z3438" s="12" t="inlineStr">
        <is>
          <t>VD 0.9 %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464</v>
      </c>
      <c r="U3439" s="16" t="n">
        <v>50</v>
      </c>
      <c r="V3439" s="16">
        <f>ROUNDUP((T3439+U3439+2*'Read Me'!$B$13)*(1+'Read Me'!$B$12),-1)</f>
        <v/>
      </c>
      <c r="W3439" s="16">
        <f>V3439*N3439*O3439</f>
        <v/>
      </c>
      <c r="X3439" s="12">
        <f>IF(LEFT(I3439,2)="MV",2*N3439*IF(L3439="1/C",O3439,1),0)</f>
        <v/>
      </c>
      <c r="Y3439" s="12">
        <f>IF(OR(LEFT(K3439,4)="LVAX",LEFT(K3439,6)="MV15AX",LEFT(K3439,4)="CTAX",LEFT(K3439,2)="W|"),2*N3439*O3439,0)</f>
        <v/>
      </c>
      <c r="Z3439" s="12" t="inlineStr">
        <is>
          <t>VD 0.9 %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464</v>
      </c>
      <c r="U3440" s="16" t="n">
        <v>50</v>
      </c>
      <c r="V3440" s="16">
        <f>ROUNDUP((T3440+U3440+2*'Read Me'!$B$13)*(1+'Read Me'!$B$12),-1)</f>
        <v/>
      </c>
      <c r="W3440" s="16">
        <f>V3440*N3440*O3440</f>
        <v/>
      </c>
      <c r="X3440" s="12">
        <f>IF(LEFT(I3440,2)="MV",2*N3440*IF(L3440="1/C",O3440,1),0)</f>
        <v/>
      </c>
      <c r="Y3440" s="12">
        <f>IF(OR(LEFT(K3440,4)="LVAX",LEFT(K3440,6)="MV15AX",LEFT(K3440,4)="CTAX",LEFT(K3440,2)="W|"),2*N3440*O3440,0)</f>
        <v/>
      </c>
      <c r="Z3440" s="12" t="inlineStr">
        <is>
          <t>VD 0.9 %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464</v>
      </c>
      <c r="U3441" s="16" t="n">
        <v>50</v>
      </c>
      <c r="V3441" s="16">
        <f>ROUNDUP((T3441+U3441+2*'Read Me'!$B$13)*(1+'Read Me'!$B$12),-1)</f>
        <v/>
      </c>
      <c r="W3441" s="16">
        <f>V3441*N3441*O3441</f>
        <v/>
      </c>
      <c r="X3441" s="12">
        <f>IF(LEFT(I3441,2)="MV",2*N3441*IF(L3441="1/C",O3441,1),0)</f>
        <v/>
      </c>
      <c r="Y3441" s="12">
        <f>IF(OR(LEFT(K3441,4)="LVAX",LEFT(K3441,6)="MV15AX",LEFT(K3441,4)="CTAX",LEFT(K3441,2)="W|"),2*N3441*O3441,0)</f>
        <v/>
      </c>
      <c r="Z3441" s="12" t="inlineStr">
        <is>
          <t>VD 0.9 %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464</v>
      </c>
      <c r="U3442" s="16" t="n">
        <v>50</v>
      </c>
      <c r="V3442" s="16">
        <f>ROUNDUP((T3442+U3442+2*'Read Me'!$B$13)*(1+'Read Me'!$B$12),-1)</f>
        <v/>
      </c>
      <c r="W3442" s="16">
        <f>V3442*N3442*O3442</f>
        <v/>
      </c>
      <c r="X3442" s="12">
        <f>IF(LEFT(I3442,2)="MV",2*N3442*IF(L3442="1/C",O3442,1),0)</f>
        <v/>
      </c>
      <c r="Y3442" s="12">
        <f>IF(OR(LEFT(K3442,4)="LVAX",LEFT(K3442,6)="MV15AX",LEFT(K3442,4)="CTAX",LEFT(K3442,2)="W|"),2*N3442*O3442,0)</f>
        <v/>
      </c>
      <c r="Z3442" s="12" t="inlineStr">
        <is>
          <t>VD 0.9 %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464</v>
      </c>
      <c r="U3443" s="16" t="n">
        <v>50</v>
      </c>
      <c r="V3443" s="16">
        <f>ROUNDUP((T3443+U3443+2*'Read Me'!$B$13)*(1+'Read Me'!$B$12),-1)</f>
        <v/>
      </c>
      <c r="W3443" s="16">
        <f>V3443*N3443*O3443</f>
        <v/>
      </c>
      <c r="X3443" s="12">
        <f>IF(LEFT(I3443,2)="MV",2*N3443*IF(L3443="1/C",O3443,1),0)</f>
        <v/>
      </c>
      <c r="Y3443" s="12">
        <f>IF(OR(LEFT(K3443,4)="LVAX",LEFT(K3443,6)="MV15AX",LEFT(K3443,4)="CTAX",LEFT(K3443,2)="W|"),2*N3443*O3443,0)</f>
        <v/>
      </c>
      <c r="Z3443" s="12" t="inlineStr">
        <is>
          <t>VD 0.9 %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464</v>
      </c>
      <c r="U3444" s="16" t="n">
        <v>50</v>
      </c>
      <c r="V3444" s="16">
        <f>ROUNDUP((T3444+U3444+2*'Read Me'!$B$13)*(1+'Read Me'!$B$12),-1)</f>
        <v/>
      </c>
      <c r="W3444" s="16">
        <f>V3444*N3444*O3444</f>
        <v/>
      </c>
      <c r="X3444" s="12">
        <f>IF(LEFT(I3444,2)="MV",2*N3444*IF(L3444="1/C",O3444,1),0)</f>
        <v/>
      </c>
      <c r="Y3444" s="12">
        <f>IF(OR(LEFT(K3444,4)="LVAX",LEFT(K3444,6)="MV15AX",LEFT(K3444,4)="CTAX",LEFT(K3444,2)="W|"),2*N3444*O3444,0)</f>
        <v/>
      </c>
      <c r="Z3444" s="12" t="inlineStr">
        <is>
          <t>VD 0.9 %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464</v>
      </c>
      <c r="U3445" s="16" t="n">
        <v>50</v>
      </c>
      <c r="V3445" s="16">
        <f>ROUNDUP((T3445+U3445+2*'Read Me'!$B$13)*(1+'Read Me'!$B$12),-1)</f>
        <v/>
      </c>
      <c r="W3445" s="16">
        <f>V3445*N3445*O3445</f>
        <v/>
      </c>
      <c r="X3445" s="12">
        <f>IF(LEFT(I3445,2)="MV",2*N3445*IF(L3445="1/C",O3445,1),0)</f>
        <v/>
      </c>
      <c r="Y3445" s="12">
        <f>IF(OR(LEFT(K3445,4)="LVAX",LEFT(K3445,6)="MV15AX",LEFT(K3445,4)="CTAX",LEFT(K3445,2)="W|"),2*N3445*O3445,0)</f>
        <v/>
      </c>
      <c r="Z3445" s="12" t="inlineStr">
        <is>
          <t>VD 0.9 %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464</v>
      </c>
      <c r="U3446" s="16" t="n">
        <v>50</v>
      </c>
      <c r="V3446" s="16">
        <f>ROUNDUP((T3446+U3446+2*'Read Me'!$B$13)*(1+'Read Me'!$B$12),-1)</f>
        <v/>
      </c>
      <c r="W3446" s="16">
        <f>V3446*N3446*O3446</f>
        <v/>
      </c>
      <c r="X3446" s="12">
        <f>IF(LEFT(I3446,2)="MV",2*N3446*IF(L3446="1/C",O3446,1),0)</f>
        <v/>
      </c>
      <c r="Y3446" s="12">
        <f>IF(OR(LEFT(K3446,4)="LVAX",LEFT(K3446,6)="MV15AX",LEFT(K3446,4)="CTAX",LEFT(K3446,2)="W|"),2*N3446*O3446,0)</f>
        <v/>
      </c>
      <c r="Z3446" s="12" t="inlineStr">
        <is>
          <t>VD 2.2 %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764</v>
      </c>
      <c r="U3447" s="16" t="n">
        <v>50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764</v>
      </c>
      <c r="U3448" s="16" t="n">
        <v>50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764</v>
      </c>
      <c r="U3449" s="16" t="n">
        <v>50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t>
        </is>
      </c>
      <c r="L3450" s="12" t="inlineStr">
        <is>
          <t>3/C+G</t>
        </is>
      </c>
      <c r="M3450" s="12" t="inlineStr">
        <is>
          <t>1</t>
        </is>
      </c>
      <c r="N3450" s="12" t="n">
        <v>1</v>
      </c>
      <c r="O3450" s="12" t="n">
        <v>1</v>
      </c>
      <c r="P3450" s="12" t="n">
        <v>480</v>
      </c>
      <c r="Q3450" s="12" t="n">
        <v>60</v>
      </c>
      <c r="R3450" s="12" t="n">
        <v>76</v>
      </c>
      <c r="S3450" s="12" t="inlineStr">
        <is>
          <t>Tray</t>
        </is>
      </c>
      <c r="T3450" s="16" t="n">
        <v>464</v>
      </c>
      <c r="U3450" s="16" t="n">
        <v>50</v>
      </c>
      <c r="V3450" s="16">
        <f>ROUNDUP((T3450+U3450+2*'Read Me'!$B$13)*(1+'Read Me'!$B$12),-1)</f>
        <v/>
      </c>
      <c r="W3450" s="16">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t>
        </is>
      </c>
      <c r="L3451" s="12" t="inlineStr">
        <is>
          <t>3/C+G</t>
        </is>
      </c>
      <c r="M3451" s="12" t="inlineStr">
        <is>
          <t>1</t>
        </is>
      </c>
      <c r="N3451" s="12" t="n">
        <v>1</v>
      </c>
      <c r="O3451" s="12" t="n">
        <v>1</v>
      </c>
      <c r="P3451" s="12" t="n">
        <v>480</v>
      </c>
      <c r="Q3451" s="12" t="n">
        <v>60</v>
      </c>
      <c r="R3451" s="12" t="n">
        <v>76</v>
      </c>
      <c r="S3451" s="12" t="inlineStr">
        <is>
          <t>Tray</t>
        </is>
      </c>
      <c r="T3451" s="16" t="n">
        <v>464</v>
      </c>
      <c r="U3451" s="16" t="n">
        <v>50</v>
      </c>
      <c r="V3451" s="16">
        <f>ROUNDUP((T3451+U3451+2*'Read Me'!$B$13)*(1+'Read Me'!$B$12),-1)</f>
        <v/>
      </c>
      <c r="W3451" s="16">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LV|3/C+G|1</t>
        </is>
      </c>
      <c r="L3452" s="12" t="inlineStr">
        <is>
          <t>3/C+G</t>
        </is>
      </c>
      <c r="M3452" s="12" t="inlineStr">
        <is>
          <t>1</t>
        </is>
      </c>
      <c r="N3452" s="12" t="n">
        <v>1</v>
      </c>
      <c r="O3452" s="12" t="n">
        <v>1</v>
      </c>
      <c r="P3452" s="12" t="n">
        <v>480</v>
      </c>
      <c r="Q3452" s="12" t="n">
        <v>60</v>
      </c>
      <c r="R3452" s="12" t="n">
        <v>76</v>
      </c>
      <c r="S3452" s="12" t="inlineStr">
        <is>
          <t>Tray</t>
        </is>
      </c>
      <c r="T3452" s="16" t="n">
        <v>464</v>
      </c>
      <c r="U3452" s="16" t="n">
        <v>50</v>
      </c>
      <c r="V3452" s="16">
        <f>ROUNDUP((T3452+U3452+2*'Read Me'!$B$13)*(1+'Read Me'!$B$12),-1)</f>
        <v/>
      </c>
      <c r="W3452" s="16">
        <f>V3452*N3452*O3452</f>
        <v/>
      </c>
      <c r="X3452" s="12">
        <f>IF(LEFT(I3452,2)="MV",2*N3452*IF(L3452="1/C",O3452,1),0)</f>
        <v/>
      </c>
      <c r="Y3452" s="12">
        <f>IF(OR(LEFT(K3452,4)="LVAX",LEFT(K3452,6)="MV15AX",LEFT(K3452,4)="CTAX",LEFT(K3452,2)="W|"),2*N3452*O3452,0)</f>
        <v/>
      </c>
      <c r="Z3452" s="12" t="inlineStr">
        <is>
          <t>VD 2.4 %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LV|3/C+G|1</t>
        </is>
      </c>
      <c r="L3453" s="12" t="inlineStr">
        <is>
          <t>3/C+G</t>
        </is>
      </c>
      <c r="M3453" s="12" t="inlineStr">
        <is>
          <t>1</t>
        </is>
      </c>
      <c r="N3453" s="12" t="n">
        <v>1</v>
      </c>
      <c r="O3453" s="12" t="n">
        <v>1</v>
      </c>
      <c r="P3453" s="12" t="n">
        <v>480</v>
      </c>
      <c r="Q3453" s="12" t="n">
        <v>60</v>
      </c>
      <c r="R3453" s="12" t="n">
        <v>76</v>
      </c>
      <c r="S3453" s="12" t="inlineStr">
        <is>
          <t>Tray</t>
        </is>
      </c>
      <c r="T3453" s="16" t="n">
        <v>464</v>
      </c>
      <c r="U3453" s="16" t="n">
        <v>50</v>
      </c>
      <c r="V3453" s="16">
        <f>ROUNDUP((T3453+U3453+2*'Read Me'!$B$13)*(1+'Read Me'!$B$12),-1)</f>
        <v/>
      </c>
      <c r="W3453" s="16">
        <f>V3453*N3453*O3453</f>
        <v/>
      </c>
      <c r="X3453" s="12">
        <f>IF(LEFT(I3453,2)="MV",2*N3453*IF(L3453="1/C",O3453,1),0)</f>
        <v/>
      </c>
      <c r="Y3453" s="12">
        <f>IF(OR(LEFT(K3453,4)="LVAX",LEFT(K3453,6)="MV15AX",LEFT(K3453,4)="CTAX",LEFT(K3453,2)="W|"),2*N3453*O3453,0)</f>
        <v/>
      </c>
      <c r="Z3453" s="12" t="inlineStr">
        <is>
          <t>VD 2.4 %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446</v>
      </c>
      <c r="U3454" s="16" t="n">
        <v>51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446</v>
      </c>
      <c r="U3455" s="16" t="n">
        <v>51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304</v>
      </c>
      <c r="U3456" s="16" t="n">
        <v>50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304</v>
      </c>
      <c r="U3457" s="16" t="n">
        <v>50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304</v>
      </c>
      <c r="U3458" s="16" t="n">
        <v>50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304</v>
      </c>
      <c r="U3459" s="16" t="n">
        <v>50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304</v>
      </c>
      <c r="U3460" s="16" t="n">
        <v>50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304</v>
      </c>
      <c r="U3461" s="16" t="n">
        <v>50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304</v>
      </c>
      <c r="U3462" s="16" t="n">
        <v>50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304</v>
      </c>
      <c r="U3463" s="16" t="n">
        <v>50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304</v>
      </c>
      <c r="U3464" s="16" t="n">
        <v>50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304</v>
      </c>
      <c r="U3465" s="16" t="n">
        <v>50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304</v>
      </c>
      <c r="U3466" s="16" t="n">
        <v>50</v>
      </c>
      <c r="V3466" s="16">
        <f>ROUNDUP((T3466+U3466+2*'Read Me'!$B$13)*(1+'Read Me'!$B$12),-1)</f>
        <v/>
      </c>
      <c r="W3466" s="16">
        <f>V3466*N3466*O3466</f>
        <v/>
      </c>
      <c r="X3466" s="12">
        <f>IF(LEFT(I3466,2)="MV",2*N3466*IF(L3466="1/C",O3466,1),0)</f>
        <v/>
      </c>
      <c r="Y3466" s="12">
        <f>IF(OR(LEFT(K3466,4)="LVAX",LEFT(K3466,6)="MV15AX",LEFT(K3466,4)="CTAX",LEFT(K3466,2)="W|"),2*N3466*O3466,0)</f>
        <v/>
      </c>
      <c r="Z3466" s="12" t="inlineStr">
        <is>
          <t>VD 2.5 %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604</v>
      </c>
      <c r="U3467" s="16" t="n">
        <v>50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604</v>
      </c>
      <c r="U3468" s="16" t="n">
        <v>50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604</v>
      </c>
      <c r="U3469" s="16" t="n">
        <v>50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304</v>
      </c>
      <c r="U3470" s="16" t="n">
        <v>50</v>
      </c>
      <c r="V3470" s="16">
        <f>ROUNDUP((T3470+U3470+2*'Read Me'!$B$13)*(1+'Read Me'!$B$12),-1)</f>
        <v/>
      </c>
      <c r="W3470" s="16">
        <f>V3470*N3470*O3470</f>
        <v/>
      </c>
      <c r="X3470" s="12">
        <f>IF(LEFT(I3470,2)="MV",2*N3470*IF(L3470="1/C",O3470,1),0)</f>
        <v/>
      </c>
      <c r="Y3470" s="12">
        <f>IF(OR(LEFT(K3470,4)="LVAX",LEFT(K3470,6)="MV15AX",LEFT(K3470,4)="CTAX",LEFT(K3470,2)="W|"),2*N3470*O3470,0)</f>
        <v/>
      </c>
      <c r="Z3470" s="12" t="inlineStr">
        <is>
          <t>VD 2.1 %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304</v>
      </c>
      <c r="U3471" s="16" t="n">
        <v>50</v>
      </c>
      <c r="V3471" s="16">
        <f>ROUNDUP((T3471+U3471+2*'Read Me'!$B$13)*(1+'Read Me'!$B$12),-1)</f>
        <v/>
      </c>
      <c r="W3471" s="16">
        <f>V3471*N3471*O3471</f>
        <v/>
      </c>
      <c r="X3471" s="12">
        <f>IF(LEFT(I3471,2)="MV",2*N3471*IF(L3471="1/C",O3471,1),0)</f>
        <v/>
      </c>
      <c r="Y3471" s="12">
        <f>IF(OR(LEFT(K3471,4)="LVAX",LEFT(K3471,6)="MV15AX",LEFT(K3471,4)="CTAX",LEFT(K3471,2)="W|"),2*N3471*O3471,0)</f>
        <v/>
      </c>
      <c r="Z3471" s="12" t="inlineStr">
        <is>
          <t>VD 2.1 %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304</v>
      </c>
      <c r="U3472" s="16" t="n">
        <v>50</v>
      </c>
      <c r="V3472" s="16">
        <f>ROUNDUP((T3472+U3472+2*'Read Me'!$B$13)*(1+'Read Me'!$B$12),-1)</f>
        <v/>
      </c>
      <c r="W3472" s="16">
        <f>V3472*N3472*O3472</f>
        <v/>
      </c>
      <c r="X3472" s="12">
        <f>IF(LEFT(I3472,2)="MV",2*N3472*IF(L3472="1/C",O3472,1),0)</f>
        <v/>
      </c>
      <c r="Y3472" s="12">
        <f>IF(OR(LEFT(K3472,4)="LVAX",LEFT(K3472,6)="MV15AX",LEFT(K3472,4)="CTAX",LEFT(K3472,2)="W|"),2*N3472*O3472,0)</f>
        <v/>
      </c>
      <c r="Z3472" s="12" t="inlineStr">
        <is>
          <t>VD 2.1 %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304</v>
      </c>
      <c r="U3473" s="16" t="n">
        <v>50</v>
      </c>
      <c r="V3473" s="16">
        <f>ROUNDUP((T3473+U3473+2*'Read Me'!$B$13)*(1+'Read Me'!$B$12),-1)</f>
        <v/>
      </c>
      <c r="W3473" s="16">
        <f>V3473*N3473*O3473</f>
        <v/>
      </c>
      <c r="X3473" s="12">
        <f>IF(LEFT(I3473,2)="MV",2*N3473*IF(L3473="1/C",O3473,1),0)</f>
        <v/>
      </c>
      <c r="Y3473" s="12">
        <f>IF(OR(LEFT(K3473,4)="LVAX",LEFT(K3473,6)="MV15AX",LEFT(K3473,4)="CTAX",LEFT(K3473,2)="W|"),2*N3473*O3473,0)</f>
        <v/>
      </c>
      <c r="Z3473" s="12" t="inlineStr">
        <is>
          <t>VD 2.1 %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199</v>
      </c>
      <c r="U3474" s="16" t="n">
        <v>138</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199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Duct bank</t>
        </is>
      </c>
      <c r="T3493" s="16" t="n">
        <v>140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1.8 %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Duct bank</t>
        </is>
      </c>
      <c r="T3494" s="16" t="n">
        <v>140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1.8 %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Duct bank</t>
        </is>
      </c>
      <c r="T3495" s="16" t="n">
        <v>140</v>
      </c>
      <c r="U3495" s="16" t="n">
        <v>32</v>
      </c>
      <c r="V3495" s="16">
        <f>ROUNDUP((T3495+U3495+2*'Read Me'!$B$13)*(1+'Read Me'!$B$12),-1)</f>
        <v/>
      </c>
      <c r="W3495" s="16">
        <f>V3495*N3495*O3495</f>
        <v/>
      </c>
      <c r="X3495" s="12">
        <f>IF(LEFT(I3495,2)="MV",2*N3495*IF(L3495="1/C",O3495,1),0)</f>
        <v/>
      </c>
      <c r="Y3495" s="12">
        <f>IF(OR(LEFT(K3495,4)="LVAX",LEFT(K3495,6)="MV15AX",LEFT(K3495,4)="CTAX",LEFT(K3495,2)="W|"),2*N3495*O3495,0)</f>
        <v/>
      </c>
      <c r="Z3495" s="12" t="inlineStr">
        <is>
          <t>VD 1.8 %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Duct bank</t>
        </is>
      </c>
      <c r="T3496" s="16" t="n">
        <v>140</v>
      </c>
      <c r="U3496" s="16" t="n">
        <v>32</v>
      </c>
      <c r="V3496" s="16">
        <f>ROUNDUP((T3496+U3496+2*'Read Me'!$B$13)*(1+'Read Me'!$B$12),-1)</f>
        <v/>
      </c>
      <c r="W3496" s="16">
        <f>V3496*N3496*O3496</f>
        <v/>
      </c>
      <c r="X3496" s="12">
        <f>IF(LEFT(I3496,2)="MV",2*N3496*IF(L3496="1/C",O3496,1),0)</f>
        <v/>
      </c>
      <c r="Y3496" s="12">
        <f>IF(OR(LEFT(K3496,4)="LVAX",LEFT(K3496,6)="MV15AX",LEFT(K3496,4)="CTAX",LEFT(K3496,2)="W|"),2*N3496*O3496,0)</f>
        <v/>
      </c>
      <c r="Z3496" s="12" t="inlineStr">
        <is>
          <t>VD 1.8 %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Duct bank</t>
        </is>
      </c>
      <c r="T3497" s="16" t="n">
        <v>140</v>
      </c>
      <c r="U3497" s="16" t="n">
        <v>32</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Duct bank</t>
        </is>
      </c>
      <c r="T3498" s="16" t="n">
        <v>140</v>
      </c>
      <c r="U3498" s="16" t="n">
        <v>32</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6" t="n">
        <v>140</v>
      </c>
      <c r="U3499" s="16" t="n">
        <v>32</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6" t="n">
        <v>140</v>
      </c>
      <c r="U3500" s="16" t="n">
        <v>32</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360</v>
      </c>
      <c r="U3503" s="16" t="n">
        <v>34</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360</v>
      </c>
      <c r="U3504" s="16" t="n">
        <v>34</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360</v>
      </c>
      <c r="U3505" s="16" t="n">
        <v>34</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360</v>
      </c>
      <c r="U3506" s="16" t="n">
        <v>34</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360</v>
      </c>
      <c r="U3507" s="16" t="n">
        <v>34</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360</v>
      </c>
      <c r="U3508" s="16" t="n">
        <v>34</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410</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410</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410</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410</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410</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410</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48</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48</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48</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48</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48</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48</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48</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48</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48</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48</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48</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48</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48</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48</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48</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48</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48</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48</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48</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48</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48</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48</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48</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48</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48</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48</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48</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48</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48</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48</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48</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48</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48</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Conduit link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Conduit link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Conduit link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Conduit link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Conduit link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Conduit link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569</v>
      </c>
      <c r="U3589" s="16" t="n">
        <v>134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569</v>
      </c>
      <c r="U3590" s="16" t="n">
        <v>134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59</v>
      </c>
      <c r="V3591" s="16">
        <f>ROUNDUP((T3591+U3591+2*'Read Me'!$B$13)*(1+'Read Me'!$B$12),-1)</f>
        <v/>
      </c>
      <c r="W3591" s="16">
        <f>V3591*N3591*O3591</f>
        <v/>
      </c>
      <c r="X3591" s="12">
        <f>IF(LEFT(I3591,2)="MV",2*N3591*IF(L3591="1/C",O3591,1),0)</f>
        <v/>
      </c>
      <c r="Y3591" s="12">
        <f>IF(OR(LEFT(K3591,4)="LVAX",LEFT(K3591,6)="MV15AX",LEFT(K3591,4)="CTAX",LEFT(K3591,2)="W|"),2*N3591*O3591,0)</f>
        <v/>
      </c>
      <c r="Z3591" s="12" t="inlineStr">
        <is>
          <t>VD 2.1 %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59</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469</v>
      </c>
      <c r="U3593" s="16" t="n">
        <v>92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469</v>
      </c>
      <c r="U3594" s="16" t="n">
        <v>92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59</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59</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249</v>
      </c>
      <c r="U3597" s="16" t="n">
        <v>134</v>
      </c>
      <c r="V3597" s="16">
        <f>ROUNDUP((T3597+U3597+2*'Read Me'!$B$13)*(1+'Read Me'!$B$12),-1)</f>
        <v/>
      </c>
      <c r="W3597" s="16">
        <f>V3597*N3597*O3597</f>
        <v/>
      </c>
      <c r="X3597" s="12">
        <f>IF(LEFT(I3597,2)="MV",2*N3597*IF(L3597="1/C",O3597,1),0)</f>
        <v/>
      </c>
      <c r="Y3597" s="12">
        <f>IF(OR(LEFT(K3597,4)="LVAX",LEFT(K3597,6)="MV15AX",LEFT(K3597,4)="CTAX",LEFT(K3597,2)="W|"),2*N3597*O3597,0)</f>
        <v/>
      </c>
      <c r="Z3597" s="12" t="inlineStr">
        <is>
          <t>VD 1.1 %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249</v>
      </c>
      <c r="U3598" s="16" t="n">
        <v>134</v>
      </c>
      <c r="V3598" s="16">
        <f>ROUNDUP((T3598+U3598+2*'Read Me'!$B$13)*(1+'Read Me'!$B$12),-1)</f>
        <v/>
      </c>
      <c r="W3598" s="16">
        <f>V3598*N3598*O3598</f>
        <v/>
      </c>
      <c r="X3598" s="12">
        <f>IF(LEFT(I3598,2)="MV",2*N3598*IF(L3598="1/C",O3598,1),0)</f>
        <v/>
      </c>
      <c r="Y3598" s="12">
        <f>IF(OR(LEFT(K3598,4)="LVAX",LEFT(K3598,6)="MV15AX",LEFT(K3598,4)="CTAX",LEFT(K3598,2)="W|"),2*N3598*O3598,0)</f>
        <v/>
      </c>
      <c r="Z3598" s="12" t="inlineStr">
        <is>
          <t>VD 1.1 %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59</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59</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LV|3/C+G|4</t>
        </is>
      </c>
      <c r="L3601" s="12" t="inlineStr">
        <is>
          <t>3/C+G</t>
        </is>
      </c>
      <c r="M3601" s="12" t="inlineStr">
        <is>
          <t>4</t>
        </is>
      </c>
      <c r="N3601" s="12" t="n">
        <v>1</v>
      </c>
      <c r="O3601" s="12" t="n">
        <v>1</v>
      </c>
      <c r="P3601" s="12" t="n">
        <v>480</v>
      </c>
      <c r="Q3601" s="12" t="n">
        <v>15</v>
      </c>
      <c r="R3601" s="12" t="n">
        <v>21.2</v>
      </c>
      <c r="S3601" s="12" t="inlineStr">
        <is>
          <t>Estimated</t>
        </is>
      </c>
      <c r="T3601" s="16" t="n">
        <v>702</v>
      </c>
      <c r="U3601" s="16" t="n">
        <v>40</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LV|3/C+G|4</t>
        </is>
      </c>
      <c r="L3602" s="12" t="inlineStr">
        <is>
          <t>3/C+G</t>
        </is>
      </c>
      <c r="M3602" s="12" t="inlineStr">
        <is>
          <t>4</t>
        </is>
      </c>
      <c r="N3602" s="12" t="n">
        <v>1</v>
      </c>
      <c r="O3602" s="12" t="n">
        <v>1</v>
      </c>
      <c r="P3602" s="12" t="n">
        <v>480</v>
      </c>
      <c r="Q3602" s="12" t="n">
        <v>15</v>
      </c>
      <c r="R3602" s="12" t="n">
        <v>21.2</v>
      </c>
      <c r="S3602" s="12" t="inlineStr">
        <is>
          <t>Estimated</t>
        </is>
      </c>
      <c r="T3602" s="16" t="n">
        <v>702</v>
      </c>
      <c r="U3602" s="16" t="n">
        <v>40</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LV|3/C+G|6</t>
        </is>
      </c>
      <c r="L3603" s="12" t="inlineStr">
        <is>
          <t>3/C+G</t>
        </is>
      </c>
      <c r="M3603" s="12" t="inlineStr">
        <is>
          <t>6</t>
        </is>
      </c>
      <c r="N3603" s="12" t="n">
        <v>1</v>
      </c>
      <c r="O3603" s="12" t="n">
        <v>1</v>
      </c>
      <c r="P3603" s="12" t="n">
        <v>480</v>
      </c>
      <c r="Q3603" s="12" t="n">
        <v>15</v>
      </c>
      <c r="R3603" s="12" t="n">
        <v>21.2</v>
      </c>
      <c r="S3603" s="12" t="inlineStr">
        <is>
          <t>Estimated</t>
        </is>
      </c>
      <c r="T3603" s="16" t="n">
        <v>542</v>
      </c>
      <c r="U3603" s="16" t="n">
        <v>40</v>
      </c>
      <c r="V3603" s="16">
        <f>ROUNDUP((T3603+U3603+2*'Read Me'!$B$13)*(1+'Read Me'!$B$12),-1)</f>
        <v/>
      </c>
      <c r="W3603" s="16">
        <f>V3603*N3603*O3603</f>
        <v/>
      </c>
      <c r="X3603" s="12">
        <f>IF(LEFT(I3603,2)="MV",2*N3603*IF(L3603="1/C",O3603,1),0)</f>
        <v/>
      </c>
      <c r="Y3603" s="12">
        <f>IF(OR(LEFT(K3603,4)="LVAX",LEFT(K3603,6)="MV15AX",LEFT(K3603,4)="CTAX",LEFT(K3603,2)="W|"),2*N3603*O3603,0)</f>
        <v/>
      </c>
      <c r="Z3603" s="12" t="inlineStr">
        <is>
          <t>VD 2.4 %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LV|3/C+G|6</t>
        </is>
      </c>
      <c r="L3604" s="12" t="inlineStr">
        <is>
          <t>3/C+G</t>
        </is>
      </c>
      <c r="M3604" s="12" t="inlineStr">
        <is>
          <t>6</t>
        </is>
      </c>
      <c r="N3604" s="12" t="n">
        <v>1</v>
      </c>
      <c r="O3604" s="12" t="n">
        <v>1</v>
      </c>
      <c r="P3604" s="12" t="n">
        <v>480</v>
      </c>
      <c r="Q3604" s="12" t="n">
        <v>15</v>
      </c>
      <c r="R3604" s="12" t="n">
        <v>21.2</v>
      </c>
      <c r="S3604" s="12" t="inlineStr">
        <is>
          <t>Estimated</t>
        </is>
      </c>
      <c r="T3604" s="16" t="n">
        <v>542</v>
      </c>
      <c r="U3604" s="16" t="n">
        <v>40</v>
      </c>
      <c r="V3604" s="16">
        <f>ROUNDUP((T3604+U3604+2*'Read Me'!$B$13)*(1+'Read Me'!$B$12),-1)</f>
        <v/>
      </c>
      <c r="W3604" s="16">
        <f>V3604*N3604*O3604</f>
        <v/>
      </c>
      <c r="X3604" s="12">
        <f>IF(LEFT(I3604,2)="MV",2*N3604*IF(L3604="1/C",O3604,1),0)</f>
        <v/>
      </c>
      <c r="Y3604" s="12">
        <f>IF(OR(LEFT(K3604,4)="LVAX",LEFT(K3604,6)="MV15AX",LEFT(K3604,4)="CTAX",LEFT(K3604,2)="W|"),2*N3604*O3604,0)</f>
        <v/>
      </c>
      <c r="Z3604" s="12" t="inlineStr">
        <is>
          <t>VD 2.4 %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Estimated</t>
        </is>
      </c>
      <c r="T3605" s="16" t="n">
        <v>382</v>
      </c>
      <c r="U3605" s="16" t="n">
        <v>40</v>
      </c>
      <c r="V3605" s="16">
        <f>ROUNDUP((T3605+U3605+2*'Read Me'!$B$13)*(1+'Read Me'!$B$12),-1)</f>
        <v/>
      </c>
      <c r="W3605" s="16">
        <f>V3605*N3605*O3605</f>
        <v/>
      </c>
      <c r="X3605" s="12">
        <f>IF(LEFT(I3605,2)="MV",2*N3605*IF(L3605="1/C",O3605,1),0)</f>
        <v/>
      </c>
      <c r="Y3605" s="12">
        <f>IF(OR(LEFT(K3605,4)="LVAX",LEFT(K3605,6)="MV15AX",LEFT(K3605,4)="CTAX",LEFT(K3605,2)="W|"),2*N3605*O3605,0)</f>
        <v/>
      </c>
      <c r="Z3605" s="12" t="inlineStr">
        <is>
          <t>VD 2.7 %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Estimated</t>
        </is>
      </c>
      <c r="T3606" s="16" t="n">
        <v>382</v>
      </c>
      <c r="U3606" s="16" t="n">
        <v>40</v>
      </c>
      <c r="V3606" s="16">
        <f>ROUNDUP((T3606+U3606+2*'Read Me'!$B$13)*(1+'Read Me'!$B$12),-1)</f>
        <v/>
      </c>
      <c r="W3606" s="16">
        <f>V3606*N3606*O3606</f>
        <v/>
      </c>
      <c r="X3606" s="12">
        <f>IF(LEFT(I3606,2)="MV",2*N3606*IF(L3606="1/C",O3606,1),0)</f>
        <v/>
      </c>
      <c r="Y3606" s="12">
        <f>IF(OR(LEFT(K3606,4)="LVAX",LEFT(K3606,6)="MV15AX",LEFT(K3606,4)="CTAX",LEFT(K3606,2)="W|"),2*N3606*O3606,0)</f>
        <v/>
      </c>
      <c r="Z3606" s="12" t="inlineStr">
        <is>
          <t>VD 2.7 %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Conduit link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Conduit link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Conduit link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Conduit link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Conduit link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519</v>
      </c>
      <c r="U3667" s="16" t="n">
        <v>66</v>
      </c>
      <c r="V3667" s="16">
        <f>ROUNDUP((T3667+U3667+2*'Read Me'!$B$13)*(1+'Read Me'!$B$12),-1)</f>
        <v/>
      </c>
      <c r="W3667" s="16">
        <f>V3667*N3667*O3667</f>
        <v/>
      </c>
      <c r="X3667" s="12">
        <f>IF(LEFT(I3667,2)="MV",2*N3667*IF(L3667="1/C",O3667,1),0)</f>
        <v/>
      </c>
      <c r="Y3667" s="12">
        <f>IF(OR(LEFT(K3667,4)="LVAX",LEFT(K3667,6)="MV15AX",LEFT(K3667,4)="CTAX",LEFT(K3667,2)="W|"),2*N3667*O3667,0)</f>
        <v/>
      </c>
      <c r="Z3667" s="12" t="inlineStr">
        <is>
          <t>VD 2.8 %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519</v>
      </c>
      <c r="U3668" s="16" t="n">
        <v>66</v>
      </c>
      <c r="V3668" s="16">
        <f>ROUNDUP((T3668+U3668+2*'Read Me'!$B$13)*(1+'Read Me'!$B$12),-1)</f>
        <v/>
      </c>
      <c r="W3668" s="16">
        <f>V3668*N3668*O3668</f>
        <v/>
      </c>
      <c r="X3668" s="12">
        <f>IF(LEFT(I3668,2)="MV",2*N3668*IF(L3668="1/C",O3668,1),0)</f>
        <v/>
      </c>
      <c r="Y3668" s="12">
        <f>IF(OR(LEFT(K3668,4)="LVAX",LEFT(K3668,6)="MV15AX",LEFT(K3668,4)="CTAX",LEFT(K3668,2)="W|"),2*N3668*O3668,0)</f>
        <v/>
      </c>
      <c r="Z3668" s="12" t="inlineStr">
        <is>
          <t>VD 2.8 %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359</v>
      </c>
      <c r="U3669" s="16" t="n">
        <v>66</v>
      </c>
      <c r="V3669" s="16">
        <f>ROUNDUP((T3669+U3669+2*'Read Me'!$B$13)*(1+'Read Me'!$B$12),-1)</f>
        <v/>
      </c>
      <c r="W3669" s="16">
        <f>V3669*N3669*O3669</f>
        <v/>
      </c>
      <c r="X3669" s="12">
        <f>IF(LEFT(I3669,2)="MV",2*N3669*IF(L3669="1/C",O3669,1),0)</f>
        <v/>
      </c>
      <c r="Y3669" s="12">
        <f>IF(OR(LEFT(K3669,4)="LVAX",LEFT(K3669,6)="MV15AX",LEFT(K3669,4)="CTAX",LEFT(K3669,2)="W|"),2*N3669*O3669,0)</f>
        <v/>
      </c>
      <c r="Z3669" s="12" t="inlineStr">
        <is>
          <t>VD 2.0 %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359</v>
      </c>
      <c r="U3670" s="16" t="n">
        <v>66</v>
      </c>
      <c r="V3670" s="16">
        <f>ROUNDUP((T3670+U3670+2*'Read Me'!$B$13)*(1+'Read Me'!$B$12),-1)</f>
        <v/>
      </c>
      <c r="W3670" s="16">
        <f>V3670*N3670*O3670</f>
        <v/>
      </c>
      <c r="X3670" s="12">
        <f>IF(LEFT(I3670,2)="MV",2*N3670*IF(L3670="1/C",O3670,1),0)</f>
        <v/>
      </c>
      <c r="Y3670" s="12">
        <f>IF(OR(LEFT(K3670,4)="LVAX",LEFT(K3670,6)="MV15AX",LEFT(K3670,4)="CTAX",LEFT(K3670,2)="W|"),2*N3670*O3670,0)</f>
        <v/>
      </c>
      <c r="Z3670" s="12" t="inlineStr">
        <is>
          <t>VD 2.0 %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199</v>
      </c>
      <c r="U3671" s="16" t="n">
        <v>66</v>
      </c>
      <c r="V3671" s="16">
        <f>ROUNDUP((T3671+U3671+2*'Read Me'!$B$13)*(1+'Read Me'!$B$12),-1)</f>
        <v/>
      </c>
      <c r="W3671" s="16">
        <f>V3671*N3671*O3671</f>
        <v/>
      </c>
      <c r="X3671" s="12">
        <f>IF(LEFT(I3671,2)="MV",2*N3671*IF(L3671="1/C",O3671,1),0)</f>
        <v/>
      </c>
      <c r="Y3671" s="12">
        <f>IF(OR(LEFT(K3671,4)="LVAX",LEFT(K3671,6)="MV15AX",LEFT(K3671,4)="CTAX",LEFT(K3671,2)="W|"),2*N3671*O3671,0)</f>
        <v/>
      </c>
      <c r="Z3671" s="12" t="inlineStr">
        <is>
          <t>VD 1.3 %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199</v>
      </c>
      <c r="U3672" s="16" t="n">
        <v>66</v>
      </c>
      <c r="V3672" s="16">
        <f>ROUNDUP((T3672+U3672+2*'Read Me'!$B$13)*(1+'Read Me'!$B$12),-1)</f>
        <v/>
      </c>
      <c r="W3672" s="16">
        <f>V3672*N3672*O3672</f>
        <v/>
      </c>
      <c r="X3672" s="12">
        <f>IF(LEFT(I3672,2)="MV",2*N3672*IF(L3672="1/C",O3672,1),0)</f>
        <v/>
      </c>
      <c r="Y3672" s="12">
        <f>IF(OR(LEFT(K3672,4)="LVAX",LEFT(K3672,6)="MV15AX",LEFT(K3672,4)="CTAX",LEFT(K3672,2)="W|"),2*N3672*O3672,0)</f>
        <v/>
      </c>
      <c r="Z3672" s="12" t="inlineStr">
        <is>
          <t>VD 1.3 %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140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33</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410</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770</v>
      </c>
      <c r="U3682" s="16" t="n">
        <v>167</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770</v>
      </c>
      <c r="U3683" s="16" t="n">
        <v>167</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770</v>
      </c>
      <c r="U3684" s="16" t="n">
        <v>107</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770</v>
      </c>
      <c r="U3685" s="16" t="n">
        <v>107</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770</v>
      </c>
      <c r="U3686" s="16" t="n">
        <v>107</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770</v>
      </c>
      <c r="U3687" s="16" t="n">
        <v>107</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519</v>
      </c>
      <c r="U3688" s="16" t="n">
        <v>82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519</v>
      </c>
      <c r="U3689" s="16" t="n">
        <v>82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359</v>
      </c>
      <c r="U3690" s="16" t="n">
        <v>82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359</v>
      </c>
      <c r="U3691" s="16" t="n">
        <v>82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Conduit link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Conduit link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187</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187</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187</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187</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187</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187</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169</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169</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169</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169</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Estimated</t>
        </is>
      </c>
      <c r="T3807" s="16" t="n">
        <v>1626</v>
      </c>
      <c r="U3807" s="16" t="n">
        <v>40</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Estimated</t>
        </is>
      </c>
      <c r="T3808" s="16" t="n">
        <v>1739</v>
      </c>
      <c r="U3808" s="16" t="n">
        <v>40</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169</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169</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187</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187</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187</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187</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187</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187</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Conduit link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is>
          <t>CONT-EH</t>
        </is>
      </c>
      <c r="F4093" s="12" t="inlineStr">
        <is>
          <t>CONT paralleling switchgear e-house</t>
        </is>
      </c>
      <c r="G4093" s="12" t="inlineStr">
        <is>
          <t>CONT-EH</t>
        </is>
      </c>
      <c r="H4093" s="12" t="inlineStr">
        <is>
          <t>CONT paralleling switchgear e-house</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1296</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c r="F4094" s="12" t="inlineStr">
        <is>
          <t>Lube oil / starting air / oily water building</t>
        </is>
      </c>
      <c r="G4094" s="12" t="inlineStr"/>
      <c r="H4094" s="12" t="inlineStr">
        <is>
          <t>Lube oil / starting air / oily water building</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10560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is>
          <t>MOD-EH</t>
        </is>
      </c>
      <c r="F4095" s="12" t="inlineStr">
        <is>
          <t>MOD-EH: 13.8 kV modular collector e-house</t>
        </is>
      </c>
      <c r="G4095" s="12" t="inlineStr">
        <is>
          <t>MOD-EH</t>
        </is>
      </c>
      <c r="H4095" s="12" t="inlineStr">
        <is>
          <t>MOD-EH: 13.8 kV modular collector e-house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2560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PCM: power control module</t>
        </is>
      </c>
      <c r="G4096" s="12" t="inlineStr"/>
      <c r="H4096" s="12" t="inlineStr">
        <is>
          <t>PCM: power control module</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5120</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I-L-0005</t>
        </is>
      </c>
      <c r="B4097" s="12" t="inlineStr">
        <is>
          <t>I</t>
        </is>
      </c>
      <c r="C4097" s="12" t="inlineStr">
        <is>
          <t>Modular / portable power</t>
        </is>
      </c>
      <c r="D4097" s="12" t="inlineStr">
        <is>
          <t>Lighting, receptacles and small power branch circuits (allowance)</t>
        </is>
      </c>
      <c r="E4097" s="12" t="inlineStr"/>
      <c r="F4097" s="12" t="inlineStr">
        <is>
          <t>RICE CEMS</t>
        </is>
      </c>
      <c r="G4097" s="12" t="inlineStr"/>
      <c r="H4097" s="12" t="inlineStr">
        <is>
          <t>RICE CEMS</t>
        </is>
      </c>
      <c r="I4097" s="12" t="inlineStr">
        <is>
          <t>Building wire</t>
        </is>
      </c>
      <c r="J4097" s="12" t="inlineStr">
        <is>
          <t>SIMpull THHN/THWN-2 600 V 1/C Cu (lighting, receptacles, small power)</t>
        </is>
      </c>
      <c r="K4097" s="12" t="inlineStr">
        <is>
          <t>THHN|1/C|12</t>
        </is>
      </c>
      <c r="L4097" s="12" t="inlineStr">
        <is>
          <t>1/C</t>
        </is>
      </c>
      <c r="M4097" s="12" t="inlineStr">
        <is>
          <t>12</t>
        </is>
      </c>
      <c r="N4097" s="12" t="n">
        <v>1</v>
      </c>
      <c r="O4097" s="12" t="n">
        <v>1</v>
      </c>
      <c r="P4097" s="12" t="n">
        <v>277</v>
      </c>
      <c r="Q4097" s="12" t="n"/>
      <c r="R4097" s="12" t="n"/>
      <c r="S4097" s="12" t="inlineStr">
        <is>
          <t>Conduit</t>
        </is>
      </c>
      <c r="T4097" s="16" t="n">
        <v>256</v>
      </c>
      <c r="U4097" s="16" t="n">
        <v>0</v>
      </c>
      <c r="V4097" s="16">
        <f>ROUNDUP((T4097+U4097+2*'Read Me'!$B$13)*(1+'Read Me'!$B$12),-1)</f>
        <v/>
      </c>
      <c r="W4097" s="16">
        <f>V4097*N4097*O4097</f>
        <v/>
      </c>
      <c r="X4097" s="12">
        <f>IF(LEFT(I4097,2)="MV",2*N4097*IF(L4097="1/C",O4097,1),0)</f>
        <v/>
      </c>
      <c r="Y4097" s="12">
        <f>IF(OR(LEFT(K4097,4)="LVAX",LEFT(K4097,6)="MV15AX",LEFT(K4097,4)="CTAX",LEFT(K4097,2)="W|"),2*N4097*O4097,0)</f>
        <v/>
      </c>
      <c r="Z4097" s="12" t="inlineStr">
        <is>
          <t>allowance: 1.6 ft of conductor per ft2 of floor</t>
        </is>
      </c>
      <c r="AA4097" s="12">
        <f>N4097*O4097</f>
        <v/>
      </c>
    </row>
    <row r="4098">
      <c r="A4098" s="12" t="inlineStr">
        <is>
          <t>I-C-0001</t>
        </is>
      </c>
      <c r="B4098" s="12" t="inlineStr">
        <is>
          <t>I</t>
        </is>
      </c>
      <c r="C4098" s="12" t="inlineStr">
        <is>
          <t>Modular / portable power</t>
        </is>
      </c>
      <c r="D4098" s="12" t="inlineStr">
        <is>
          <t>Control</t>
        </is>
      </c>
      <c r="E4098" s="12" t="inlineStr"/>
      <c r="F4098" s="12" t="inlineStr">
        <is>
          <t>PCM: power control module</t>
        </is>
      </c>
      <c r="G4098" s="12" t="inlineStr"/>
      <c r="H4098" s="12" t="inlineStr">
        <is>
          <t>BS black-start switchgear</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77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I-C-0002</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BESS black-start alternative</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550</v>
      </c>
      <c r="U4099" s="16" t="n">
        <v>32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I-C-0003</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SC-1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Duct bank</t>
        </is>
      </c>
      <c r="T4100" s="16" t="n">
        <v>40</v>
      </c>
      <c r="U4100" s="16" t="n">
        <v>52</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I-C-0004</t>
        </is>
      </c>
      <c r="B4101" s="12" t="inlineStr">
        <is>
          <t>I</t>
        </is>
      </c>
      <c r="C4101" s="12" t="inlineStr">
        <is>
          <t>Modular / portable power</t>
        </is>
      </c>
      <c r="D4101" s="12" t="inlineStr">
        <is>
          <t>Control</t>
        </is>
      </c>
      <c r="E4101" s="12" t="inlineStr"/>
      <c r="F4101" s="12" t="inlineStr">
        <is>
          <t>PCM: power control module</t>
        </is>
      </c>
      <c r="G4101" s="12" t="inlineStr"/>
      <c r="H4101" s="12" t="inlineStr">
        <is>
          <t>CONDITIONAL: SC-2 inlet chiller / evaporative cooler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HV duct bank</t>
        </is>
      </c>
      <c r="T4101" s="16" t="n">
        <v>4553</v>
      </c>
      <c r="U4101" s="16" t="n">
        <v>33</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I-C-0005</t>
        </is>
      </c>
      <c r="B4102" s="12" t="inlineStr">
        <is>
          <t>I</t>
        </is>
      </c>
      <c r="C4102" s="12" t="inlineStr">
        <is>
          <t>Modular / portable power</t>
        </is>
      </c>
      <c r="D4102" s="12" t="inlineStr">
        <is>
          <t>Control</t>
        </is>
      </c>
      <c r="E4102" s="12" t="inlineStr">
        <is>
          <t>PAD-EH</t>
        </is>
      </c>
      <c r="F4102" s="12" t="inlineStr">
        <is>
          <t>PAD-EH 13.8 kV switchgear e-house</t>
        </is>
      </c>
      <c r="G4102" s="12" t="inlineStr">
        <is>
          <t>CONT-EH</t>
        </is>
      </c>
      <c r="H4102" s="12" t="inlineStr">
        <is>
          <t>CONT paralleling switchgear e-house</t>
        </is>
      </c>
      <c r="I4102" s="12" t="inlineStr">
        <is>
          <t>Control</t>
        </is>
      </c>
      <c r="J4102" s="12" t="inlineStr">
        <is>
          <t>Control cable 600 V Type TC-ER, Cu #14 AWG, PVC jacket</t>
        </is>
      </c>
      <c r="K4102" s="12" t="inlineStr">
        <is>
          <t>CT|7/C|14</t>
        </is>
      </c>
      <c r="L4102" s="12" t="inlineStr">
        <is>
          <t>7/C</t>
        </is>
      </c>
      <c r="M4102" s="12" t="inlineStr">
        <is>
          <t>14</t>
        </is>
      </c>
      <c r="N4102" s="12" t="n">
        <v>1</v>
      </c>
      <c r="O4102" s="12" t="n">
        <v>1</v>
      </c>
      <c r="P4102" s="12" t="n"/>
      <c r="Q4102" s="12" t="n"/>
      <c r="R4102" s="12" t="n"/>
      <c r="S4102" s="12" t="inlineStr">
        <is>
          <t>Surface</t>
        </is>
      </c>
      <c r="T4102" s="16" t="n">
        <v>21</v>
      </c>
      <c r="U4102" s="16" t="n">
        <v>55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I-C-0006</t>
        </is>
      </c>
      <c r="B4103" s="12" t="inlineStr">
        <is>
          <t>I</t>
        </is>
      </c>
      <c r="C4103" s="12" t="inlineStr">
        <is>
          <t>Modular / portable power</t>
        </is>
      </c>
      <c r="D4103" s="12" t="inlineStr">
        <is>
          <t>Control</t>
        </is>
      </c>
      <c r="E4103" s="12" t="inlineStr">
        <is>
          <t>PAD-EH</t>
        </is>
      </c>
      <c r="F4103" s="12" t="inlineStr">
        <is>
          <t>PAD-EH 13.8 kV switchgear e-house</t>
        </is>
      </c>
      <c r="G4103" s="12" t="inlineStr"/>
      <c r="H4103" s="12" t="inlineStr">
        <is>
          <t>FC-5..12 inverter / AC cabinet / desulfurizer</t>
        </is>
      </c>
      <c r="I4103" s="12" t="inlineStr">
        <is>
          <t>Control</t>
        </is>
      </c>
      <c r="J4103" s="12" t="inlineStr">
        <is>
          <t>Control cable 600 V Type TC-ER, Cu #14 AWG, PVC jacket</t>
        </is>
      </c>
      <c r="K4103" s="12" t="inlineStr">
        <is>
          <t>CT|7/C|14</t>
        </is>
      </c>
      <c r="L4103" s="12" t="inlineStr">
        <is>
          <t>7/C</t>
        </is>
      </c>
      <c r="M4103" s="12" t="inlineStr">
        <is>
          <t>14</t>
        </is>
      </c>
      <c r="N4103" s="12" t="n">
        <v>1</v>
      </c>
      <c r="O4103" s="12" t="n">
        <v>1</v>
      </c>
      <c r="P4103" s="12" t="n"/>
      <c r="Q4103" s="12" t="n"/>
      <c r="R4103" s="12" t="n"/>
      <c r="S4103" s="12" t="inlineStr">
        <is>
          <t>Surface</t>
        </is>
      </c>
      <c r="T4103" s="16" t="n">
        <v>155</v>
      </c>
      <c r="U4103" s="16" t="n">
        <v>27</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I-C-0007</t>
        </is>
      </c>
      <c r="B4104" s="12" t="inlineStr">
        <is>
          <t>I</t>
        </is>
      </c>
      <c r="C4104" s="12" t="inlineStr">
        <is>
          <t>Modular / portable power</t>
        </is>
      </c>
      <c r="D4104" s="12" t="inlineStr">
        <is>
          <t>Control</t>
        </is>
      </c>
      <c r="E4104" s="12" t="inlineStr"/>
      <c r="F4104" s="12" t="inlineStr">
        <is>
          <t>PCM: power control module</t>
        </is>
      </c>
      <c r="G4104" s="12" t="inlineStr"/>
      <c r="H4104" s="12" t="inlineStr">
        <is>
          <t>Fuel-cell inverter / AC cabinet / desulfurizer</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Duct bank</t>
        </is>
      </c>
      <c r="T4104" s="16" t="n">
        <v>1050</v>
      </c>
      <c r="U4104" s="16" t="n">
        <v>32</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I-C-0008</t>
        </is>
      </c>
      <c r="B4105" s="12" t="inlineStr">
        <is>
          <t>I</t>
        </is>
      </c>
      <c r="C4105" s="12" t="inlineStr">
        <is>
          <t>Modular / portable power</t>
        </is>
      </c>
      <c r="D4105" s="12" t="inlineStr">
        <is>
          <t>Motor 1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4395</v>
      </c>
      <c r="U4105" s="16" t="n">
        <v>33</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I-C-0009</t>
        </is>
      </c>
      <c r="B4106" s="12" t="inlineStr">
        <is>
          <t>I</t>
        </is>
      </c>
      <c r="C4106" s="12" t="inlineStr">
        <is>
          <t>Modular / portable power</t>
        </is>
      </c>
      <c r="D4106" s="12" t="inlineStr">
        <is>
          <t>Motor 2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4395</v>
      </c>
      <c r="U4106" s="16" t="n">
        <v>33</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I-C-0010</t>
        </is>
      </c>
      <c r="B4107" s="12" t="inlineStr">
        <is>
          <t>I</t>
        </is>
      </c>
      <c r="C4107" s="12" t="inlineStr">
        <is>
          <t>Modular / portable power</t>
        </is>
      </c>
      <c r="D4107" s="12" t="inlineStr">
        <is>
          <t>Motor 3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4395</v>
      </c>
      <c r="U4107" s="16" t="n">
        <v>33</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I-C-0011</t>
        </is>
      </c>
      <c r="B4108" s="12" t="inlineStr">
        <is>
          <t>I</t>
        </is>
      </c>
      <c r="C4108" s="12" t="inlineStr">
        <is>
          <t>Modular / portable power</t>
        </is>
      </c>
      <c r="D4108" s="12" t="inlineStr">
        <is>
          <t>Motor 4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4395</v>
      </c>
      <c r="U4108" s="16" t="n">
        <v>33</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I-C-0012</t>
        </is>
      </c>
      <c r="B4109" s="12" t="inlineStr">
        <is>
          <t>I</t>
        </is>
      </c>
      <c r="C4109" s="12" t="inlineStr">
        <is>
          <t>Modular / portable power</t>
        </is>
      </c>
      <c r="D4109" s="12" t="inlineStr">
        <is>
          <t>Motor 5 of 6: control / local station</t>
        </is>
      </c>
      <c r="E4109" s="12" t="inlineStr"/>
      <c r="F4109" s="12" t="inlineStr">
        <is>
          <t>MOD-LV 480 V board + 480 V : 13.8 kV step-up</t>
        </is>
      </c>
      <c r="G4109" s="12" t="inlineStr"/>
      <c r="H4109" s="12" t="inlineStr">
        <is>
          <t>Fuel-gas compressors 3 x 100% electric</t>
        </is>
      </c>
      <c r="I4109" s="12" t="inlineStr">
        <is>
          <t>Control</t>
        </is>
      </c>
      <c r="J4109" s="12" t="inlineStr">
        <is>
          <t>ARMOR-X MC-HL 600 V control, Cu #14 AWG (Class I Div 2)</t>
        </is>
      </c>
      <c r="K4109" s="12" t="inlineStr">
        <is>
          <t>CTAX|7/C|14</t>
        </is>
      </c>
      <c r="L4109" s="12" t="inlineStr">
        <is>
          <t>7/C</t>
        </is>
      </c>
      <c r="M4109" s="12" t="inlineStr">
        <is>
          <t>14</t>
        </is>
      </c>
      <c r="N4109" s="12" t="n">
        <v>1</v>
      </c>
      <c r="O4109" s="12" t="n">
        <v>1</v>
      </c>
      <c r="P4109" s="12" t="n"/>
      <c r="Q4109" s="12" t="n"/>
      <c r="R4109" s="12" t="n"/>
      <c r="S4109" s="12" t="inlineStr">
        <is>
          <t>HV duct bank</t>
        </is>
      </c>
      <c r="T4109" s="16" t="n">
        <v>4395</v>
      </c>
      <c r="U4109" s="16" t="n">
        <v>33</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I-C-0013</t>
        </is>
      </c>
      <c r="B4110" s="12" t="inlineStr">
        <is>
          <t>I</t>
        </is>
      </c>
      <c r="C4110" s="12" t="inlineStr">
        <is>
          <t>Modular / portable power</t>
        </is>
      </c>
      <c r="D4110" s="12" t="inlineStr">
        <is>
          <t>Motor 6 of 6: control / local station</t>
        </is>
      </c>
      <c r="E4110" s="12" t="inlineStr"/>
      <c r="F4110" s="12" t="inlineStr">
        <is>
          <t>MOD-LV 480 V board + 480 V : 13.8 kV step-up</t>
        </is>
      </c>
      <c r="G4110" s="12" t="inlineStr"/>
      <c r="H4110" s="12" t="inlineStr">
        <is>
          <t>Fuel-gas compressors 3 x 100% electric</t>
        </is>
      </c>
      <c r="I4110" s="12" t="inlineStr">
        <is>
          <t>Control</t>
        </is>
      </c>
      <c r="J4110" s="12" t="inlineStr">
        <is>
          <t>ARMOR-X MC-HL 600 V control, Cu #14 AWG (Class I Div 2)</t>
        </is>
      </c>
      <c r="K4110" s="12" t="inlineStr">
        <is>
          <t>CTAX|7/C|14</t>
        </is>
      </c>
      <c r="L4110" s="12" t="inlineStr">
        <is>
          <t>7/C</t>
        </is>
      </c>
      <c r="M4110" s="12" t="inlineStr">
        <is>
          <t>14</t>
        </is>
      </c>
      <c r="N4110" s="12" t="n">
        <v>1</v>
      </c>
      <c r="O4110" s="12" t="n">
        <v>1</v>
      </c>
      <c r="P4110" s="12" t="n"/>
      <c r="Q4110" s="12" t="n"/>
      <c r="R4110" s="12" t="n"/>
      <c r="S4110" s="12" t="inlineStr">
        <is>
          <t>HV duct bank</t>
        </is>
      </c>
      <c r="T4110" s="16" t="n">
        <v>4395</v>
      </c>
      <c r="U4110" s="16" t="n">
        <v>33</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I-C-0014</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342</v>
      </c>
      <c r="U4111" s="16" t="n">
        <v>27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I-C-0015</t>
        </is>
      </c>
      <c r="B4112" s="12" t="inlineStr">
        <is>
          <t>I</t>
        </is>
      </c>
      <c r="C4112" s="12" t="inlineStr">
        <is>
          <t>Modular / portable power</t>
        </is>
      </c>
      <c r="D4112" s="12" t="inlineStr">
        <is>
          <t>Control</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#14 AWG, PVC jacket</t>
        </is>
      </c>
      <c r="K4112" s="12" t="inlineStr">
        <is>
          <t>CT|12/C|14</t>
        </is>
      </c>
      <c r="L4112" s="12" t="inlineStr">
        <is>
          <t>12/C</t>
        </is>
      </c>
      <c r="M4112" s="12" t="inlineStr">
        <is>
          <t>14</t>
        </is>
      </c>
      <c r="N4112" s="12" t="n">
        <v>1</v>
      </c>
      <c r="O4112" s="12" t="n">
        <v>1</v>
      </c>
      <c r="P4112" s="12" t="n"/>
      <c r="Q4112" s="12" t="n"/>
      <c r="R4112" s="12" t="n"/>
      <c r="S4112" s="12" t="inlineStr">
        <is>
          <t>Surface</t>
        </is>
      </c>
      <c r="T4112" s="16" t="n">
        <v>342</v>
      </c>
      <c r="U4112" s="16" t="n">
        <v>27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I-C-0016</t>
        </is>
      </c>
      <c r="B4113" s="12" t="inlineStr">
        <is>
          <t>I</t>
        </is>
      </c>
      <c r="C4113" s="12" t="inlineStr">
        <is>
          <t>Modular / portable power</t>
        </is>
      </c>
      <c r="D4113" s="12" t="inlineStr">
        <is>
          <t>Control</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#14 AWG, PVC jacket</t>
        </is>
      </c>
      <c r="K4113" s="12" t="inlineStr">
        <is>
          <t>CT|12/C|14</t>
        </is>
      </c>
      <c r="L4113" s="12" t="inlineStr">
        <is>
          <t>12/C</t>
        </is>
      </c>
      <c r="M4113" s="12" t="inlineStr">
        <is>
          <t>14</t>
        </is>
      </c>
      <c r="N4113" s="12" t="n">
        <v>1</v>
      </c>
      <c r="O4113" s="12" t="n">
        <v>1</v>
      </c>
      <c r="P4113" s="12" t="n"/>
      <c r="Q4113" s="12" t="n"/>
      <c r="R4113" s="12" t="n"/>
      <c r="S4113" s="12" t="inlineStr">
        <is>
          <t>Surface</t>
        </is>
      </c>
      <c r="T4113" s="16" t="n">
        <v>342</v>
      </c>
      <c r="U4113" s="16" t="n">
        <v>27</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I-C-0017</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342</v>
      </c>
      <c r="U4114" s="16" t="n">
        <v>27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I-C-0018</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342</v>
      </c>
      <c r="U4115" s="16" t="n">
        <v>27</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I-C-0019</t>
        </is>
      </c>
      <c r="B4116" s="12" t="inlineStr">
        <is>
          <t>I</t>
        </is>
      </c>
      <c r="C4116" s="12" t="inlineStr">
        <is>
          <t>Modular / portable power</t>
        </is>
      </c>
      <c r="D4116" s="12" t="inlineStr">
        <is>
          <t>CT / VT</t>
        </is>
      </c>
      <c r="E4116" s="12" t="inlineStr">
        <is>
          <t>PAD-EH</t>
        </is>
      </c>
      <c r="F4116" s="12" t="inlineStr">
        <is>
          <t>PAD-EH 13.8 kV switchgear e-house</t>
        </is>
      </c>
      <c r="G4116" s="12" t="inlineStr">
        <is>
          <t>GSP-1</t>
        </is>
      </c>
      <c r="H4116" s="12" t="inlineStr">
        <is>
          <t>GSP-1: generator breaker / protection</t>
        </is>
      </c>
      <c r="I4116" s="12" t="inlineStr">
        <is>
          <t>Control</t>
        </is>
      </c>
      <c r="J4116" s="12" t="inlineStr">
        <is>
          <t>Control cable 600 V Type TC-ER, Cu #10 AWG (CT / VT circuits)</t>
        </is>
      </c>
      <c r="K4116" s="12" t="inlineStr">
        <is>
          <t>CTCT|4/C|10</t>
        </is>
      </c>
      <c r="L4116" s="12" t="inlineStr">
        <is>
          <t>4/C</t>
        </is>
      </c>
      <c r="M4116" s="12" t="inlineStr">
        <is>
          <t>10</t>
        </is>
      </c>
      <c r="N4116" s="12" t="n">
        <v>1</v>
      </c>
      <c r="O4116" s="12" t="n">
        <v>1</v>
      </c>
      <c r="P4116" s="12" t="n"/>
      <c r="Q4116" s="12" t="n"/>
      <c r="R4116" s="12" t="n"/>
      <c r="S4116" s="12" t="inlineStr">
        <is>
          <t>Surface</t>
        </is>
      </c>
      <c r="T4116" s="16" t="n">
        <v>342</v>
      </c>
      <c r="U4116" s="16" t="n">
        <v>27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I-C-0020</t>
        </is>
      </c>
      <c r="B4117" s="12" t="inlineStr">
        <is>
          <t>I</t>
        </is>
      </c>
      <c r="C4117" s="12" t="inlineStr">
        <is>
          <t>Modular / portable power</t>
        </is>
      </c>
      <c r="D4117" s="12" t="inlineStr">
        <is>
          <t>CT / VT</t>
        </is>
      </c>
      <c r="E4117" s="12" t="inlineStr">
        <is>
          <t>PAD-EH</t>
        </is>
      </c>
      <c r="F4117" s="12" t="inlineStr">
        <is>
          <t>PAD-EH 13.8 kV switchgear e-house</t>
        </is>
      </c>
      <c r="G4117" s="12" t="inlineStr">
        <is>
          <t>GSP-1</t>
        </is>
      </c>
      <c r="H4117" s="12" t="inlineStr">
        <is>
          <t>GSP-1: generator breaker / protection</t>
        </is>
      </c>
      <c r="I4117" s="12" t="inlineStr">
        <is>
          <t>Control</t>
        </is>
      </c>
      <c r="J4117" s="12" t="inlineStr">
        <is>
          <t>Control cable 600 V Type TC-ER, Cu #10 AWG (CT / VT circuits)</t>
        </is>
      </c>
      <c r="K4117" s="12" t="inlineStr">
        <is>
          <t>CTCT|4/C|10</t>
        </is>
      </c>
      <c r="L4117" s="12" t="inlineStr">
        <is>
          <t>4/C</t>
        </is>
      </c>
      <c r="M4117" s="12" t="inlineStr">
        <is>
          <t>10</t>
        </is>
      </c>
      <c r="N4117" s="12" t="n">
        <v>1</v>
      </c>
      <c r="O4117" s="12" t="n">
        <v>1</v>
      </c>
      <c r="P4117" s="12" t="n"/>
      <c r="Q4117" s="12" t="n"/>
      <c r="R4117" s="12" t="n"/>
      <c r="S4117" s="12" t="inlineStr">
        <is>
          <t>Surface</t>
        </is>
      </c>
      <c r="T4117" s="16" t="n">
        <v>342</v>
      </c>
      <c r="U4117" s="16" t="n">
        <v>27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I-C-0021</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353</v>
      </c>
      <c r="U4118" s="16" t="n">
        <v>27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I-C-0022</t>
        </is>
      </c>
      <c r="B4119" s="12" t="inlineStr">
        <is>
          <t>I</t>
        </is>
      </c>
      <c r="C4119" s="12" t="inlineStr">
        <is>
          <t>Modular / portable power</t>
        </is>
      </c>
      <c r="D4119" s="12" t="inlineStr">
        <is>
          <t>Control</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#14 AWG, PVC jacket</t>
        </is>
      </c>
      <c r="K4119" s="12" t="inlineStr">
        <is>
          <t>CT|12/C|14</t>
        </is>
      </c>
      <c r="L4119" s="12" t="inlineStr">
        <is>
          <t>12/C</t>
        </is>
      </c>
      <c r="M4119" s="12" t="inlineStr">
        <is>
          <t>14</t>
        </is>
      </c>
      <c r="N4119" s="12" t="n">
        <v>1</v>
      </c>
      <c r="O4119" s="12" t="n">
        <v>1</v>
      </c>
      <c r="P4119" s="12" t="n"/>
      <c r="Q4119" s="12" t="n"/>
      <c r="R4119" s="12" t="n"/>
      <c r="S4119" s="12" t="inlineStr">
        <is>
          <t>Surface</t>
        </is>
      </c>
      <c r="T4119" s="16" t="n">
        <v>353</v>
      </c>
      <c r="U4119" s="16" t="n">
        <v>27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I-C-0023</t>
        </is>
      </c>
      <c r="B4120" s="12" t="inlineStr">
        <is>
          <t>I</t>
        </is>
      </c>
      <c r="C4120" s="12" t="inlineStr">
        <is>
          <t>Modular / portable power</t>
        </is>
      </c>
      <c r="D4120" s="12" t="inlineStr">
        <is>
          <t>Control</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#14 AWG, PVC jacket</t>
        </is>
      </c>
      <c r="K4120" s="12" t="inlineStr">
        <is>
          <t>CT|12/C|14</t>
        </is>
      </c>
      <c r="L4120" s="12" t="inlineStr">
        <is>
          <t>12/C</t>
        </is>
      </c>
      <c r="M4120" s="12" t="inlineStr">
        <is>
          <t>14</t>
        </is>
      </c>
      <c r="N4120" s="12" t="n">
        <v>1</v>
      </c>
      <c r="O4120" s="12" t="n">
        <v>1</v>
      </c>
      <c r="P4120" s="12" t="n"/>
      <c r="Q4120" s="12" t="n"/>
      <c r="R4120" s="12" t="n"/>
      <c r="S4120" s="12" t="inlineStr">
        <is>
          <t>Surface</t>
        </is>
      </c>
      <c r="T4120" s="16" t="n">
        <v>353</v>
      </c>
      <c r="U4120" s="16" t="n">
        <v>27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I-C-0024</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353</v>
      </c>
      <c r="U4121" s="16" t="n">
        <v>27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I-C-0025</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353</v>
      </c>
      <c r="U4122" s="16" t="n">
        <v>27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I-C-0026</t>
        </is>
      </c>
      <c r="B4123" s="12" t="inlineStr">
        <is>
          <t>I</t>
        </is>
      </c>
      <c r="C4123" s="12" t="inlineStr">
        <is>
          <t>Modular / portable power</t>
        </is>
      </c>
      <c r="D4123" s="12" t="inlineStr">
        <is>
          <t>CT / VT</t>
        </is>
      </c>
      <c r="E4123" s="12" t="inlineStr">
        <is>
          <t>PAD-EH</t>
        </is>
      </c>
      <c r="F4123" s="12" t="inlineStr">
        <is>
          <t>PAD-EH 13.8 kV switchgear e-house</t>
        </is>
      </c>
      <c r="G4123" s="12" t="inlineStr">
        <is>
          <t>GSP-2</t>
        </is>
      </c>
      <c r="H4123" s="12" t="inlineStr">
        <is>
          <t>GSP-2: generator breaker / protection</t>
        </is>
      </c>
      <c r="I4123" s="12" t="inlineStr">
        <is>
          <t>Control</t>
        </is>
      </c>
      <c r="J4123" s="12" t="inlineStr">
        <is>
          <t>Control cable 600 V Type TC-ER, Cu #10 AWG (CT / VT circuits)</t>
        </is>
      </c>
      <c r="K4123" s="12" t="inlineStr">
        <is>
          <t>CTCT|4/C|10</t>
        </is>
      </c>
      <c r="L4123" s="12" t="inlineStr">
        <is>
          <t>4/C</t>
        </is>
      </c>
      <c r="M4123" s="12" t="inlineStr">
        <is>
          <t>10</t>
        </is>
      </c>
      <c r="N4123" s="12" t="n">
        <v>1</v>
      </c>
      <c r="O4123" s="12" t="n">
        <v>1</v>
      </c>
      <c r="P4123" s="12" t="n"/>
      <c r="Q4123" s="12" t="n"/>
      <c r="R4123" s="12" t="n"/>
      <c r="S4123" s="12" t="inlineStr">
        <is>
          <t>Surface</t>
        </is>
      </c>
      <c r="T4123" s="16" t="n">
        <v>353</v>
      </c>
      <c r="U4123" s="16" t="n">
        <v>27</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I-C-0027</t>
        </is>
      </c>
      <c r="B4124" s="12" t="inlineStr">
        <is>
          <t>I</t>
        </is>
      </c>
      <c r="C4124" s="12" t="inlineStr">
        <is>
          <t>Modular / portable power</t>
        </is>
      </c>
      <c r="D4124" s="12" t="inlineStr">
        <is>
          <t>CT / VT</t>
        </is>
      </c>
      <c r="E4124" s="12" t="inlineStr">
        <is>
          <t>PAD-EH</t>
        </is>
      </c>
      <c r="F4124" s="12" t="inlineStr">
        <is>
          <t>PAD-EH 13.8 kV switchgear e-house</t>
        </is>
      </c>
      <c r="G4124" s="12" t="inlineStr">
        <is>
          <t>GSP-2</t>
        </is>
      </c>
      <c r="H4124" s="12" t="inlineStr">
        <is>
          <t>GSP-2: generator breaker / protection</t>
        </is>
      </c>
      <c r="I4124" s="12" t="inlineStr">
        <is>
          <t>Control</t>
        </is>
      </c>
      <c r="J4124" s="12" t="inlineStr">
        <is>
          <t>Control cable 600 V Type TC-ER, Cu #10 AWG (CT / VT circuits)</t>
        </is>
      </c>
      <c r="K4124" s="12" t="inlineStr">
        <is>
          <t>CTCT|4/C|10</t>
        </is>
      </c>
      <c r="L4124" s="12" t="inlineStr">
        <is>
          <t>4/C</t>
        </is>
      </c>
      <c r="M4124" s="12" t="inlineStr">
        <is>
          <t>10</t>
        </is>
      </c>
      <c r="N4124" s="12" t="n">
        <v>1</v>
      </c>
      <c r="O4124" s="12" t="n">
        <v>1</v>
      </c>
      <c r="P4124" s="12" t="n"/>
      <c r="Q4124" s="12" t="n"/>
      <c r="R4124" s="12" t="n"/>
      <c r="S4124" s="12" t="inlineStr">
        <is>
          <t>Surface</t>
        </is>
      </c>
      <c r="T4124" s="16" t="n">
        <v>353</v>
      </c>
      <c r="U4124" s="16" t="n">
        <v>27</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I-C-0028</t>
        </is>
      </c>
      <c r="B4125" s="12" t="inlineStr">
        <is>
          <t>I</t>
        </is>
      </c>
      <c r="C4125" s="12" t="inlineStr">
        <is>
          <t>Modular / portable power</t>
        </is>
      </c>
      <c r="D4125" s="12" t="inlineStr">
        <is>
          <t>Control</t>
        </is>
      </c>
      <c r="E4125" s="12" t="inlineStr"/>
      <c r="F4125" s="12" t="inlineStr">
        <is>
          <t>PCM: power control module</t>
        </is>
      </c>
      <c r="G4125" s="12" t="inlineStr"/>
      <c r="H4125" s="12" t="inlineStr">
        <is>
          <t>Gas conditioning skid</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Tray</t>
        </is>
      </c>
      <c r="T4125" s="16" t="n">
        <v>32</v>
      </c>
      <c r="U4125" s="16" t="n">
        <v>94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I-C-0029</t>
        </is>
      </c>
      <c r="B4126" s="12" t="inlineStr">
        <is>
          <t>I</t>
        </is>
      </c>
      <c r="C4126" s="12" t="inlineStr">
        <is>
          <t>Modular / portable power</t>
        </is>
      </c>
      <c r="D4126" s="12" t="inlineStr">
        <is>
          <t>Control</t>
        </is>
      </c>
      <c r="E4126" s="12" t="inlineStr">
        <is>
          <t>PAD-EH</t>
        </is>
      </c>
      <c r="F4126" s="12" t="inlineStr">
        <is>
          <t>PAD-EH 13.8 kV switchgear e-house</t>
        </is>
      </c>
      <c r="G4126" s="12" t="inlineStr">
        <is>
          <t>LB</t>
        </is>
      </c>
      <c r="H4126" s="12" t="inlineStr">
        <is>
          <t>LB: commissioning load bank (trailer)</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Surface</t>
        </is>
      </c>
      <c r="T4126" s="16" t="n">
        <v>205</v>
      </c>
      <c r="U4126" s="16" t="n">
        <v>39</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I-C-0030</t>
        </is>
      </c>
      <c r="B4127" s="12" t="inlineStr">
        <is>
          <t>I</t>
        </is>
      </c>
      <c r="C4127" s="12" t="inlineStr">
        <is>
          <t>Modular / portable power</t>
        </is>
      </c>
      <c r="D4127" s="12" t="inlineStr">
        <is>
          <t>Control</t>
        </is>
      </c>
      <c r="E4127" s="12" t="inlineStr"/>
      <c r="F4127" s="12" t="inlineStr">
        <is>
          <t>PCM: power control module</t>
        </is>
      </c>
      <c r="G4127" s="12" t="inlineStr"/>
      <c r="H4127" s="12" t="inlineStr">
        <is>
          <t>Lube oil / starting air / oily water building</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Tray</t>
        </is>
      </c>
      <c r="T4127" s="16" t="n">
        <v>32</v>
      </c>
      <c r="U4127" s="16" t="n">
        <v>164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I-C-0031</t>
        </is>
      </c>
      <c r="B4128" s="12" t="inlineStr">
        <is>
          <t>I</t>
        </is>
      </c>
      <c r="C4128" s="12" t="inlineStr">
        <is>
          <t>Modular / portable power</t>
        </is>
      </c>
      <c r="D4128" s="12" t="inlineStr">
        <is>
          <t>Control</t>
        </is>
      </c>
      <c r="E4128" s="12" t="inlineStr"/>
      <c r="F4128" s="12" t="inlineStr">
        <is>
          <t>PCM: power control module</t>
        </is>
      </c>
      <c r="G4128" s="12" t="inlineStr">
        <is>
          <t>MOD-EH</t>
        </is>
      </c>
      <c r="H4128" s="12" t="inlineStr">
        <is>
          <t>MOD-EH: 13.8 kV modular collector e-house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6" t="n">
        <v>355</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I-C-0032</t>
        </is>
      </c>
      <c r="B4129" s="12" t="inlineStr">
        <is>
          <t>I</t>
        </is>
      </c>
      <c r="C4129" s="12" t="inlineStr">
        <is>
          <t>Modular / portable power</t>
        </is>
      </c>
      <c r="D4129" s="12" t="inlineStr">
        <is>
          <t>Control</t>
        </is>
      </c>
      <c r="E4129" s="12" t="inlineStr"/>
      <c r="F4129" s="12" t="inlineStr">
        <is>
          <t>PCM: power control module</t>
        </is>
      </c>
      <c r="G4129" s="12" t="inlineStr"/>
      <c r="H4129" s="12" t="inlineStr">
        <is>
          <t>MOD-LV 480 V board + 480 V : 13.8 kV step-up</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755</v>
      </c>
      <c r="U4129" s="16" t="n">
        <v>32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I-C-0033</t>
        </is>
      </c>
      <c r="B4130" s="12" t="inlineStr">
        <is>
          <t>I</t>
        </is>
      </c>
      <c r="C4130" s="12" t="inlineStr">
        <is>
          <t>Modular / portable power</t>
        </is>
      </c>
      <c r="D4130" s="12" t="inlineStr">
        <is>
          <t>Control</t>
        </is>
      </c>
      <c r="E4130" s="12" t="inlineStr"/>
      <c r="F4130" s="12" t="inlineStr">
        <is>
          <t>PCM: power control module</t>
        </is>
      </c>
      <c r="G4130" s="12" t="inlineStr"/>
      <c r="H4130" s="12" t="inlineStr">
        <is>
          <t>PCM: power control module</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Tray</t>
        </is>
      </c>
      <c r="T4130" s="16" t="n">
        <v>0</v>
      </c>
      <c r="U4130" s="16" t="n">
        <v>32</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I-C-0034</t>
        </is>
      </c>
      <c r="B4131" s="12" t="inlineStr">
        <is>
          <t>I</t>
        </is>
      </c>
      <c r="C4131" s="12" t="inlineStr">
        <is>
          <t>Modular / portable power</t>
        </is>
      </c>
      <c r="D4131" s="12" t="inlineStr">
        <is>
          <t>Motor 1 of 1: control / local station</t>
        </is>
      </c>
      <c r="E4131" s="12" t="inlineStr"/>
      <c r="F4131" s="12" t="inlineStr">
        <is>
          <t>PCM: power control module</t>
        </is>
      </c>
      <c r="G4131" s="12" t="inlineStr"/>
      <c r="H4131" s="12" t="inlineStr">
        <is>
          <t>RICE 1 SCR + oxidation catalyst and stack</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470</v>
      </c>
      <c r="U4131" s="16" t="n">
        <v>160</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I-C-0035</t>
        </is>
      </c>
      <c r="B4132" s="12" t="inlineStr">
        <is>
          <t>I</t>
        </is>
      </c>
      <c r="C4132" s="12" t="inlineStr">
        <is>
          <t>Modular / portable power</t>
        </is>
      </c>
      <c r="D4132" s="12" t="inlineStr">
        <is>
          <t>Motor 1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I-C-0036</t>
        </is>
      </c>
      <c r="B4133" s="12" t="inlineStr">
        <is>
          <t>I</t>
        </is>
      </c>
      <c r="C4133" s="12" t="inlineStr">
        <is>
          <t>Modular / portable power</t>
        </is>
      </c>
      <c r="D4133" s="12" t="inlineStr">
        <is>
          <t>Motor 2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I-C-0037</t>
        </is>
      </c>
      <c r="B4134" s="12" t="inlineStr">
        <is>
          <t>I</t>
        </is>
      </c>
      <c r="C4134" s="12" t="inlineStr">
        <is>
          <t>Modular / portable power</t>
        </is>
      </c>
      <c r="D4134" s="12" t="inlineStr">
        <is>
          <t>Motor 3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I-C-0038</t>
        </is>
      </c>
      <c r="B4135" s="12" t="inlineStr">
        <is>
          <t>I</t>
        </is>
      </c>
      <c r="C4135" s="12" t="inlineStr">
        <is>
          <t>Modular / portable power</t>
        </is>
      </c>
      <c r="D4135" s="12" t="inlineStr">
        <is>
          <t>Motor 4 of 5: control / local station</t>
        </is>
      </c>
      <c r="E4135" s="12" t="inlineStr"/>
      <c r="F4135" s="12" t="inlineStr">
        <is>
          <t>PCM: power control module</t>
        </is>
      </c>
      <c r="G4135" s="12" t="inlineStr"/>
      <c r="H4135" s="12" t="inlineStr">
        <is>
          <t>RICE 1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745</v>
      </c>
      <c r="U4135" s="16" t="n">
        <v>139</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I-C-0039</t>
        </is>
      </c>
      <c r="B4136" s="12" t="inlineStr">
        <is>
          <t>I</t>
        </is>
      </c>
      <c r="C4136" s="12" t="inlineStr">
        <is>
          <t>Modular / portable power</t>
        </is>
      </c>
      <c r="D4136" s="12" t="inlineStr">
        <is>
          <t>Motor 5 of 5: control / local station</t>
        </is>
      </c>
      <c r="E4136" s="12" t="inlineStr"/>
      <c r="F4136" s="12" t="inlineStr">
        <is>
          <t>PCM: power control module</t>
        </is>
      </c>
      <c r="G4136" s="12" t="inlineStr"/>
      <c r="H4136" s="12" t="inlineStr">
        <is>
          <t>RICE 1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745</v>
      </c>
      <c r="U4136" s="16" t="n">
        <v>139</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I-C-0040</t>
        </is>
      </c>
      <c r="B4137" s="12" t="inlineStr">
        <is>
          <t>I</t>
        </is>
      </c>
      <c r="C4137" s="12" t="inlineStr">
        <is>
          <t>Modular / portable power</t>
        </is>
      </c>
      <c r="D4137" s="12" t="inlineStr">
        <is>
          <t>Motor 1 of 1: control / local station</t>
        </is>
      </c>
      <c r="E4137" s="12" t="inlineStr"/>
      <c r="F4137" s="12" t="inlineStr">
        <is>
          <t>PCM: power control module</t>
        </is>
      </c>
      <c r="G4137" s="12" t="inlineStr"/>
      <c r="H4137" s="12" t="inlineStr">
        <is>
          <t>RICE 2 SCR + oxidation catalyst and stack</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470</v>
      </c>
      <c r="U4137" s="16" t="n">
        <v>132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I-C-0041</t>
        </is>
      </c>
      <c r="B4138" s="12" t="inlineStr">
        <is>
          <t>I</t>
        </is>
      </c>
      <c r="C4138" s="12" t="inlineStr">
        <is>
          <t>Modular / portable power</t>
        </is>
      </c>
      <c r="D4138" s="12" t="inlineStr">
        <is>
          <t>Motor 1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I-C-0042</t>
        </is>
      </c>
      <c r="B4139" s="12" t="inlineStr">
        <is>
          <t>I</t>
        </is>
      </c>
      <c r="C4139" s="12" t="inlineStr">
        <is>
          <t>Modular / portable power</t>
        </is>
      </c>
      <c r="D4139" s="12" t="inlineStr">
        <is>
          <t>Motor 2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I-C-0043</t>
        </is>
      </c>
      <c r="B4140" s="12" t="inlineStr">
        <is>
          <t>I</t>
        </is>
      </c>
      <c r="C4140" s="12" t="inlineStr">
        <is>
          <t>Modular / portable power</t>
        </is>
      </c>
      <c r="D4140" s="12" t="inlineStr">
        <is>
          <t>Motor 3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I-C-0044</t>
        </is>
      </c>
      <c r="B4141" s="12" t="inlineStr">
        <is>
          <t>I</t>
        </is>
      </c>
      <c r="C4141" s="12" t="inlineStr">
        <is>
          <t>Modular / portable power</t>
        </is>
      </c>
      <c r="D4141" s="12" t="inlineStr">
        <is>
          <t>Motor 4 of 5: control / local station</t>
        </is>
      </c>
      <c r="E4141" s="12" t="inlineStr"/>
      <c r="F4141" s="12" t="inlineStr">
        <is>
          <t>PCM: power control module</t>
        </is>
      </c>
      <c r="G4141" s="12" t="inlineStr"/>
      <c r="H4141" s="12" t="inlineStr">
        <is>
          <t>RICE 2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550</v>
      </c>
      <c r="U4141" s="16" t="n">
        <v>192</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I-C-0045</t>
        </is>
      </c>
      <c r="B4142" s="12" t="inlineStr">
        <is>
          <t>I</t>
        </is>
      </c>
      <c r="C4142" s="12" t="inlineStr">
        <is>
          <t>Modular / portable power</t>
        </is>
      </c>
      <c r="D4142" s="12" t="inlineStr">
        <is>
          <t>Motor 5 of 5: control / local station</t>
        </is>
      </c>
      <c r="E4142" s="12" t="inlineStr"/>
      <c r="F4142" s="12" t="inlineStr">
        <is>
          <t>PCM: power control module</t>
        </is>
      </c>
      <c r="G4142" s="12" t="inlineStr"/>
      <c r="H4142" s="12" t="inlineStr">
        <is>
          <t>RICE 2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Duct bank</t>
        </is>
      </c>
      <c r="T4142" s="16" t="n">
        <v>550</v>
      </c>
      <c r="U4142" s="16" t="n">
        <v>192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I-C-0046</t>
        </is>
      </c>
      <c r="B4143" s="12" t="inlineStr">
        <is>
          <t>I</t>
        </is>
      </c>
      <c r="C4143" s="12" t="inlineStr">
        <is>
          <t>Modular / portable power</t>
        </is>
      </c>
      <c r="D4143" s="12" t="inlineStr">
        <is>
          <t>Motor 1 of 1: control / local station</t>
        </is>
      </c>
      <c r="E4143" s="12" t="inlineStr"/>
      <c r="F4143" s="12" t="inlineStr">
        <is>
          <t>PCM: power control module</t>
        </is>
      </c>
      <c r="G4143" s="12" t="inlineStr"/>
      <c r="H4143" s="12" t="inlineStr">
        <is>
          <t>RICE 3 SCR + oxidation catalyst and stack</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Duct bank</t>
        </is>
      </c>
      <c r="T4143" s="16" t="n">
        <v>470</v>
      </c>
      <c r="U4143" s="16" t="n">
        <v>104</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I-C-0047</t>
        </is>
      </c>
      <c r="B4144" s="12" t="inlineStr">
        <is>
          <t>I</t>
        </is>
      </c>
      <c r="C4144" s="12" t="inlineStr">
        <is>
          <t>Modular / portable power</t>
        </is>
      </c>
      <c r="D4144" s="12" t="inlineStr">
        <is>
          <t>Motor 1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I-C-0048</t>
        </is>
      </c>
      <c r="B4145" s="12" t="inlineStr">
        <is>
          <t>I</t>
        </is>
      </c>
      <c r="C4145" s="12" t="inlineStr">
        <is>
          <t>Modular / portable power</t>
        </is>
      </c>
      <c r="D4145" s="12" t="inlineStr">
        <is>
          <t>Motor 2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I-C-0049</t>
        </is>
      </c>
      <c r="B4146" s="12" t="inlineStr">
        <is>
          <t>I</t>
        </is>
      </c>
      <c r="C4146" s="12" t="inlineStr">
        <is>
          <t>Modular / portable power</t>
        </is>
      </c>
      <c r="D4146" s="12" t="inlineStr">
        <is>
          <t>Motor 3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I-C-0050</t>
        </is>
      </c>
      <c r="B4147" s="12" t="inlineStr">
        <is>
          <t>I</t>
        </is>
      </c>
      <c r="C4147" s="12" t="inlineStr">
        <is>
          <t>Modular / portable power</t>
        </is>
      </c>
      <c r="D4147" s="12" t="inlineStr">
        <is>
          <t>Motor 4 of 5: control / local station</t>
        </is>
      </c>
      <c r="E4147" s="12" t="inlineStr"/>
      <c r="F4147" s="12" t="inlineStr">
        <is>
          <t>PCM: power control module</t>
        </is>
      </c>
      <c r="G4147" s="12" t="inlineStr"/>
      <c r="H4147" s="12" t="inlineStr">
        <is>
          <t>RICE 3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6" t="n">
        <v>32</v>
      </c>
      <c r="U4147" s="16" t="n">
        <v>232</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I-C-0051</t>
        </is>
      </c>
      <c r="B4148" s="12" t="inlineStr">
        <is>
          <t>I</t>
        </is>
      </c>
      <c r="C4148" s="12" t="inlineStr">
        <is>
          <t>Modular / portable power</t>
        </is>
      </c>
      <c r="D4148" s="12" t="inlineStr">
        <is>
          <t>Motor 5 of 5: control / local station</t>
        </is>
      </c>
      <c r="E4148" s="12" t="inlineStr"/>
      <c r="F4148" s="12" t="inlineStr">
        <is>
          <t>PCM: power control module</t>
        </is>
      </c>
      <c r="G4148" s="12" t="inlineStr"/>
      <c r="H4148" s="12" t="inlineStr">
        <is>
          <t>RICE 3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32</v>
      </c>
      <c r="U4148" s="16" t="n">
        <v>232</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I-C-0052</t>
        </is>
      </c>
      <c r="B4149" s="12" t="inlineStr">
        <is>
          <t>I</t>
        </is>
      </c>
      <c r="C4149" s="12" t="inlineStr">
        <is>
          <t>Modular / portable power</t>
        </is>
      </c>
      <c r="D4149" s="12" t="inlineStr">
        <is>
          <t>Motor 1 of 1: control / local station</t>
        </is>
      </c>
      <c r="E4149" s="12" t="inlineStr"/>
      <c r="F4149" s="12" t="inlineStr">
        <is>
          <t>PCM: power control module</t>
        </is>
      </c>
      <c r="G4149" s="12" t="inlineStr"/>
      <c r="H4149" s="12" t="inlineStr">
        <is>
          <t>RICE 4 SCR + oxidation catalyst and stack</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6" t="n">
        <v>470</v>
      </c>
      <c r="U4149" s="16" t="n">
        <v>76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I-C-0053</t>
        </is>
      </c>
      <c r="B4150" s="12" t="inlineStr">
        <is>
          <t>I</t>
        </is>
      </c>
      <c r="C4150" s="12" t="inlineStr">
        <is>
          <t>Modular / portable power</t>
        </is>
      </c>
      <c r="D4150" s="12" t="inlineStr">
        <is>
          <t>Motor 1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I-C-0054</t>
        </is>
      </c>
      <c r="B4151" s="12" t="inlineStr">
        <is>
          <t>I</t>
        </is>
      </c>
      <c r="C4151" s="12" t="inlineStr">
        <is>
          <t>Modular / portable power</t>
        </is>
      </c>
      <c r="D4151" s="12" t="inlineStr">
        <is>
          <t>Motor 2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I-C-0055</t>
        </is>
      </c>
      <c r="B4152" s="12" t="inlineStr">
        <is>
          <t>I</t>
        </is>
      </c>
      <c r="C4152" s="12" t="inlineStr">
        <is>
          <t>Modular / portable power</t>
        </is>
      </c>
      <c r="D4152" s="12" t="inlineStr">
        <is>
          <t>Motor 3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I-C-0056</t>
        </is>
      </c>
      <c r="B4153" s="12" t="inlineStr">
        <is>
          <t>I</t>
        </is>
      </c>
      <c r="C4153" s="12" t="inlineStr">
        <is>
          <t>Modular / portable power</t>
        </is>
      </c>
      <c r="D4153" s="12" t="inlineStr">
        <is>
          <t>Motor 4 of 5: control / local station</t>
        </is>
      </c>
      <c r="E4153" s="12" t="inlineStr"/>
      <c r="F4153" s="12" t="inlineStr">
        <is>
          <t>PCM: power control module</t>
        </is>
      </c>
      <c r="G4153" s="12" t="inlineStr"/>
      <c r="H4153" s="12" t="inlineStr">
        <is>
          <t>RICE 4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6" t="n">
        <v>0</v>
      </c>
      <c r="U4153" s="16" t="n">
        <v>206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I-C-0057</t>
        </is>
      </c>
      <c r="B4154" s="12" t="inlineStr">
        <is>
          <t>I</t>
        </is>
      </c>
      <c r="C4154" s="12" t="inlineStr">
        <is>
          <t>Modular / portable power</t>
        </is>
      </c>
      <c r="D4154" s="12" t="inlineStr">
        <is>
          <t>Motor 5 of 5: control / local station</t>
        </is>
      </c>
      <c r="E4154" s="12" t="inlineStr"/>
      <c r="F4154" s="12" t="inlineStr">
        <is>
          <t>PCM: power control module</t>
        </is>
      </c>
      <c r="G4154" s="12" t="inlineStr"/>
      <c r="H4154" s="12" t="inlineStr">
        <is>
          <t>RICE 4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206</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I-C-0058</t>
        </is>
      </c>
      <c r="B4155" s="12" t="inlineStr">
        <is>
          <t>I</t>
        </is>
      </c>
      <c r="C4155" s="12" t="inlineStr">
        <is>
          <t>Modular / portable power</t>
        </is>
      </c>
      <c r="D4155" s="12" t="inlineStr">
        <is>
          <t>Motor 1 of 1: control / local station</t>
        </is>
      </c>
      <c r="E4155" s="12" t="inlineStr"/>
      <c r="F4155" s="12" t="inlineStr">
        <is>
          <t>PCM: power control module</t>
        </is>
      </c>
      <c r="G4155" s="12" t="inlineStr"/>
      <c r="H4155" s="12" t="inlineStr">
        <is>
          <t>RICE 5 SCR + oxidation catalyst and stack</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6" t="n">
        <v>322</v>
      </c>
      <c r="U4155" s="16" t="n">
        <v>196</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I-C-0059</t>
        </is>
      </c>
      <c r="B4156" s="12" t="inlineStr">
        <is>
          <t>I</t>
        </is>
      </c>
      <c r="C4156" s="12" t="inlineStr">
        <is>
          <t>Modular / portable power</t>
        </is>
      </c>
      <c r="D4156" s="12" t="inlineStr">
        <is>
          <t>Motor 1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I-C-0060</t>
        </is>
      </c>
      <c r="B4157" s="12" t="inlineStr">
        <is>
          <t>I</t>
        </is>
      </c>
      <c r="C4157" s="12" t="inlineStr">
        <is>
          <t>Modular / portable power</t>
        </is>
      </c>
      <c r="D4157" s="12" t="inlineStr">
        <is>
          <t>Motor 2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I-C-0061</t>
        </is>
      </c>
      <c r="B4158" s="12" t="inlineStr">
        <is>
          <t>I</t>
        </is>
      </c>
      <c r="C4158" s="12" t="inlineStr">
        <is>
          <t>Modular / portable power</t>
        </is>
      </c>
      <c r="D4158" s="12" t="inlineStr">
        <is>
          <t>Motor 3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I-C-0062</t>
        </is>
      </c>
      <c r="B4159" s="12" t="inlineStr">
        <is>
          <t>I</t>
        </is>
      </c>
      <c r="C4159" s="12" t="inlineStr">
        <is>
          <t>Modular / portable power</t>
        </is>
      </c>
      <c r="D4159" s="12" t="inlineStr">
        <is>
          <t>Motor 4 of 5: control / local station</t>
        </is>
      </c>
      <c r="E4159" s="12" t="inlineStr"/>
      <c r="F4159" s="12" t="inlineStr">
        <is>
          <t>PCM: power control module</t>
        </is>
      </c>
      <c r="G4159" s="12" t="inlineStr"/>
      <c r="H4159" s="12" t="inlineStr">
        <is>
          <t>RICE 5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6" t="n">
        <v>0</v>
      </c>
      <c r="U4159" s="16" t="n">
        <v>178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I-C-0063</t>
        </is>
      </c>
      <c r="B4160" s="12" t="inlineStr">
        <is>
          <t>I</t>
        </is>
      </c>
      <c r="C4160" s="12" t="inlineStr">
        <is>
          <t>Modular / portable power</t>
        </is>
      </c>
      <c r="D4160" s="12" t="inlineStr">
        <is>
          <t>Motor 5 of 5: control / local station</t>
        </is>
      </c>
      <c r="E4160" s="12" t="inlineStr"/>
      <c r="F4160" s="12" t="inlineStr">
        <is>
          <t>PCM: power control module</t>
        </is>
      </c>
      <c r="G4160" s="12" t="inlineStr"/>
      <c r="H4160" s="12" t="inlineStr">
        <is>
          <t>RICE 5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178</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I-C-0064</t>
        </is>
      </c>
      <c r="B4161" s="12" t="inlineStr">
        <is>
          <t>I</t>
        </is>
      </c>
      <c r="C4161" s="12" t="inlineStr">
        <is>
          <t>Modular / portable power</t>
        </is>
      </c>
      <c r="D4161" s="12" t="inlineStr">
        <is>
          <t>Motor 1 of 1: control / local station</t>
        </is>
      </c>
      <c r="E4161" s="12" t="inlineStr"/>
      <c r="F4161" s="12" t="inlineStr">
        <is>
          <t>PCM: power control module</t>
        </is>
      </c>
      <c r="G4161" s="12" t="inlineStr"/>
      <c r="H4161" s="12" t="inlineStr">
        <is>
          <t>RICE 6 SCR + oxidation catalyst and stack</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Duct bank</t>
        </is>
      </c>
      <c r="T4161" s="16" t="n">
        <v>322</v>
      </c>
      <c r="U4161" s="16" t="n">
        <v>168</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I-C-0065</t>
        </is>
      </c>
      <c r="B4162" s="12" t="inlineStr">
        <is>
          <t>I</t>
        </is>
      </c>
      <c r="C4162" s="12" t="inlineStr">
        <is>
          <t>Modular / portable power</t>
        </is>
      </c>
      <c r="D4162" s="12" t="inlineStr">
        <is>
          <t>Motor 1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I-C-0066</t>
        </is>
      </c>
      <c r="B4163" s="12" t="inlineStr">
        <is>
          <t>I</t>
        </is>
      </c>
      <c r="C4163" s="12" t="inlineStr">
        <is>
          <t>Modular / portable power</t>
        </is>
      </c>
      <c r="D4163" s="12" t="inlineStr">
        <is>
          <t>Motor 2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I-C-0067</t>
        </is>
      </c>
      <c r="B4164" s="12" t="inlineStr">
        <is>
          <t>I</t>
        </is>
      </c>
      <c r="C4164" s="12" t="inlineStr">
        <is>
          <t>Modular / portable power</t>
        </is>
      </c>
      <c r="D4164" s="12" t="inlineStr">
        <is>
          <t>Motor 3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I-C-0068</t>
        </is>
      </c>
      <c r="B4165" s="12" t="inlineStr">
        <is>
          <t>I</t>
        </is>
      </c>
      <c r="C4165" s="12" t="inlineStr">
        <is>
          <t>Modular / portable power</t>
        </is>
      </c>
      <c r="D4165" s="12" t="inlineStr">
        <is>
          <t>Motor 4 of 5: control / local station</t>
        </is>
      </c>
      <c r="E4165" s="12" t="inlineStr"/>
      <c r="F4165" s="12" t="inlineStr">
        <is>
          <t>PCM: power control module</t>
        </is>
      </c>
      <c r="G4165" s="12" t="inlineStr"/>
      <c r="H4165" s="12" t="inlineStr">
        <is>
          <t>RICE 6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150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I-C-0069</t>
        </is>
      </c>
      <c r="B4166" s="12" t="inlineStr">
        <is>
          <t>I</t>
        </is>
      </c>
      <c r="C4166" s="12" t="inlineStr">
        <is>
          <t>Modular / portable power</t>
        </is>
      </c>
      <c r="D4166" s="12" t="inlineStr">
        <is>
          <t>Motor 5 of 5: control / local station</t>
        </is>
      </c>
      <c r="E4166" s="12" t="inlineStr"/>
      <c r="F4166" s="12" t="inlineStr">
        <is>
          <t>PCM: power control module</t>
        </is>
      </c>
      <c r="G4166" s="12" t="inlineStr"/>
      <c r="H4166" s="12" t="inlineStr">
        <is>
          <t>RICE 6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150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I-C-0070</t>
        </is>
      </c>
      <c r="B4167" s="12" t="inlineStr">
        <is>
          <t>I</t>
        </is>
      </c>
      <c r="C4167" s="12" t="inlineStr">
        <is>
          <t>Modular / portable power</t>
        </is>
      </c>
      <c r="D4167" s="12" t="inlineStr">
        <is>
          <t>Motor 1 of 1: control / local station</t>
        </is>
      </c>
      <c r="E4167" s="12" t="inlineStr"/>
      <c r="F4167" s="12" t="inlineStr">
        <is>
          <t>PCM: power control module</t>
        </is>
      </c>
      <c r="G4167" s="12" t="inlineStr"/>
      <c r="H4167" s="12" t="inlineStr">
        <is>
          <t>RICE 7 SCR + oxidation catalyst and stack</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Duct bank</t>
        </is>
      </c>
      <c r="T4167" s="16" t="n">
        <v>322</v>
      </c>
      <c r="U4167" s="16" t="n">
        <v>140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I-C-0071</t>
        </is>
      </c>
      <c r="B4168" s="12" t="inlineStr">
        <is>
          <t>I</t>
        </is>
      </c>
      <c r="C4168" s="12" t="inlineStr">
        <is>
          <t>Modular / portable power</t>
        </is>
      </c>
      <c r="D4168" s="12" t="inlineStr">
        <is>
          <t>Motor 1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I-C-0072</t>
        </is>
      </c>
      <c r="B4169" s="12" t="inlineStr">
        <is>
          <t>I</t>
        </is>
      </c>
      <c r="C4169" s="12" t="inlineStr">
        <is>
          <t>Modular / portable power</t>
        </is>
      </c>
      <c r="D4169" s="12" t="inlineStr">
        <is>
          <t>Motor 2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I-C-0073</t>
        </is>
      </c>
      <c r="B4170" s="12" t="inlineStr">
        <is>
          <t>I</t>
        </is>
      </c>
      <c r="C4170" s="12" t="inlineStr">
        <is>
          <t>Modular / portable power</t>
        </is>
      </c>
      <c r="D4170" s="12" t="inlineStr">
        <is>
          <t>Motor 3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I-C-0074</t>
        </is>
      </c>
      <c r="B4171" s="12" t="inlineStr">
        <is>
          <t>I</t>
        </is>
      </c>
      <c r="C4171" s="12" t="inlineStr">
        <is>
          <t>Modular / portable power</t>
        </is>
      </c>
      <c r="D4171" s="12" t="inlineStr">
        <is>
          <t>Motor 4 of 5: control / local station</t>
        </is>
      </c>
      <c r="E4171" s="12" t="inlineStr"/>
      <c r="F4171" s="12" t="inlineStr">
        <is>
          <t>PCM: power control module</t>
        </is>
      </c>
      <c r="G4171" s="12" t="inlineStr"/>
      <c r="H4171" s="12" t="inlineStr">
        <is>
          <t>RICE 7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6" t="n">
        <v>0</v>
      </c>
      <c r="U4171" s="16" t="n">
        <v>122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I-C-0075</t>
        </is>
      </c>
      <c r="B4172" s="12" t="inlineStr">
        <is>
          <t>I</t>
        </is>
      </c>
      <c r="C4172" s="12" t="inlineStr">
        <is>
          <t>Modular / portable power</t>
        </is>
      </c>
      <c r="D4172" s="12" t="inlineStr">
        <is>
          <t>Motor 5 of 5: control / local station</t>
        </is>
      </c>
      <c r="E4172" s="12" t="inlineStr"/>
      <c r="F4172" s="12" t="inlineStr">
        <is>
          <t>PCM: power control module</t>
        </is>
      </c>
      <c r="G4172" s="12" t="inlineStr"/>
      <c r="H4172" s="12" t="inlineStr">
        <is>
          <t>RICE 7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122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I-C-0076</t>
        </is>
      </c>
      <c r="B4173" s="12" t="inlineStr">
        <is>
          <t>I</t>
        </is>
      </c>
      <c r="C4173" s="12" t="inlineStr">
        <is>
          <t>Modular / portable power</t>
        </is>
      </c>
      <c r="D4173" s="12" t="inlineStr">
        <is>
          <t>Motor 1 of 1: control / local station</t>
        </is>
      </c>
      <c r="E4173" s="12" t="inlineStr"/>
      <c r="F4173" s="12" t="inlineStr">
        <is>
          <t>PCM: power control module</t>
        </is>
      </c>
      <c r="G4173" s="12" t="inlineStr"/>
      <c r="H4173" s="12" t="inlineStr">
        <is>
          <t>RICE 8 SCR + oxidation catalyst and stack</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Duct bank</t>
        </is>
      </c>
      <c r="T4173" s="16" t="n">
        <v>322</v>
      </c>
      <c r="U4173" s="16" t="n">
        <v>112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I-C-0077</t>
        </is>
      </c>
      <c r="B4174" s="12" t="inlineStr">
        <is>
          <t>I</t>
        </is>
      </c>
      <c r="C4174" s="12" t="inlineStr">
        <is>
          <t>Modular / portable power</t>
        </is>
      </c>
      <c r="D4174" s="12" t="inlineStr">
        <is>
          <t>Motor 1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I-C-0078</t>
        </is>
      </c>
      <c r="B4175" s="12" t="inlineStr">
        <is>
          <t>I</t>
        </is>
      </c>
      <c r="C4175" s="12" t="inlineStr">
        <is>
          <t>Modular / portable power</t>
        </is>
      </c>
      <c r="D4175" s="12" t="inlineStr">
        <is>
          <t>Motor 2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I-C-0079</t>
        </is>
      </c>
      <c r="B4176" s="12" t="inlineStr">
        <is>
          <t>I</t>
        </is>
      </c>
      <c r="C4176" s="12" t="inlineStr">
        <is>
          <t>Modular / portable power</t>
        </is>
      </c>
      <c r="D4176" s="12" t="inlineStr">
        <is>
          <t>Motor 3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I-C-0080</t>
        </is>
      </c>
      <c r="B4177" s="12" t="inlineStr">
        <is>
          <t>I</t>
        </is>
      </c>
      <c r="C4177" s="12" t="inlineStr">
        <is>
          <t>Modular / portable power</t>
        </is>
      </c>
      <c r="D4177" s="12" t="inlineStr">
        <is>
          <t>Motor 4 of 5: control / local station</t>
        </is>
      </c>
      <c r="E4177" s="12" t="inlineStr"/>
      <c r="F4177" s="12" t="inlineStr">
        <is>
          <t>PCM: power control module</t>
        </is>
      </c>
      <c r="G4177" s="12" t="inlineStr"/>
      <c r="H4177" s="12" t="inlineStr">
        <is>
          <t>RICE 8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6" t="n">
        <v>0</v>
      </c>
      <c r="U4177" s="16" t="n">
        <v>94</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I-C-0081</t>
        </is>
      </c>
      <c r="B4178" s="12" t="inlineStr">
        <is>
          <t>I</t>
        </is>
      </c>
      <c r="C4178" s="12" t="inlineStr">
        <is>
          <t>Modular / portable power</t>
        </is>
      </c>
      <c r="D4178" s="12" t="inlineStr">
        <is>
          <t>Motor 5 of 5: control / local station</t>
        </is>
      </c>
      <c r="E4178" s="12" t="inlineStr"/>
      <c r="F4178" s="12" t="inlineStr">
        <is>
          <t>PCM: power control module</t>
        </is>
      </c>
      <c r="G4178" s="12" t="inlineStr"/>
      <c r="H4178" s="12" t="inlineStr">
        <is>
          <t>RICE 8 radiators (5)</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Tray</t>
        </is>
      </c>
      <c r="T4178" s="16" t="n">
        <v>0</v>
      </c>
      <c r="U4178" s="16" t="n">
        <v>94</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I-C-0082</t>
        </is>
      </c>
      <c r="B4179" s="12" t="inlineStr">
        <is>
          <t>I</t>
        </is>
      </c>
      <c r="C4179" s="12" t="inlineStr">
        <is>
          <t>Modular / portable power</t>
        </is>
      </c>
      <c r="D4179" s="12" t="inlineStr">
        <is>
          <t>Control</t>
        </is>
      </c>
      <c r="E4179" s="12" t="inlineStr"/>
      <c r="F4179" s="12" t="inlineStr">
        <is>
          <t>PCM: power control module</t>
        </is>
      </c>
      <c r="G4179" s="12" t="inlineStr"/>
      <c r="H4179" s="12" t="inlineStr">
        <is>
          <t>RICE CEMS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260</v>
      </c>
      <c r="U4179" s="16" t="n">
        <v>131</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I-C-0083</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I-C-0084</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I-C-0085</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I-C-0086</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I-C-0087</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I-C-0088</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I-C-0089</t>
        </is>
      </c>
      <c r="B4186" s="12" t="inlineStr">
        <is>
          <t>I</t>
        </is>
      </c>
      <c r="C4186" s="12" t="inlineStr">
        <is>
          <t>Modular / portable power</t>
        </is>
      </c>
      <c r="D4186" s="12" t="inlineStr">
        <is>
          <t>Control</t>
        </is>
      </c>
      <c r="E4186" s="12" t="inlineStr"/>
      <c r="F4186" s="12" t="inlineStr">
        <is>
          <t>PCM: power control module</t>
        </is>
      </c>
      <c r="G4186" s="12" t="inlineStr">
        <is>
          <t>RICE</t>
        </is>
      </c>
      <c r="H4186" s="12" t="inlineStr">
        <is>
          <t>RICE engine hall (8 engines)</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Duct bank</t>
        </is>
      </c>
      <c r="T4186" s="16" t="n">
        <v>367</v>
      </c>
      <c r="U4186" s="16" t="n">
        <v>95</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I-C-0090</t>
        </is>
      </c>
      <c r="B4187" s="12" t="inlineStr">
        <is>
          <t>I</t>
        </is>
      </c>
      <c r="C4187" s="12" t="inlineStr">
        <is>
          <t>Modular / portable power</t>
        </is>
      </c>
      <c r="D4187" s="12" t="inlineStr">
        <is>
          <t>Control</t>
        </is>
      </c>
      <c r="E4187" s="12" t="inlineStr"/>
      <c r="F4187" s="12" t="inlineStr">
        <is>
          <t>PCM: power control module</t>
        </is>
      </c>
      <c r="G4187" s="12" t="inlineStr">
        <is>
          <t>RICE</t>
        </is>
      </c>
      <c r="H4187" s="12" t="inlineStr">
        <is>
          <t>RICE engine hall (8 engines)</t>
        </is>
      </c>
      <c r="I4187" s="12" t="inlineStr">
        <is>
          <t>Control</t>
        </is>
      </c>
      <c r="J4187" s="12" t="inlineStr">
        <is>
          <t>Control cable 600 V Type TC-ER, Cu #14 AWG, PVC jacket</t>
        </is>
      </c>
      <c r="K4187" s="12" t="inlineStr">
        <is>
          <t>CT|12/C|14</t>
        </is>
      </c>
      <c r="L4187" s="12" t="inlineStr">
        <is>
          <t>12/C</t>
        </is>
      </c>
      <c r="M4187" s="12" t="inlineStr">
        <is>
          <t>14</t>
        </is>
      </c>
      <c r="N4187" s="12" t="n">
        <v>1</v>
      </c>
      <c r="O4187" s="12" t="n">
        <v>1</v>
      </c>
      <c r="P4187" s="12" t="n"/>
      <c r="Q4187" s="12" t="n"/>
      <c r="R4187" s="12" t="n"/>
      <c r="S4187" s="12" t="inlineStr">
        <is>
          <t>Duct bank</t>
        </is>
      </c>
      <c r="T4187" s="16" t="n">
        <v>367</v>
      </c>
      <c r="U4187" s="16" t="n">
        <v>95</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I-C-0091</t>
        </is>
      </c>
      <c r="B4188" s="12" t="inlineStr">
        <is>
          <t>I</t>
        </is>
      </c>
      <c r="C4188" s="12" t="inlineStr">
        <is>
          <t>Modular / portable power</t>
        </is>
      </c>
      <c r="D4188" s="12" t="inlineStr">
        <is>
          <t>Motor 1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I-C-0092</t>
        </is>
      </c>
      <c r="B4189" s="12" t="inlineStr">
        <is>
          <t>I</t>
        </is>
      </c>
      <c r="C4189" s="12" t="inlineStr">
        <is>
          <t>Modular / portable power</t>
        </is>
      </c>
      <c r="D4189" s="12" t="inlineStr">
        <is>
          <t>Motor 2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I-C-0093</t>
        </is>
      </c>
      <c r="B4190" s="12" t="inlineStr">
        <is>
          <t>I</t>
        </is>
      </c>
      <c r="C4190" s="12" t="inlineStr">
        <is>
          <t>Modular / portable power</t>
        </is>
      </c>
      <c r="D4190" s="12" t="inlineStr">
        <is>
          <t>Motor 3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I-C-0094</t>
        </is>
      </c>
      <c r="B4191" s="12" t="inlineStr">
        <is>
          <t>I</t>
        </is>
      </c>
      <c r="C4191" s="12" t="inlineStr">
        <is>
          <t>Modular / portable power</t>
        </is>
      </c>
      <c r="D4191" s="12" t="inlineStr">
        <is>
          <t>Motor 4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I-C-0095</t>
        </is>
      </c>
      <c r="B4192" s="12" t="inlineStr">
        <is>
          <t>I</t>
        </is>
      </c>
      <c r="C4192" s="12" t="inlineStr">
        <is>
          <t>Modular / portable power</t>
        </is>
      </c>
      <c r="D4192" s="12" t="inlineStr">
        <is>
          <t>Motor 5 of 6: control / local station</t>
        </is>
      </c>
      <c r="E4192" s="12" t="inlineStr"/>
      <c r="F4192" s="12" t="inlineStr">
        <is>
          <t>PCM: power control module</t>
        </is>
      </c>
      <c r="G4192" s="12" t="inlineStr">
        <is>
          <t>RICE-1</t>
        </is>
      </c>
      <c r="H4192" s="12" t="inlineStr">
        <is>
          <t>RICE engine-generator 1</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I-C-0096</t>
        </is>
      </c>
      <c r="B4193" s="12" t="inlineStr">
        <is>
          <t>I</t>
        </is>
      </c>
      <c r="C4193" s="12" t="inlineStr">
        <is>
          <t>Modular / portable power</t>
        </is>
      </c>
      <c r="D4193" s="12" t="inlineStr">
        <is>
          <t>Motor 6 of 6: control / local station</t>
        </is>
      </c>
      <c r="E4193" s="12" t="inlineStr"/>
      <c r="F4193" s="12" t="inlineStr">
        <is>
          <t>PCM: power control module</t>
        </is>
      </c>
      <c r="G4193" s="12" t="inlineStr">
        <is>
          <t>RICE-1</t>
        </is>
      </c>
      <c r="H4193" s="12" t="inlineStr">
        <is>
          <t>RICE engine-generator 1</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137</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I-C-0097</t>
        </is>
      </c>
      <c r="B4194" s="12" t="inlineStr">
        <is>
          <t>I</t>
        </is>
      </c>
      <c r="C4194" s="12" t="inlineStr">
        <is>
          <t>Modular / portable power</t>
        </is>
      </c>
      <c r="D4194" s="12" t="inlineStr">
        <is>
          <t>Motor 1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I-C-0098</t>
        </is>
      </c>
      <c r="B4195" s="12" t="inlineStr">
        <is>
          <t>I</t>
        </is>
      </c>
      <c r="C4195" s="12" t="inlineStr">
        <is>
          <t>Modular / portable power</t>
        </is>
      </c>
      <c r="D4195" s="12" t="inlineStr">
        <is>
          <t>Motor 2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I-C-0099</t>
        </is>
      </c>
      <c r="B4196" s="12" t="inlineStr">
        <is>
          <t>I</t>
        </is>
      </c>
      <c r="C4196" s="12" t="inlineStr">
        <is>
          <t>Modular / portable power</t>
        </is>
      </c>
      <c r="D4196" s="12" t="inlineStr">
        <is>
          <t>Motor 3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I-C-0100</t>
        </is>
      </c>
      <c r="B4197" s="12" t="inlineStr">
        <is>
          <t>I</t>
        </is>
      </c>
      <c r="C4197" s="12" t="inlineStr">
        <is>
          <t>Modular / portable power</t>
        </is>
      </c>
      <c r="D4197" s="12" t="inlineStr">
        <is>
          <t>Motor 4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I-C-0101</t>
        </is>
      </c>
      <c r="B4198" s="12" t="inlineStr">
        <is>
          <t>I</t>
        </is>
      </c>
      <c r="C4198" s="12" t="inlineStr">
        <is>
          <t>Modular / portable power</t>
        </is>
      </c>
      <c r="D4198" s="12" t="inlineStr">
        <is>
          <t>Motor 5 of 6: control / local station</t>
        </is>
      </c>
      <c r="E4198" s="12" t="inlineStr"/>
      <c r="F4198" s="12" t="inlineStr">
        <is>
          <t>PCM: power control module</t>
        </is>
      </c>
      <c r="G4198" s="12" t="inlineStr">
        <is>
          <t>RICE-2</t>
        </is>
      </c>
      <c r="H4198" s="12" t="inlineStr">
        <is>
          <t>RICE engine-generator 2</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109</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I-C-0102</t>
        </is>
      </c>
      <c r="B4199" s="12" t="inlineStr">
        <is>
          <t>I</t>
        </is>
      </c>
      <c r="C4199" s="12" t="inlineStr">
        <is>
          <t>Modular / portable power</t>
        </is>
      </c>
      <c r="D4199" s="12" t="inlineStr">
        <is>
          <t>Motor 6 of 6: control / local station</t>
        </is>
      </c>
      <c r="E4199" s="12" t="inlineStr"/>
      <c r="F4199" s="12" t="inlineStr">
        <is>
          <t>PCM: power control module</t>
        </is>
      </c>
      <c r="G4199" s="12" t="inlineStr">
        <is>
          <t>RICE-2</t>
        </is>
      </c>
      <c r="H4199" s="12" t="inlineStr">
        <is>
          <t>RICE engine-generator 2</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109</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I-C-0103</t>
        </is>
      </c>
      <c r="B4200" s="12" t="inlineStr">
        <is>
          <t>I</t>
        </is>
      </c>
      <c r="C4200" s="12" t="inlineStr">
        <is>
          <t>Modular / portable power</t>
        </is>
      </c>
      <c r="D4200" s="12" t="inlineStr">
        <is>
          <t>Motor 1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I-C-0104</t>
        </is>
      </c>
      <c r="B4201" s="12" t="inlineStr">
        <is>
          <t>I</t>
        </is>
      </c>
      <c r="C4201" s="12" t="inlineStr">
        <is>
          <t>Modular / portable power</t>
        </is>
      </c>
      <c r="D4201" s="12" t="inlineStr">
        <is>
          <t>Motor 2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I-C-0105</t>
        </is>
      </c>
      <c r="B4202" s="12" t="inlineStr">
        <is>
          <t>I</t>
        </is>
      </c>
      <c r="C4202" s="12" t="inlineStr">
        <is>
          <t>Modular / portable power</t>
        </is>
      </c>
      <c r="D4202" s="12" t="inlineStr">
        <is>
          <t>Motor 3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I-C-0106</t>
        </is>
      </c>
      <c r="B4203" s="12" t="inlineStr">
        <is>
          <t>I</t>
        </is>
      </c>
      <c r="C4203" s="12" t="inlineStr">
        <is>
          <t>Modular / portable power</t>
        </is>
      </c>
      <c r="D4203" s="12" t="inlineStr">
        <is>
          <t>Motor 4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I-C-0107</t>
        </is>
      </c>
      <c r="B4204" s="12" t="inlineStr">
        <is>
          <t>I</t>
        </is>
      </c>
      <c r="C4204" s="12" t="inlineStr">
        <is>
          <t>Modular / portable power</t>
        </is>
      </c>
      <c r="D4204" s="12" t="inlineStr">
        <is>
          <t>Motor 5 of 6: control / local station</t>
        </is>
      </c>
      <c r="E4204" s="12" t="inlineStr"/>
      <c r="F4204" s="12" t="inlineStr">
        <is>
          <t>PCM: power control module</t>
        </is>
      </c>
      <c r="G4204" s="12" t="inlineStr">
        <is>
          <t>RICE-3</t>
        </is>
      </c>
      <c r="H4204" s="12" t="inlineStr">
        <is>
          <t>RICE engine-generator 3</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81</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I-C-0108</t>
        </is>
      </c>
      <c r="B4205" s="12" t="inlineStr">
        <is>
          <t>I</t>
        </is>
      </c>
      <c r="C4205" s="12" t="inlineStr">
        <is>
          <t>Modular / portable power</t>
        </is>
      </c>
      <c r="D4205" s="12" t="inlineStr">
        <is>
          <t>Motor 6 of 6: control / local station</t>
        </is>
      </c>
      <c r="E4205" s="12" t="inlineStr"/>
      <c r="F4205" s="12" t="inlineStr">
        <is>
          <t>PCM: power control module</t>
        </is>
      </c>
      <c r="G4205" s="12" t="inlineStr">
        <is>
          <t>RICE-3</t>
        </is>
      </c>
      <c r="H4205" s="12" t="inlineStr">
        <is>
          <t>RICE engine-generator 3</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81</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I-C-0109</t>
        </is>
      </c>
      <c r="B4206" s="12" t="inlineStr">
        <is>
          <t>I</t>
        </is>
      </c>
      <c r="C4206" s="12" t="inlineStr">
        <is>
          <t>Modular / portable power</t>
        </is>
      </c>
      <c r="D4206" s="12" t="inlineStr">
        <is>
          <t>Motor 1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I-C-0110</t>
        </is>
      </c>
      <c r="B4207" s="12" t="inlineStr">
        <is>
          <t>I</t>
        </is>
      </c>
      <c r="C4207" s="12" t="inlineStr">
        <is>
          <t>Modular / portable power</t>
        </is>
      </c>
      <c r="D4207" s="12" t="inlineStr">
        <is>
          <t>Motor 2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I-C-0111</t>
        </is>
      </c>
      <c r="B4208" s="12" t="inlineStr">
        <is>
          <t>I</t>
        </is>
      </c>
      <c r="C4208" s="12" t="inlineStr">
        <is>
          <t>Modular / portable power</t>
        </is>
      </c>
      <c r="D4208" s="12" t="inlineStr">
        <is>
          <t>Motor 3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I-C-0112</t>
        </is>
      </c>
      <c r="B4209" s="12" t="inlineStr">
        <is>
          <t>I</t>
        </is>
      </c>
      <c r="C4209" s="12" t="inlineStr">
        <is>
          <t>Modular / portable power</t>
        </is>
      </c>
      <c r="D4209" s="12" t="inlineStr">
        <is>
          <t>Motor 4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I-C-0113</t>
        </is>
      </c>
      <c r="B4210" s="12" t="inlineStr">
        <is>
          <t>I</t>
        </is>
      </c>
      <c r="C4210" s="12" t="inlineStr">
        <is>
          <t>Modular / portable power</t>
        </is>
      </c>
      <c r="D4210" s="12" t="inlineStr">
        <is>
          <t>Motor 5 of 6: control / local station</t>
        </is>
      </c>
      <c r="E4210" s="12" t="inlineStr"/>
      <c r="F4210" s="12" t="inlineStr">
        <is>
          <t>PCM: power control module</t>
        </is>
      </c>
      <c r="G4210" s="12" t="inlineStr">
        <is>
          <t>RICE-4</t>
        </is>
      </c>
      <c r="H4210" s="12" t="inlineStr">
        <is>
          <t>RICE engine-generator 4</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53</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I-C-0114</t>
        </is>
      </c>
      <c r="B4211" s="12" t="inlineStr">
        <is>
          <t>I</t>
        </is>
      </c>
      <c r="C4211" s="12" t="inlineStr">
        <is>
          <t>Modular / portable power</t>
        </is>
      </c>
      <c r="D4211" s="12" t="inlineStr">
        <is>
          <t>Motor 6 of 6: control / local station</t>
        </is>
      </c>
      <c r="E4211" s="12" t="inlineStr"/>
      <c r="F4211" s="12" t="inlineStr">
        <is>
          <t>PCM: power control module</t>
        </is>
      </c>
      <c r="G4211" s="12" t="inlineStr">
        <is>
          <t>RICE-4</t>
        </is>
      </c>
      <c r="H4211" s="12" t="inlineStr">
        <is>
          <t>RICE engine-generator 4</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550</v>
      </c>
      <c r="U4211" s="16" t="n">
        <v>53</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I-C-0115</t>
        </is>
      </c>
      <c r="B4212" s="12" t="inlineStr">
        <is>
          <t>I</t>
        </is>
      </c>
      <c r="C4212" s="12" t="inlineStr">
        <is>
          <t>Modular / portable power</t>
        </is>
      </c>
      <c r="D4212" s="12" t="inlineStr">
        <is>
          <t>Motor 1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I-C-0116</t>
        </is>
      </c>
      <c r="B4213" s="12" t="inlineStr">
        <is>
          <t>I</t>
        </is>
      </c>
      <c r="C4213" s="12" t="inlineStr">
        <is>
          <t>Modular / portable power</t>
        </is>
      </c>
      <c r="D4213" s="12" t="inlineStr">
        <is>
          <t>Motor 2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I-C-0117</t>
        </is>
      </c>
      <c r="B4214" s="12" t="inlineStr">
        <is>
          <t>I</t>
        </is>
      </c>
      <c r="C4214" s="12" t="inlineStr">
        <is>
          <t>Modular / portable power</t>
        </is>
      </c>
      <c r="D4214" s="12" t="inlineStr">
        <is>
          <t>Motor 3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I-C-0118</t>
        </is>
      </c>
      <c r="B4215" s="12" t="inlineStr">
        <is>
          <t>I</t>
        </is>
      </c>
      <c r="C4215" s="12" t="inlineStr">
        <is>
          <t>Modular / portable power</t>
        </is>
      </c>
      <c r="D4215" s="12" t="inlineStr">
        <is>
          <t>Motor 4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I-C-0119</t>
        </is>
      </c>
      <c r="B4216" s="12" t="inlineStr">
        <is>
          <t>I</t>
        </is>
      </c>
      <c r="C4216" s="12" t="inlineStr">
        <is>
          <t>Modular / portable power</t>
        </is>
      </c>
      <c r="D4216" s="12" t="inlineStr">
        <is>
          <t>Motor 5 of 6: control / local station</t>
        </is>
      </c>
      <c r="E4216" s="12" t="inlineStr"/>
      <c r="F4216" s="12" t="inlineStr">
        <is>
          <t>PCM: power control module</t>
        </is>
      </c>
      <c r="G4216" s="12" t="inlineStr">
        <is>
          <t>RICE-5</t>
        </is>
      </c>
      <c r="H4216" s="12" t="inlineStr">
        <is>
          <t>RICE engine-generator 5</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208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I-C-0120</t>
        </is>
      </c>
      <c r="B4217" s="12" t="inlineStr">
        <is>
          <t>I</t>
        </is>
      </c>
      <c r="C4217" s="12" t="inlineStr">
        <is>
          <t>Modular / portable power</t>
        </is>
      </c>
      <c r="D4217" s="12" t="inlineStr">
        <is>
          <t>Motor 6 of 6: control / local station</t>
        </is>
      </c>
      <c r="E4217" s="12" t="inlineStr"/>
      <c r="F4217" s="12" t="inlineStr">
        <is>
          <t>PCM: power control module</t>
        </is>
      </c>
      <c r="G4217" s="12" t="inlineStr">
        <is>
          <t>RICE-5</t>
        </is>
      </c>
      <c r="H4217" s="12" t="inlineStr">
        <is>
          <t>RICE engine-generator 5</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208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I-C-0121</t>
        </is>
      </c>
      <c r="B4218" s="12" t="inlineStr">
        <is>
          <t>I</t>
        </is>
      </c>
      <c r="C4218" s="12" t="inlineStr">
        <is>
          <t>Modular / portable power</t>
        </is>
      </c>
      <c r="D4218" s="12" t="inlineStr">
        <is>
          <t>Motor 1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I-C-0122</t>
        </is>
      </c>
      <c r="B4219" s="12" t="inlineStr">
        <is>
          <t>I</t>
        </is>
      </c>
      <c r="C4219" s="12" t="inlineStr">
        <is>
          <t>Modular / portable power</t>
        </is>
      </c>
      <c r="D4219" s="12" t="inlineStr">
        <is>
          <t>Motor 2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I-C-0123</t>
        </is>
      </c>
      <c r="B4220" s="12" t="inlineStr">
        <is>
          <t>I</t>
        </is>
      </c>
      <c r="C4220" s="12" t="inlineStr">
        <is>
          <t>Modular / portable power</t>
        </is>
      </c>
      <c r="D4220" s="12" t="inlineStr">
        <is>
          <t>Motor 3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I-C-0124</t>
        </is>
      </c>
      <c r="B4221" s="12" t="inlineStr">
        <is>
          <t>I</t>
        </is>
      </c>
      <c r="C4221" s="12" t="inlineStr">
        <is>
          <t>Modular / portable power</t>
        </is>
      </c>
      <c r="D4221" s="12" t="inlineStr">
        <is>
          <t>Motor 4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I-C-0125</t>
        </is>
      </c>
      <c r="B4222" s="12" t="inlineStr">
        <is>
          <t>I</t>
        </is>
      </c>
      <c r="C4222" s="12" t="inlineStr">
        <is>
          <t>Modular / portable power</t>
        </is>
      </c>
      <c r="D4222" s="12" t="inlineStr">
        <is>
          <t>Motor 5 of 6: control / local station</t>
        </is>
      </c>
      <c r="E4222" s="12" t="inlineStr"/>
      <c r="F4222" s="12" t="inlineStr">
        <is>
          <t>PCM: power control module</t>
        </is>
      </c>
      <c r="G4222" s="12" t="inlineStr">
        <is>
          <t>RICE-6</t>
        </is>
      </c>
      <c r="H4222" s="12" t="inlineStr">
        <is>
          <t>RICE engine-generator 6</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367</v>
      </c>
      <c r="U4222" s="16" t="n">
        <v>180</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I-C-0126</t>
        </is>
      </c>
      <c r="B4223" s="12" t="inlineStr">
        <is>
          <t>I</t>
        </is>
      </c>
      <c r="C4223" s="12" t="inlineStr">
        <is>
          <t>Modular / portable power</t>
        </is>
      </c>
      <c r="D4223" s="12" t="inlineStr">
        <is>
          <t>Motor 6 of 6: control / local station</t>
        </is>
      </c>
      <c r="E4223" s="12" t="inlineStr"/>
      <c r="F4223" s="12" t="inlineStr">
        <is>
          <t>PCM: power control module</t>
        </is>
      </c>
      <c r="G4223" s="12" t="inlineStr">
        <is>
          <t>RICE-6</t>
        </is>
      </c>
      <c r="H4223" s="12" t="inlineStr">
        <is>
          <t>RICE engine-generator 6</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6" t="n">
        <v>367</v>
      </c>
      <c r="U4223" s="16" t="n">
        <v>180</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I-C-0127</t>
        </is>
      </c>
      <c r="B4224" s="12" t="inlineStr">
        <is>
          <t>I</t>
        </is>
      </c>
      <c r="C4224" s="12" t="inlineStr">
        <is>
          <t>Modular / portable power</t>
        </is>
      </c>
      <c r="D4224" s="12" t="inlineStr">
        <is>
          <t>Motor 1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I-C-0128</t>
        </is>
      </c>
      <c r="B4225" s="12" t="inlineStr">
        <is>
          <t>I</t>
        </is>
      </c>
      <c r="C4225" s="12" t="inlineStr">
        <is>
          <t>Modular / portable power</t>
        </is>
      </c>
      <c r="D4225" s="12" t="inlineStr">
        <is>
          <t>Motor 2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I-C-0129</t>
        </is>
      </c>
      <c r="B4226" s="12" t="inlineStr">
        <is>
          <t>I</t>
        </is>
      </c>
      <c r="C4226" s="12" t="inlineStr">
        <is>
          <t>Modular / portable power</t>
        </is>
      </c>
      <c r="D4226" s="12" t="inlineStr">
        <is>
          <t>Motor 3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I-C-0130</t>
        </is>
      </c>
      <c r="B4227" s="12" t="inlineStr">
        <is>
          <t>I</t>
        </is>
      </c>
      <c r="C4227" s="12" t="inlineStr">
        <is>
          <t>Modular / portable power</t>
        </is>
      </c>
      <c r="D4227" s="12" t="inlineStr">
        <is>
          <t>Motor 4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I-C-0131</t>
        </is>
      </c>
      <c r="B4228" s="12" t="inlineStr">
        <is>
          <t>I</t>
        </is>
      </c>
      <c r="C4228" s="12" t="inlineStr">
        <is>
          <t>Modular / portable power</t>
        </is>
      </c>
      <c r="D4228" s="12" t="inlineStr">
        <is>
          <t>Motor 5 of 6: control / local station</t>
        </is>
      </c>
      <c r="E4228" s="12" t="inlineStr"/>
      <c r="F4228" s="12" t="inlineStr">
        <is>
          <t>PCM: power control module</t>
        </is>
      </c>
      <c r="G4228" s="12" t="inlineStr">
        <is>
          <t>RICE-7</t>
        </is>
      </c>
      <c r="H4228" s="12" t="inlineStr">
        <is>
          <t>RICE engine-generator 7</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189</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I-C-0132</t>
        </is>
      </c>
      <c r="B4229" s="12" t="inlineStr">
        <is>
          <t>I</t>
        </is>
      </c>
      <c r="C4229" s="12" t="inlineStr">
        <is>
          <t>Modular / portable power</t>
        </is>
      </c>
      <c r="D4229" s="12" t="inlineStr">
        <is>
          <t>Motor 6 of 6: control / local station</t>
        </is>
      </c>
      <c r="E4229" s="12" t="inlineStr"/>
      <c r="F4229" s="12" t="inlineStr">
        <is>
          <t>PCM: power control module</t>
        </is>
      </c>
      <c r="G4229" s="12" t="inlineStr">
        <is>
          <t>RICE-7</t>
        </is>
      </c>
      <c r="H4229" s="12" t="inlineStr">
        <is>
          <t>RICE engine-generator 7</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189</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I-C-0133</t>
        </is>
      </c>
      <c r="B4230" s="12" t="inlineStr">
        <is>
          <t>I</t>
        </is>
      </c>
      <c r="C4230" s="12" t="inlineStr">
        <is>
          <t>Modular / portable power</t>
        </is>
      </c>
      <c r="D4230" s="12" t="inlineStr">
        <is>
          <t>Motor 1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I-C-0134</t>
        </is>
      </c>
      <c r="B4231" s="12" t="inlineStr">
        <is>
          <t>I</t>
        </is>
      </c>
      <c r="C4231" s="12" t="inlineStr">
        <is>
          <t>Modular / portable power</t>
        </is>
      </c>
      <c r="D4231" s="12" t="inlineStr">
        <is>
          <t>Motor 2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I-C-0135</t>
        </is>
      </c>
      <c r="B4232" s="12" t="inlineStr">
        <is>
          <t>I</t>
        </is>
      </c>
      <c r="C4232" s="12" t="inlineStr">
        <is>
          <t>Modular / portable power</t>
        </is>
      </c>
      <c r="D4232" s="12" t="inlineStr">
        <is>
          <t>Motor 3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I-C-0136</t>
        </is>
      </c>
      <c r="B4233" s="12" t="inlineStr">
        <is>
          <t>I</t>
        </is>
      </c>
      <c r="C4233" s="12" t="inlineStr">
        <is>
          <t>Modular / portable power</t>
        </is>
      </c>
      <c r="D4233" s="12" t="inlineStr">
        <is>
          <t>Motor 4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I-C-0137</t>
        </is>
      </c>
      <c r="B4234" s="12" t="inlineStr">
        <is>
          <t>I</t>
        </is>
      </c>
      <c r="C4234" s="12" t="inlineStr">
        <is>
          <t>Modular / portable power</t>
        </is>
      </c>
      <c r="D4234" s="12" t="inlineStr">
        <is>
          <t>Motor 5 of 6: control / local station</t>
        </is>
      </c>
      <c r="E4234" s="12" t="inlineStr"/>
      <c r="F4234" s="12" t="inlineStr">
        <is>
          <t>PCM: power control module</t>
        </is>
      </c>
      <c r="G4234" s="12" t="inlineStr">
        <is>
          <t>RICE-8</t>
        </is>
      </c>
      <c r="H4234" s="12" t="inlineStr">
        <is>
          <t>RICE engine-generator 8</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0</v>
      </c>
      <c r="U4234" s="16" t="n">
        <v>161</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I-C-0138</t>
        </is>
      </c>
      <c r="B4235" s="12" t="inlineStr">
        <is>
          <t>I</t>
        </is>
      </c>
      <c r="C4235" s="12" t="inlineStr">
        <is>
          <t>Modular / portable power</t>
        </is>
      </c>
      <c r="D4235" s="12" t="inlineStr">
        <is>
          <t>Motor 6 of 6: control / local station</t>
        </is>
      </c>
      <c r="E4235" s="12" t="inlineStr"/>
      <c r="F4235" s="12" t="inlineStr">
        <is>
          <t>PCM: power control module</t>
        </is>
      </c>
      <c r="G4235" s="12" t="inlineStr">
        <is>
          <t>RICE-8</t>
        </is>
      </c>
      <c r="H4235" s="12" t="inlineStr">
        <is>
          <t>RICE engine-generator 8</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161</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I-C-0139</t>
        </is>
      </c>
      <c r="B4236" s="12" t="inlineStr">
        <is>
          <t>I</t>
        </is>
      </c>
      <c r="C4236" s="12" t="inlineStr">
        <is>
          <t>Modular / portable power</t>
        </is>
      </c>
      <c r="D4236" s="12" t="inlineStr">
        <is>
          <t>Control</t>
        </is>
      </c>
      <c r="E4236" s="12" t="inlineStr"/>
      <c r="F4236" s="12" t="inlineStr">
        <is>
          <t>PCM: power control module</t>
        </is>
      </c>
      <c r="G4236" s="12" t="inlineStr"/>
      <c r="H4236" s="12" t="inlineStr">
        <is>
          <t>Reagent storage</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32</v>
      </c>
      <c r="U4236" s="16" t="n">
        <v>32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I-C-0140</t>
        </is>
      </c>
      <c r="B4237" s="12" t="inlineStr">
        <is>
          <t>I</t>
        </is>
      </c>
      <c r="C4237" s="12" t="inlineStr">
        <is>
          <t>Modular / portable power</t>
        </is>
      </c>
      <c r="D4237" s="12" t="inlineStr">
        <is>
          <t>Motor 1 of 2: control / local station</t>
        </is>
      </c>
      <c r="E4237" s="12" t="inlineStr"/>
      <c r="F4237" s="12" t="inlineStr">
        <is>
          <t>PCM: power control module</t>
        </is>
      </c>
      <c r="G4237" s="12" t="inlineStr"/>
      <c r="H4237" s="12" t="inlineStr">
        <is>
          <t>SC-1 SCR / CO catalyst</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40</v>
      </c>
      <c r="U4237" s="16" t="n">
        <v>142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I-C-0141</t>
        </is>
      </c>
      <c r="B4238" s="12" t="inlineStr">
        <is>
          <t>I</t>
        </is>
      </c>
      <c r="C4238" s="12" t="inlineStr">
        <is>
          <t>Modular / portable power</t>
        </is>
      </c>
      <c r="D4238" s="12" t="inlineStr">
        <is>
          <t>Motor 2 of 2: control / local station</t>
        </is>
      </c>
      <c r="E4238" s="12" t="inlineStr"/>
      <c r="F4238" s="12" t="inlineStr">
        <is>
          <t>PCM: power control module</t>
        </is>
      </c>
      <c r="G4238" s="12" t="inlineStr"/>
      <c r="H4238" s="12" t="inlineStr">
        <is>
          <t>SC-1 SCR / CO catalyst</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40</v>
      </c>
      <c r="U4238" s="16" t="n">
        <v>142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I-C-0142</t>
        </is>
      </c>
      <c r="B4239" s="12" t="inlineStr">
        <is>
          <t>I</t>
        </is>
      </c>
      <c r="C4239" s="12" t="inlineStr">
        <is>
          <t>Modular / portable power</t>
        </is>
      </c>
      <c r="D4239" s="12" t="inlineStr">
        <is>
          <t>Motor 1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I-C-0143</t>
        </is>
      </c>
      <c r="B4240" s="12" t="inlineStr">
        <is>
          <t>I</t>
        </is>
      </c>
      <c r="C4240" s="12" t="inlineStr">
        <is>
          <t>Modular / portable power</t>
        </is>
      </c>
      <c r="D4240" s="12" t="inlineStr">
        <is>
          <t>Motor 2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I-C-0144</t>
        </is>
      </c>
      <c r="B4241" s="12" t="inlineStr">
        <is>
          <t>I</t>
        </is>
      </c>
      <c r="C4241" s="12" t="inlineStr">
        <is>
          <t>Modular / portable power</t>
        </is>
      </c>
      <c r="D4241" s="12" t="inlineStr">
        <is>
          <t>Motor 3 of 4: control / local station</t>
        </is>
      </c>
      <c r="E4241" s="12" t="inlineStr"/>
      <c r="F4241" s="12" t="inlineStr">
        <is>
          <t>PCM: power control module</t>
        </is>
      </c>
      <c r="G4241" s="12" t="inlineStr"/>
      <c r="H4241" s="12" t="inlineStr">
        <is>
          <t>SC-1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82</v>
      </c>
      <c r="U4241" s="16" t="n">
        <v>82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I-C-0145</t>
        </is>
      </c>
      <c r="B4242" s="12" t="inlineStr">
        <is>
          <t>I</t>
        </is>
      </c>
      <c r="C4242" s="12" t="inlineStr">
        <is>
          <t>Modular / portable power</t>
        </is>
      </c>
      <c r="D4242" s="12" t="inlineStr">
        <is>
          <t>Motor 4 of 4: control / local station</t>
        </is>
      </c>
      <c r="E4242" s="12" t="inlineStr"/>
      <c r="F4242" s="12" t="inlineStr">
        <is>
          <t>PCM: power control module</t>
        </is>
      </c>
      <c r="G4242" s="12" t="inlineStr"/>
      <c r="H4242" s="12" t="inlineStr">
        <is>
          <t>SC-1 lube-oil fin-fan cooler</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82</v>
      </c>
      <c r="U4242" s="16" t="n">
        <v>82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I-C-0146</t>
        </is>
      </c>
      <c r="B4243" s="12" t="inlineStr">
        <is>
          <t>I</t>
        </is>
      </c>
      <c r="C4243" s="12" t="inlineStr">
        <is>
          <t>Modular / portable power</t>
        </is>
      </c>
      <c r="D4243" s="12" t="inlineStr">
        <is>
          <t>Motor 1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I-C-0147</t>
        </is>
      </c>
      <c r="B4244" s="12" t="inlineStr">
        <is>
          <t>I</t>
        </is>
      </c>
      <c r="C4244" s="12" t="inlineStr">
        <is>
          <t>Modular / portable power</t>
        </is>
      </c>
      <c r="D4244" s="12" t="inlineStr">
        <is>
          <t>Motor 2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I-C-0148</t>
        </is>
      </c>
      <c r="B4245" s="12" t="inlineStr">
        <is>
          <t>I</t>
        </is>
      </c>
      <c r="C4245" s="12" t="inlineStr">
        <is>
          <t>Modular / portable power</t>
        </is>
      </c>
      <c r="D4245" s="12" t="inlineStr">
        <is>
          <t>Motor 3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I-C-0149</t>
        </is>
      </c>
      <c r="B4246" s="12" t="inlineStr">
        <is>
          <t>I</t>
        </is>
      </c>
      <c r="C4246" s="12" t="inlineStr">
        <is>
          <t>Modular / portable power</t>
        </is>
      </c>
      <c r="D4246" s="12" t="inlineStr">
        <is>
          <t>Motor 4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I-C-0150</t>
        </is>
      </c>
      <c r="B4247" s="12" t="inlineStr">
        <is>
          <t>I</t>
        </is>
      </c>
      <c r="C4247" s="12" t="inlineStr">
        <is>
          <t>Modular / portable power</t>
        </is>
      </c>
      <c r="D4247" s="12" t="inlineStr">
        <is>
          <t>Motor 5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I-C-0151</t>
        </is>
      </c>
      <c r="B4248" s="12" t="inlineStr">
        <is>
          <t>I</t>
        </is>
      </c>
      <c r="C4248" s="12" t="inlineStr">
        <is>
          <t>Modular / portable power</t>
        </is>
      </c>
      <c r="D4248" s="12" t="inlineStr">
        <is>
          <t>Motor 6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I-C-0152</t>
        </is>
      </c>
      <c r="B4249" s="12" t="inlineStr">
        <is>
          <t>I</t>
        </is>
      </c>
      <c r="C4249" s="12" t="inlineStr">
        <is>
          <t>Modular / portable power</t>
        </is>
      </c>
      <c r="D4249" s="12" t="inlineStr">
        <is>
          <t>Motor 7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I-C-0153</t>
        </is>
      </c>
      <c r="B4250" s="12" t="inlineStr">
        <is>
          <t>I</t>
        </is>
      </c>
      <c r="C4250" s="12" t="inlineStr">
        <is>
          <t>Modular / portable power</t>
        </is>
      </c>
      <c r="D4250" s="12" t="inlineStr">
        <is>
          <t>Motor 8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I-C-0154</t>
        </is>
      </c>
      <c r="B4251" s="12" t="inlineStr">
        <is>
          <t>I</t>
        </is>
      </c>
      <c r="C4251" s="12" t="inlineStr">
        <is>
          <t>Modular / portable power</t>
        </is>
      </c>
      <c r="D4251" s="12" t="inlineStr">
        <is>
          <t>Motor 9 of 10: control / local station</t>
        </is>
      </c>
      <c r="E4251" s="12" t="inlineStr"/>
      <c r="F4251" s="12" t="inlineStr">
        <is>
          <t>PCM: power control module</t>
        </is>
      </c>
      <c r="G4251" s="12" t="inlineStr">
        <is>
          <t>SC-1</t>
        </is>
      </c>
      <c r="H4251" s="12" t="inlineStr">
        <is>
          <t>SC-1: aeroderivative simple-cycle unit (LM6000 class)</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40</v>
      </c>
      <c r="U4251" s="16" t="n">
        <v>52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I-C-0155</t>
        </is>
      </c>
      <c r="B4252" s="12" t="inlineStr">
        <is>
          <t>I</t>
        </is>
      </c>
      <c r="C4252" s="12" t="inlineStr">
        <is>
          <t>Modular / portable power</t>
        </is>
      </c>
      <c r="D4252" s="12" t="inlineStr">
        <is>
          <t>Motor 10 of 10: control / local station</t>
        </is>
      </c>
      <c r="E4252" s="12" t="inlineStr"/>
      <c r="F4252" s="12" t="inlineStr">
        <is>
          <t>PCM: power control module</t>
        </is>
      </c>
      <c r="G4252" s="12" t="inlineStr">
        <is>
          <t>SC-1</t>
        </is>
      </c>
      <c r="H4252" s="12" t="inlineStr">
        <is>
          <t>SC-1: aeroderivative simple-cycle unit (LM6000 class)</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40</v>
      </c>
      <c r="U4252" s="16" t="n">
        <v>52</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I-C-0156</t>
        </is>
      </c>
      <c r="B4253" s="12" t="inlineStr">
        <is>
          <t>I</t>
        </is>
      </c>
      <c r="C4253" s="12" t="inlineStr">
        <is>
          <t>Modular / portable power</t>
        </is>
      </c>
      <c r="D4253" s="12" t="inlineStr">
        <is>
          <t>Motor 1 of 2: control / local station</t>
        </is>
      </c>
      <c r="E4253" s="12" t="inlineStr"/>
      <c r="F4253" s="12" t="inlineStr">
        <is>
          <t>MOD-LV 480 V board + 480 V : 13.8 kV step-up</t>
        </is>
      </c>
      <c r="G4253" s="12" t="inlineStr"/>
      <c r="H4253" s="12" t="inlineStr">
        <is>
          <t>SC-2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4340</v>
      </c>
      <c r="U4253" s="16" t="n">
        <v>53</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I-C-0157</t>
        </is>
      </c>
      <c r="B4254" s="12" t="inlineStr">
        <is>
          <t>I</t>
        </is>
      </c>
      <c r="C4254" s="12" t="inlineStr">
        <is>
          <t>Modular / portable power</t>
        </is>
      </c>
      <c r="D4254" s="12" t="inlineStr">
        <is>
          <t>Motor 2 of 2: control / local station</t>
        </is>
      </c>
      <c r="E4254" s="12" t="inlineStr"/>
      <c r="F4254" s="12" t="inlineStr">
        <is>
          <t>MOD-LV 480 V board + 480 V : 13.8 kV step-up</t>
        </is>
      </c>
      <c r="G4254" s="12" t="inlineStr"/>
      <c r="H4254" s="12" t="inlineStr">
        <is>
          <t>SC-2 SCR / CO catalyst</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4340</v>
      </c>
      <c r="U4254" s="16" t="n">
        <v>53</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I-C-0158</t>
        </is>
      </c>
      <c r="B4255" s="12" t="inlineStr">
        <is>
          <t>I</t>
        </is>
      </c>
      <c r="C4255" s="12" t="inlineStr">
        <is>
          <t>Modular / portable power</t>
        </is>
      </c>
      <c r="D4255" s="12" t="inlineStr">
        <is>
          <t>Motor 1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4328</v>
      </c>
      <c r="U4255" s="16" t="n">
        <v>88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I-C-0159</t>
        </is>
      </c>
      <c r="B4256" s="12" t="inlineStr">
        <is>
          <t>I</t>
        </is>
      </c>
      <c r="C4256" s="12" t="inlineStr">
        <is>
          <t>Modular / portable power</t>
        </is>
      </c>
      <c r="D4256" s="12" t="inlineStr">
        <is>
          <t>Motor 2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4328</v>
      </c>
      <c r="U4256" s="16" t="n">
        <v>88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I-C-0160</t>
        </is>
      </c>
      <c r="B4257" s="12" t="inlineStr">
        <is>
          <t>I</t>
        </is>
      </c>
      <c r="C4257" s="12" t="inlineStr">
        <is>
          <t>Modular / portable power</t>
        </is>
      </c>
      <c r="D4257" s="12" t="inlineStr">
        <is>
          <t>Motor 3 of 4: control / local station</t>
        </is>
      </c>
      <c r="E4257" s="12" t="inlineStr"/>
      <c r="F4257" s="12" t="inlineStr">
        <is>
          <t>MOD-LV 480 V board + 480 V : 13.8 kV step-up</t>
        </is>
      </c>
      <c r="G4257" s="12" t="inlineStr"/>
      <c r="H4257" s="12" t="inlineStr">
        <is>
          <t>SC-2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4328</v>
      </c>
      <c r="U4257" s="16" t="n">
        <v>88</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I-C-0161</t>
        </is>
      </c>
      <c r="B4258" s="12" t="inlineStr">
        <is>
          <t>I</t>
        </is>
      </c>
      <c r="C4258" s="12" t="inlineStr">
        <is>
          <t>Modular / portable power</t>
        </is>
      </c>
      <c r="D4258" s="12" t="inlineStr">
        <is>
          <t>Motor 4 of 4: control / local station</t>
        </is>
      </c>
      <c r="E4258" s="12" t="inlineStr"/>
      <c r="F4258" s="12" t="inlineStr">
        <is>
          <t>MOD-LV 480 V board + 480 V : 13.8 kV step-up</t>
        </is>
      </c>
      <c r="G4258" s="12" t="inlineStr"/>
      <c r="H4258" s="12" t="inlineStr">
        <is>
          <t>SC-2 lube-oil fin-fan cooler</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4328</v>
      </c>
      <c r="U4258" s="16" t="n">
        <v>88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I-C-0162</t>
        </is>
      </c>
      <c r="B4259" s="12" t="inlineStr">
        <is>
          <t>I</t>
        </is>
      </c>
      <c r="C4259" s="12" t="inlineStr">
        <is>
          <t>Modular / portable power</t>
        </is>
      </c>
      <c r="D4259" s="12" t="inlineStr">
        <is>
          <t>Motor 1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4440</v>
      </c>
      <c r="U4259" s="16" t="n">
        <v>33</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I-C-0163</t>
        </is>
      </c>
      <c r="B4260" s="12" t="inlineStr">
        <is>
          <t>I</t>
        </is>
      </c>
      <c r="C4260" s="12" t="inlineStr">
        <is>
          <t>Modular / portable power</t>
        </is>
      </c>
      <c r="D4260" s="12" t="inlineStr">
        <is>
          <t>Motor 2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4440</v>
      </c>
      <c r="U4260" s="16" t="n">
        <v>33</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I-C-0164</t>
        </is>
      </c>
      <c r="B4261" s="12" t="inlineStr">
        <is>
          <t>I</t>
        </is>
      </c>
      <c r="C4261" s="12" t="inlineStr">
        <is>
          <t>Modular / portable power</t>
        </is>
      </c>
      <c r="D4261" s="12" t="inlineStr">
        <is>
          <t>Motor 3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4440</v>
      </c>
      <c r="U4261" s="16" t="n">
        <v>33</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I-C-0165</t>
        </is>
      </c>
      <c r="B4262" s="12" t="inlineStr">
        <is>
          <t>I</t>
        </is>
      </c>
      <c r="C4262" s="12" t="inlineStr">
        <is>
          <t>Modular / portable power</t>
        </is>
      </c>
      <c r="D4262" s="12" t="inlineStr">
        <is>
          <t>Motor 4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4440</v>
      </c>
      <c r="U4262" s="16" t="n">
        <v>33</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I-C-0166</t>
        </is>
      </c>
      <c r="B4263" s="12" t="inlineStr">
        <is>
          <t>I</t>
        </is>
      </c>
      <c r="C4263" s="12" t="inlineStr">
        <is>
          <t>Modular / portable power</t>
        </is>
      </c>
      <c r="D4263" s="12" t="inlineStr">
        <is>
          <t>Motor 5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4440</v>
      </c>
      <c r="U4263" s="16" t="n">
        <v>33</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I-C-0167</t>
        </is>
      </c>
      <c r="B4264" s="12" t="inlineStr">
        <is>
          <t>I</t>
        </is>
      </c>
      <c r="C4264" s="12" t="inlineStr">
        <is>
          <t>Modular / portable power</t>
        </is>
      </c>
      <c r="D4264" s="12" t="inlineStr">
        <is>
          <t>Motor 6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4440</v>
      </c>
      <c r="U4264" s="16" t="n">
        <v>33</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I-C-0168</t>
        </is>
      </c>
      <c r="B4265" s="12" t="inlineStr">
        <is>
          <t>I</t>
        </is>
      </c>
      <c r="C4265" s="12" t="inlineStr">
        <is>
          <t>Modular / portable power</t>
        </is>
      </c>
      <c r="D4265" s="12" t="inlineStr">
        <is>
          <t>Motor 7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4440</v>
      </c>
      <c r="U4265" s="16" t="n">
        <v>33</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I-C-0169</t>
        </is>
      </c>
      <c r="B4266" s="12" t="inlineStr">
        <is>
          <t>I</t>
        </is>
      </c>
      <c r="C4266" s="12" t="inlineStr">
        <is>
          <t>Modular / portable power</t>
        </is>
      </c>
      <c r="D4266" s="12" t="inlineStr">
        <is>
          <t>Motor 8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4440</v>
      </c>
      <c r="U4266" s="16" t="n">
        <v>33</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I-C-0170</t>
        </is>
      </c>
      <c r="B4267" s="12" t="inlineStr">
        <is>
          <t>I</t>
        </is>
      </c>
      <c r="C4267" s="12" t="inlineStr">
        <is>
          <t>Modular / portable power</t>
        </is>
      </c>
      <c r="D4267" s="12" t="inlineStr">
        <is>
          <t>Motor 9 of 10: control / local station</t>
        </is>
      </c>
      <c r="E4267" s="12" t="inlineStr"/>
      <c r="F4267" s="12" t="inlineStr">
        <is>
          <t>MOD-LV 480 V board + 480 V : 13.8 kV step-up</t>
        </is>
      </c>
      <c r="G4267" s="12" t="inlineStr">
        <is>
          <t>SC-2</t>
        </is>
      </c>
      <c r="H4267" s="12" t="inlineStr">
        <is>
          <t>SC-2: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HV duct bank</t>
        </is>
      </c>
      <c r="T4267" s="16" t="n">
        <v>4440</v>
      </c>
      <c r="U4267" s="16" t="n">
        <v>33</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I-C-0171</t>
        </is>
      </c>
      <c r="B4268" s="12" t="inlineStr">
        <is>
          <t>I</t>
        </is>
      </c>
      <c r="C4268" s="12" t="inlineStr">
        <is>
          <t>Modular / portable power</t>
        </is>
      </c>
      <c r="D4268" s="12" t="inlineStr">
        <is>
          <t>Motor 10 of 10: control / local station</t>
        </is>
      </c>
      <c r="E4268" s="12" t="inlineStr"/>
      <c r="F4268" s="12" t="inlineStr">
        <is>
          <t>MOD-LV 480 V board + 480 V : 13.8 kV step-up</t>
        </is>
      </c>
      <c r="G4268" s="12" t="inlineStr">
        <is>
          <t>SC-2</t>
        </is>
      </c>
      <c r="H4268" s="12" t="inlineStr">
        <is>
          <t>SC-2: aeroderivative simple-cycle unit (LM6000 class)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HV duct bank</t>
        </is>
      </c>
      <c r="T4268" s="16" t="n">
        <v>4440</v>
      </c>
      <c r="U4268" s="16" t="n">
        <v>33</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I-C-0172</t>
        </is>
      </c>
      <c r="B4269" s="12" t="inlineStr">
        <is>
          <t>I</t>
        </is>
      </c>
      <c r="C4269" s="12" t="inlineStr">
        <is>
          <t>Modular / portable power</t>
        </is>
      </c>
      <c r="D4269" s="12" t="inlineStr">
        <is>
          <t>Motor 1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346</v>
      </c>
      <c r="U4269" s="16" t="n">
        <v>146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I-C-0173</t>
        </is>
      </c>
      <c r="B4270" s="12" t="inlineStr">
        <is>
          <t>I</t>
        </is>
      </c>
      <c r="C4270" s="12" t="inlineStr">
        <is>
          <t>Modular / portable power</t>
        </is>
      </c>
      <c r="D4270" s="12" t="inlineStr">
        <is>
          <t>Motor 2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346</v>
      </c>
      <c r="U4270" s="16" t="n">
        <v>146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I-C-0174</t>
        </is>
      </c>
      <c r="B4271" s="12" t="inlineStr">
        <is>
          <t>I</t>
        </is>
      </c>
      <c r="C4271" s="12" t="inlineStr">
        <is>
          <t>Modular / portable power</t>
        </is>
      </c>
      <c r="D4271" s="12" t="inlineStr">
        <is>
          <t>Motor 3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346</v>
      </c>
      <c r="U4271" s="16" t="n">
        <v>146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I-C-0175</t>
        </is>
      </c>
      <c r="B4272" s="12" t="inlineStr">
        <is>
          <t>I</t>
        </is>
      </c>
      <c r="C4272" s="12" t="inlineStr">
        <is>
          <t>Modular / portable power</t>
        </is>
      </c>
      <c r="D4272" s="12" t="inlineStr">
        <is>
          <t>Motor 4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346</v>
      </c>
      <c r="U4272" s="16" t="n">
        <v>146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I-C-0176</t>
        </is>
      </c>
      <c r="B4273" s="12" t="inlineStr">
        <is>
          <t>I</t>
        </is>
      </c>
      <c r="C4273" s="12" t="inlineStr">
        <is>
          <t>Modular / portable power</t>
        </is>
      </c>
      <c r="D4273" s="12" t="inlineStr">
        <is>
          <t>Motor 5 of 6: control / local station</t>
        </is>
      </c>
      <c r="E4273" s="12" t="inlineStr"/>
      <c r="F4273" s="12" t="inlineStr">
        <is>
          <t>MOD-LV 480 V board + 480 V : 13.8 kV step-up</t>
        </is>
      </c>
      <c r="G4273" s="12" t="inlineStr"/>
      <c r="H4273" s="12" t="inlineStr">
        <is>
          <t>T-MOD 230 kV take-off gantry with arresters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346</v>
      </c>
      <c r="U4273" s="16" t="n">
        <v>146</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I-C-0177</t>
        </is>
      </c>
      <c r="B4274" s="12" t="inlineStr">
        <is>
          <t>I</t>
        </is>
      </c>
      <c r="C4274" s="12" t="inlineStr">
        <is>
          <t>Modular / portable power</t>
        </is>
      </c>
      <c r="D4274" s="12" t="inlineStr">
        <is>
          <t>Motor 6 of 6: control / local station</t>
        </is>
      </c>
      <c r="E4274" s="12" t="inlineStr"/>
      <c r="F4274" s="12" t="inlineStr">
        <is>
          <t>MOD-LV 480 V board + 480 V : 13.8 kV step-up</t>
        </is>
      </c>
      <c r="G4274" s="12" t="inlineStr"/>
      <c r="H4274" s="12" t="inlineStr">
        <is>
          <t>T-MOD 230 kV take-off gantry with arresters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346</v>
      </c>
      <c r="U4274" s="16" t="n">
        <v>146</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I-C-0178</t>
        </is>
      </c>
      <c r="B4275" s="12" t="inlineStr">
        <is>
          <t>I</t>
        </is>
      </c>
      <c r="C4275" s="12" t="inlineStr">
        <is>
          <t>Modular / portable power</t>
        </is>
      </c>
      <c r="D4275" s="12" t="inlineStr">
        <is>
          <t>Motor 1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306</v>
      </c>
      <c r="U4275" s="16" t="n">
        <v>171</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I-C-0179</t>
        </is>
      </c>
      <c r="B4276" s="12" t="inlineStr">
        <is>
          <t>I</t>
        </is>
      </c>
      <c r="C4276" s="12" t="inlineStr">
        <is>
          <t>Modular / portable power</t>
        </is>
      </c>
      <c r="D4276" s="12" t="inlineStr">
        <is>
          <t>Motor 2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306</v>
      </c>
      <c r="U4276" s="16" t="n">
        <v>171</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I-C-0180</t>
        </is>
      </c>
      <c r="B4277" s="12" t="inlineStr">
        <is>
          <t>I</t>
        </is>
      </c>
      <c r="C4277" s="12" t="inlineStr">
        <is>
          <t>Modular / portable power</t>
        </is>
      </c>
      <c r="D4277" s="12" t="inlineStr">
        <is>
          <t>Motor 3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306</v>
      </c>
      <c r="U4277" s="16" t="n">
        <v>171</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I-C-0181</t>
        </is>
      </c>
      <c r="B4278" s="12" t="inlineStr">
        <is>
          <t>I</t>
        </is>
      </c>
      <c r="C4278" s="12" t="inlineStr">
        <is>
          <t>Modular / portable power</t>
        </is>
      </c>
      <c r="D4278" s="12" t="inlineStr">
        <is>
          <t>Motor 4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306</v>
      </c>
      <c r="U4278" s="16" t="n">
        <v>171</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I-C-0182</t>
        </is>
      </c>
      <c r="B4279" s="12" t="inlineStr">
        <is>
          <t>I</t>
        </is>
      </c>
      <c r="C4279" s="12" t="inlineStr">
        <is>
          <t>Modular / portable power</t>
        </is>
      </c>
      <c r="D4279" s="12" t="inlineStr">
        <is>
          <t>Motor 5 of 6: control / local station</t>
        </is>
      </c>
      <c r="E4279" s="12" t="inlineStr"/>
      <c r="F4279" s="12" t="inlineStr">
        <is>
          <t>MOD-LV 480 V board + 480 V : 13.8 kV step-up</t>
        </is>
      </c>
      <c r="G4279" s="12" t="inlineStr"/>
      <c r="H4279" s="12" t="inlineStr">
        <is>
          <t>T-MOD-1 / T-MOD-2 firewall</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306</v>
      </c>
      <c r="U4279" s="16" t="n">
        <v>171</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I-C-0183</t>
        </is>
      </c>
      <c r="B4280" s="12" t="inlineStr">
        <is>
          <t>I</t>
        </is>
      </c>
      <c r="C4280" s="12" t="inlineStr">
        <is>
          <t>Modular / portable power</t>
        </is>
      </c>
      <c r="D4280" s="12" t="inlineStr">
        <is>
          <t>Motor 6 of 6: control / local station</t>
        </is>
      </c>
      <c r="E4280" s="12" t="inlineStr"/>
      <c r="F4280" s="12" t="inlineStr">
        <is>
          <t>MOD-LV 480 V board + 480 V : 13.8 kV step-up</t>
        </is>
      </c>
      <c r="G4280" s="12" t="inlineStr"/>
      <c r="H4280" s="12" t="inlineStr">
        <is>
          <t>T-MOD-1 / T-MOD-2 firewall</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306</v>
      </c>
      <c r="U4280" s="16" t="n">
        <v>171</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I-C-0184</t>
        </is>
      </c>
      <c r="B4281" s="12" t="inlineStr">
        <is>
          <t>I</t>
        </is>
      </c>
      <c r="C4281" s="12" t="inlineStr">
        <is>
          <t>Modular / portable power</t>
        </is>
      </c>
      <c r="D4281" s="12" t="inlineStr">
        <is>
          <t>Motor 1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306</v>
      </c>
      <c r="U4281" s="16" t="n">
        <v>127</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I-C-0185</t>
        </is>
      </c>
      <c r="B4282" s="12" t="inlineStr">
        <is>
          <t>I</t>
        </is>
      </c>
      <c r="C4282" s="12" t="inlineStr">
        <is>
          <t>Modular / portable power</t>
        </is>
      </c>
      <c r="D4282" s="12" t="inlineStr">
        <is>
          <t>Motor 2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306</v>
      </c>
      <c r="U4282" s="16" t="n">
        <v>127</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I-C-0186</t>
        </is>
      </c>
      <c r="B4283" s="12" t="inlineStr">
        <is>
          <t>I</t>
        </is>
      </c>
      <c r="C4283" s="12" t="inlineStr">
        <is>
          <t>Modular / portable power</t>
        </is>
      </c>
      <c r="D4283" s="12" t="inlineStr">
        <is>
          <t>Motor 3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306</v>
      </c>
      <c r="U4283" s="16" t="n">
        <v>127</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I-C-0187</t>
        </is>
      </c>
      <c r="B4284" s="12" t="inlineStr">
        <is>
          <t>I</t>
        </is>
      </c>
      <c r="C4284" s="12" t="inlineStr">
        <is>
          <t>Modular / portable power</t>
        </is>
      </c>
      <c r="D4284" s="12" t="inlineStr">
        <is>
          <t>Motor 4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306</v>
      </c>
      <c r="U4284" s="16" t="n">
        <v>127</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I-C-0188</t>
        </is>
      </c>
      <c r="B4285" s="12" t="inlineStr">
        <is>
          <t>I</t>
        </is>
      </c>
      <c r="C4285" s="12" t="inlineStr">
        <is>
          <t>Modular / portable power</t>
        </is>
      </c>
      <c r="D4285" s="12" t="inlineStr">
        <is>
          <t>Motor 5 of 6: control / local station</t>
        </is>
      </c>
      <c r="E4285" s="12" t="inlineStr"/>
      <c r="F4285" s="12" t="inlineStr">
        <is>
          <t>MOD-LV 480 V board + 480 V : 13.8 kV step-up</t>
        </is>
      </c>
      <c r="G4285" s="12" t="inlineStr">
        <is>
          <t>T-MOD-1</t>
        </is>
      </c>
      <c r="H4285" s="12" t="inlineStr">
        <is>
          <t>T-MOD-1: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306</v>
      </c>
      <c r="U4285" s="16" t="n">
        <v>127</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I-C-0189</t>
        </is>
      </c>
      <c r="B4286" s="12" t="inlineStr">
        <is>
          <t>I</t>
        </is>
      </c>
      <c r="C4286" s="12" t="inlineStr">
        <is>
          <t>Modular / portable power</t>
        </is>
      </c>
      <c r="D4286" s="12" t="inlineStr">
        <is>
          <t>Motor 6 of 6: control / local station</t>
        </is>
      </c>
      <c r="E4286" s="12" t="inlineStr"/>
      <c r="F4286" s="12" t="inlineStr">
        <is>
          <t>MOD-LV 480 V board + 480 V : 13.8 kV step-up</t>
        </is>
      </c>
      <c r="G4286" s="12" t="inlineStr">
        <is>
          <t>T-MOD-1</t>
        </is>
      </c>
      <c r="H4286" s="12" t="inlineStr">
        <is>
          <t>T-MOD-1: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306</v>
      </c>
      <c r="U4286" s="16" t="n">
        <v>127</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I-C-0190</t>
        </is>
      </c>
      <c r="B4287" s="12" t="inlineStr">
        <is>
          <t>I</t>
        </is>
      </c>
      <c r="C4287" s="12" t="inlineStr">
        <is>
          <t>Modular / portable power</t>
        </is>
      </c>
      <c r="D4287" s="12" t="inlineStr">
        <is>
          <t>Motor 1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I-C-0191</t>
        </is>
      </c>
      <c r="B4288" s="12" t="inlineStr">
        <is>
          <t>I</t>
        </is>
      </c>
      <c r="C4288" s="12" t="inlineStr">
        <is>
          <t>Modular / portable power</t>
        </is>
      </c>
      <c r="D4288" s="12" t="inlineStr">
        <is>
          <t>Motor 2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I-C-0192</t>
        </is>
      </c>
      <c r="B4289" s="12" t="inlineStr">
        <is>
          <t>I</t>
        </is>
      </c>
      <c r="C4289" s="12" t="inlineStr">
        <is>
          <t>Modular / portable power</t>
        </is>
      </c>
      <c r="D4289" s="12" t="inlineStr">
        <is>
          <t>Motor 3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I-C-0193</t>
        </is>
      </c>
      <c r="B4290" s="12" t="inlineStr">
        <is>
          <t>I</t>
        </is>
      </c>
      <c r="C4290" s="12" t="inlineStr">
        <is>
          <t>Modular / portable power</t>
        </is>
      </c>
      <c r="D4290" s="12" t="inlineStr">
        <is>
          <t>Motor 4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I-C-0194</t>
        </is>
      </c>
      <c r="B4291" s="12" t="inlineStr">
        <is>
          <t>I</t>
        </is>
      </c>
      <c r="C4291" s="12" t="inlineStr">
        <is>
          <t>Modular / portable power</t>
        </is>
      </c>
      <c r="D4291" s="12" t="inlineStr">
        <is>
          <t>Motor 5 of 6: control / local station</t>
        </is>
      </c>
      <c r="E4291" s="12" t="inlineStr"/>
      <c r="F4291" s="12" t="inlineStr">
        <is>
          <t>MOD-LV 480 V board + 480 V : 13.8 kV step-up</t>
        </is>
      </c>
      <c r="G4291" s="12" t="inlineStr">
        <is>
          <t>T-MOD-2</t>
        </is>
      </c>
      <c r="H4291" s="12" t="inlineStr">
        <is>
          <t>T-MOD-2: 13.8/230 kV</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189</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I-C-0195</t>
        </is>
      </c>
      <c r="B4292" s="12" t="inlineStr">
        <is>
          <t>I</t>
        </is>
      </c>
      <c r="C4292" s="12" t="inlineStr">
        <is>
          <t>Modular / portable power</t>
        </is>
      </c>
      <c r="D4292" s="12" t="inlineStr">
        <is>
          <t>Motor 6 of 6: control / local station</t>
        </is>
      </c>
      <c r="E4292" s="12" t="inlineStr"/>
      <c r="F4292" s="12" t="inlineStr">
        <is>
          <t>MOD-LV 480 V board + 480 V : 13.8 kV step-up</t>
        </is>
      </c>
      <c r="G4292" s="12" t="inlineStr">
        <is>
          <t>T-MOD-2</t>
        </is>
      </c>
      <c r="H4292" s="12" t="inlineStr">
        <is>
          <t>T-MOD-2: 13.8/230 kV</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189</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I-C-0196</t>
        </is>
      </c>
      <c r="B4293" s="12" t="inlineStr">
        <is>
          <t>I</t>
        </is>
      </c>
      <c r="C4293" s="12" t="inlineStr">
        <is>
          <t>Modular / portable power</t>
        </is>
      </c>
      <c r="D4293" s="12" t="inlineStr">
        <is>
          <t>Motor 1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HV duct bank</t>
        </is>
      </c>
      <c r="T4293" s="16" t="n">
        <v>3141</v>
      </c>
      <c r="U4293" s="16" t="n">
        <v>54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I-C-0197</t>
        </is>
      </c>
      <c r="B4294" s="12" t="inlineStr">
        <is>
          <t>I</t>
        </is>
      </c>
      <c r="C4294" s="12" t="inlineStr">
        <is>
          <t>Modular / portable power</t>
        </is>
      </c>
      <c r="D4294" s="12" t="inlineStr">
        <is>
          <t>Motor 2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HV duct bank</t>
        </is>
      </c>
      <c r="T4294" s="16" t="n">
        <v>3141</v>
      </c>
      <c r="U4294" s="16" t="n">
        <v>54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I-C-0198</t>
        </is>
      </c>
      <c r="B4295" s="12" t="inlineStr">
        <is>
          <t>I</t>
        </is>
      </c>
      <c r="C4295" s="12" t="inlineStr">
        <is>
          <t>Modular / portable power</t>
        </is>
      </c>
      <c r="D4295" s="12" t="inlineStr">
        <is>
          <t>Motor 3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HV duct bank</t>
        </is>
      </c>
      <c r="T4295" s="16" t="n">
        <v>3141</v>
      </c>
      <c r="U4295" s="16" t="n">
        <v>54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I-C-0199</t>
        </is>
      </c>
      <c r="B4296" s="12" t="inlineStr">
        <is>
          <t>I</t>
        </is>
      </c>
      <c r="C4296" s="12" t="inlineStr">
        <is>
          <t>Modular / portable power</t>
        </is>
      </c>
      <c r="D4296" s="12" t="inlineStr">
        <is>
          <t>Motor 4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HV duct bank</t>
        </is>
      </c>
      <c r="T4296" s="16" t="n">
        <v>3141</v>
      </c>
      <c r="U4296" s="16" t="n">
        <v>54</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I-C-0200</t>
        </is>
      </c>
      <c r="B4297" s="12" t="inlineStr">
        <is>
          <t>I</t>
        </is>
      </c>
      <c r="C4297" s="12" t="inlineStr">
        <is>
          <t>Modular / portable power</t>
        </is>
      </c>
      <c r="D4297" s="12" t="inlineStr">
        <is>
          <t>Motor 5 of 6: control / local station</t>
        </is>
      </c>
      <c r="E4297" s="12" t="inlineStr"/>
      <c r="F4297" s="12" t="inlineStr">
        <is>
          <t>MOD-LV 480 V board + 480 V : 13.8 kV step-up</t>
        </is>
      </c>
      <c r="G4297" s="12" t="inlineStr">
        <is>
          <t>TM-1</t>
        </is>
      </c>
      <c r="H4297" s="12" t="inlineStr">
        <is>
          <t>TM-1: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HV duct bank</t>
        </is>
      </c>
      <c r="T4297" s="16" t="n">
        <v>3141</v>
      </c>
      <c r="U4297" s="16" t="n">
        <v>54</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I-C-0201</t>
        </is>
      </c>
      <c r="B4298" s="12" t="inlineStr">
        <is>
          <t>I</t>
        </is>
      </c>
      <c r="C4298" s="12" t="inlineStr">
        <is>
          <t>Modular / portable power</t>
        </is>
      </c>
      <c r="D4298" s="12" t="inlineStr">
        <is>
          <t>Motor 6 of 6: control / local station</t>
        </is>
      </c>
      <c r="E4298" s="12" t="inlineStr"/>
      <c r="F4298" s="12" t="inlineStr">
        <is>
          <t>MOD-LV 480 V board + 480 V : 13.8 kV step-up</t>
        </is>
      </c>
      <c r="G4298" s="12" t="inlineStr">
        <is>
          <t>TM-1</t>
        </is>
      </c>
      <c r="H4298" s="12" t="inlineStr">
        <is>
          <t>TM-1: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HV duct bank</t>
        </is>
      </c>
      <c r="T4298" s="16" t="n">
        <v>3141</v>
      </c>
      <c r="U4298" s="16" t="n">
        <v>54</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I-C-0202</t>
        </is>
      </c>
      <c r="B4299" s="12" t="inlineStr">
        <is>
          <t>I</t>
        </is>
      </c>
      <c r="C4299" s="12" t="inlineStr">
        <is>
          <t>Modular / portable power</t>
        </is>
      </c>
      <c r="D4299" s="12" t="inlineStr">
        <is>
          <t>Motor 1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HV duct bank</t>
        </is>
      </c>
      <c r="T4299" s="16" t="n">
        <v>3141</v>
      </c>
      <c r="U4299" s="16" t="n">
        <v>60</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I-C-0203</t>
        </is>
      </c>
      <c r="B4300" s="12" t="inlineStr">
        <is>
          <t>I</t>
        </is>
      </c>
      <c r="C4300" s="12" t="inlineStr">
        <is>
          <t>Modular / portable power</t>
        </is>
      </c>
      <c r="D4300" s="12" t="inlineStr">
        <is>
          <t>Motor 2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HV duct bank</t>
        </is>
      </c>
      <c r="T4300" s="16" t="n">
        <v>3141</v>
      </c>
      <c r="U4300" s="16" t="n">
        <v>60</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I-C-0204</t>
        </is>
      </c>
      <c r="B4301" s="12" t="inlineStr">
        <is>
          <t>I</t>
        </is>
      </c>
      <c r="C4301" s="12" t="inlineStr">
        <is>
          <t>Modular / portable power</t>
        </is>
      </c>
      <c r="D4301" s="12" t="inlineStr">
        <is>
          <t>Motor 3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HV duct bank</t>
        </is>
      </c>
      <c r="T4301" s="16" t="n">
        <v>3141</v>
      </c>
      <c r="U4301" s="16" t="n">
        <v>60</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I-C-0205</t>
        </is>
      </c>
      <c r="B4302" s="12" t="inlineStr">
        <is>
          <t>I</t>
        </is>
      </c>
      <c r="C4302" s="12" t="inlineStr">
        <is>
          <t>Modular / portable power</t>
        </is>
      </c>
      <c r="D4302" s="12" t="inlineStr">
        <is>
          <t>Motor 4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HV duct bank</t>
        </is>
      </c>
      <c r="T4302" s="16" t="n">
        <v>3141</v>
      </c>
      <c r="U4302" s="16" t="n">
        <v>60</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I-C-0206</t>
        </is>
      </c>
      <c r="B4303" s="12" t="inlineStr">
        <is>
          <t>I</t>
        </is>
      </c>
      <c r="C4303" s="12" t="inlineStr">
        <is>
          <t>Modular / portable power</t>
        </is>
      </c>
      <c r="D4303" s="12" t="inlineStr">
        <is>
          <t>Motor 5 of 6: control / local station</t>
        </is>
      </c>
      <c r="E4303" s="12" t="inlineStr"/>
      <c r="F4303" s="12" t="inlineStr">
        <is>
          <t>MOD-LV 480 V board + 480 V : 13.8 kV step-up</t>
        </is>
      </c>
      <c r="G4303" s="12" t="inlineStr">
        <is>
          <t>TM-2</t>
        </is>
      </c>
      <c r="H4303" s="12" t="inlineStr">
        <is>
          <t>TM-2: trailer-mounted aeroderivative GT (TM2500 class, ~35 MW)</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3141</v>
      </c>
      <c r="U4303" s="16" t="n">
        <v>60</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I-C-0207</t>
        </is>
      </c>
      <c r="B4304" s="12" t="inlineStr">
        <is>
          <t>I</t>
        </is>
      </c>
      <c r="C4304" s="12" t="inlineStr">
        <is>
          <t>Modular / portable power</t>
        </is>
      </c>
      <c r="D4304" s="12" t="inlineStr">
        <is>
          <t>Motor 6 of 6: control / local station</t>
        </is>
      </c>
      <c r="E4304" s="12" t="inlineStr"/>
      <c r="F4304" s="12" t="inlineStr">
        <is>
          <t>MOD-LV 480 V board + 480 V : 13.8 kV step-up</t>
        </is>
      </c>
      <c r="G4304" s="12" t="inlineStr">
        <is>
          <t>TM-2</t>
        </is>
      </c>
      <c r="H4304" s="12" t="inlineStr">
        <is>
          <t>TM-2: trailer-mounted aeroderivative GT (TM2500 class, ~35 MW)</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HV duct bank</t>
        </is>
      </c>
      <c r="T4304" s="16" t="n">
        <v>3141</v>
      </c>
      <c r="U4304" s="16" t="n">
        <v>60</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I-C-0208</t>
        </is>
      </c>
      <c r="B4305" s="12" t="inlineStr">
        <is>
          <t>I</t>
        </is>
      </c>
      <c r="C4305" s="12" t="inlineStr">
        <is>
          <t>Modular / portable power</t>
        </is>
      </c>
      <c r="D4305" s="12" t="inlineStr">
        <is>
          <t>Control</t>
        </is>
      </c>
      <c r="E4305" s="12" t="inlineStr"/>
      <c r="F4305" s="12" t="inlineStr">
        <is>
          <t>PCM: power control module</t>
        </is>
      </c>
      <c r="G4305" s="12" t="inlineStr"/>
      <c r="H4305" s="12" t="inlineStr">
        <is>
          <t>Water-injection skid</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HV duct bank</t>
        </is>
      </c>
      <c r="T4305" s="16" t="n">
        <v>4324</v>
      </c>
      <c r="U4305" s="16" t="n">
        <v>82</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I-F-0001</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is>
          <t>CONT-EH</t>
        </is>
      </c>
      <c r="H4306" s="12" t="inlineStr">
        <is>
          <t>CONT paralleling switchgear e-house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6" t="n">
        <v>3027</v>
      </c>
      <c r="U4306" s="16" t="n">
        <v>58</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I-F-0002</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Lube oil / starting air / oily water building</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4898</v>
      </c>
      <c r="U4307" s="16" t="n">
        <v>33</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I-F-0003</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MOD-EH</t>
        </is>
      </c>
      <c r="H4308" s="12" t="inlineStr">
        <is>
          <t>MOD-EH: 13.8 kV modular collector e-house</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Trench</t>
        </is>
      </c>
      <c r="T4308" s="16" t="n">
        <v>4243</v>
      </c>
      <c r="U4308" s="16" t="n">
        <v>33</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I-F-0004</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c r="H4309" s="12" t="inlineStr">
        <is>
          <t>PCM: power control module</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4674</v>
      </c>
      <c r="U4309" s="16" t="n">
        <v>33</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I-F-0005</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c r="H4310" s="12" t="inlineStr">
        <is>
          <t>RICE CEMS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4414</v>
      </c>
      <c r="U4310" s="16" t="n">
        <v>132</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I-F-0006</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RICE</t>
        </is>
      </c>
      <c r="H4311" s="12" t="inlineStr">
        <is>
          <t>RICE engine hall (8 engines)</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4520</v>
      </c>
      <c r="U4311" s="16" t="n">
        <v>96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I-F-0007</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SC-1</t>
        </is>
      </c>
      <c r="H4312" s="12" t="inlineStr">
        <is>
          <t>SC-1: aeroderivative simple-cycle unit (LM6000 class)</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Duct bank</t>
        </is>
      </c>
      <c r="T4312" s="16" t="n">
        <v>4634</v>
      </c>
      <c r="U4312" s="16" t="n">
        <v>53</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I-F-0008</t>
        </is>
      </c>
      <c r="B4313" s="12" t="inlineStr">
        <is>
          <t>I</t>
        </is>
      </c>
      <c r="C4313" s="12" t="inlineStr">
        <is>
          <t>Modular / portable power</t>
        </is>
      </c>
      <c r="D4313" s="12" t="inlineStr">
        <is>
          <t>Plant network / DCS fibre</t>
        </is>
      </c>
      <c r="E4313" s="12" t="inlineStr">
        <is>
          <t>CR</t>
        </is>
      </c>
      <c r="F4313" s="12" t="inlineStr">
        <is>
          <t>Control / admin building (main control room)</t>
        </is>
      </c>
      <c r="G4313" s="12" t="inlineStr">
        <is>
          <t>SC-2</t>
        </is>
      </c>
      <c r="H4313" s="12" t="inlineStr">
        <is>
          <t>SC-2: aeroderivative simple-cycle unit (LM6000 class)</t>
        </is>
      </c>
      <c r="I4313" s="12" t="inlineStr">
        <is>
          <t>Fibre / data</t>
        </is>
      </c>
      <c r="J4313" s="12" t="inlineStr">
        <is>
          <t>Fibre optic, single-mode, 12-fibre, armored, orange jacket</t>
        </is>
      </c>
      <c r="K4313" s="12" t="inlineStr">
        <is>
          <t>FO|12 SM|-</t>
        </is>
      </c>
      <c r="L4313" s="12" t="inlineStr">
        <is>
          <t>12 SM</t>
        </is>
      </c>
      <c r="M4313" s="12" t="inlineStr">
        <is>
          <t>-</t>
        </is>
      </c>
      <c r="N4313" s="12" t="n">
        <v>1</v>
      </c>
      <c r="O4313" s="12" t="n">
        <v>1</v>
      </c>
      <c r="P4313" s="12" t="n"/>
      <c r="Q4313" s="12" t="n"/>
      <c r="R4313" s="12" t="n"/>
      <c r="S4313" s="12" t="inlineStr">
        <is>
          <t>Trench</t>
        </is>
      </c>
      <c r="T4313" s="16" t="n">
        <v>4681</v>
      </c>
      <c r="U4313" s="16" t="n">
        <v>32</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I-F-0009</t>
        </is>
      </c>
      <c r="B4314" s="12" t="inlineStr">
        <is>
          <t>I</t>
        </is>
      </c>
      <c r="C4314" s="12" t="inlineStr">
        <is>
          <t>Modular / portable power</t>
        </is>
      </c>
      <c r="D4314" s="12" t="inlineStr">
        <is>
          <t>Plant network / DCS fibre</t>
        </is>
      </c>
      <c r="E4314" s="12" t="inlineStr">
        <is>
          <t>CR</t>
        </is>
      </c>
      <c r="F4314" s="12" t="inlineStr">
        <is>
          <t>Control / admin building (main control room)</t>
        </is>
      </c>
      <c r="G4314" s="12" t="inlineStr">
        <is>
          <t>TM-1</t>
        </is>
      </c>
      <c r="H4314" s="12" t="inlineStr">
        <is>
          <t>TM-1: trailer-mounted aeroderivative GT (TM2500 class, ~35 MW)</t>
        </is>
      </c>
      <c r="I4314" s="12" t="inlineStr">
        <is>
          <t>Fibre / data</t>
        </is>
      </c>
      <c r="J4314" s="12" t="inlineStr">
        <is>
          <t>Fibre optic, single-mode, 12-fibre, armored, orange jacket</t>
        </is>
      </c>
      <c r="K4314" s="12" t="inlineStr">
        <is>
          <t>FO|12 SM|-</t>
        </is>
      </c>
      <c r="L4314" s="12" t="inlineStr">
        <is>
          <t>12 SM</t>
        </is>
      </c>
      <c r="M4314" s="12" t="inlineStr">
        <is>
          <t>-</t>
        </is>
      </c>
      <c r="N4314" s="12" t="n">
        <v>1</v>
      </c>
      <c r="O4314" s="12" t="n">
        <v>1</v>
      </c>
      <c r="P4314" s="12" t="n"/>
      <c r="Q4314" s="12" t="n"/>
      <c r="R4314" s="12" t="n"/>
      <c r="S4314" s="12" t="inlineStr">
        <is>
          <t>Trench</t>
        </is>
      </c>
      <c r="T4314" s="16" t="n">
        <v>3382</v>
      </c>
      <c r="U4314" s="16" t="n">
        <v>53</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I-F-0010</t>
        </is>
      </c>
      <c r="B4315" s="12" t="inlineStr">
        <is>
          <t>I</t>
        </is>
      </c>
      <c r="C4315" s="12" t="inlineStr">
        <is>
          <t>Modular / portable power</t>
        </is>
      </c>
      <c r="D4315" s="12" t="inlineStr">
        <is>
          <t>Plant network / DCS fibre</t>
        </is>
      </c>
      <c r="E4315" s="12" t="inlineStr">
        <is>
          <t>CR</t>
        </is>
      </c>
      <c r="F4315" s="12" t="inlineStr">
        <is>
          <t>Control / admin building (main control room)</t>
        </is>
      </c>
      <c r="G4315" s="12" t="inlineStr">
        <is>
          <t>TM-2</t>
        </is>
      </c>
      <c r="H4315" s="12" t="inlineStr">
        <is>
          <t>TM-2: trailer-mounted aeroderivative GT (TM2500 class, ~35 MW)</t>
        </is>
      </c>
      <c r="I4315" s="12" t="inlineStr">
        <is>
          <t>Fibre / data</t>
        </is>
      </c>
      <c r="J4315" s="12" t="inlineStr">
        <is>
          <t>Fibre optic, single-mode, 12-fibre, armored, orange jacket</t>
        </is>
      </c>
      <c r="K4315" s="12" t="inlineStr">
        <is>
          <t>FO|12 SM|-</t>
        </is>
      </c>
      <c r="L4315" s="12" t="inlineStr">
        <is>
          <t>12 SM</t>
        </is>
      </c>
      <c r="M4315" s="12" t="inlineStr">
        <is>
          <t>-</t>
        </is>
      </c>
      <c r="N4315" s="12" t="n">
        <v>1</v>
      </c>
      <c r="O4315" s="12" t="n">
        <v>1</v>
      </c>
      <c r="P4315" s="12" t="n"/>
      <c r="Q4315" s="12" t="n"/>
      <c r="R4315" s="12" t="n"/>
      <c r="S4315" s="12" t="inlineStr">
        <is>
          <t>Trench</t>
        </is>
      </c>
      <c r="T4315" s="16" t="n">
        <v>3382</v>
      </c>
      <c r="U4315" s="16" t="n">
        <v>59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I-FA-0001</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BS black-start switchgear</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77</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I-FA-0002</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Black-start genset (proposed; requires study)</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624</v>
      </c>
      <c r="U4317" s="16" t="n">
        <v>32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I-FA-0003</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Black-start genset (proposed; requires study)</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Duct bank</t>
        </is>
      </c>
      <c r="T4318" s="16" t="n">
        <v>624</v>
      </c>
      <c r="U4318" s="16" t="n">
        <v>40</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I-FA-0004</t>
        </is>
      </c>
      <c r="B4319" s="12" t="inlineStr">
        <is>
          <t>I</t>
        </is>
      </c>
      <c r="C4319" s="12" t="inlineStr">
        <is>
          <t>Modular / portable power</t>
        </is>
      </c>
      <c r="D4319" s="12" t="inlineStr">
        <is>
          <t>Fire alarm / F&amp;G loop (to the local FACP / F&amp;G node)</t>
        </is>
      </c>
      <c r="E4319" s="12" t="inlineStr"/>
      <c r="F4319" s="12" t="inlineStr">
        <is>
          <t>PCM: power control module</t>
        </is>
      </c>
      <c r="G4319" s="12" t="inlineStr"/>
      <c r="H4319" s="12" t="inlineStr">
        <is>
          <t>CONDITIONAL: BESS black-start alternative</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Duct bank</t>
        </is>
      </c>
      <c r="T4319" s="16" t="n">
        <v>550</v>
      </c>
      <c r="U4319" s="16" t="n">
        <v>32</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I-FA-0005</t>
        </is>
      </c>
      <c r="B4320" s="12" t="inlineStr">
        <is>
          <t>I</t>
        </is>
      </c>
      <c r="C4320" s="12" t="inlineStr">
        <is>
          <t>Modular / portable power</t>
        </is>
      </c>
      <c r="D4320" s="12" t="inlineStr">
        <is>
          <t>Fire alarm / F&amp;G loop (to the local FACP / F&amp;G node)</t>
        </is>
      </c>
      <c r="E4320" s="12" t="inlineStr"/>
      <c r="F4320" s="12" t="inlineStr">
        <is>
          <t>PCM: power control module</t>
        </is>
      </c>
      <c r="G4320" s="12" t="inlineStr"/>
      <c r="H4320" s="12" t="inlineStr">
        <is>
          <t>CONDITIONAL: SC-1 inlet chiller / evaporative cooler</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Duct bank</t>
        </is>
      </c>
      <c r="T4320" s="16" t="n">
        <v>40</v>
      </c>
      <c r="U4320" s="16" t="n">
        <v>52</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I-FA-0006</t>
        </is>
      </c>
      <c r="B4321" s="12" t="inlineStr">
        <is>
          <t>I</t>
        </is>
      </c>
      <c r="C4321" s="12" t="inlineStr">
        <is>
          <t>Modular / portable power</t>
        </is>
      </c>
      <c r="D4321" s="12" t="inlineStr">
        <is>
          <t>Fire alarm / F&amp;G loop (to the local FACP / F&amp;G node)</t>
        </is>
      </c>
      <c r="E4321" s="12" t="inlineStr"/>
      <c r="F4321" s="12" t="inlineStr">
        <is>
          <t>PCM: power control module</t>
        </is>
      </c>
      <c r="G4321" s="12" t="inlineStr"/>
      <c r="H4321" s="12" t="inlineStr">
        <is>
          <t>CONDITIONAL: SC-2 inlet chiller / evaporative cooler</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HV duct bank</t>
        </is>
      </c>
      <c r="T4321" s="16" t="n">
        <v>4553</v>
      </c>
      <c r="U4321" s="16" t="n">
        <v>33</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I-FA-0007</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CONT-EH</t>
        </is>
      </c>
      <c r="H4322" s="12" t="inlineStr">
        <is>
          <t>CONT paralleling switchgear e-house</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Surface</t>
        </is>
      </c>
      <c r="T4322" s="16" t="n">
        <v>21</v>
      </c>
      <c r="U4322" s="16" t="n">
        <v>55</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I-FA-0008</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CONT-1</t>
        </is>
      </c>
      <c r="H4323" s="12" t="inlineStr">
        <is>
          <t>CONT-1: containerized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Surface</t>
        </is>
      </c>
      <c r="T4323" s="16" t="n">
        <v>348</v>
      </c>
      <c r="U4323" s="16" t="n">
        <v>27</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I-FA-0009</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CONT-2</t>
        </is>
      </c>
      <c r="H4324" s="12" t="inlineStr">
        <is>
          <t>CONT-2: containerized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351</v>
      </c>
      <c r="U4324" s="16" t="n">
        <v>27</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I-FA-0010</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CONT-3</t>
        </is>
      </c>
      <c r="H4325" s="12" t="inlineStr">
        <is>
          <t>CONT-3: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191</v>
      </c>
      <c r="U4325" s="16" t="n">
        <v>27</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I-FA-0011</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CONT-4</t>
        </is>
      </c>
      <c r="H4326" s="12" t="inlineStr">
        <is>
          <t>CONT-4: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Conduit link</t>
        </is>
      </c>
      <c r="T4326" s="16" t="n">
        <v>71</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I-FA-0012</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CONT-5</t>
        </is>
      </c>
      <c r="H4327" s="12" t="inlineStr">
        <is>
          <t>CONT-5: containerized gas genset 13.8 kV (40 ft)</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Surface</t>
        </is>
      </c>
      <c r="T4327" s="16" t="n">
        <v>17</v>
      </c>
      <c r="U4327" s="16" t="n">
        <v>61</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I-FA-0013</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CONT-6</t>
        </is>
      </c>
      <c r="H4328" s="12" t="inlineStr">
        <is>
          <t>CONT-6: containerized gas genset 13.8 kV (40 ft)</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Surface</t>
        </is>
      </c>
      <c r="T4328" s="16" t="n">
        <v>191</v>
      </c>
      <c r="U4328" s="16" t="n">
        <v>82</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I-FA-0014</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CONT-7</t>
        </is>
      </c>
      <c r="H4329" s="12" t="inlineStr">
        <is>
          <t>CONT-7: containerized gas genset 13.8 kV (40 ft)</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Surface</t>
        </is>
      </c>
      <c r="T4329" s="16" t="n">
        <v>273</v>
      </c>
      <c r="U4329" s="16" t="n">
        <v>67</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I-FA-0015</t>
        </is>
      </c>
      <c r="B4330" s="12" t="inlineStr">
        <is>
          <t>I</t>
        </is>
      </c>
      <c r="C4330" s="12" t="inlineStr">
        <is>
          <t>Modular / portable power</t>
        </is>
      </c>
      <c r="D4330" s="12" t="inlineStr">
        <is>
          <t>Fire alarm / F&amp;G loop (to the local FACP / F&amp;G node)</t>
        </is>
      </c>
      <c r="E4330" s="12" t="inlineStr">
        <is>
          <t>PAD-EH</t>
        </is>
      </c>
      <c r="F4330" s="12" t="inlineStr">
        <is>
          <t>PAD-EH 13.8 kV switchgear e-house</t>
        </is>
      </c>
      <c r="G4330" s="12" t="inlineStr">
        <is>
          <t>CONT-8</t>
        </is>
      </c>
      <c r="H4330" s="12" t="inlineStr">
        <is>
          <t>CONT-8: containerized gas genset 13.8 kV (40 ft)</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Surface</t>
        </is>
      </c>
      <c r="T4330" s="16" t="n">
        <v>17</v>
      </c>
      <c r="U4330" s="16" t="n">
        <v>116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I-FA-0016</t>
        </is>
      </c>
      <c r="B4331" s="12" t="inlineStr">
        <is>
          <t>I</t>
        </is>
      </c>
      <c r="C4331" s="12" t="inlineStr">
        <is>
          <t>Modular / portable power</t>
        </is>
      </c>
      <c r="D4331" s="12" t="inlineStr">
        <is>
          <t>Fire alarm / F&amp;G loop (to the local FACP / F&amp;G node)</t>
        </is>
      </c>
      <c r="E4331" s="12" t="inlineStr">
        <is>
          <t>PAD-EH</t>
        </is>
      </c>
      <c r="F4331" s="12" t="inlineStr">
        <is>
          <t>PAD-EH 13.8 kV switchgear e-house</t>
        </is>
      </c>
      <c r="G4331" s="12" t="inlineStr">
        <is>
          <t>FC-10</t>
        </is>
      </c>
      <c r="H4331" s="12" t="inlineStr">
        <is>
          <t>FC-10: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Surface</t>
        </is>
      </c>
      <c r="T4331" s="16" t="n">
        <v>246</v>
      </c>
      <c r="U4331" s="16" t="n">
        <v>39</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I-FA-0017</t>
        </is>
      </c>
      <c r="B4332" s="12" t="inlineStr">
        <is>
          <t>I</t>
        </is>
      </c>
      <c r="C4332" s="12" t="inlineStr">
        <is>
          <t>Modular / portable power</t>
        </is>
      </c>
      <c r="D4332" s="12" t="inlineStr">
        <is>
          <t>Fire alarm / F&amp;G loop (to the local FACP / F&amp;G node)</t>
        </is>
      </c>
      <c r="E4332" s="12" t="inlineStr">
        <is>
          <t>PAD-EH</t>
        </is>
      </c>
      <c r="F4332" s="12" t="inlineStr">
        <is>
          <t>PAD-EH 13.8 kV switchgear e-house</t>
        </is>
      </c>
      <c r="G4332" s="12" t="inlineStr">
        <is>
          <t>FC-11</t>
        </is>
      </c>
      <c r="H4332" s="12" t="inlineStr">
        <is>
          <t>FC-11: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Surface</t>
        </is>
      </c>
      <c r="T4332" s="16" t="n">
        <v>232</v>
      </c>
      <c r="U4332" s="16" t="n">
        <v>39</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I-FA-0018</t>
        </is>
      </c>
      <c r="B4333" s="12" t="inlineStr">
        <is>
          <t>I</t>
        </is>
      </c>
      <c r="C4333" s="12" t="inlineStr">
        <is>
          <t>Modular / portable power</t>
        </is>
      </c>
      <c r="D4333" s="12" t="inlineStr">
        <is>
          <t>Fire alarm / F&amp;G loop (to the local FACP / F&amp;G node)</t>
        </is>
      </c>
      <c r="E4333" s="12" t="inlineStr">
        <is>
          <t>PAD-EH</t>
        </is>
      </c>
      <c r="F4333" s="12" t="inlineStr">
        <is>
          <t>PAD-EH 13.8 kV switchgear e-house</t>
        </is>
      </c>
      <c r="G4333" s="12" t="inlineStr">
        <is>
          <t>FC-12</t>
        </is>
      </c>
      <c r="H4333" s="12" t="inlineStr">
        <is>
          <t>FC-12: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Surface</t>
        </is>
      </c>
      <c r="T4333" s="16" t="n">
        <v>232</v>
      </c>
      <c r="U4333" s="16" t="n">
        <v>30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I-FA-0019</t>
        </is>
      </c>
      <c r="B4334" s="12" t="inlineStr">
        <is>
          <t>I</t>
        </is>
      </c>
      <c r="C4334" s="12" t="inlineStr">
        <is>
          <t>Modular / portable power</t>
        </is>
      </c>
      <c r="D4334" s="12" t="inlineStr">
        <is>
          <t>Fire alarm / F&amp;G loop (to the local FACP / F&amp;G node)</t>
        </is>
      </c>
      <c r="E4334" s="12" t="inlineStr"/>
      <c r="F4334" s="12" t="inlineStr">
        <is>
          <t>PCM: power control module</t>
        </is>
      </c>
      <c r="G4334" s="12" t="inlineStr"/>
      <c r="H4334" s="12" t="inlineStr">
        <is>
          <t>FC-1: SOFC module (Bloom ES5 class, 200-300 kW)</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6" t="n">
        <v>1074</v>
      </c>
      <c r="U4334" s="16" t="n">
        <v>94</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I-FA-0020</t>
        </is>
      </c>
      <c r="B4335" s="12" t="inlineStr">
        <is>
          <t>I</t>
        </is>
      </c>
      <c r="C4335" s="12" t="inlineStr">
        <is>
          <t>Modular / portable power</t>
        </is>
      </c>
      <c r="D4335" s="12" t="inlineStr">
        <is>
          <t>Fire alarm / F&amp;G loop (to the local FACP / F&amp;G node)</t>
        </is>
      </c>
      <c r="E4335" s="12" t="inlineStr"/>
      <c r="F4335" s="12" t="inlineStr">
        <is>
          <t>PCM: power control module</t>
        </is>
      </c>
      <c r="G4335" s="12" t="inlineStr"/>
      <c r="H4335" s="12" t="inlineStr">
        <is>
          <t>FC-2: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1074</v>
      </c>
      <c r="U4335" s="16" t="n">
        <v>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I-FA-0021</t>
        </is>
      </c>
      <c r="B4336" s="12" t="inlineStr">
        <is>
          <t>I</t>
        </is>
      </c>
      <c r="C4336" s="12" t="inlineStr">
        <is>
          <t>Modular / portable power</t>
        </is>
      </c>
      <c r="D4336" s="12" t="inlineStr">
        <is>
          <t>Fire alarm / F&amp;G loop (to the local FACP / F&amp;G node)</t>
        </is>
      </c>
      <c r="E4336" s="12" t="inlineStr"/>
      <c r="F4336" s="12" t="inlineStr">
        <is>
          <t>PCM: power control module</t>
        </is>
      </c>
      <c r="G4336" s="12" t="inlineStr"/>
      <c r="H4336" s="12" t="inlineStr">
        <is>
          <t>FC-3: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1074</v>
      </c>
      <c r="U4336" s="16" t="n">
        <v>66</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I-FA-0022</t>
        </is>
      </c>
      <c r="B4337" s="12" t="inlineStr">
        <is>
          <t>I</t>
        </is>
      </c>
      <c r="C4337" s="12" t="inlineStr">
        <is>
          <t>Modular / portable power</t>
        </is>
      </c>
      <c r="D4337" s="12" t="inlineStr">
        <is>
          <t>Fire alarm / F&amp;G loop (to the local FACP / F&amp;G node)</t>
        </is>
      </c>
      <c r="E4337" s="12" t="inlineStr"/>
      <c r="F4337" s="12" t="inlineStr">
        <is>
          <t>PCM: power control module</t>
        </is>
      </c>
      <c r="G4337" s="12" t="inlineStr"/>
      <c r="H4337" s="12" t="inlineStr">
        <is>
          <t>FC-4: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1050</v>
      </c>
      <c r="U4337" s="16" t="n">
        <v>68</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I-FA-0023</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c r="H4338" s="12" t="inlineStr">
        <is>
          <t>FC-5..12 inverter / AC cabinet / desulfurizer</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6" t="n">
        <v>155</v>
      </c>
      <c r="U4338" s="16" t="n">
        <v>27</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I-FA-0024</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FC-5</t>
        </is>
      </c>
      <c r="H4339" s="12" t="inlineStr">
        <is>
          <t>FC-5: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316</v>
      </c>
      <c r="U4339" s="16" t="n">
        <v>39</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I-FA-0025</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FC-6</t>
        </is>
      </c>
      <c r="H4340" s="12" t="inlineStr">
        <is>
          <t>FC-6: SOFC module (Bloom ES5 class, 200-300 kW)</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302</v>
      </c>
      <c r="U4340" s="16" t="n">
        <v>39</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I-FA-0026</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FC-7</t>
        </is>
      </c>
      <c r="H4341" s="12" t="inlineStr">
        <is>
          <t>FC-7: SOFC module (Bloom ES5 class, 200-300 kW)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Duct bank</t>
        </is>
      </c>
      <c r="T4341" s="16" t="n">
        <v>288</v>
      </c>
      <c r="U4341" s="16" t="n">
        <v>39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I-FA-0027</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FC-8</t>
        </is>
      </c>
      <c r="H4342" s="12" t="inlineStr">
        <is>
          <t>FC-8: SOFC module (Bloom ES5 class, 200-300 kW)</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Duct bank</t>
        </is>
      </c>
      <c r="T4342" s="16" t="n">
        <v>274</v>
      </c>
      <c r="U4342" s="16" t="n">
        <v>39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I-FA-0028</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FC-9</t>
        </is>
      </c>
      <c r="H4343" s="12" t="inlineStr">
        <is>
          <t>FC-9: SOFC module (Bloom ES5 class, 200-300 kW)</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6" t="n">
        <v>260</v>
      </c>
      <c r="U4343" s="16" t="n">
        <v>39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I-FA-0029</t>
        </is>
      </c>
      <c r="B4344" s="12" t="inlineStr">
        <is>
          <t>I</t>
        </is>
      </c>
      <c r="C4344" s="12" t="inlineStr">
        <is>
          <t>Modular / portable power</t>
        </is>
      </c>
      <c r="D4344" s="12" t="inlineStr">
        <is>
          <t>Fire alarm / F&amp;G loop (to the local FACP / F&amp;G node)</t>
        </is>
      </c>
      <c r="E4344" s="12" t="inlineStr"/>
      <c r="F4344" s="12" t="inlineStr">
        <is>
          <t>PCM: power control module</t>
        </is>
      </c>
      <c r="G4344" s="12" t="inlineStr"/>
      <c r="H4344" s="12" t="inlineStr">
        <is>
          <t>Fuel-cell inverter / AC cabinet / desulfurizer</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Duct bank</t>
        </is>
      </c>
      <c r="T4344" s="16" t="n">
        <v>1050</v>
      </c>
      <c r="U4344" s="16" t="n">
        <v>32</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I-FA-0030</t>
        </is>
      </c>
      <c r="B4345" s="12" t="inlineStr">
        <is>
          <t>I</t>
        </is>
      </c>
      <c r="C4345" s="12" t="inlineStr">
        <is>
          <t>Modular / portable power</t>
        </is>
      </c>
      <c r="D4345" s="12" t="inlineStr">
        <is>
          <t>Fire alarm / F&amp;G loop (to the local FACP / F&amp;G node)</t>
        </is>
      </c>
      <c r="E4345" s="12" t="inlineStr">
        <is>
          <t>PAD-EH</t>
        </is>
      </c>
      <c r="F4345" s="12" t="inlineStr">
        <is>
          <t>PAD-EH 13.8 kV switchgear e-house</t>
        </is>
      </c>
      <c r="G4345" s="12" t="inlineStr">
        <is>
          <t>GEN-E</t>
        </is>
      </c>
      <c r="H4345" s="12" t="inlineStr">
        <is>
          <t>GEN-E: enclosed industrial gas genset 2 MW</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Surface</t>
        </is>
      </c>
      <c r="T4345" s="16" t="n">
        <v>165</v>
      </c>
      <c r="U4345" s="16" t="n">
        <v>27</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I-FA-0031</t>
        </is>
      </c>
      <c r="B4346" s="12" t="inlineStr">
        <is>
          <t>I</t>
        </is>
      </c>
      <c r="C4346" s="12" t="inlineStr">
        <is>
          <t>Modular / portable power</t>
        </is>
      </c>
      <c r="D4346" s="12" t="inlineStr">
        <is>
          <t>Fire alarm / F&amp;G loop (to the local FACP / F&amp;G node)</t>
        </is>
      </c>
      <c r="E4346" s="12" t="inlineStr">
        <is>
          <t>PAD-EH</t>
        </is>
      </c>
      <c r="F4346" s="12" t="inlineStr">
        <is>
          <t>PAD-EH 13.8 kV switchgear e-house</t>
        </is>
      </c>
      <c r="G4346" s="12" t="inlineStr">
        <is>
          <t>GEN-O</t>
        </is>
      </c>
      <c r="H4346" s="12" t="inlineStr">
        <is>
          <t>GEN-O: open engine-generator skid</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Surface</t>
        </is>
      </c>
      <c r="T4346" s="16" t="n">
        <v>165</v>
      </c>
      <c r="U4346" s="16" t="n">
        <v>74</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I-FA-0032</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Lube oil / starting air / oily water building</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Tray</t>
        </is>
      </c>
      <c r="T4347" s="16" t="n">
        <v>32</v>
      </c>
      <c r="U4347" s="16" t="n">
        <v>164</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I-FA-0033</t>
        </is>
      </c>
      <c r="B4348" s="12" t="inlineStr">
        <is>
          <t>I</t>
        </is>
      </c>
      <c r="C4348" s="12" t="inlineStr">
        <is>
          <t>Modular / portable power</t>
        </is>
      </c>
      <c r="D4348" s="12" t="inlineStr">
        <is>
          <t>Fire alarm / F&amp;G loop (to the local FACP / F&amp;G node)</t>
        </is>
      </c>
      <c r="E4348" s="12" t="inlineStr">
        <is>
          <t>PAD-EH</t>
        </is>
      </c>
      <c r="F4348" s="12" t="inlineStr">
        <is>
          <t>PAD-EH 13.8 kV switchgear e-house</t>
        </is>
      </c>
      <c r="G4348" s="12" t="inlineStr">
        <is>
          <t>MOB-1</t>
        </is>
      </c>
      <c r="H4348" s="12" t="inlineStr">
        <is>
          <t>MOB-1: trailer genset</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Surface</t>
        </is>
      </c>
      <c r="T4348" s="16" t="n">
        <v>89</v>
      </c>
      <c r="U4348" s="16" t="n">
        <v>150</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I-FA-0034</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MOD-EH</t>
        </is>
      </c>
      <c r="H4349" s="12" t="inlineStr">
        <is>
          <t>MOD-EH: 13.8 kV modular collector e-house</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Duct bank</t>
        </is>
      </c>
      <c r="T4349" s="16" t="n">
        <v>355</v>
      </c>
      <c r="U4349" s="16" t="n">
        <v>32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I-FA-0035</t>
        </is>
      </c>
      <c r="B4350" s="12" t="inlineStr">
        <is>
          <t>I</t>
        </is>
      </c>
      <c r="C4350" s="12" t="inlineStr">
        <is>
          <t>Modular / portable power</t>
        </is>
      </c>
      <c r="D4350" s="12" t="inlineStr">
        <is>
          <t>Fire alarm / F&amp;G loop (to the local FACP / F&amp;G node)</t>
        </is>
      </c>
      <c r="E4350" s="12" t="inlineStr"/>
      <c r="F4350" s="12" t="inlineStr">
        <is>
          <t>PCM: power control module</t>
        </is>
      </c>
      <c r="G4350" s="12" t="inlineStr"/>
      <c r="H4350" s="12" t="inlineStr">
        <is>
          <t>MT-1: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Duct bank</t>
        </is>
      </c>
      <c r="T4350" s="16" t="n">
        <v>818</v>
      </c>
      <c r="U4350" s="16" t="n">
        <v>115</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I-FA-0036</t>
        </is>
      </c>
      <c r="B4351" s="12" t="inlineStr">
        <is>
          <t>I</t>
        </is>
      </c>
      <c r="C4351" s="12" t="inlineStr">
        <is>
          <t>Modular / portable power</t>
        </is>
      </c>
      <c r="D4351" s="12" t="inlineStr">
        <is>
          <t>Fire alarm / F&amp;G loop (to the local FACP / F&amp;G node)</t>
        </is>
      </c>
      <c r="E4351" s="12" t="inlineStr"/>
      <c r="F4351" s="12" t="inlineStr">
        <is>
          <t>PCM: power control module</t>
        </is>
      </c>
      <c r="G4351" s="12" t="inlineStr"/>
      <c r="H4351" s="12" t="inlineStr">
        <is>
          <t>MT-2: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Duct bank</t>
        </is>
      </c>
      <c r="T4351" s="16" t="n">
        <v>818</v>
      </c>
      <c r="U4351" s="16" t="n">
        <v>129</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I-FA-0037</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MT-3: microturbine 1 MW (Capstone C1000 class)</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Duct bank</t>
        </is>
      </c>
      <c r="T4352" s="16" t="n">
        <v>818</v>
      </c>
      <c r="U4352" s="16" t="n">
        <v>143</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I-FA-0038</t>
        </is>
      </c>
      <c r="B4353" s="12" t="inlineStr">
        <is>
          <t>I</t>
        </is>
      </c>
      <c r="C4353" s="12" t="inlineStr">
        <is>
          <t>Modular / portable power</t>
        </is>
      </c>
      <c r="D4353" s="12" t="inlineStr">
        <is>
          <t>Fire alarm / F&amp;G loop (to the local FACP / F&amp;G node)</t>
        </is>
      </c>
      <c r="E4353" s="12" t="inlineStr">
        <is>
          <t>PAD-EH</t>
        </is>
      </c>
      <c r="F4353" s="12" t="inlineStr">
        <is>
          <t>PAD-EH 13.8 kV switchgear e-house</t>
        </is>
      </c>
      <c r="G4353" s="12" t="inlineStr">
        <is>
          <t>MT-4</t>
        </is>
      </c>
      <c r="H4353" s="12" t="inlineStr">
        <is>
          <t>MT-4: microturbine 1 MW (Capstone C1000 class)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Conduit link</t>
        </is>
      </c>
      <c r="T4353" s="16" t="n">
        <v>106</v>
      </c>
      <c r="U4353" s="16" t="n">
        <v>37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I-FA-0039</t>
        </is>
      </c>
      <c r="B4354" s="12" t="inlineStr">
        <is>
          <t>I</t>
        </is>
      </c>
      <c r="C4354" s="12" t="inlineStr">
        <is>
          <t>Modular / portable power</t>
        </is>
      </c>
      <c r="D4354" s="12" t="inlineStr">
        <is>
          <t>Fire alarm / F&amp;G loop (to the local FACP / F&amp;G node)</t>
        </is>
      </c>
      <c r="E4354" s="12" t="inlineStr">
        <is>
          <t>PAD-EH</t>
        </is>
      </c>
      <c r="F4354" s="12" t="inlineStr">
        <is>
          <t>PAD-EH 13.8 kV switchgear e-house</t>
        </is>
      </c>
      <c r="G4354" s="12" t="inlineStr">
        <is>
          <t>MT-5</t>
        </is>
      </c>
      <c r="H4354" s="12" t="inlineStr">
        <is>
          <t>MT-5: microturbine 1 MW (Capstone C1000 class)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Conduit link</t>
        </is>
      </c>
      <c r="T4354" s="16" t="n">
        <v>106</v>
      </c>
      <c r="U4354" s="16" t="n">
        <v>27</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I-FA-0040</t>
        </is>
      </c>
      <c r="B4355" s="12" t="inlineStr">
        <is>
          <t>I</t>
        </is>
      </c>
      <c r="C4355" s="12" t="inlineStr">
        <is>
          <t>Modular / portable power</t>
        </is>
      </c>
      <c r="D4355" s="12" t="inlineStr">
        <is>
          <t>Fire alarm / F&amp;G loop (to the local FACP / F&amp;G node)</t>
        </is>
      </c>
      <c r="E4355" s="12" t="inlineStr">
        <is>
          <t>PAD-EH</t>
        </is>
      </c>
      <c r="F4355" s="12" t="inlineStr">
        <is>
          <t>PAD-EH 13.8 kV switchgear e-house</t>
        </is>
      </c>
      <c r="G4355" s="12" t="inlineStr">
        <is>
          <t>MT-6</t>
        </is>
      </c>
      <c r="H4355" s="12" t="inlineStr">
        <is>
          <t>MT-6: microturbine 1 MW (Capstone C1000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Conduit link</t>
        </is>
      </c>
      <c r="T4355" s="16" t="n">
        <v>106</v>
      </c>
      <c r="U4355" s="16" t="n">
        <v>37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I-FA-0041</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c r="H4356" s="12" t="inlineStr">
        <is>
          <t>PCM: power control module</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Tray</t>
        </is>
      </c>
      <c r="T4356" s="16" t="n">
        <v>0</v>
      </c>
      <c r="U4356" s="16" t="n">
        <v>32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I-FA-0042</t>
        </is>
      </c>
      <c r="B4357" s="12" t="inlineStr">
        <is>
          <t>I</t>
        </is>
      </c>
      <c r="C4357" s="12" t="inlineStr">
        <is>
          <t>Modular / portable power</t>
        </is>
      </c>
      <c r="D4357" s="12" t="inlineStr">
        <is>
          <t>Fire alarm / F&amp;G loop (to the local FACP / F&amp;G node)</t>
        </is>
      </c>
      <c r="E4357" s="12" t="inlineStr"/>
      <c r="F4357" s="12" t="inlineStr">
        <is>
          <t>PCM: power control module</t>
        </is>
      </c>
      <c r="G4357" s="12" t="inlineStr"/>
      <c r="H4357" s="12" t="inlineStr">
        <is>
          <t>RICE CEMS</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Duct bank</t>
        </is>
      </c>
      <c r="T4357" s="16" t="n">
        <v>260</v>
      </c>
      <c r="U4357" s="16" t="n">
        <v>131</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I-FA-0043</t>
        </is>
      </c>
      <c r="B4358" s="12" t="inlineStr">
        <is>
          <t>I</t>
        </is>
      </c>
      <c r="C4358" s="12" t="inlineStr">
        <is>
          <t>Modular / portable power</t>
        </is>
      </c>
      <c r="D4358" s="12" t="inlineStr">
        <is>
          <t>Fire alarm / F&amp;G loop (to the local FACP / F&amp;G node)</t>
        </is>
      </c>
      <c r="E4358" s="12" t="inlineStr"/>
      <c r="F4358" s="12" t="inlineStr">
        <is>
          <t>PCM: power control module</t>
        </is>
      </c>
      <c r="G4358" s="12" t="inlineStr">
        <is>
          <t>RICE</t>
        </is>
      </c>
      <c r="H4358" s="12" t="inlineStr">
        <is>
          <t>RICE engine hall (8 engines)</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Duct bank</t>
        </is>
      </c>
      <c r="T4358" s="16" t="n">
        <v>367</v>
      </c>
      <c r="U4358" s="16" t="n">
        <v>95</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I-FA-0044</t>
        </is>
      </c>
      <c r="B4359" s="12" t="inlineStr">
        <is>
          <t>I</t>
        </is>
      </c>
      <c r="C4359" s="12" t="inlineStr">
        <is>
          <t>Modular / portable power</t>
        </is>
      </c>
      <c r="D4359" s="12" t="inlineStr">
        <is>
          <t>Fire alarm / F&amp;G loop (to the local FACP / F&amp;G node)</t>
        </is>
      </c>
      <c r="E4359" s="12" t="inlineStr"/>
      <c r="F4359" s="12" t="inlineStr">
        <is>
          <t>PCM: power control module</t>
        </is>
      </c>
      <c r="G4359" s="12" t="inlineStr">
        <is>
          <t>SC-1</t>
        </is>
      </c>
      <c r="H4359" s="12" t="inlineStr">
        <is>
          <t>SC-1: aeroderivative simple-cycle unit (LM6000 class)</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Duct bank</t>
        </is>
      </c>
      <c r="T4359" s="16" t="n">
        <v>40</v>
      </c>
      <c r="U4359" s="16" t="n">
        <v>52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I-FA-0045</t>
        </is>
      </c>
      <c r="B4360" s="12" t="inlineStr">
        <is>
          <t>I</t>
        </is>
      </c>
      <c r="C4360" s="12" t="inlineStr">
        <is>
          <t>Modular / portable power</t>
        </is>
      </c>
      <c r="D4360" s="12" t="inlineStr">
        <is>
          <t>Fire alarm / F&amp;G loop (to the local FACP / F&amp;G node)</t>
        </is>
      </c>
      <c r="E4360" s="12" t="inlineStr"/>
      <c r="F4360" s="12" t="inlineStr">
        <is>
          <t>PCM: power control module</t>
        </is>
      </c>
      <c r="G4360" s="12" t="inlineStr">
        <is>
          <t>SC-2</t>
        </is>
      </c>
      <c r="H4360" s="12" t="inlineStr">
        <is>
          <t>SC-2: aeroderivative simple-cycle unit (LM6000 class)</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HV duct bank</t>
        </is>
      </c>
      <c r="T4360" s="16" t="n">
        <v>4503</v>
      </c>
      <c r="U4360" s="16" t="n">
        <v>33</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I-FA-0046</t>
        </is>
      </c>
      <c r="B4361" s="12" t="inlineStr">
        <is>
          <t>I</t>
        </is>
      </c>
      <c r="C4361" s="12" t="inlineStr">
        <is>
          <t>Modular / portable power</t>
        </is>
      </c>
      <c r="D4361" s="12" t="inlineStr">
        <is>
          <t>Fire alarm / F&amp;G loop (to the local FACP / F&amp;G node)</t>
        </is>
      </c>
      <c r="E4361" s="12" t="inlineStr">
        <is>
          <t>PAD-EH</t>
        </is>
      </c>
      <c r="F4361" s="12" t="inlineStr">
        <is>
          <t>PAD-EH 13.8 kV switchgear e-house</t>
        </is>
      </c>
      <c r="G4361" s="12" t="inlineStr">
        <is>
          <t>TM-1</t>
        </is>
      </c>
      <c r="H4361" s="12" t="inlineStr">
        <is>
          <t>TM-1: trailer-mounted aeroderivative GT (TM2500 class, ~35 MW)</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Surface</t>
        </is>
      </c>
      <c r="T4361" s="16" t="n">
        <v>375</v>
      </c>
      <c r="U4361" s="16" t="n">
        <v>50</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I-FA-0047</t>
        </is>
      </c>
      <c r="B4362" s="12" t="inlineStr">
        <is>
          <t>I</t>
        </is>
      </c>
      <c r="C4362" s="12" t="inlineStr">
        <is>
          <t>Modular / portable power</t>
        </is>
      </c>
      <c r="D4362" s="12" t="inlineStr">
        <is>
          <t>Fire alarm / F&amp;G loop (to the local FACP / F&amp;G node)</t>
        </is>
      </c>
      <c r="E4362" s="12" t="inlineStr">
        <is>
          <t>PAD-EH</t>
        </is>
      </c>
      <c r="F4362" s="12" t="inlineStr">
        <is>
          <t>PAD-EH 13.8 kV switchgear e-house</t>
        </is>
      </c>
      <c r="G4362" s="12" t="inlineStr">
        <is>
          <t>TM-2</t>
        </is>
      </c>
      <c r="H4362" s="12" t="inlineStr">
        <is>
          <t>TM-2: trailer-mounted aeroderivative GT (TM2500 class, ~35 MW)</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Surface</t>
        </is>
      </c>
      <c r="T4362" s="16" t="n">
        <v>375</v>
      </c>
      <c r="U4362" s="16" t="n">
        <v>56</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I-I-0001</t>
        </is>
      </c>
      <c r="B4363" s="12" t="inlineStr">
        <is>
          <t>I</t>
        </is>
      </c>
      <c r="C4363" s="12" t="inlineStr">
        <is>
          <t>Modular / portable power</t>
        </is>
      </c>
      <c r="D4363" s="12" t="inlineStr">
        <is>
          <t>Instrumentation</t>
        </is>
      </c>
      <c r="E4363" s="12" t="inlineStr"/>
      <c r="F4363" s="12" t="inlineStr">
        <is>
          <t>PCM: power control module</t>
        </is>
      </c>
      <c r="G4363" s="12" t="inlineStr"/>
      <c r="H4363" s="12" t="inlineStr">
        <is>
          <t>Aqueous ammonia (SC units)</t>
        </is>
      </c>
      <c r="I4363" s="12" t="inlineStr">
        <is>
          <t>Instrumentation</t>
        </is>
      </c>
      <c r="J4363" s="12" t="inlineStr">
        <is>
          <t>Instrumentation PLTC / TC-ER 300 V, #18 twisted shielded pairs, overall shield</t>
        </is>
      </c>
      <c r="K4363" s="12" t="inlineStr">
        <is>
          <t>PLTC|4 pr|18</t>
        </is>
      </c>
      <c r="L4363" s="12" t="inlineStr">
        <is>
          <t>4 pr</t>
        </is>
      </c>
      <c r="M4363" s="12" t="inlineStr">
        <is>
          <t>18</t>
        </is>
      </c>
      <c r="N4363" s="12" t="n">
        <v>1</v>
      </c>
      <c r="O4363" s="12" t="n">
        <v>1</v>
      </c>
      <c r="P4363" s="12" t="n"/>
      <c r="Q4363" s="12" t="n"/>
      <c r="R4363" s="12" t="n"/>
      <c r="S4363" s="12" t="inlineStr">
        <is>
          <t>HV duct bank</t>
        </is>
      </c>
      <c r="T4363" s="16" t="n">
        <v>4324</v>
      </c>
      <c r="U4363" s="16" t="n">
        <v>33</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I-I-0002</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I-I-0003</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32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I-I-0004</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I-I-0005</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32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I-I-0006</t>
        </is>
      </c>
      <c r="B4368" s="12" t="inlineStr">
        <is>
          <t>I</t>
        </is>
      </c>
      <c r="C4368" s="12" t="inlineStr">
        <is>
          <t>Modular / portable power</t>
        </is>
      </c>
      <c r="D4368" s="12" t="inlineStr">
        <is>
          <t>Analog instrument to JB JB-Black-start genset-AI01: 20 x 1 pr (field cables)</t>
        </is>
      </c>
      <c r="E4368" s="12" t="inlineStr"/>
      <c r="F4368" s="12" t="inlineStr">
        <is>
          <t>Black-start genset (proposed; requires study)</t>
        </is>
      </c>
      <c r="G4368" s="12" t="inlineStr">
        <is>
          <t>JB-Black-start genset-AI01</t>
        </is>
      </c>
      <c r="H4368" s="12" t="inlineStr">
        <is>
          <t>Black-start genset (proposed; requires study)</t>
        </is>
      </c>
      <c r="I4368" s="12" t="inlineStr">
        <is>
          <t>Instrumentation</t>
        </is>
      </c>
      <c r="J4368" s="12" t="inlineStr">
        <is>
          <t>Instrumentation PLTC / TC-ER 300 V, #18 twisted shielded pairs, overall shield</t>
        </is>
      </c>
      <c r="K4368" s="12" t="inlineStr">
        <is>
          <t>PLTC|1 pr|16</t>
        </is>
      </c>
      <c r="L4368" s="12" t="inlineStr">
        <is>
          <t>1 pr</t>
        </is>
      </c>
      <c r="M4368" s="12" t="inlineStr">
        <is>
          <t>16</t>
        </is>
      </c>
      <c r="N4368" s="12" t="n">
        <v>20</v>
      </c>
      <c r="O4368" s="12" t="n">
        <v>1</v>
      </c>
      <c r="P4368" s="12" t="n"/>
      <c r="Q4368" s="12" t="n"/>
      <c r="R4368" s="12" t="n"/>
      <c r="S4368" s="12" t="inlineStr">
        <is>
          <t>Tray / conduit</t>
        </is>
      </c>
      <c r="T4368" s="16" t="n">
        <v>59</v>
      </c>
      <c r="U4368" s="16" t="n">
        <v>10</v>
      </c>
      <c r="V4368" s="16">
        <f>ROUNDUP((T4368+U4368+2*'Read Me'!$B$13)*(1+'Read Me'!$B$12),-1)</f>
        <v/>
      </c>
      <c r="W4368" s="16">
        <f>V4368*N4368*O4368</f>
        <v/>
      </c>
      <c r="X4368" s="12">
        <f>IF(LEFT(I4368,2)="MV",2*N4368*IF(L4368="1/C",O4368,1),0)</f>
        <v/>
      </c>
      <c r="Y4368" s="12">
        <f>IF(OR(LEFT(K4368,4)="LVAX",LEFT(K4368,6)="MV15AX",LEFT(K4368,4)="CTAX",LEFT(K4368,2)="W|"),2*N4368*O4368,0)</f>
        <v/>
      </c>
      <c r="Z4368" s="12" t="inlineStr">
        <is>
          <t>device-to-JB field wiring, one cable per device</t>
        </is>
      </c>
      <c r="AA4368" s="12">
        <f>N4368*O4368</f>
        <v/>
      </c>
    </row>
    <row r="4369">
      <c r="A4369" s="12" t="inlineStr">
        <is>
          <t>I-I-0007</t>
        </is>
      </c>
      <c r="B4369" s="12" t="inlineStr">
        <is>
          <t>I</t>
        </is>
      </c>
      <c r="C4369" s="12" t="inlineStr">
        <is>
          <t>Modular / portable power</t>
        </is>
      </c>
      <c r="D4369" s="12" t="inlineStr">
        <is>
          <t>Home run JB-Black-start genset-AI01 to the control / marshalling room</t>
        </is>
      </c>
      <c r="E4369" s="12" t="inlineStr"/>
      <c r="F4369" s="12" t="inlineStr">
        <is>
          <t>PCM: power control module</t>
        </is>
      </c>
      <c r="G4369" s="12" t="inlineStr">
        <is>
          <t>JB-Black-start genset-AI01</t>
        </is>
      </c>
      <c r="H4369" s="12" t="inlineStr">
        <is>
          <t>Black-start genset (proposed; requires study)</t>
        </is>
      </c>
      <c r="I4369" s="12" t="inlineStr">
        <is>
          <t>Instrumentation</t>
        </is>
      </c>
      <c r="J4369" s="12" t="inlineStr">
        <is>
          <t>Instrumentation PLTC / TC-ER 300 V, #18 twisted shielded pairs, overall shield</t>
        </is>
      </c>
      <c r="K4369" s="12" t="inlineStr">
        <is>
          <t>PLTC|24 pr|18</t>
        </is>
      </c>
      <c r="L4369" s="12" t="inlineStr">
        <is>
          <t>24 pr</t>
        </is>
      </c>
      <c r="M4369" s="12" t="inlineStr">
        <is>
          <t>18</t>
        </is>
      </c>
      <c r="N4369" s="12" t="n">
        <v>1</v>
      </c>
      <c r="O4369" s="12" t="n">
        <v>1</v>
      </c>
      <c r="P4369" s="12" t="n"/>
      <c r="Q4369" s="12" t="n"/>
      <c r="R4369" s="12" t="n"/>
      <c r="S4369" s="12" t="inlineStr">
        <is>
          <t>Duct bank</t>
        </is>
      </c>
      <c r="T4369" s="16" t="n">
        <v>624</v>
      </c>
      <c r="U4369" s="16" t="n">
        <v>40</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I-I-0008</t>
        </is>
      </c>
      <c r="B4370" s="12" t="inlineStr">
        <is>
          <t>I</t>
        </is>
      </c>
      <c r="C4370" s="12" t="inlineStr">
        <is>
          <t>Modular / portable power</t>
        </is>
      </c>
      <c r="D4370" s="12" t="inlineStr">
        <is>
          <t>Discrete device to JB JB-Black-start genset-DI01: 20 x 1 pr (field cables)</t>
        </is>
      </c>
      <c r="E4370" s="12" t="inlineStr"/>
      <c r="F4370" s="12" t="inlineStr">
        <is>
          <t>Black-start genset (proposed; requires study)</t>
        </is>
      </c>
      <c r="G4370" s="12" t="inlineStr">
        <is>
          <t>JB-Black-start genset-DI01</t>
        </is>
      </c>
      <c r="H4370" s="12" t="inlineStr">
        <is>
          <t>Black-start genset (proposed; requires study)</t>
        </is>
      </c>
      <c r="I4370" s="12" t="inlineStr">
        <is>
          <t>Instrumentation</t>
        </is>
      </c>
      <c r="J4370" s="12" t="inlineStr">
        <is>
          <t>Instrumentation PLTC / TC-ER 300 V, #18 twisted shielded pairs, overall shield</t>
        </is>
      </c>
      <c r="K4370" s="12" t="inlineStr">
        <is>
          <t>PLTC|1 pr|16</t>
        </is>
      </c>
      <c r="L4370" s="12" t="inlineStr">
        <is>
          <t>1 pr</t>
        </is>
      </c>
      <c r="M4370" s="12" t="inlineStr">
        <is>
          <t>16</t>
        </is>
      </c>
      <c r="N4370" s="12" t="n">
        <v>20</v>
      </c>
      <c r="O4370" s="12" t="n">
        <v>1</v>
      </c>
      <c r="P4370" s="12" t="n"/>
      <c r="Q4370" s="12" t="n"/>
      <c r="R4370" s="12" t="n"/>
      <c r="S4370" s="12" t="inlineStr">
        <is>
          <t>Tray / conduit</t>
        </is>
      </c>
      <c r="T4370" s="16" t="n">
        <v>59</v>
      </c>
      <c r="U4370" s="16" t="n">
        <v>10</v>
      </c>
      <c r="V4370" s="16">
        <f>ROUNDUP((T4370+U4370+2*'Read Me'!$B$13)*(1+'Read Me'!$B$12),-1)</f>
        <v/>
      </c>
      <c r="W4370" s="16">
        <f>V4370*N4370*O4370</f>
        <v/>
      </c>
      <c r="X4370" s="12">
        <f>IF(LEFT(I4370,2)="MV",2*N4370*IF(L4370="1/C",O4370,1),0)</f>
        <v/>
      </c>
      <c r="Y4370" s="12">
        <f>IF(OR(LEFT(K4370,4)="LVAX",LEFT(K4370,6)="MV15AX",LEFT(K4370,4)="CTAX",LEFT(K4370,2)="W|"),2*N4370*O4370,0)</f>
        <v/>
      </c>
      <c r="Z4370" s="12" t="inlineStr">
        <is>
          <t>device-to-JB field wiring, one cable per device</t>
        </is>
      </c>
      <c r="AA4370" s="12">
        <f>N4370*O4370</f>
        <v/>
      </c>
    </row>
    <row r="4371">
      <c r="A4371" s="12" t="inlineStr">
        <is>
          <t>I-I-0009</t>
        </is>
      </c>
      <c r="B4371" s="12" t="inlineStr">
        <is>
          <t>I</t>
        </is>
      </c>
      <c r="C4371" s="12" t="inlineStr">
        <is>
          <t>Modular / portable power</t>
        </is>
      </c>
      <c r="D4371" s="12" t="inlineStr">
        <is>
          <t>Home run JB-Black-start genset-DI01 to the control / marshalling room</t>
        </is>
      </c>
      <c r="E4371" s="12" t="inlineStr"/>
      <c r="F4371" s="12" t="inlineStr">
        <is>
          <t>PCM: power control module</t>
        </is>
      </c>
      <c r="G4371" s="12" t="inlineStr">
        <is>
          <t>JB-Black-start genset-DI01</t>
        </is>
      </c>
      <c r="H4371" s="12" t="inlineStr">
        <is>
          <t>Black-start genset (proposed; requires study)</t>
        </is>
      </c>
      <c r="I4371" s="12" t="inlineStr">
        <is>
          <t>Instrumentation</t>
        </is>
      </c>
      <c r="J4371" s="12" t="inlineStr">
        <is>
          <t>Instrumentation PLTC / TC-ER 300 V, #18 twisted shielded pairs, overall shield</t>
        </is>
      </c>
      <c r="K4371" s="12" t="inlineStr">
        <is>
          <t>PLTC|24 pr|18</t>
        </is>
      </c>
      <c r="L4371" s="12" t="inlineStr">
        <is>
          <t>24 pr</t>
        </is>
      </c>
      <c r="M4371" s="12" t="inlineStr">
        <is>
          <t>18</t>
        </is>
      </c>
      <c r="N4371" s="12" t="n">
        <v>1</v>
      </c>
      <c r="O4371" s="12" t="n">
        <v>1</v>
      </c>
      <c r="P4371" s="12" t="n"/>
      <c r="Q4371" s="12" t="n"/>
      <c r="R4371" s="12" t="n"/>
      <c r="S4371" s="12" t="inlineStr">
        <is>
          <t>Duct bank</t>
        </is>
      </c>
      <c r="T4371" s="16" t="n">
        <v>624</v>
      </c>
      <c r="U4371" s="16" t="n">
        <v>40</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I-I-0010</t>
        </is>
      </c>
      <c r="B4372" s="12" t="inlineStr">
        <is>
          <t>I</t>
        </is>
      </c>
      <c r="C4372" s="12" t="inlineStr">
        <is>
          <t>Modular / portable power</t>
        </is>
      </c>
      <c r="D4372" s="12" t="inlineStr">
        <is>
          <t>Instrumentation</t>
        </is>
      </c>
      <c r="E4372" s="12" t="inlineStr"/>
      <c r="F4372" s="12" t="inlineStr">
        <is>
          <t>PCM: power control module</t>
        </is>
      </c>
      <c r="G4372" s="12" t="inlineStr"/>
      <c r="H4372" s="12" t="inlineStr">
        <is>
          <t>CONDITIONAL: BESS black-start alternative</t>
        </is>
      </c>
      <c r="I4372" s="12" t="inlineStr">
        <is>
          <t>Instrumentation</t>
        </is>
      </c>
      <c r="J4372" s="12" t="inlineStr">
        <is>
          <t>Instrumentation PLTC / TC-ER 300 V, #18 twisted shielded pairs, overall shield</t>
        </is>
      </c>
      <c r="K4372" s="12" t="inlineStr">
        <is>
          <t>PLTC|4 pr|18</t>
        </is>
      </c>
      <c r="L4372" s="12" t="inlineStr">
        <is>
          <t>4 pr</t>
        </is>
      </c>
      <c r="M4372" s="12" t="inlineStr">
        <is>
          <t>18</t>
        </is>
      </c>
      <c r="N4372" s="12" t="n">
        <v>1</v>
      </c>
      <c r="O4372" s="12" t="n">
        <v>1</v>
      </c>
      <c r="P4372" s="12" t="n"/>
      <c r="Q4372" s="12" t="n"/>
      <c r="R4372" s="12" t="n"/>
      <c r="S4372" s="12" t="inlineStr">
        <is>
          <t>Duct bank</t>
        </is>
      </c>
      <c r="T4372" s="16" t="n">
        <v>550</v>
      </c>
      <c r="U4372" s="16" t="n">
        <v>32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I-I-0011</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BESS black-start alternative</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550</v>
      </c>
      <c r="U4373" s="16" t="n">
        <v>32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I-I-0012</t>
        </is>
      </c>
      <c r="B4374" s="12" t="inlineStr">
        <is>
          <t>I</t>
        </is>
      </c>
      <c r="C4374" s="12" t="inlineStr">
        <is>
          <t>Modular / portable power</t>
        </is>
      </c>
      <c r="D4374" s="12" t="inlineStr">
        <is>
          <t>Thermocouples</t>
        </is>
      </c>
      <c r="E4374" s="12" t="inlineStr"/>
      <c r="F4374" s="12" t="inlineStr">
        <is>
          <t>PCM: power control module</t>
        </is>
      </c>
      <c r="G4374" s="12" t="inlineStr"/>
      <c r="H4374" s="12" t="inlineStr">
        <is>
          <t>CONDITIONAL: BESS black-start alternative</t>
        </is>
      </c>
      <c r="I4374" s="12" t="inlineStr">
        <is>
          <t>Instrumentation</t>
        </is>
      </c>
      <c r="J4374" s="12" t="inlineStr">
        <is>
          <t>Thermocouple extension KX, #16 shielded pairs, PLTC</t>
        </is>
      </c>
      <c r="K4374" s="12" t="inlineStr">
        <is>
          <t>TCX|12 pr|16</t>
        </is>
      </c>
      <c r="L4374" s="12" t="inlineStr">
        <is>
          <t>12 pr</t>
        </is>
      </c>
      <c r="M4374" s="12" t="inlineStr">
        <is>
          <t>16</t>
        </is>
      </c>
      <c r="N4374" s="12" t="n">
        <v>1</v>
      </c>
      <c r="O4374" s="12" t="n">
        <v>1</v>
      </c>
      <c r="P4374" s="12" t="n"/>
      <c r="Q4374" s="12" t="n"/>
      <c r="R4374" s="12" t="n"/>
      <c r="S4374" s="12" t="inlineStr">
        <is>
          <t>Duct bank</t>
        </is>
      </c>
      <c r="T4374" s="16" t="n">
        <v>550</v>
      </c>
      <c r="U4374" s="16" t="n">
        <v>32</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I-I-0013</t>
        </is>
      </c>
      <c r="B4375" s="12" t="inlineStr">
        <is>
          <t>I</t>
        </is>
      </c>
      <c r="C4375" s="12" t="inlineStr">
        <is>
          <t>Modular / portable power</t>
        </is>
      </c>
      <c r="D4375" s="12" t="inlineStr">
        <is>
          <t>Instrumentation</t>
        </is>
      </c>
      <c r="E4375" s="12" t="inlineStr"/>
      <c r="F4375" s="12" t="inlineStr">
        <is>
          <t>PCM: power control module</t>
        </is>
      </c>
      <c r="G4375" s="12" t="inlineStr"/>
      <c r="H4375" s="12" t="inlineStr">
        <is>
          <t>CONDITIONAL: SC-1 inlet chiller / evaporative cooler</t>
        </is>
      </c>
      <c r="I4375" s="12" t="inlineStr">
        <is>
          <t>Instrumentation</t>
        </is>
      </c>
      <c r="J4375" s="12" t="inlineStr">
        <is>
          <t>Instrumentation PLTC / TC-ER 300 V, #18 twisted shielded pairs, overall shield</t>
        </is>
      </c>
      <c r="K4375" s="12" t="inlineStr">
        <is>
          <t>PLTC|4 pr|18</t>
        </is>
      </c>
      <c r="L4375" s="12" t="inlineStr">
        <is>
          <t>4 pr</t>
        </is>
      </c>
      <c r="M4375" s="12" t="inlineStr">
        <is>
          <t>18</t>
        </is>
      </c>
      <c r="N4375" s="12" t="n">
        <v>1</v>
      </c>
      <c r="O4375" s="12" t="n">
        <v>1</v>
      </c>
      <c r="P4375" s="12" t="n"/>
      <c r="Q4375" s="12" t="n"/>
      <c r="R4375" s="12" t="n"/>
      <c r="S4375" s="12" t="inlineStr">
        <is>
          <t>Duct bank</t>
        </is>
      </c>
      <c r="T4375" s="16" t="n">
        <v>40</v>
      </c>
      <c r="U4375" s="16" t="n">
        <v>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I-I-0014</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SC-1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Duct bank</t>
        </is>
      </c>
      <c r="T4376" s="16" t="n">
        <v>40</v>
      </c>
      <c r="U4376" s="16" t="n">
        <v>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I-I-0015</t>
        </is>
      </c>
      <c r="B4377" s="12" t="inlineStr">
        <is>
          <t>I</t>
        </is>
      </c>
      <c r="C4377" s="12" t="inlineStr">
        <is>
          <t>Modular / portable power</t>
        </is>
      </c>
      <c r="D4377" s="12" t="inlineStr">
        <is>
          <t>Thermocouples</t>
        </is>
      </c>
      <c r="E4377" s="12" t="inlineStr"/>
      <c r="F4377" s="12" t="inlineStr">
        <is>
          <t>PCM: power control module</t>
        </is>
      </c>
      <c r="G4377" s="12" t="inlineStr"/>
      <c r="H4377" s="12" t="inlineStr">
        <is>
          <t>CONDITIONAL: SC-1 inlet chiller / evaporative cooler</t>
        </is>
      </c>
      <c r="I4377" s="12" t="inlineStr">
        <is>
          <t>Instrumentation</t>
        </is>
      </c>
      <c r="J4377" s="12" t="inlineStr">
        <is>
          <t>Thermocouple extension KX, #16 shielded pairs, PLTC</t>
        </is>
      </c>
      <c r="K4377" s="12" t="inlineStr">
        <is>
          <t>TCX|12 pr|16</t>
        </is>
      </c>
      <c r="L4377" s="12" t="inlineStr">
        <is>
          <t>12 pr</t>
        </is>
      </c>
      <c r="M4377" s="12" t="inlineStr">
        <is>
          <t>16</t>
        </is>
      </c>
      <c r="N4377" s="12" t="n">
        <v>1</v>
      </c>
      <c r="O4377" s="12" t="n">
        <v>1</v>
      </c>
      <c r="P4377" s="12" t="n"/>
      <c r="Q4377" s="12" t="n"/>
      <c r="R4377" s="12" t="n"/>
      <c r="S4377" s="12" t="inlineStr">
        <is>
          <t>Duct bank</t>
        </is>
      </c>
      <c r="T4377" s="16" t="n">
        <v>40</v>
      </c>
      <c r="U4377" s="16" t="n">
        <v>52</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I-I-0016</t>
        </is>
      </c>
      <c r="B4378" s="12" t="inlineStr">
        <is>
          <t>I</t>
        </is>
      </c>
      <c r="C4378" s="12" t="inlineStr">
        <is>
          <t>Modular / portable power</t>
        </is>
      </c>
      <c r="D4378" s="12" t="inlineStr">
        <is>
          <t>Instrumentation</t>
        </is>
      </c>
      <c r="E4378" s="12" t="inlineStr"/>
      <c r="F4378" s="12" t="inlineStr">
        <is>
          <t>PCM: power control module</t>
        </is>
      </c>
      <c r="G4378" s="12" t="inlineStr"/>
      <c r="H4378" s="12" t="inlineStr">
        <is>
          <t>CONDITIONAL: SC-2 inlet chiller / evaporative cooler</t>
        </is>
      </c>
      <c r="I4378" s="12" t="inlineStr">
        <is>
          <t>Instrumentation</t>
        </is>
      </c>
      <c r="J4378" s="12" t="inlineStr">
        <is>
          <t>Instrumentation PLTC / TC-ER 300 V, #18 twisted shielded pairs, overall shield</t>
        </is>
      </c>
      <c r="K4378" s="12" t="inlineStr">
        <is>
          <t>PLTC|4 pr|18</t>
        </is>
      </c>
      <c r="L4378" s="12" t="inlineStr">
        <is>
          <t>4 pr</t>
        </is>
      </c>
      <c r="M4378" s="12" t="inlineStr">
        <is>
          <t>18</t>
        </is>
      </c>
      <c r="N4378" s="12" t="n">
        <v>1</v>
      </c>
      <c r="O4378" s="12" t="n">
        <v>1</v>
      </c>
      <c r="P4378" s="12" t="n"/>
      <c r="Q4378" s="12" t="n"/>
      <c r="R4378" s="12" t="n"/>
      <c r="S4378" s="12" t="inlineStr">
        <is>
          <t>HV duct bank</t>
        </is>
      </c>
      <c r="T4378" s="16" t="n">
        <v>4553</v>
      </c>
      <c r="U4378" s="16" t="n">
        <v>33</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I-I-0017</t>
        </is>
      </c>
      <c r="B4379" s="12" t="inlineStr">
        <is>
          <t>I</t>
        </is>
      </c>
      <c r="C4379" s="12" t="inlineStr">
        <is>
          <t>Modular / portable power</t>
        </is>
      </c>
      <c r="D4379" s="12" t="inlineStr">
        <is>
          <t>Thermocouples</t>
        </is>
      </c>
      <c r="E4379" s="12" t="inlineStr"/>
      <c r="F4379" s="12" t="inlineStr">
        <is>
          <t>PCM: power control module</t>
        </is>
      </c>
      <c r="G4379" s="12" t="inlineStr"/>
      <c r="H4379" s="12" t="inlineStr">
        <is>
          <t>CONDITIONAL: SC-2 inlet chiller / evaporative cooler</t>
        </is>
      </c>
      <c r="I4379" s="12" t="inlineStr">
        <is>
          <t>Instrumentation</t>
        </is>
      </c>
      <c r="J4379" s="12" t="inlineStr">
        <is>
          <t>Thermocouple extension KX, #16 shielded pairs, PLTC</t>
        </is>
      </c>
      <c r="K4379" s="12" t="inlineStr">
        <is>
          <t>TCX|12 pr|16</t>
        </is>
      </c>
      <c r="L4379" s="12" t="inlineStr">
        <is>
          <t>12 pr</t>
        </is>
      </c>
      <c r="M4379" s="12" t="inlineStr">
        <is>
          <t>16</t>
        </is>
      </c>
      <c r="N4379" s="12" t="n">
        <v>1</v>
      </c>
      <c r="O4379" s="12" t="n">
        <v>1</v>
      </c>
      <c r="P4379" s="12" t="n"/>
      <c r="Q4379" s="12" t="n"/>
      <c r="R4379" s="12" t="n"/>
      <c r="S4379" s="12" t="inlineStr">
        <is>
          <t>HV duct bank</t>
        </is>
      </c>
      <c r="T4379" s="16" t="n">
        <v>4553</v>
      </c>
      <c r="U4379" s="16" t="n">
        <v>33</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I-I-0018</t>
        </is>
      </c>
      <c r="B4380" s="12" t="inlineStr">
        <is>
          <t>I</t>
        </is>
      </c>
      <c r="C4380" s="12" t="inlineStr">
        <is>
          <t>Modular / portable power</t>
        </is>
      </c>
      <c r="D4380" s="12" t="inlineStr">
        <is>
          <t>Thermocouples</t>
        </is>
      </c>
      <c r="E4380" s="12" t="inlineStr"/>
      <c r="F4380" s="12" t="inlineStr">
        <is>
          <t>PCM: power control module</t>
        </is>
      </c>
      <c r="G4380" s="12" t="inlineStr"/>
      <c r="H4380" s="12" t="inlineStr">
        <is>
          <t>CONDITIONAL: SC-2 inlet chiller / evaporative cooler</t>
        </is>
      </c>
      <c r="I4380" s="12" t="inlineStr">
        <is>
          <t>Instrumentation</t>
        </is>
      </c>
      <c r="J4380" s="12" t="inlineStr">
        <is>
          <t>Thermocouple extension KX, #16 shielded pairs, PLTC</t>
        </is>
      </c>
      <c r="K4380" s="12" t="inlineStr">
        <is>
          <t>TCX|12 pr|16</t>
        </is>
      </c>
      <c r="L4380" s="12" t="inlineStr">
        <is>
          <t>12 pr</t>
        </is>
      </c>
      <c r="M4380" s="12" t="inlineStr">
        <is>
          <t>16</t>
        </is>
      </c>
      <c r="N4380" s="12" t="n">
        <v>1</v>
      </c>
      <c r="O4380" s="12" t="n">
        <v>1</v>
      </c>
      <c r="P4380" s="12" t="n"/>
      <c r="Q4380" s="12" t="n"/>
      <c r="R4380" s="12" t="n"/>
      <c r="S4380" s="12" t="inlineStr">
        <is>
          <t>HV duct bank</t>
        </is>
      </c>
      <c r="T4380" s="16" t="n">
        <v>4553</v>
      </c>
      <c r="U4380" s="16" t="n">
        <v>33</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I-I-0019</t>
        </is>
      </c>
      <c r="B4381" s="12" t="inlineStr">
        <is>
          <t>I</t>
        </is>
      </c>
      <c r="C4381" s="12" t="inlineStr">
        <is>
          <t>Modular / portable power</t>
        </is>
      </c>
      <c r="D4381" s="12" t="inlineStr">
        <is>
          <t>Analog instrument to JB JB-CONT-1-AI01: 20 x 1 pr (field cables)</t>
        </is>
      </c>
      <c r="E4381" s="12" t="inlineStr">
        <is>
          <t>CONT-1</t>
        </is>
      </c>
      <c r="F4381" s="12" t="inlineStr">
        <is>
          <t>CONT-1: containerized genset 13.8 kV (40 ft)</t>
        </is>
      </c>
      <c r="G4381" s="12" t="inlineStr">
        <is>
          <t>JB-CONT-1-AI01</t>
        </is>
      </c>
      <c r="H4381" s="12" t="inlineStr">
        <is>
          <t>CONT-1: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I-I-0020</t>
        </is>
      </c>
      <c r="B4382" s="12" t="inlineStr">
        <is>
          <t>I</t>
        </is>
      </c>
      <c r="C4382" s="12" t="inlineStr">
        <is>
          <t>Modular / portable power</t>
        </is>
      </c>
      <c r="D4382" s="12" t="inlineStr">
        <is>
          <t>Home run JB-CONT-1-AI01 to the control / marshalling room</t>
        </is>
      </c>
      <c r="E4382" s="12" t="inlineStr">
        <is>
          <t>PAD-EH</t>
        </is>
      </c>
      <c r="F4382" s="12" t="inlineStr">
        <is>
          <t>PAD-EH 13.8 kV switchgear e-house</t>
        </is>
      </c>
      <c r="G4382" s="12" t="inlineStr">
        <is>
          <t>JB-CONT-1-AI01</t>
        </is>
      </c>
      <c r="H4382" s="12" t="inlineStr">
        <is>
          <t>CONT-1: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348</v>
      </c>
      <c r="U4382" s="16" t="n">
        <v>27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I-I-0021</t>
        </is>
      </c>
      <c r="B4383" s="12" t="inlineStr">
        <is>
          <t>I</t>
        </is>
      </c>
      <c r="C4383" s="12" t="inlineStr">
        <is>
          <t>Modular / portable power</t>
        </is>
      </c>
      <c r="D4383" s="12" t="inlineStr">
        <is>
          <t>Discrete device to JB JB-CONT-1-DI01: 20 x 1 pr (field cables)</t>
        </is>
      </c>
      <c r="E4383" s="12" t="inlineStr">
        <is>
          <t>CONT-1</t>
        </is>
      </c>
      <c r="F4383" s="12" t="inlineStr">
        <is>
          <t>CONT-1: containerized genset 13.8 kV (40 ft)</t>
        </is>
      </c>
      <c r="G4383" s="12" t="inlineStr">
        <is>
          <t>JB-CONT-1-DI01</t>
        </is>
      </c>
      <c r="H4383" s="12" t="inlineStr">
        <is>
          <t>CONT-1: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I-I-0022</t>
        </is>
      </c>
      <c r="B4384" s="12" t="inlineStr">
        <is>
          <t>I</t>
        </is>
      </c>
      <c r="C4384" s="12" t="inlineStr">
        <is>
          <t>Modular / portable power</t>
        </is>
      </c>
      <c r="D4384" s="12" t="inlineStr">
        <is>
          <t>Home run JB-CONT-1-DI01 to the control / marshalling room</t>
        </is>
      </c>
      <c r="E4384" s="12" t="inlineStr">
        <is>
          <t>PAD-EH</t>
        </is>
      </c>
      <c r="F4384" s="12" t="inlineStr">
        <is>
          <t>PAD-EH 13.8 kV switchgear e-house</t>
        </is>
      </c>
      <c r="G4384" s="12" t="inlineStr">
        <is>
          <t>JB-CONT-1-DI01</t>
        </is>
      </c>
      <c r="H4384" s="12" t="inlineStr">
        <is>
          <t>CONT-1: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348</v>
      </c>
      <c r="U4384" s="16" t="n">
        <v>27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I-I-0023</t>
        </is>
      </c>
      <c r="B4385" s="12" t="inlineStr">
        <is>
          <t>I</t>
        </is>
      </c>
      <c r="C4385" s="12" t="inlineStr">
        <is>
          <t>Modular / portable power</t>
        </is>
      </c>
      <c r="D4385" s="12" t="inlineStr">
        <is>
          <t>Analog instrument to JB JB-CONT-2-AI01: 20 x 1 pr (field cables)</t>
        </is>
      </c>
      <c r="E4385" s="12" t="inlineStr">
        <is>
          <t>CONT-2</t>
        </is>
      </c>
      <c r="F4385" s="12" t="inlineStr">
        <is>
          <t>CONT-2: containerized genset 13.8 kV (40 ft)</t>
        </is>
      </c>
      <c r="G4385" s="12" t="inlineStr">
        <is>
          <t>JB-CONT-2-AI01</t>
        </is>
      </c>
      <c r="H4385" s="12" t="inlineStr">
        <is>
          <t>CONT-2: containerized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I-I-0024</t>
        </is>
      </c>
      <c r="B4386" s="12" t="inlineStr">
        <is>
          <t>I</t>
        </is>
      </c>
      <c r="C4386" s="12" t="inlineStr">
        <is>
          <t>Modular / portable power</t>
        </is>
      </c>
      <c r="D4386" s="12" t="inlineStr">
        <is>
          <t>Home run JB-CONT-2-AI01 to the control / marshalling room</t>
        </is>
      </c>
      <c r="E4386" s="12" t="inlineStr">
        <is>
          <t>PAD-EH</t>
        </is>
      </c>
      <c r="F4386" s="12" t="inlineStr">
        <is>
          <t>PAD-EH 13.8 kV switchgear e-house</t>
        </is>
      </c>
      <c r="G4386" s="12" t="inlineStr">
        <is>
          <t>JB-CONT-2-AI01</t>
        </is>
      </c>
      <c r="H4386" s="12" t="inlineStr">
        <is>
          <t>CONT-2: containerized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351</v>
      </c>
      <c r="U4386" s="16" t="n">
        <v>27</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I-I-0025</t>
        </is>
      </c>
      <c r="B4387" s="12" t="inlineStr">
        <is>
          <t>I</t>
        </is>
      </c>
      <c r="C4387" s="12" t="inlineStr">
        <is>
          <t>Modular / portable power</t>
        </is>
      </c>
      <c r="D4387" s="12" t="inlineStr">
        <is>
          <t>Discrete device to JB JB-CONT-2-DI01: 20 x 1 pr (field cables)</t>
        </is>
      </c>
      <c r="E4387" s="12" t="inlineStr">
        <is>
          <t>CONT-2</t>
        </is>
      </c>
      <c r="F4387" s="12" t="inlineStr">
        <is>
          <t>CONT-2: containerized genset 13.8 kV (40 ft)</t>
        </is>
      </c>
      <c r="G4387" s="12" t="inlineStr">
        <is>
          <t>JB-CONT-2-DI01</t>
        </is>
      </c>
      <c r="H4387" s="12" t="inlineStr">
        <is>
          <t>CONT-2: containerized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I-I-0026</t>
        </is>
      </c>
      <c r="B4388" s="12" t="inlineStr">
        <is>
          <t>I</t>
        </is>
      </c>
      <c r="C4388" s="12" t="inlineStr">
        <is>
          <t>Modular / portable power</t>
        </is>
      </c>
      <c r="D4388" s="12" t="inlineStr">
        <is>
          <t>Home run JB-CONT-2-DI01 to the control / marshalling room</t>
        </is>
      </c>
      <c r="E4388" s="12" t="inlineStr">
        <is>
          <t>PAD-EH</t>
        </is>
      </c>
      <c r="F4388" s="12" t="inlineStr">
        <is>
          <t>PAD-EH 13.8 kV switchgear e-house</t>
        </is>
      </c>
      <c r="G4388" s="12" t="inlineStr">
        <is>
          <t>JB-CONT-2-DI01</t>
        </is>
      </c>
      <c r="H4388" s="12" t="inlineStr">
        <is>
          <t>CONT-2: containerized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351</v>
      </c>
      <c r="U4388" s="16" t="n">
        <v>27</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I-I-0027</t>
        </is>
      </c>
      <c r="B4389" s="12" t="inlineStr">
        <is>
          <t>I</t>
        </is>
      </c>
      <c r="C4389" s="12" t="inlineStr">
        <is>
          <t>Modular / portable power</t>
        </is>
      </c>
      <c r="D4389" s="12" t="inlineStr">
        <is>
          <t>Analog instrument to JB JB-CONT-3-AI01: 20 x 1 pr (field cables)</t>
        </is>
      </c>
      <c r="E4389" s="12" t="inlineStr">
        <is>
          <t>CONT-3</t>
        </is>
      </c>
      <c r="F4389" s="12" t="inlineStr">
        <is>
          <t>CONT-3: containerized gas genset 13.8 kV (40 ft)</t>
        </is>
      </c>
      <c r="G4389" s="12" t="inlineStr">
        <is>
          <t>JB-CONT-3-AI01</t>
        </is>
      </c>
      <c r="H4389" s="12" t="inlineStr">
        <is>
          <t>CONT-3: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I-I-0028</t>
        </is>
      </c>
      <c r="B4390" s="12" t="inlineStr">
        <is>
          <t>I</t>
        </is>
      </c>
      <c r="C4390" s="12" t="inlineStr">
        <is>
          <t>Modular / portable power</t>
        </is>
      </c>
      <c r="D4390" s="12" t="inlineStr">
        <is>
          <t>Home run JB-CONT-3-AI01 to the control / marshalling room</t>
        </is>
      </c>
      <c r="E4390" s="12" t="inlineStr">
        <is>
          <t>PAD-EH</t>
        </is>
      </c>
      <c r="F4390" s="12" t="inlineStr">
        <is>
          <t>PAD-EH 13.8 kV switchgear e-house</t>
        </is>
      </c>
      <c r="G4390" s="12" t="inlineStr">
        <is>
          <t>JB-CONT-3-AI01</t>
        </is>
      </c>
      <c r="H4390" s="12" t="inlineStr">
        <is>
          <t>CONT-3: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Surface</t>
        </is>
      </c>
      <c r="T4390" s="16" t="n">
        <v>191</v>
      </c>
      <c r="U4390" s="16" t="n">
        <v>27</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I-I-0029</t>
        </is>
      </c>
      <c r="B4391" s="12" t="inlineStr">
        <is>
          <t>I</t>
        </is>
      </c>
      <c r="C4391" s="12" t="inlineStr">
        <is>
          <t>Modular / portable power</t>
        </is>
      </c>
      <c r="D4391" s="12" t="inlineStr">
        <is>
          <t>Discrete device to JB JB-CONT-3-DI01: 20 x 1 pr (field cables)</t>
        </is>
      </c>
      <c r="E4391" s="12" t="inlineStr">
        <is>
          <t>CONT-3</t>
        </is>
      </c>
      <c r="F4391" s="12" t="inlineStr">
        <is>
          <t>CONT-3: containerized gas genset 13.8 kV (40 ft)</t>
        </is>
      </c>
      <c r="G4391" s="12" t="inlineStr">
        <is>
          <t>JB-CONT-3-DI01</t>
        </is>
      </c>
      <c r="H4391" s="12" t="inlineStr">
        <is>
          <t>CONT-3: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I-I-0030</t>
        </is>
      </c>
      <c r="B4392" s="12" t="inlineStr">
        <is>
          <t>I</t>
        </is>
      </c>
      <c r="C4392" s="12" t="inlineStr">
        <is>
          <t>Modular / portable power</t>
        </is>
      </c>
      <c r="D4392" s="12" t="inlineStr">
        <is>
          <t>Home run JB-CONT-3-DI01 to the control / marshalling room</t>
        </is>
      </c>
      <c r="E4392" s="12" t="inlineStr">
        <is>
          <t>PAD-EH</t>
        </is>
      </c>
      <c r="F4392" s="12" t="inlineStr">
        <is>
          <t>PAD-EH 13.8 kV switchgear e-house</t>
        </is>
      </c>
      <c r="G4392" s="12" t="inlineStr">
        <is>
          <t>JB-CONT-3-DI01</t>
        </is>
      </c>
      <c r="H4392" s="12" t="inlineStr">
        <is>
          <t>CONT-3: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Surface</t>
        </is>
      </c>
      <c r="T4392" s="16" t="n">
        <v>191</v>
      </c>
      <c r="U4392" s="16" t="n">
        <v>27</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I-I-0031</t>
        </is>
      </c>
      <c r="B4393" s="12" t="inlineStr">
        <is>
          <t>I</t>
        </is>
      </c>
      <c r="C4393" s="12" t="inlineStr">
        <is>
          <t>Modular / portable power</t>
        </is>
      </c>
      <c r="D4393" s="12" t="inlineStr">
        <is>
          <t>Analog instrument to JB JB-CONT-4-AI01: 20 x 1 pr (field cables)</t>
        </is>
      </c>
      <c r="E4393" s="12" t="inlineStr">
        <is>
          <t>CONT-4</t>
        </is>
      </c>
      <c r="F4393" s="12" t="inlineStr">
        <is>
          <t>CONT-4: containerized gas genset 13.8 kV (40 ft)</t>
        </is>
      </c>
      <c r="G4393" s="12" t="inlineStr">
        <is>
          <t>JB-CONT-4-AI01</t>
        </is>
      </c>
      <c r="H4393" s="12" t="inlineStr">
        <is>
          <t>CONT-4: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I-I-0032</t>
        </is>
      </c>
      <c r="B4394" s="12" t="inlineStr">
        <is>
          <t>I</t>
        </is>
      </c>
      <c r="C4394" s="12" t="inlineStr">
        <is>
          <t>Modular / portable power</t>
        </is>
      </c>
      <c r="D4394" s="12" t="inlineStr">
        <is>
          <t>Home run JB-CONT-4-AI01 to the control / marshalling room</t>
        </is>
      </c>
      <c r="E4394" s="12" t="inlineStr">
        <is>
          <t>PAD-EH</t>
        </is>
      </c>
      <c r="F4394" s="12" t="inlineStr">
        <is>
          <t>PAD-EH 13.8 kV switchgear e-house</t>
        </is>
      </c>
      <c r="G4394" s="12" t="inlineStr">
        <is>
          <t>JB-CONT-4-AI01</t>
        </is>
      </c>
      <c r="H4394" s="12" t="inlineStr">
        <is>
          <t>CONT-4: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Conduit link</t>
        </is>
      </c>
      <c r="T4394" s="16" t="n">
        <v>71</v>
      </c>
      <c r="U4394" s="16" t="n">
        <v>117</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I-I-0033</t>
        </is>
      </c>
      <c r="B4395" s="12" t="inlineStr">
        <is>
          <t>I</t>
        </is>
      </c>
      <c r="C4395" s="12" t="inlineStr">
        <is>
          <t>Modular / portable power</t>
        </is>
      </c>
      <c r="D4395" s="12" t="inlineStr">
        <is>
          <t>Discrete device to JB JB-CONT-4-DI01: 20 x 1 pr (field cables)</t>
        </is>
      </c>
      <c r="E4395" s="12" t="inlineStr">
        <is>
          <t>CONT-4</t>
        </is>
      </c>
      <c r="F4395" s="12" t="inlineStr">
        <is>
          <t>CONT-4: containerized gas genset 13.8 kV (40 ft)</t>
        </is>
      </c>
      <c r="G4395" s="12" t="inlineStr">
        <is>
          <t>JB-CONT-4-DI01</t>
        </is>
      </c>
      <c r="H4395" s="12" t="inlineStr">
        <is>
          <t>CONT-4: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I-I-0034</t>
        </is>
      </c>
      <c r="B4396" s="12" t="inlineStr">
        <is>
          <t>I</t>
        </is>
      </c>
      <c r="C4396" s="12" t="inlineStr">
        <is>
          <t>Modular / portable power</t>
        </is>
      </c>
      <c r="D4396" s="12" t="inlineStr">
        <is>
          <t>Home run JB-CONT-4-DI01 to the control / marshalling room</t>
        </is>
      </c>
      <c r="E4396" s="12" t="inlineStr">
        <is>
          <t>PAD-EH</t>
        </is>
      </c>
      <c r="F4396" s="12" t="inlineStr">
        <is>
          <t>PAD-EH 13.8 kV switchgear e-house</t>
        </is>
      </c>
      <c r="G4396" s="12" t="inlineStr">
        <is>
          <t>JB-CONT-4-DI01</t>
        </is>
      </c>
      <c r="H4396" s="12" t="inlineStr">
        <is>
          <t>CONT-4: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Conduit link</t>
        </is>
      </c>
      <c r="T4396" s="16" t="n">
        <v>71</v>
      </c>
      <c r="U4396" s="16" t="n">
        <v>117</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I-I-0035</t>
        </is>
      </c>
      <c r="B4397" s="12" t="inlineStr">
        <is>
          <t>I</t>
        </is>
      </c>
      <c r="C4397" s="12" t="inlineStr">
        <is>
          <t>Modular / portable power</t>
        </is>
      </c>
      <c r="D4397" s="12" t="inlineStr">
        <is>
          <t>Analog instrument to JB JB-CONT-5-AI01: 20 x 1 pr (field cables)</t>
        </is>
      </c>
      <c r="E4397" s="12" t="inlineStr">
        <is>
          <t>CONT-5</t>
        </is>
      </c>
      <c r="F4397" s="12" t="inlineStr">
        <is>
          <t>CONT-5: containerized gas genset 13.8 kV (40 ft)</t>
        </is>
      </c>
      <c r="G4397" s="12" t="inlineStr">
        <is>
          <t>JB-CONT-5-AI01</t>
        </is>
      </c>
      <c r="H4397" s="12" t="inlineStr">
        <is>
          <t>CONT-5: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I-I-0036</t>
        </is>
      </c>
      <c r="B4398" s="12" t="inlineStr">
        <is>
          <t>I</t>
        </is>
      </c>
      <c r="C4398" s="12" t="inlineStr">
        <is>
          <t>Modular / portable power</t>
        </is>
      </c>
      <c r="D4398" s="12" t="inlineStr">
        <is>
          <t>Home run JB-CONT-5-AI01 to the control / marshalling room</t>
        </is>
      </c>
      <c r="E4398" s="12" t="inlineStr">
        <is>
          <t>PAD-EH</t>
        </is>
      </c>
      <c r="F4398" s="12" t="inlineStr">
        <is>
          <t>PAD-EH 13.8 kV switchgear e-house</t>
        </is>
      </c>
      <c r="G4398" s="12" t="inlineStr">
        <is>
          <t>JB-CONT-5-AI01</t>
        </is>
      </c>
      <c r="H4398" s="12" t="inlineStr">
        <is>
          <t>CONT-5: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17</v>
      </c>
      <c r="U4398" s="16" t="n">
        <v>61</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I-I-0037</t>
        </is>
      </c>
      <c r="B4399" s="12" t="inlineStr">
        <is>
          <t>I</t>
        </is>
      </c>
      <c r="C4399" s="12" t="inlineStr">
        <is>
          <t>Modular / portable power</t>
        </is>
      </c>
      <c r="D4399" s="12" t="inlineStr">
        <is>
          <t>Discrete device to JB JB-CONT-5-DI01: 20 x 1 pr (field cables)</t>
        </is>
      </c>
      <c r="E4399" s="12" t="inlineStr">
        <is>
          <t>CONT-5</t>
        </is>
      </c>
      <c r="F4399" s="12" t="inlineStr">
        <is>
          <t>CONT-5: containerized gas genset 13.8 kV (40 ft)</t>
        </is>
      </c>
      <c r="G4399" s="12" t="inlineStr">
        <is>
          <t>JB-CONT-5-DI01</t>
        </is>
      </c>
      <c r="H4399" s="12" t="inlineStr">
        <is>
          <t>CONT-5: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I-I-0038</t>
        </is>
      </c>
      <c r="B4400" s="12" t="inlineStr">
        <is>
          <t>I</t>
        </is>
      </c>
      <c r="C4400" s="12" t="inlineStr">
        <is>
          <t>Modular / portable power</t>
        </is>
      </c>
      <c r="D4400" s="12" t="inlineStr">
        <is>
          <t>Home run JB-CONT-5-DI01 to the control / marshalling room</t>
        </is>
      </c>
      <c r="E4400" s="12" t="inlineStr">
        <is>
          <t>PAD-EH</t>
        </is>
      </c>
      <c r="F4400" s="12" t="inlineStr">
        <is>
          <t>PAD-EH 13.8 kV switchgear e-house</t>
        </is>
      </c>
      <c r="G4400" s="12" t="inlineStr">
        <is>
          <t>JB-CONT-5-DI01</t>
        </is>
      </c>
      <c r="H4400" s="12" t="inlineStr">
        <is>
          <t>CONT-5: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17</v>
      </c>
      <c r="U4400" s="16" t="n">
        <v>61</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I-I-0039</t>
        </is>
      </c>
      <c r="B4401" s="12" t="inlineStr">
        <is>
          <t>I</t>
        </is>
      </c>
      <c r="C4401" s="12" t="inlineStr">
        <is>
          <t>Modular / portable power</t>
        </is>
      </c>
      <c r="D4401" s="12" t="inlineStr">
        <is>
          <t>Analog instrument to JB JB-CONT-6-AI01: 20 x 1 pr (field cables)</t>
        </is>
      </c>
      <c r="E4401" s="12" t="inlineStr">
        <is>
          <t>CONT-6</t>
        </is>
      </c>
      <c r="F4401" s="12" t="inlineStr">
        <is>
          <t>CONT-6: containerized gas genset 13.8 kV (40 ft)</t>
        </is>
      </c>
      <c r="G4401" s="12" t="inlineStr">
        <is>
          <t>JB-CONT-6-AI01</t>
        </is>
      </c>
      <c r="H4401" s="12" t="inlineStr">
        <is>
          <t>CONT-6: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I-I-0040</t>
        </is>
      </c>
      <c r="B4402" s="12" t="inlineStr">
        <is>
          <t>I</t>
        </is>
      </c>
      <c r="C4402" s="12" t="inlineStr">
        <is>
          <t>Modular / portable power</t>
        </is>
      </c>
      <c r="D4402" s="12" t="inlineStr">
        <is>
          <t>Home run JB-CONT-6-AI01 to the control / marshalling room</t>
        </is>
      </c>
      <c r="E4402" s="12" t="inlineStr">
        <is>
          <t>PAD-EH</t>
        </is>
      </c>
      <c r="F4402" s="12" t="inlineStr">
        <is>
          <t>PAD-EH 13.8 kV switchgear e-house</t>
        </is>
      </c>
      <c r="G4402" s="12" t="inlineStr">
        <is>
          <t>JB-CONT-6-AI01</t>
        </is>
      </c>
      <c r="H4402" s="12" t="inlineStr">
        <is>
          <t>CONT-6: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191</v>
      </c>
      <c r="U4402" s="16" t="n">
        <v>82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I-I-0041</t>
        </is>
      </c>
      <c r="B4403" s="12" t="inlineStr">
        <is>
          <t>I</t>
        </is>
      </c>
      <c r="C4403" s="12" t="inlineStr">
        <is>
          <t>Modular / portable power</t>
        </is>
      </c>
      <c r="D4403" s="12" t="inlineStr">
        <is>
          <t>Discrete device to JB JB-CONT-6-DI01: 20 x 1 pr (field cables)</t>
        </is>
      </c>
      <c r="E4403" s="12" t="inlineStr">
        <is>
          <t>CONT-6</t>
        </is>
      </c>
      <c r="F4403" s="12" t="inlineStr">
        <is>
          <t>CONT-6: containerized gas genset 13.8 kV (40 ft)</t>
        </is>
      </c>
      <c r="G4403" s="12" t="inlineStr">
        <is>
          <t>JB-CONT-6-DI01</t>
        </is>
      </c>
      <c r="H4403" s="12" t="inlineStr">
        <is>
          <t>CONT-6: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I-I-0042</t>
        </is>
      </c>
      <c r="B4404" s="12" t="inlineStr">
        <is>
          <t>I</t>
        </is>
      </c>
      <c r="C4404" s="12" t="inlineStr">
        <is>
          <t>Modular / portable power</t>
        </is>
      </c>
      <c r="D4404" s="12" t="inlineStr">
        <is>
          <t>Home run JB-CONT-6-DI01 to the control / marshalling room</t>
        </is>
      </c>
      <c r="E4404" s="12" t="inlineStr">
        <is>
          <t>PAD-EH</t>
        </is>
      </c>
      <c r="F4404" s="12" t="inlineStr">
        <is>
          <t>PAD-EH 13.8 kV switchgear e-house</t>
        </is>
      </c>
      <c r="G4404" s="12" t="inlineStr">
        <is>
          <t>JB-CONT-6-DI01</t>
        </is>
      </c>
      <c r="H4404" s="12" t="inlineStr">
        <is>
          <t>CONT-6: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191</v>
      </c>
      <c r="U4404" s="16" t="n">
        <v>82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I-I-0043</t>
        </is>
      </c>
      <c r="B4405" s="12" t="inlineStr">
        <is>
          <t>I</t>
        </is>
      </c>
      <c r="C4405" s="12" t="inlineStr">
        <is>
          <t>Modular / portable power</t>
        </is>
      </c>
      <c r="D4405" s="12" t="inlineStr">
        <is>
          <t>Analog instrument to JB JB-CONT-7-AI01: 20 x 1 pr (field cables)</t>
        </is>
      </c>
      <c r="E4405" s="12" t="inlineStr">
        <is>
          <t>CONT-7</t>
        </is>
      </c>
      <c r="F4405" s="12" t="inlineStr">
        <is>
          <t>CONT-7: containerized gas genset 13.8 kV (40 ft)</t>
        </is>
      </c>
      <c r="G4405" s="12" t="inlineStr">
        <is>
          <t>JB-CONT-7-AI01</t>
        </is>
      </c>
      <c r="H4405" s="12" t="inlineStr">
        <is>
          <t>CONT-7: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I-I-0044</t>
        </is>
      </c>
      <c r="B4406" s="12" t="inlineStr">
        <is>
          <t>I</t>
        </is>
      </c>
      <c r="C4406" s="12" t="inlineStr">
        <is>
          <t>Modular / portable power</t>
        </is>
      </c>
      <c r="D4406" s="12" t="inlineStr">
        <is>
          <t>Home run JB-CONT-7-AI01 to the control / marshalling room</t>
        </is>
      </c>
      <c r="E4406" s="12" t="inlineStr">
        <is>
          <t>PAD-EH</t>
        </is>
      </c>
      <c r="F4406" s="12" t="inlineStr">
        <is>
          <t>PAD-EH 13.8 kV switchgear e-house</t>
        </is>
      </c>
      <c r="G4406" s="12" t="inlineStr">
        <is>
          <t>JB-CONT-7-AI01</t>
        </is>
      </c>
      <c r="H4406" s="12" t="inlineStr">
        <is>
          <t>CONT-7: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273</v>
      </c>
      <c r="U4406" s="16" t="n">
        <v>67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I-I-0045</t>
        </is>
      </c>
      <c r="B4407" s="12" t="inlineStr">
        <is>
          <t>I</t>
        </is>
      </c>
      <c r="C4407" s="12" t="inlineStr">
        <is>
          <t>Modular / portable power</t>
        </is>
      </c>
      <c r="D4407" s="12" t="inlineStr">
        <is>
          <t>Discrete device to JB JB-CONT-7-DI01: 20 x 1 pr (field cables)</t>
        </is>
      </c>
      <c r="E4407" s="12" t="inlineStr">
        <is>
          <t>CONT-7</t>
        </is>
      </c>
      <c r="F4407" s="12" t="inlineStr">
        <is>
          <t>CONT-7: containerized gas genset 13.8 kV (40 ft)</t>
        </is>
      </c>
      <c r="G4407" s="12" t="inlineStr">
        <is>
          <t>JB-CONT-7-DI01</t>
        </is>
      </c>
      <c r="H4407" s="12" t="inlineStr">
        <is>
          <t>CONT-7: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I-I-0046</t>
        </is>
      </c>
      <c r="B4408" s="12" t="inlineStr">
        <is>
          <t>I</t>
        </is>
      </c>
      <c r="C4408" s="12" t="inlineStr">
        <is>
          <t>Modular / portable power</t>
        </is>
      </c>
      <c r="D4408" s="12" t="inlineStr">
        <is>
          <t>Home run JB-CONT-7-DI01 to the control / marshalling room</t>
        </is>
      </c>
      <c r="E4408" s="12" t="inlineStr">
        <is>
          <t>PAD-EH</t>
        </is>
      </c>
      <c r="F4408" s="12" t="inlineStr">
        <is>
          <t>PAD-EH 13.8 kV switchgear e-house</t>
        </is>
      </c>
      <c r="G4408" s="12" t="inlineStr">
        <is>
          <t>JB-CONT-7-DI01</t>
        </is>
      </c>
      <c r="H4408" s="12" t="inlineStr">
        <is>
          <t>CONT-7: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273</v>
      </c>
      <c r="U4408" s="16" t="n">
        <v>67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I-I-0047</t>
        </is>
      </c>
      <c r="B4409" s="12" t="inlineStr">
        <is>
          <t>I</t>
        </is>
      </c>
      <c r="C4409" s="12" t="inlineStr">
        <is>
          <t>Modular / portable power</t>
        </is>
      </c>
      <c r="D4409" s="12" t="inlineStr">
        <is>
          <t>Analog instrument to JB JB-CONT-8-AI01: 20 x 1 pr (field cables)</t>
        </is>
      </c>
      <c r="E4409" s="12" t="inlineStr">
        <is>
          <t>CONT-8</t>
        </is>
      </c>
      <c r="F4409" s="12" t="inlineStr">
        <is>
          <t>CONT-8: containerized gas genset 13.8 kV (40 ft)</t>
        </is>
      </c>
      <c r="G4409" s="12" t="inlineStr">
        <is>
          <t>JB-CONT-8-AI01</t>
        </is>
      </c>
      <c r="H4409" s="12" t="inlineStr">
        <is>
          <t>CONT-8: containerized gas genset 13.8 kV (40 ft)</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20</v>
      </c>
      <c r="O4409" s="12" t="n">
        <v>1</v>
      </c>
      <c r="P4409" s="12" t="n"/>
      <c r="Q4409" s="12" t="n"/>
      <c r="R4409" s="12" t="n"/>
      <c r="S4409" s="12" t="inlineStr">
        <is>
          <t>Tray / conduit</t>
        </is>
      </c>
      <c r="T4409" s="16" t="n">
        <v>54</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I-I-0048</t>
        </is>
      </c>
      <c r="B4410" s="12" t="inlineStr">
        <is>
          <t>I</t>
        </is>
      </c>
      <c r="C4410" s="12" t="inlineStr">
        <is>
          <t>Modular / portable power</t>
        </is>
      </c>
      <c r="D4410" s="12" t="inlineStr">
        <is>
          <t>Home run JB-CONT-8-AI01 to the control / marshalling room</t>
        </is>
      </c>
      <c r="E4410" s="12" t="inlineStr">
        <is>
          <t>PAD-EH</t>
        </is>
      </c>
      <c r="F4410" s="12" t="inlineStr">
        <is>
          <t>PAD-EH 13.8 kV switchgear e-house</t>
        </is>
      </c>
      <c r="G4410" s="12" t="inlineStr">
        <is>
          <t>JB-CONT-8-AI01</t>
        </is>
      </c>
      <c r="H4410" s="12" t="inlineStr">
        <is>
          <t>CONT-8: containerized gas genset 13.8 kV (40 ft)</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Surface</t>
        </is>
      </c>
      <c r="T4410" s="16" t="n">
        <v>17</v>
      </c>
      <c r="U4410" s="16" t="n">
        <v>116</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I-I-0049</t>
        </is>
      </c>
      <c r="B4411" s="12" t="inlineStr">
        <is>
          <t>I</t>
        </is>
      </c>
      <c r="C4411" s="12" t="inlineStr">
        <is>
          <t>Modular / portable power</t>
        </is>
      </c>
      <c r="D4411" s="12" t="inlineStr">
        <is>
          <t>Discrete device to JB JB-CONT-8-DI01: 20 x 1 pr (field cables)</t>
        </is>
      </c>
      <c r="E4411" s="12" t="inlineStr">
        <is>
          <t>CONT-8</t>
        </is>
      </c>
      <c r="F4411" s="12" t="inlineStr">
        <is>
          <t>CONT-8: containerized gas genset 13.8 kV (40 ft)</t>
        </is>
      </c>
      <c r="G4411" s="12" t="inlineStr">
        <is>
          <t>JB-CONT-8-DI01</t>
        </is>
      </c>
      <c r="H4411" s="12" t="inlineStr">
        <is>
          <t>CONT-8: containerized gas genset 13.8 kV (40 ft)</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20</v>
      </c>
      <c r="O4411" s="12" t="n">
        <v>1</v>
      </c>
      <c r="P4411" s="12" t="n"/>
      <c r="Q4411" s="12" t="n"/>
      <c r="R4411" s="12" t="n"/>
      <c r="S4411" s="12" t="inlineStr">
        <is>
          <t>Tray / conduit</t>
        </is>
      </c>
      <c r="T4411" s="16" t="n">
        <v>54</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I-I-0050</t>
        </is>
      </c>
      <c r="B4412" s="12" t="inlineStr">
        <is>
          <t>I</t>
        </is>
      </c>
      <c r="C4412" s="12" t="inlineStr">
        <is>
          <t>Modular / portable power</t>
        </is>
      </c>
      <c r="D4412" s="12" t="inlineStr">
        <is>
          <t>Home run JB-CONT-8-DI01 to the control / marshalling room</t>
        </is>
      </c>
      <c r="E4412" s="12" t="inlineStr">
        <is>
          <t>PAD-EH</t>
        </is>
      </c>
      <c r="F4412" s="12" t="inlineStr">
        <is>
          <t>PAD-EH 13.8 kV switchgear e-house</t>
        </is>
      </c>
      <c r="G4412" s="12" t="inlineStr">
        <is>
          <t>JB-CONT-8-DI01</t>
        </is>
      </c>
      <c r="H4412" s="12" t="inlineStr">
        <is>
          <t>CONT-8: containerized gas genset 13.8 kV (40 ft)</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Surface</t>
        </is>
      </c>
      <c r="T4412" s="16" t="n">
        <v>17</v>
      </c>
      <c r="U4412" s="16" t="n">
        <v>116</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I-I-0051</t>
        </is>
      </c>
      <c r="B4413" s="12" t="inlineStr">
        <is>
          <t>I</t>
        </is>
      </c>
      <c r="C4413" s="12" t="inlineStr">
        <is>
          <t>Modular / portable power</t>
        </is>
      </c>
      <c r="D4413" s="12" t="inlineStr">
        <is>
          <t>Analog instrument to JB JB-Demin tank + trail-AI01: 4 x 1 pr (field cables)</t>
        </is>
      </c>
      <c r="E4413" s="12" t="inlineStr"/>
      <c r="F4413" s="12" t="inlineStr">
        <is>
          <t>Demin tank + trailer pad</t>
        </is>
      </c>
      <c r="G4413" s="12" t="inlineStr">
        <is>
          <t>JB-Demin tank + trail-AI01</t>
        </is>
      </c>
      <c r="H4413" s="12" t="inlineStr">
        <is>
          <t>Demin tank + trailer pad</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4</v>
      </c>
      <c r="O4413" s="12" t="n">
        <v>1</v>
      </c>
      <c r="P4413" s="12" t="n"/>
      <c r="Q4413" s="12" t="n"/>
      <c r="R4413" s="12" t="n"/>
      <c r="S4413" s="12" t="inlineStr">
        <is>
          <t>Tray / conduit</t>
        </is>
      </c>
      <c r="T4413" s="16" t="n">
        <v>78</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I-I-0052</t>
        </is>
      </c>
      <c r="B4414" s="12" t="inlineStr">
        <is>
          <t>I</t>
        </is>
      </c>
      <c r="C4414" s="12" t="inlineStr">
        <is>
          <t>Modular / portable power</t>
        </is>
      </c>
      <c r="D4414" s="12" t="inlineStr">
        <is>
          <t>Home run JB-Demin tank + trail-AI01 to the control / marshalling room</t>
        </is>
      </c>
      <c r="E4414" s="12" t="inlineStr"/>
      <c r="F4414" s="12" t="inlineStr">
        <is>
          <t>PCM: power control module</t>
        </is>
      </c>
      <c r="G4414" s="12" t="inlineStr">
        <is>
          <t>JB-Demin tank + trail-AI01</t>
        </is>
      </c>
      <c r="H4414" s="12" t="inlineStr">
        <is>
          <t>Demin tank + trailer pad</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HV duct bank</t>
        </is>
      </c>
      <c r="T4414" s="16" t="n">
        <v>4378</v>
      </c>
      <c r="U4414" s="16" t="n">
        <v>68</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I-I-0053</t>
        </is>
      </c>
      <c r="B4415" s="12" t="inlineStr">
        <is>
          <t>I</t>
        </is>
      </c>
      <c r="C4415" s="12" t="inlineStr">
        <is>
          <t>Modular / portable power</t>
        </is>
      </c>
      <c r="D4415" s="12" t="inlineStr">
        <is>
          <t>Discrete device to JB JB-Demin tank + trail-DI01: 4 x 1 pr (field cables)</t>
        </is>
      </c>
      <c r="E4415" s="12" t="inlineStr"/>
      <c r="F4415" s="12" t="inlineStr">
        <is>
          <t>Demin tank + trailer pad</t>
        </is>
      </c>
      <c r="G4415" s="12" t="inlineStr">
        <is>
          <t>JB-Demin tank + trail-DI01</t>
        </is>
      </c>
      <c r="H4415" s="12" t="inlineStr">
        <is>
          <t>Demin tank + trailer pad</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4</v>
      </c>
      <c r="O4415" s="12" t="n">
        <v>1</v>
      </c>
      <c r="P4415" s="12" t="n"/>
      <c r="Q4415" s="12" t="n"/>
      <c r="R4415" s="12" t="n"/>
      <c r="S4415" s="12" t="inlineStr">
        <is>
          <t>Tray / conduit</t>
        </is>
      </c>
      <c r="T4415" s="16" t="n">
        <v>78</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I-I-0054</t>
        </is>
      </c>
      <c r="B4416" s="12" t="inlineStr">
        <is>
          <t>I</t>
        </is>
      </c>
      <c r="C4416" s="12" t="inlineStr">
        <is>
          <t>Modular / portable power</t>
        </is>
      </c>
      <c r="D4416" s="12" t="inlineStr">
        <is>
          <t>Home run JB-Demin tank + trail-DI01 to the control / marshalling room</t>
        </is>
      </c>
      <c r="E4416" s="12" t="inlineStr"/>
      <c r="F4416" s="12" t="inlineStr">
        <is>
          <t>PCM: power control module</t>
        </is>
      </c>
      <c r="G4416" s="12" t="inlineStr">
        <is>
          <t>JB-Demin tank + trail-DI01</t>
        </is>
      </c>
      <c r="H4416" s="12" t="inlineStr">
        <is>
          <t>Demin tank + trailer pad</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HV duct bank</t>
        </is>
      </c>
      <c r="T4416" s="16" t="n">
        <v>4378</v>
      </c>
      <c r="U4416" s="16" t="n">
        <v>68</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I-I-0055</t>
        </is>
      </c>
      <c r="B4417" s="12" t="inlineStr">
        <is>
          <t>I</t>
        </is>
      </c>
      <c r="C4417" s="12" t="inlineStr">
        <is>
          <t>Modular / portable power</t>
        </is>
      </c>
      <c r="D4417" s="12" t="inlineStr">
        <is>
          <t>Analog instrument to JB JB-FC-10-AI01: 10 x 1 pr (field cables)</t>
        </is>
      </c>
      <c r="E4417" s="12" t="inlineStr">
        <is>
          <t>FC-10</t>
        </is>
      </c>
      <c r="F4417" s="12" t="inlineStr">
        <is>
          <t>FC-10: SOFC module (Bloom ES5 class, 200-300 kW)</t>
        </is>
      </c>
      <c r="G4417" s="12" t="inlineStr">
        <is>
          <t>JB-FC-10-AI01</t>
        </is>
      </c>
      <c r="H4417" s="12" t="inlineStr">
        <is>
          <t>FC-10: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I-I-0056</t>
        </is>
      </c>
      <c r="B4418" s="12" t="inlineStr">
        <is>
          <t>I</t>
        </is>
      </c>
      <c r="C4418" s="12" t="inlineStr">
        <is>
          <t>Modular / portable power</t>
        </is>
      </c>
      <c r="D4418" s="12" t="inlineStr">
        <is>
          <t>Home run JB-FC-10-AI01 to the control / marshalling room</t>
        </is>
      </c>
      <c r="E4418" s="12" t="inlineStr">
        <is>
          <t>PAD-EH</t>
        </is>
      </c>
      <c r="F4418" s="12" t="inlineStr">
        <is>
          <t>PAD-EH 13.8 kV switchgear e-house</t>
        </is>
      </c>
      <c r="G4418" s="12" t="inlineStr">
        <is>
          <t>JB-FC-10-AI01</t>
        </is>
      </c>
      <c r="H4418" s="12" t="inlineStr">
        <is>
          <t>FC-10: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Surface</t>
        </is>
      </c>
      <c r="T4418" s="16" t="n">
        <v>246</v>
      </c>
      <c r="U4418" s="16" t="n">
        <v>39</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I-I-0057</t>
        </is>
      </c>
      <c r="B4419" s="12" t="inlineStr">
        <is>
          <t>I</t>
        </is>
      </c>
      <c r="C4419" s="12" t="inlineStr">
        <is>
          <t>Modular / portable power</t>
        </is>
      </c>
      <c r="D4419" s="12" t="inlineStr">
        <is>
          <t>Discrete device to JB JB-FC-10-DI01: 10 x 1 pr (field cables)</t>
        </is>
      </c>
      <c r="E4419" s="12" t="inlineStr">
        <is>
          <t>FC-10</t>
        </is>
      </c>
      <c r="F4419" s="12" t="inlineStr">
        <is>
          <t>FC-10: SOFC module (Bloom ES5 class, 200-300 kW)</t>
        </is>
      </c>
      <c r="G4419" s="12" t="inlineStr">
        <is>
          <t>JB-FC-10-DI01</t>
        </is>
      </c>
      <c r="H4419" s="12" t="inlineStr">
        <is>
          <t>FC-10: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I-I-0058</t>
        </is>
      </c>
      <c r="B4420" s="12" t="inlineStr">
        <is>
          <t>I</t>
        </is>
      </c>
      <c r="C4420" s="12" t="inlineStr">
        <is>
          <t>Modular / portable power</t>
        </is>
      </c>
      <c r="D4420" s="12" t="inlineStr">
        <is>
          <t>Home run JB-FC-10-DI01 to the control / marshalling room</t>
        </is>
      </c>
      <c r="E4420" s="12" t="inlineStr">
        <is>
          <t>PAD-EH</t>
        </is>
      </c>
      <c r="F4420" s="12" t="inlineStr">
        <is>
          <t>PAD-EH 13.8 kV switchgear e-house</t>
        </is>
      </c>
      <c r="G4420" s="12" t="inlineStr">
        <is>
          <t>JB-FC-10-DI01</t>
        </is>
      </c>
      <c r="H4420" s="12" t="inlineStr">
        <is>
          <t>FC-10: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Surface</t>
        </is>
      </c>
      <c r="T4420" s="16" t="n">
        <v>246</v>
      </c>
      <c r="U4420" s="16" t="n">
        <v>39</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I-I-0059</t>
        </is>
      </c>
      <c r="B4421" s="12" t="inlineStr">
        <is>
          <t>I</t>
        </is>
      </c>
      <c r="C4421" s="12" t="inlineStr">
        <is>
          <t>Modular / portable power</t>
        </is>
      </c>
      <c r="D4421" s="12" t="inlineStr">
        <is>
          <t>Analog instrument to JB JB-FC-11-AI01: 10 x 1 pr (field cables)</t>
        </is>
      </c>
      <c r="E4421" s="12" t="inlineStr">
        <is>
          <t>FC-11</t>
        </is>
      </c>
      <c r="F4421" s="12" t="inlineStr">
        <is>
          <t>FC-11: SOFC module (Bloom ES5 class, 200-300 kW)</t>
        </is>
      </c>
      <c r="G4421" s="12" t="inlineStr">
        <is>
          <t>JB-FC-11-AI01</t>
        </is>
      </c>
      <c r="H4421" s="12" t="inlineStr">
        <is>
          <t>FC-11: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I-I-0060</t>
        </is>
      </c>
      <c r="B4422" s="12" t="inlineStr">
        <is>
          <t>I</t>
        </is>
      </c>
      <c r="C4422" s="12" t="inlineStr">
        <is>
          <t>Modular / portable power</t>
        </is>
      </c>
      <c r="D4422" s="12" t="inlineStr">
        <is>
          <t>Home run JB-FC-11-AI01 to the control / marshalling room</t>
        </is>
      </c>
      <c r="E4422" s="12" t="inlineStr">
        <is>
          <t>PAD-EH</t>
        </is>
      </c>
      <c r="F4422" s="12" t="inlineStr">
        <is>
          <t>PAD-EH 13.8 kV switchgear e-house</t>
        </is>
      </c>
      <c r="G4422" s="12" t="inlineStr">
        <is>
          <t>JB-FC-11-AI01</t>
        </is>
      </c>
      <c r="H4422" s="12" t="inlineStr">
        <is>
          <t>FC-11: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Surface</t>
        </is>
      </c>
      <c r="T4422" s="16" t="n">
        <v>232</v>
      </c>
      <c r="U4422" s="16" t="n">
        <v>39</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I-I-0061</t>
        </is>
      </c>
      <c r="B4423" s="12" t="inlineStr">
        <is>
          <t>I</t>
        </is>
      </c>
      <c r="C4423" s="12" t="inlineStr">
        <is>
          <t>Modular / portable power</t>
        </is>
      </c>
      <c r="D4423" s="12" t="inlineStr">
        <is>
          <t>Discrete device to JB JB-FC-11-DI01: 10 x 1 pr (field cables)</t>
        </is>
      </c>
      <c r="E4423" s="12" t="inlineStr">
        <is>
          <t>FC-11</t>
        </is>
      </c>
      <c r="F4423" s="12" t="inlineStr">
        <is>
          <t>FC-11: SOFC module (Bloom ES5 class, 200-300 kW)</t>
        </is>
      </c>
      <c r="G4423" s="12" t="inlineStr">
        <is>
          <t>JB-FC-11-DI01</t>
        </is>
      </c>
      <c r="H4423" s="12" t="inlineStr">
        <is>
          <t>FC-11: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I-I-0062</t>
        </is>
      </c>
      <c r="B4424" s="12" t="inlineStr">
        <is>
          <t>I</t>
        </is>
      </c>
      <c r="C4424" s="12" t="inlineStr">
        <is>
          <t>Modular / portable power</t>
        </is>
      </c>
      <c r="D4424" s="12" t="inlineStr">
        <is>
          <t>Home run JB-FC-11-DI01 to the control / marshalling room</t>
        </is>
      </c>
      <c r="E4424" s="12" t="inlineStr">
        <is>
          <t>PAD-EH</t>
        </is>
      </c>
      <c r="F4424" s="12" t="inlineStr">
        <is>
          <t>PAD-EH 13.8 kV switchgear e-house</t>
        </is>
      </c>
      <c r="G4424" s="12" t="inlineStr">
        <is>
          <t>JB-FC-11-DI01</t>
        </is>
      </c>
      <c r="H4424" s="12" t="inlineStr">
        <is>
          <t>FC-11: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Surface</t>
        </is>
      </c>
      <c r="T4424" s="16" t="n">
        <v>232</v>
      </c>
      <c r="U4424" s="16" t="n">
        <v>39</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I-I-0063</t>
        </is>
      </c>
      <c r="B4425" s="12" t="inlineStr">
        <is>
          <t>I</t>
        </is>
      </c>
      <c r="C4425" s="12" t="inlineStr">
        <is>
          <t>Modular / portable power</t>
        </is>
      </c>
      <c r="D4425" s="12" t="inlineStr">
        <is>
          <t>Analog instrument to JB JB-FC-12-AI01: 10 x 1 pr (field cables)</t>
        </is>
      </c>
      <c r="E4425" s="12" t="inlineStr">
        <is>
          <t>FC-12</t>
        </is>
      </c>
      <c r="F4425" s="12" t="inlineStr">
        <is>
          <t>FC-12: SOFC module (Bloom ES5 class, 200-300 kW)</t>
        </is>
      </c>
      <c r="G4425" s="12" t="inlineStr">
        <is>
          <t>JB-FC-12-AI01</t>
        </is>
      </c>
      <c r="H4425" s="12" t="inlineStr">
        <is>
          <t>FC-12: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I-I-0064</t>
        </is>
      </c>
      <c r="B4426" s="12" t="inlineStr">
        <is>
          <t>I</t>
        </is>
      </c>
      <c r="C4426" s="12" t="inlineStr">
        <is>
          <t>Modular / portable power</t>
        </is>
      </c>
      <c r="D4426" s="12" t="inlineStr">
        <is>
          <t>Home run JB-FC-12-AI01 to the control / marshalling room</t>
        </is>
      </c>
      <c r="E4426" s="12" t="inlineStr">
        <is>
          <t>PAD-EH</t>
        </is>
      </c>
      <c r="F4426" s="12" t="inlineStr">
        <is>
          <t>PAD-EH 13.8 kV switchgear e-house</t>
        </is>
      </c>
      <c r="G4426" s="12" t="inlineStr">
        <is>
          <t>JB-FC-12-AI01</t>
        </is>
      </c>
      <c r="H4426" s="12" t="inlineStr">
        <is>
          <t>FC-12: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Surface</t>
        </is>
      </c>
      <c r="T4426" s="16" t="n">
        <v>232</v>
      </c>
      <c r="U4426" s="16" t="n">
        <v>30</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I-I-0065</t>
        </is>
      </c>
      <c r="B4427" s="12" t="inlineStr">
        <is>
          <t>I</t>
        </is>
      </c>
      <c r="C4427" s="12" t="inlineStr">
        <is>
          <t>Modular / portable power</t>
        </is>
      </c>
      <c r="D4427" s="12" t="inlineStr">
        <is>
          <t>Discrete device to JB JB-FC-12-DI01: 10 x 1 pr (field cables)</t>
        </is>
      </c>
      <c r="E4427" s="12" t="inlineStr">
        <is>
          <t>FC-12</t>
        </is>
      </c>
      <c r="F4427" s="12" t="inlineStr">
        <is>
          <t>FC-12: SOFC module (Bloom ES5 class, 200-300 kW)</t>
        </is>
      </c>
      <c r="G4427" s="12" t="inlineStr">
        <is>
          <t>JB-FC-12-DI01</t>
        </is>
      </c>
      <c r="H4427" s="12" t="inlineStr">
        <is>
          <t>FC-12: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I-I-0066</t>
        </is>
      </c>
      <c r="B4428" s="12" t="inlineStr">
        <is>
          <t>I</t>
        </is>
      </c>
      <c r="C4428" s="12" t="inlineStr">
        <is>
          <t>Modular / portable power</t>
        </is>
      </c>
      <c r="D4428" s="12" t="inlineStr">
        <is>
          <t>Home run JB-FC-12-DI01 to the control / marshalling room</t>
        </is>
      </c>
      <c r="E4428" s="12" t="inlineStr">
        <is>
          <t>PAD-EH</t>
        </is>
      </c>
      <c r="F4428" s="12" t="inlineStr">
        <is>
          <t>PAD-EH 13.8 kV switchgear e-house</t>
        </is>
      </c>
      <c r="G4428" s="12" t="inlineStr">
        <is>
          <t>JB-FC-12-DI01</t>
        </is>
      </c>
      <c r="H4428" s="12" t="inlineStr">
        <is>
          <t>FC-12: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Surface</t>
        </is>
      </c>
      <c r="T4428" s="16" t="n">
        <v>232</v>
      </c>
      <c r="U4428" s="16" t="n">
        <v>30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I-I-0067</t>
        </is>
      </c>
      <c r="B4429" s="12" t="inlineStr">
        <is>
          <t>I</t>
        </is>
      </c>
      <c r="C4429" s="12" t="inlineStr">
        <is>
          <t>Modular / portable power</t>
        </is>
      </c>
      <c r="D4429" s="12" t="inlineStr">
        <is>
          <t>Analog instrument to JB JB-FC-1: SOFC module -AI01: 10 x 1 pr (field cables)</t>
        </is>
      </c>
      <c r="E4429" s="12" t="inlineStr"/>
      <c r="F4429" s="12" t="inlineStr">
        <is>
          <t>FC-1: SOFC module (Bloom ES5 class, 200-300 kW)</t>
        </is>
      </c>
      <c r="G4429" s="12" t="inlineStr">
        <is>
          <t>JB-FC-1: SOFC module -AI01</t>
        </is>
      </c>
      <c r="H4429" s="12" t="inlineStr">
        <is>
          <t>FC-1: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I-I-0068</t>
        </is>
      </c>
      <c r="B4430" s="12" t="inlineStr">
        <is>
          <t>I</t>
        </is>
      </c>
      <c r="C4430" s="12" t="inlineStr">
        <is>
          <t>Modular / portable power</t>
        </is>
      </c>
      <c r="D4430" s="12" t="inlineStr">
        <is>
          <t>Home run JB-FC-1: SOFC module -AI01 to the control / marshalling room</t>
        </is>
      </c>
      <c r="E4430" s="12" t="inlineStr"/>
      <c r="F4430" s="12" t="inlineStr">
        <is>
          <t>PCM: power control module</t>
        </is>
      </c>
      <c r="G4430" s="12" t="inlineStr">
        <is>
          <t>JB-FC-1: SOFC module -AI01</t>
        </is>
      </c>
      <c r="H4430" s="12" t="inlineStr">
        <is>
          <t>FC-1: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1074</v>
      </c>
      <c r="U4430" s="16" t="n">
        <v>94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I-I-0069</t>
        </is>
      </c>
      <c r="B4431" s="12" t="inlineStr">
        <is>
          <t>I</t>
        </is>
      </c>
      <c r="C4431" s="12" t="inlineStr">
        <is>
          <t>Modular / portable power</t>
        </is>
      </c>
      <c r="D4431" s="12" t="inlineStr">
        <is>
          <t>Discrete device to JB JB-FC-1: SOFC module -DI01: 10 x 1 pr (field cables)</t>
        </is>
      </c>
      <c r="E4431" s="12" t="inlineStr"/>
      <c r="F4431" s="12" t="inlineStr">
        <is>
          <t>FC-1: SOFC module (Bloom ES5 class, 200-300 kW)</t>
        </is>
      </c>
      <c r="G4431" s="12" t="inlineStr">
        <is>
          <t>JB-FC-1: SOFC module -DI01</t>
        </is>
      </c>
      <c r="H4431" s="12" t="inlineStr">
        <is>
          <t>FC-1: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I-I-0070</t>
        </is>
      </c>
      <c r="B4432" s="12" t="inlineStr">
        <is>
          <t>I</t>
        </is>
      </c>
      <c r="C4432" s="12" t="inlineStr">
        <is>
          <t>Modular / portable power</t>
        </is>
      </c>
      <c r="D4432" s="12" t="inlineStr">
        <is>
          <t>Home run JB-FC-1: SOFC module -DI01 to the control / marshalling room</t>
        </is>
      </c>
      <c r="E4432" s="12" t="inlineStr"/>
      <c r="F4432" s="12" t="inlineStr">
        <is>
          <t>PCM: power control module</t>
        </is>
      </c>
      <c r="G4432" s="12" t="inlineStr">
        <is>
          <t>JB-FC-1: SOFC module -DI01</t>
        </is>
      </c>
      <c r="H4432" s="12" t="inlineStr">
        <is>
          <t>FC-1: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1074</v>
      </c>
      <c r="U4432" s="16" t="n">
        <v>94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I-I-0071</t>
        </is>
      </c>
      <c r="B4433" s="12" t="inlineStr">
        <is>
          <t>I</t>
        </is>
      </c>
      <c r="C4433" s="12" t="inlineStr">
        <is>
          <t>Modular / portable power</t>
        </is>
      </c>
      <c r="D4433" s="12" t="inlineStr">
        <is>
          <t>Analog instrument to JB JB-FC-2: SOFC module -AI01: 10 x 1 pr (field cables)</t>
        </is>
      </c>
      <c r="E4433" s="12" t="inlineStr"/>
      <c r="F4433" s="12" t="inlineStr">
        <is>
          <t>FC-2: SOFC module (Bloom ES5 class, 200-300 kW)</t>
        </is>
      </c>
      <c r="G4433" s="12" t="inlineStr">
        <is>
          <t>JB-FC-2: SOFC module -AI01</t>
        </is>
      </c>
      <c r="H4433" s="12" t="inlineStr">
        <is>
          <t>FC-2: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I-I-0072</t>
        </is>
      </c>
      <c r="B4434" s="12" t="inlineStr">
        <is>
          <t>I</t>
        </is>
      </c>
      <c r="C4434" s="12" t="inlineStr">
        <is>
          <t>Modular / portable power</t>
        </is>
      </c>
      <c r="D4434" s="12" t="inlineStr">
        <is>
          <t>Home run JB-FC-2: SOFC module -AI01 to the control / marshalling room</t>
        </is>
      </c>
      <c r="E4434" s="12" t="inlineStr"/>
      <c r="F4434" s="12" t="inlineStr">
        <is>
          <t>PCM: power control module</t>
        </is>
      </c>
      <c r="G4434" s="12" t="inlineStr">
        <is>
          <t>JB-FC-2: SOFC module -AI01</t>
        </is>
      </c>
      <c r="H4434" s="12" t="inlineStr">
        <is>
          <t>FC-2: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1074</v>
      </c>
      <c r="U4434" s="16" t="n">
        <v>80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I-I-0073</t>
        </is>
      </c>
      <c r="B4435" s="12" t="inlineStr">
        <is>
          <t>I</t>
        </is>
      </c>
      <c r="C4435" s="12" t="inlineStr">
        <is>
          <t>Modular / portable power</t>
        </is>
      </c>
      <c r="D4435" s="12" t="inlineStr">
        <is>
          <t>Discrete device to JB JB-FC-2: SOFC module -DI01: 10 x 1 pr (field cables)</t>
        </is>
      </c>
      <c r="E4435" s="12" t="inlineStr"/>
      <c r="F4435" s="12" t="inlineStr">
        <is>
          <t>FC-2: SOFC module (Bloom ES5 class, 200-300 kW)</t>
        </is>
      </c>
      <c r="G4435" s="12" t="inlineStr">
        <is>
          <t>JB-FC-2: SOFC module -DI01</t>
        </is>
      </c>
      <c r="H4435" s="12" t="inlineStr">
        <is>
          <t>FC-2: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I-I-0074</t>
        </is>
      </c>
      <c r="B4436" s="12" t="inlineStr">
        <is>
          <t>I</t>
        </is>
      </c>
      <c r="C4436" s="12" t="inlineStr">
        <is>
          <t>Modular / portable power</t>
        </is>
      </c>
      <c r="D4436" s="12" t="inlineStr">
        <is>
          <t>Home run JB-FC-2: SOFC module -DI01 to the control / marshalling room</t>
        </is>
      </c>
      <c r="E4436" s="12" t="inlineStr"/>
      <c r="F4436" s="12" t="inlineStr">
        <is>
          <t>PCM: power control module</t>
        </is>
      </c>
      <c r="G4436" s="12" t="inlineStr">
        <is>
          <t>JB-FC-2: SOFC module -DI01</t>
        </is>
      </c>
      <c r="H4436" s="12" t="inlineStr">
        <is>
          <t>FC-2: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1074</v>
      </c>
      <c r="U4436" s="16" t="n">
        <v>80</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I-I-0075</t>
        </is>
      </c>
      <c r="B4437" s="12" t="inlineStr">
        <is>
          <t>I</t>
        </is>
      </c>
      <c r="C4437" s="12" t="inlineStr">
        <is>
          <t>Modular / portable power</t>
        </is>
      </c>
      <c r="D4437" s="12" t="inlineStr">
        <is>
          <t>Analog instrument to JB JB-FC-3: SOFC module -AI01: 10 x 1 pr (field cables)</t>
        </is>
      </c>
      <c r="E4437" s="12" t="inlineStr"/>
      <c r="F4437" s="12" t="inlineStr">
        <is>
          <t>FC-3: SOFC module (Bloom ES5 class, 200-300 kW)</t>
        </is>
      </c>
      <c r="G4437" s="12" t="inlineStr">
        <is>
          <t>JB-FC-3: SOFC module -AI01</t>
        </is>
      </c>
      <c r="H4437" s="12" t="inlineStr">
        <is>
          <t>FC-3: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I-I-0076</t>
        </is>
      </c>
      <c r="B4438" s="12" t="inlineStr">
        <is>
          <t>I</t>
        </is>
      </c>
      <c r="C4438" s="12" t="inlineStr">
        <is>
          <t>Modular / portable power</t>
        </is>
      </c>
      <c r="D4438" s="12" t="inlineStr">
        <is>
          <t>Home run JB-FC-3: SOFC module -AI01 to the control / marshalling room</t>
        </is>
      </c>
      <c r="E4438" s="12" t="inlineStr"/>
      <c r="F4438" s="12" t="inlineStr">
        <is>
          <t>PCM: power control module</t>
        </is>
      </c>
      <c r="G4438" s="12" t="inlineStr">
        <is>
          <t>JB-FC-3: SOFC module -AI01</t>
        </is>
      </c>
      <c r="H4438" s="12" t="inlineStr">
        <is>
          <t>FC-3: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1074</v>
      </c>
      <c r="U4438" s="16" t="n">
        <v>66</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I-I-0077</t>
        </is>
      </c>
      <c r="B4439" s="12" t="inlineStr">
        <is>
          <t>I</t>
        </is>
      </c>
      <c r="C4439" s="12" t="inlineStr">
        <is>
          <t>Modular / portable power</t>
        </is>
      </c>
      <c r="D4439" s="12" t="inlineStr">
        <is>
          <t>Discrete device to JB JB-FC-3: SOFC module -DI01: 10 x 1 pr (field cables)</t>
        </is>
      </c>
      <c r="E4439" s="12" t="inlineStr"/>
      <c r="F4439" s="12" t="inlineStr">
        <is>
          <t>FC-3: SOFC module (Bloom ES5 class, 200-300 kW)</t>
        </is>
      </c>
      <c r="G4439" s="12" t="inlineStr">
        <is>
          <t>JB-FC-3: SOFC module -DI01</t>
        </is>
      </c>
      <c r="H4439" s="12" t="inlineStr">
        <is>
          <t>FC-3: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I-I-0078</t>
        </is>
      </c>
      <c r="B4440" s="12" t="inlineStr">
        <is>
          <t>I</t>
        </is>
      </c>
      <c r="C4440" s="12" t="inlineStr">
        <is>
          <t>Modular / portable power</t>
        </is>
      </c>
      <c r="D4440" s="12" t="inlineStr">
        <is>
          <t>Home run JB-FC-3: SOFC module -DI01 to the control / marshalling room</t>
        </is>
      </c>
      <c r="E4440" s="12" t="inlineStr"/>
      <c r="F4440" s="12" t="inlineStr">
        <is>
          <t>PCM: power control module</t>
        </is>
      </c>
      <c r="G4440" s="12" t="inlineStr">
        <is>
          <t>JB-FC-3: SOFC module -DI01</t>
        </is>
      </c>
      <c r="H4440" s="12" t="inlineStr">
        <is>
          <t>FC-3: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1074</v>
      </c>
      <c r="U4440" s="16" t="n">
        <v>66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I-I-0079</t>
        </is>
      </c>
      <c r="B4441" s="12" t="inlineStr">
        <is>
          <t>I</t>
        </is>
      </c>
      <c r="C4441" s="12" t="inlineStr">
        <is>
          <t>Modular / portable power</t>
        </is>
      </c>
      <c r="D4441" s="12" t="inlineStr">
        <is>
          <t>Analog instrument to JB JB-FC-4: SOFC module -AI01: 10 x 1 pr (field cables)</t>
        </is>
      </c>
      <c r="E4441" s="12" t="inlineStr"/>
      <c r="F4441" s="12" t="inlineStr">
        <is>
          <t>FC-4: SOFC module (Bloom ES5 class, 200-300 kW)</t>
        </is>
      </c>
      <c r="G4441" s="12" t="inlineStr">
        <is>
          <t>JB-FC-4: SOFC module -AI01</t>
        </is>
      </c>
      <c r="H4441" s="12" t="inlineStr">
        <is>
          <t>FC-4: SOFC module (Bloom ES5 class, 200-300 kW)</t>
        </is>
      </c>
      <c r="I4441" s="12" t="inlineStr">
        <is>
          <t>Instrumentation</t>
        </is>
      </c>
      <c r="J4441" s="12" t="inlineStr">
        <is>
          <t>Instrumentation PLTC / TC-ER 300 V, #18 twisted shielded pairs, overall shield</t>
        </is>
      </c>
      <c r="K4441" s="12" t="inlineStr">
        <is>
          <t>PLTC|1 pr|16</t>
        </is>
      </c>
      <c r="L4441" s="12" t="inlineStr">
        <is>
          <t>1 pr</t>
        </is>
      </c>
      <c r="M4441" s="12" t="inlineStr">
        <is>
          <t>16</t>
        </is>
      </c>
      <c r="N4441" s="12" t="n">
        <v>10</v>
      </c>
      <c r="O4441" s="12" t="n">
        <v>1</v>
      </c>
      <c r="P4441" s="12" t="n"/>
      <c r="Q4441" s="12" t="n"/>
      <c r="R4441" s="12" t="n"/>
      <c r="S4441" s="12" t="inlineStr">
        <is>
          <t>Tray / conduit</t>
        </is>
      </c>
      <c r="T4441" s="16" t="n">
        <v>45</v>
      </c>
      <c r="U4441" s="16" t="n">
        <v>10</v>
      </c>
      <c r="V4441" s="16">
        <f>ROUNDUP((T4441+U4441+2*'Read Me'!$B$13)*(1+'Read Me'!$B$12),-1)</f>
        <v/>
      </c>
      <c r="W4441" s="16">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I-I-0080</t>
        </is>
      </c>
      <c r="B4442" s="12" t="inlineStr">
        <is>
          <t>I</t>
        </is>
      </c>
      <c r="C4442" s="12" t="inlineStr">
        <is>
          <t>Modular / portable power</t>
        </is>
      </c>
      <c r="D4442" s="12" t="inlineStr">
        <is>
          <t>Home run JB-FC-4: SOFC module -AI01 to the control / marshalling room</t>
        </is>
      </c>
      <c r="E4442" s="12" t="inlineStr"/>
      <c r="F4442" s="12" t="inlineStr">
        <is>
          <t>PCM: power control module</t>
        </is>
      </c>
      <c r="G4442" s="12" t="inlineStr">
        <is>
          <t>JB-FC-4: SOFC module -AI01</t>
        </is>
      </c>
      <c r="H4442" s="12" t="inlineStr">
        <is>
          <t>FC-4: SOFC module (Bloom ES5 class, 200-300 kW)</t>
        </is>
      </c>
      <c r="I4442" s="12" t="inlineStr">
        <is>
          <t>Instrumentation</t>
        </is>
      </c>
      <c r="J4442" s="12" t="inlineStr">
        <is>
          <t>Instrumentation PLTC / TC-ER 300 V, #18 twisted shielded pairs, overall shield</t>
        </is>
      </c>
      <c r="K4442" s="12" t="inlineStr">
        <is>
          <t>PLTC|24 pr|18</t>
        </is>
      </c>
      <c r="L4442" s="12" t="inlineStr">
        <is>
          <t>24 pr</t>
        </is>
      </c>
      <c r="M4442" s="12" t="inlineStr">
        <is>
          <t>18</t>
        </is>
      </c>
      <c r="N4442" s="12" t="n">
        <v>1</v>
      </c>
      <c r="O4442" s="12" t="n">
        <v>1</v>
      </c>
      <c r="P4442" s="12" t="n"/>
      <c r="Q4442" s="12" t="n"/>
      <c r="R4442" s="12" t="n"/>
      <c r="S4442" s="12" t="inlineStr">
        <is>
          <t>Duct bank</t>
        </is>
      </c>
      <c r="T4442" s="16" t="n">
        <v>1050</v>
      </c>
      <c r="U4442" s="16" t="n">
        <v>68</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I-I-0081</t>
        </is>
      </c>
      <c r="B4443" s="12" t="inlineStr">
        <is>
          <t>I</t>
        </is>
      </c>
      <c r="C4443" s="12" t="inlineStr">
        <is>
          <t>Modular / portable power</t>
        </is>
      </c>
      <c r="D4443" s="12" t="inlineStr">
        <is>
          <t>Discrete device to JB JB-FC-4: SOFC module -DI01: 10 x 1 pr (field cables)</t>
        </is>
      </c>
      <c r="E4443" s="12" t="inlineStr"/>
      <c r="F4443" s="12" t="inlineStr">
        <is>
          <t>FC-4: SOFC module (Bloom ES5 class, 200-300 kW)</t>
        </is>
      </c>
      <c r="G4443" s="12" t="inlineStr">
        <is>
          <t>JB-FC-4: SOFC module -DI01</t>
        </is>
      </c>
      <c r="H4443" s="12" t="inlineStr">
        <is>
          <t>FC-4: SOFC module (Bloom ES5 class, 200-300 kW)</t>
        </is>
      </c>
      <c r="I4443" s="12" t="inlineStr">
        <is>
          <t>Instrumentation</t>
        </is>
      </c>
      <c r="J4443" s="12" t="inlineStr">
        <is>
          <t>Instrumentation PLTC / TC-ER 300 V, #18 twisted shielded pairs, overall shield</t>
        </is>
      </c>
      <c r="K4443" s="12" t="inlineStr">
        <is>
          <t>PLTC|1 pr|16</t>
        </is>
      </c>
      <c r="L4443" s="12" t="inlineStr">
        <is>
          <t>1 pr</t>
        </is>
      </c>
      <c r="M4443" s="12" t="inlineStr">
        <is>
          <t>16</t>
        </is>
      </c>
      <c r="N4443" s="12" t="n">
        <v>10</v>
      </c>
      <c r="O4443" s="12" t="n">
        <v>1</v>
      </c>
      <c r="P4443" s="12" t="n"/>
      <c r="Q4443" s="12" t="n"/>
      <c r="R4443" s="12" t="n"/>
      <c r="S4443" s="12" t="inlineStr">
        <is>
          <t>Tray / conduit</t>
        </is>
      </c>
      <c r="T4443" s="16" t="n">
        <v>45</v>
      </c>
      <c r="U4443" s="16" t="n">
        <v>10</v>
      </c>
      <c r="V4443" s="16">
        <f>ROUNDUP((T4443+U4443+2*'Read Me'!$B$13)*(1+'Read Me'!$B$12),-1)</f>
        <v/>
      </c>
      <c r="W4443" s="16">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I-I-0082</t>
        </is>
      </c>
      <c r="B4444" s="12" t="inlineStr">
        <is>
          <t>I</t>
        </is>
      </c>
      <c r="C4444" s="12" t="inlineStr">
        <is>
          <t>Modular / portable power</t>
        </is>
      </c>
      <c r="D4444" s="12" t="inlineStr">
        <is>
          <t>Home run JB-FC-4: SOFC module -DI01 to the control / marshalling room</t>
        </is>
      </c>
      <c r="E4444" s="12" t="inlineStr"/>
      <c r="F4444" s="12" t="inlineStr">
        <is>
          <t>PCM: power control module</t>
        </is>
      </c>
      <c r="G4444" s="12" t="inlineStr">
        <is>
          <t>JB-FC-4: SOFC module -DI01</t>
        </is>
      </c>
      <c r="H4444" s="12" t="inlineStr">
        <is>
          <t>FC-4: SOFC module (Bloom ES5 class, 200-300 kW)</t>
        </is>
      </c>
      <c r="I4444" s="12" t="inlineStr">
        <is>
          <t>Instrumentation</t>
        </is>
      </c>
      <c r="J4444" s="12" t="inlineStr">
        <is>
          <t>Instrumentation PLTC / TC-ER 300 V, #18 twisted shielded pairs, overall shield</t>
        </is>
      </c>
      <c r="K4444" s="12" t="inlineStr">
        <is>
          <t>PLTC|24 pr|18</t>
        </is>
      </c>
      <c r="L4444" s="12" t="inlineStr">
        <is>
          <t>24 pr</t>
        </is>
      </c>
      <c r="M4444" s="12" t="inlineStr">
        <is>
          <t>18</t>
        </is>
      </c>
      <c r="N4444" s="12" t="n">
        <v>1</v>
      </c>
      <c r="O4444" s="12" t="n">
        <v>1</v>
      </c>
      <c r="P4444" s="12" t="n"/>
      <c r="Q4444" s="12" t="n"/>
      <c r="R4444" s="12" t="n"/>
      <c r="S4444" s="12" t="inlineStr">
        <is>
          <t>Duct bank</t>
        </is>
      </c>
      <c r="T4444" s="16" t="n">
        <v>1050</v>
      </c>
      <c r="U4444" s="16" t="n">
        <v>68</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I-I-0083</t>
        </is>
      </c>
      <c r="B4445" s="12" t="inlineStr">
        <is>
          <t>I</t>
        </is>
      </c>
      <c r="C4445" s="12" t="inlineStr">
        <is>
          <t>Modular / portable power</t>
        </is>
      </c>
      <c r="D4445" s="12" t="inlineStr">
        <is>
          <t>Instrumentation</t>
        </is>
      </c>
      <c r="E4445" s="12" t="inlineStr">
        <is>
          <t>PAD-EH</t>
        </is>
      </c>
      <c r="F4445" s="12" t="inlineStr">
        <is>
          <t>PAD-EH 13.8 kV switchgear e-house</t>
        </is>
      </c>
      <c r="G4445" s="12" t="inlineStr"/>
      <c r="H4445" s="12" t="inlineStr">
        <is>
          <t>FC-5..12 inverter / AC cabinet / desulfurizer</t>
        </is>
      </c>
      <c r="I4445" s="12" t="inlineStr">
        <is>
          <t>Instrumentation</t>
        </is>
      </c>
      <c r="J4445" s="12" t="inlineStr">
        <is>
          <t>Instrumentation PLTC / TC-ER 300 V, #18 twisted shielded pairs, overall shield</t>
        </is>
      </c>
      <c r="K4445" s="12" t="inlineStr">
        <is>
          <t>PLTC|4 pr|18</t>
        </is>
      </c>
      <c r="L4445" s="12" t="inlineStr">
        <is>
          <t>4 pr</t>
        </is>
      </c>
      <c r="M4445" s="12" t="inlineStr">
        <is>
          <t>18</t>
        </is>
      </c>
      <c r="N4445" s="12" t="n">
        <v>1</v>
      </c>
      <c r="O4445" s="12" t="n">
        <v>1</v>
      </c>
      <c r="P4445" s="12" t="n"/>
      <c r="Q4445" s="12" t="n"/>
      <c r="R4445" s="12" t="n"/>
      <c r="S4445" s="12" t="inlineStr">
        <is>
          <t>Surface</t>
        </is>
      </c>
      <c r="T4445" s="16" t="n">
        <v>155</v>
      </c>
      <c r="U4445" s="16" t="n">
        <v>27</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I-I-0084</t>
        </is>
      </c>
      <c r="B4446" s="12" t="inlineStr">
        <is>
          <t>I</t>
        </is>
      </c>
      <c r="C4446" s="12" t="inlineStr">
        <is>
          <t>Modular / portable power</t>
        </is>
      </c>
      <c r="D4446" s="12" t="inlineStr">
        <is>
          <t>Thermocouples</t>
        </is>
      </c>
      <c r="E4446" s="12" t="inlineStr">
        <is>
          <t>PAD-EH</t>
        </is>
      </c>
      <c r="F4446" s="12" t="inlineStr">
        <is>
          <t>PAD-EH 13.8 kV switchgear e-house</t>
        </is>
      </c>
      <c r="G4446" s="12" t="inlineStr"/>
      <c r="H4446" s="12" t="inlineStr">
        <is>
          <t>FC-5..12 inverter / AC cabinet / desulfurizer</t>
        </is>
      </c>
      <c r="I4446" s="12" t="inlineStr">
        <is>
          <t>Instrumentation</t>
        </is>
      </c>
      <c r="J4446" s="12" t="inlineStr">
        <is>
          <t>Thermocouple extension KX, #16 shielded pairs, PLTC</t>
        </is>
      </c>
      <c r="K4446" s="12" t="inlineStr">
        <is>
          <t>TCX|12 pr|16</t>
        </is>
      </c>
      <c r="L4446" s="12" t="inlineStr">
        <is>
          <t>12 pr</t>
        </is>
      </c>
      <c r="M4446" s="12" t="inlineStr">
        <is>
          <t>16</t>
        </is>
      </c>
      <c r="N4446" s="12" t="n">
        <v>1</v>
      </c>
      <c r="O4446" s="12" t="n">
        <v>1</v>
      </c>
      <c r="P4446" s="12" t="n"/>
      <c r="Q4446" s="12" t="n"/>
      <c r="R4446" s="12" t="n"/>
      <c r="S4446" s="12" t="inlineStr">
        <is>
          <t>Surface</t>
        </is>
      </c>
      <c r="T4446" s="16" t="n">
        <v>155</v>
      </c>
      <c r="U4446" s="16" t="n">
        <v>27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I-I-0085</t>
        </is>
      </c>
      <c r="B4447" s="12" t="inlineStr">
        <is>
          <t>I</t>
        </is>
      </c>
      <c r="C4447" s="12" t="inlineStr">
        <is>
          <t>Modular / portable power</t>
        </is>
      </c>
      <c r="D4447" s="12" t="inlineStr">
        <is>
          <t>Thermocouples</t>
        </is>
      </c>
      <c r="E4447" s="12" t="inlineStr">
        <is>
          <t>PAD-EH</t>
        </is>
      </c>
      <c r="F4447" s="12" t="inlineStr">
        <is>
          <t>PAD-EH 13.8 kV switchgear e-house</t>
        </is>
      </c>
      <c r="G4447" s="12" t="inlineStr"/>
      <c r="H4447" s="12" t="inlineStr">
        <is>
          <t>FC-5..12 inverter / AC cabinet / desulfurizer</t>
        </is>
      </c>
      <c r="I4447" s="12" t="inlineStr">
        <is>
          <t>Instrumentation</t>
        </is>
      </c>
      <c r="J4447" s="12" t="inlineStr">
        <is>
          <t>Thermocouple extension KX, #16 shielded pairs, PLTC</t>
        </is>
      </c>
      <c r="K4447" s="12" t="inlineStr">
        <is>
          <t>TCX|12 pr|16</t>
        </is>
      </c>
      <c r="L4447" s="12" t="inlineStr">
        <is>
          <t>12 pr</t>
        </is>
      </c>
      <c r="M4447" s="12" t="inlineStr">
        <is>
          <t>16</t>
        </is>
      </c>
      <c r="N4447" s="12" t="n">
        <v>1</v>
      </c>
      <c r="O4447" s="12" t="n">
        <v>1</v>
      </c>
      <c r="P4447" s="12" t="n"/>
      <c r="Q4447" s="12" t="n"/>
      <c r="R4447" s="12" t="n"/>
      <c r="S4447" s="12" t="inlineStr">
        <is>
          <t>Surface</t>
        </is>
      </c>
      <c r="T4447" s="16" t="n">
        <v>155</v>
      </c>
      <c r="U4447" s="16" t="n">
        <v>27</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I-I-0086</t>
        </is>
      </c>
      <c r="B4448" s="12" t="inlineStr">
        <is>
          <t>I</t>
        </is>
      </c>
      <c r="C4448" s="12" t="inlineStr">
        <is>
          <t>Modular / portable power</t>
        </is>
      </c>
      <c r="D4448" s="12" t="inlineStr">
        <is>
          <t>Analog instrument to JB JB-FC-5-AI01: 10 x 1 pr (field cables)</t>
        </is>
      </c>
      <c r="E4448" s="12" t="inlineStr">
        <is>
          <t>FC-5</t>
        </is>
      </c>
      <c r="F4448" s="12" t="inlineStr">
        <is>
          <t>FC-5: SOFC module (Bloom ES5 class, 200-300 kW)</t>
        </is>
      </c>
      <c r="G4448" s="12" t="inlineStr">
        <is>
          <t>JB-FC-5-AI01</t>
        </is>
      </c>
      <c r="H4448" s="12" t="inlineStr">
        <is>
          <t>FC-5: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I-I-0087</t>
        </is>
      </c>
      <c r="B4449" s="12" t="inlineStr">
        <is>
          <t>I</t>
        </is>
      </c>
      <c r="C4449" s="12" t="inlineStr">
        <is>
          <t>Modular / portable power</t>
        </is>
      </c>
      <c r="D4449" s="12" t="inlineStr">
        <is>
          <t>Home run JB-FC-5-AI01 to the control / marshalling room</t>
        </is>
      </c>
      <c r="E4449" s="12" t="inlineStr">
        <is>
          <t>PAD-EH</t>
        </is>
      </c>
      <c r="F4449" s="12" t="inlineStr">
        <is>
          <t>PAD-EH 13.8 kV switchgear e-house</t>
        </is>
      </c>
      <c r="G4449" s="12" t="inlineStr">
        <is>
          <t>JB-FC-5-AI01</t>
        </is>
      </c>
      <c r="H4449" s="12" t="inlineStr">
        <is>
          <t>FC-5: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316</v>
      </c>
      <c r="U4449" s="16" t="n">
        <v>39</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I-I-0088</t>
        </is>
      </c>
      <c r="B4450" s="12" t="inlineStr">
        <is>
          <t>I</t>
        </is>
      </c>
      <c r="C4450" s="12" t="inlineStr">
        <is>
          <t>Modular / portable power</t>
        </is>
      </c>
      <c r="D4450" s="12" t="inlineStr">
        <is>
          <t>Discrete device to JB JB-FC-5-DI01: 10 x 1 pr (field cables)</t>
        </is>
      </c>
      <c r="E4450" s="12" t="inlineStr">
        <is>
          <t>FC-5</t>
        </is>
      </c>
      <c r="F4450" s="12" t="inlineStr">
        <is>
          <t>FC-5: SOFC module (Bloom ES5 class, 200-300 kW)</t>
        </is>
      </c>
      <c r="G4450" s="12" t="inlineStr">
        <is>
          <t>JB-FC-5-DI01</t>
        </is>
      </c>
      <c r="H4450" s="12" t="inlineStr">
        <is>
          <t>FC-5: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I-I-0089</t>
        </is>
      </c>
      <c r="B4451" s="12" t="inlineStr">
        <is>
          <t>I</t>
        </is>
      </c>
      <c r="C4451" s="12" t="inlineStr">
        <is>
          <t>Modular / portable power</t>
        </is>
      </c>
      <c r="D4451" s="12" t="inlineStr">
        <is>
          <t>Home run JB-FC-5-DI01 to the control / marshalling room</t>
        </is>
      </c>
      <c r="E4451" s="12" t="inlineStr">
        <is>
          <t>PAD-EH</t>
        </is>
      </c>
      <c r="F4451" s="12" t="inlineStr">
        <is>
          <t>PAD-EH 13.8 kV switchgear e-house</t>
        </is>
      </c>
      <c r="G4451" s="12" t="inlineStr">
        <is>
          <t>JB-FC-5-DI01</t>
        </is>
      </c>
      <c r="H4451" s="12" t="inlineStr">
        <is>
          <t>FC-5: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316</v>
      </c>
      <c r="U4451" s="16" t="n">
        <v>39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I-I-0090</t>
        </is>
      </c>
      <c r="B4452" s="12" t="inlineStr">
        <is>
          <t>I</t>
        </is>
      </c>
      <c r="C4452" s="12" t="inlineStr">
        <is>
          <t>Modular / portable power</t>
        </is>
      </c>
      <c r="D4452" s="12" t="inlineStr">
        <is>
          <t>Analog instrument to JB JB-FC-6-AI01: 10 x 1 pr (field cables)</t>
        </is>
      </c>
      <c r="E4452" s="12" t="inlineStr">
        <is>
          <t>FC-6</t>
        </is>
      </c>
      <c r="F4452" s="12" t="inlineStr">
        <is>
          <t>FC-6: SOFC module (Bloom ES5 class, 200-300 kW)</t>
        </is>
      </c>
      <c r="G4452" s="12" t="inlineStr">
        <is>
          <t>JB-FC-6-AI01</t>
        </is>
      </c>
      <c r="H4452" s="12" t="inlineStr">
        <is>
          <t>FC-6: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I-I-0091</t>
        </is>
      </c>
      <c r="B4453" s="12" t="inlineStr">
        <is>
          <t>I</t>
        </is>
      </c>
      <c r="C4453" s="12" t="inlineStr">
        <is>
          <t>Modular / portable power</t>
        </is>
      </c>
      <c r="D4453" s="12" t="inlineStr">
        <is>
          <t>Home run JB-FC-6-AI01 to the control / marshalling room</t>
        </is>
      </c>
      <c r="E4453" s="12" t="inlineStr">
        <is>
          <t>PAD-EH</t>
        </is>
      </c>
      <c r="F4453" s="12" t="inlineStr">
        <is>
          <t>PAD-EH 13.8 kV switchgear e-house</t>
        </is>
      </c>
      <c r="G4453" s="12" t="inlineStr">
        <is>
          <t>JB-FC-6-AI01</t>
        </is>
      </c>
      <c r="H4453" s="12" t="inlineStr">
        <is>
          <t>FC-6: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302</v>
      </c>
      <c r="U4453" s="16" t="n">
        <v>39</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I-I-0092</t>
        </is>
      </c>
      <c r="B4454" s="12" t="inlineStr">
        <is>
          <t>I</t>
        </is>
      </c>
      <c r="C4454" s="12" t="inlineStr">
        <is>
          <t>Modular / portable power</t>
        </is>
      </c>
      <c r="D4454" s="12" t="inlineStr">
        <is>
          <t>Discrete device to JB JB-FC-6-DI01: 10 x 1 pr (field cables)</t>
        </is>
      </c>
      <c r="E4454" s="12" t="inlineStr">
        <is>
          <t>FC-6</t>
        </is>
      </c>
      <c r="F4454" s="12" t="inlineStr">
        <is>
          <t>FC-6: SOFC module (Bloom ES5 class, 200-300 kW)</t>
        </is>
      </c>
      <c r="G4454" s="12" t="inlineStr">
        <is>
          <t>JB-FC-6-DI01</t>
        </is>
      </c>
      <c r="H4454" s="12" t="inlineStr">
        <is>
          <t>FC-6: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I-I-0093</t>
        </is>
      </c>
      <c r="B4455" s="12" t="inlineStr">
        <is>
          <t>I</t>
        </is>
      </c>
      <c r="C4455" s="12" t="inlineStr">
        <is>
          <t>Modular / portable power</t>
        </is>
      </c>
      <c r="D4455" s="12" t="inlineStr">
        <is>
          <t>Home run JB-FC-6-DI01 to the control / marshalling room</t>
        </is>
      </c>
      <c r="E4455" s="12" t="inlineStr">
        <is>
          <t>PAD-EH</t>
        </is>
      </c>
      <c r="F4455" s="12" t="inlineStr">
        <is>
          <t>PAD-EH 13.8 kV switchgear e-house</t>
        </is>
      </c>
      <c r="G4455" s="12" t="inlineStr">
        <is>
          <t>JB-FC-6-DI01</t>
        </is>
      </c>
      <c r="H4455" s="12" t="inlineStr">
        <is>
          <t>FC-6: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302</v>
      </c>
      <c r="U4455" s="16" t="n">
        <v>39</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I-I-0094</t>
        </is>
      </c>
      <c r="B4456" s="12" t="inlineStr">
        <is>
          <t>I</t>
        </is>
      </c>
      <c r="C4456" s="12" t="inlineStr">
        <is>
          <t>Modular / portable power</t>
        </is>
      </c>
      <c r="D4456" s="12" t="inlineStr">
        <is>
          <t>Analog instrument to JB JB-FC-7-AI01: 10 x 1 pr (field cables)</t>
        </is>
      </c>
      <c r="E4456" s="12" t="inlineStr">
        <is>
          <t>FC-7</t>
        </is>
      </c>
      <c r="F4456" s="12" t="inlineStr">
        <is>
          <t>FC-7: SOFC module (Bloom ES5 class, 200-300 kW)</t>
        </is>
      </c>
      <c r="G4456" s="12" t="inlineStr">
        <is>
          <t>JB-FC-7-AI01</t>
        </is>
      </c>
      <c r="H4456" s="12" t="inlineStr">
        <is>
          <t>FC-7: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I-I-0095</t>
        </is>
      </c>
      <c r="B4457" s="12" t="inlineStr">
        <is>
          <t>I</t>
        </is>
      </c>
      <c r="C4457" s="12" t="inlineStr">
        <is>
          <t>Modular / portable power</t>
        </is>
      </c>
      <c r="D4457" s="12" t="inlineStr">
        <is>
          <t>Home run JB-FC-7-AI01 to the control / marshalling room</t>
        </is>
      </c>
      <c r="E4457" s="12" t="inlineStr">
        <is>
          <t>PAD-EH</t>
        </is>
      </c>
      <c r="F4457" s="12" t="inlineStr">
        <is>
          <t>PAD-EH 13.8 kV switchgear e-house</t>
        </is>
      </c>
      <c r="G4457" s="12" t="inlineStr">
        <is>
          <t>JB-FC-7-AI01</t>
        </is>
      </c>
      <c r="H4457" s="12" t="inlineStr">
        <is>
          <t>FC-7: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288</v>
      </c>
      <c r="U4457" s="16" t="n">
        <v>39</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I-I-0096</t>
        </is>
      </c>
      <c r="B4458" s="12" t="inlineStr">
        <is>
          <t>I</t>
        </is>
      </c>
      <c r="C4458" s="12" t="inlineStr">
        <is>
          <t>Modular / portable power</t>
        </is>
      </c>
      <c r="D4458" s="12" t="inlineStr">
        <is>
          <t>Discrete device to JB JB-FC-7-DI01: 10 x 1 pr (field cables)</t>
        </is>
      </c>
      <c r="E4458" s="12" t="inlineStr">
        <is>
          <t>FC-7</t>
        </is>
      </c>
      <c r="F4458" s="12" t="inlineStr">
        <is>
          <t>FC-7: SOFC module (Bloom ES5 class, 200-300 kW)</t>
        </is>
      </c>
      <c r="G4458" s="12" t="inlineStr">
        <is>
          <t>JB-FC-7-DI01</t>
        </is>
      </c>
      <c r="H4458" s="12" t="inlineStr">
        <is>
          <t>FC-7: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I-I-0097</t>
        </is>
      </c>
      <c r="B4459" s="12" t="inlineStr">
        <is>
          <t>I</t>
        </is>
      </c>
      <c r="C4459" s="12" t="inlineStr">
        <is>
          <t>Modular / portable power</t>
        </is>
      </c>
      <c r="D4459" s="12" t="inlineStr">
        <is>
          <t>Home run JB-FC-7-DI01 to the control / marshalling room</t>
        </is>
      </c>
      <c r="E4459" s="12" t="inlineStr">
        <is>
          <t>PAD-EH</t>
        </is>
      </c>
      <c r="F4459" s="12" t="inlineStr">
        <is>
          <t>PAD-EH 13.8 kV switchgear e-house</t>
        </is>
      </c>
      <c r="G4459" s="12" t="inlineStr">
        <is>
          <t>JB-FC-7-DI01</t>
        </is>
      </c>
      <c r="H4459" s="12" t="inlineStr">
        <is>
          <t>FC-7: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288</v>
      </c>
      <c r="U4459" s="16" t="n">
        <v>39</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I-I-0098</t>
        </is>
      </c>
      <c r="B4460" s="12" t="inlineStr">
        <is>
          <t>I</t>
        </is>
      </c>
      <c r="C4460" s="12" t="inlineStr">
        <is>
          <t>Modular / portable power</t>
        </is>
      </c>
      <c r="D4460" s="12" t="inlineStr">
        <is>
          <t>Analog instrument to JB JB-FC-8-AI01: 10 x 1 pr (field cables)</t>
        </is>
      </c>
      <c r="E4460" s="12" t="inlineStr">
        <is>
          <t>FC-8</t>
        </is>
      </c>
      <c r="F4460" s="12" t="inlineStr">
        <is>
          <t>FC-8: SOFC module (Bloom ES5 class, 200-300 kW)</t>
        </is>
      </c>
      <c r="G4460" s="12" t="inlineStr">
        <is>
          <t>JB-FC-8-AI01</t>
        </is>
      </c>
      <c r="H4460" s="12" t="inlineStr">
        <is>
          <t>FC-8: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I-I-0099</t>
        </is>
      </c>
      <c r="B4461" s="12" t="inlineStr">
        <is>
          <t>I</t>
        </is>
      </c>
      <c r="C4461" s="12" t="inlineStr">
        <is>
          <t>Modular / portable power</t>
        </is>
      </c>
      <c r="D4461" s="12" t="inlineStr">
        <is>
          <t>Home run JB-FC-8-AI01 to the control / marshalling room</t>
        </is>
      </c>
      <c r="E4461" s="12" t="inlineStr">
        <is>
          <t>PAD-EH</t>
        </is>
      </c>
      <c r="F4461" s="12" t="inlineStr">
        <is>
          <t>PAD-EH 13.8 kV switchgear e-house</t>
        </is>
      </c>
      <c r="G4461" s="12" t="inlineStr">
        <is>
          <t>JB-FC-8-AI01</t>
        </is>
      </c>
      <c r="H4461" s="12" t="inlineStr">
        <is>
          <t>FC-8: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274</v>
      </c>
      <c r="U4461" s="16" t="n">
        <v>39</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I-I-0100</t>
        </is>
      </c>
      <c r="B4462" s="12" t="inlineStr">
        <is>
          <t>I</t>
        </is>
      </c>
      <c r="C4462" s="12" t="inlineStr">
        <is>
          <t>Modular / portable power</t>
        </is>
      </c>
      <c r="D4462" s="12" t="inlineStr">
        <is>
          <t>Discrete device to JB JB-FC-8-DI01: 10 x 1 pr (field cables)</t>
        </is>
      </c>
      <c r="E4462" s="12" t="inlineStr">
        <is>
          <t>FC-8</t>
        </is>
      </c>
      <c r="F4462" s="12" t="inlineStr">
        <is>
          <t>FC-8: SOFC module (Bloom ES5 class, 200-300 kW)</t>
        </is>
      </c>
      <c r="G4462" s="12" t="inlineStr">
        <is>
          <t>JB-FC-8-DI01</t>
        </is>
      </c>
      <c r="H4462" s="12" t="inlineStr">
        <is>
          <t>FC-8: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I-I-0101</t>
        </is>
      </c>
      <c r="B4463" s="12" t="inlineStr">
        <is>
          <t>I</t>
        </is>
      </c>
      <c r="C4463" s="12" t="inlineStr">
        <is>
          <t>Modular / portable power</t>
        </is>
      </c>
      <c r="D4463" s="12" t="inlineStr">
        <is>
          <t>Home run JB-FC-8-DI01 to the control / marshalling room</t>
        </is>
      </c>
      <c r="E4463" s="12" t="inlineStr">
        <is>
          <t>PAD-EH</t>
        </is>
      </c>
      <c r="F4463" s="12" t="inlineStr">
        <is>
          <t>PAD-EH 13.8 kV switchgear e-house</t>
        </is>
      </c>
      <c r="G4463" s="12" t="inlineStr">
        <is>
          <t>JB-FC-8-DI01</t>
        </is>
      </c>
      <c r="H4463" s="12" t="inlineStr">
        <is>
          <t>FC-8: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274</v>
      </c>
      <c r="U4463" s="16" t="n">
        <v>39</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I-I-0102</t>
        </is>
      </c>
      <c r="B4464" s="12" t="inlineStr">
        <is>
          <t>I</t>
        </is>
      </c>
      <c r="C4464" s="12" t="inlineStr">
        <is>
          <t>Modular / portable power</t>
        </is>
      </c>
      <c r="D4464" s="12" t="inlineStr">
        <is>
          <t>Analog instrument to JB JB-FC-9-AI01: 10 x 1 pr (field cables)</t>
        </is>
      </c>
      <c r="E4464" s="12" t="inlineStr">
        <is>
          <t>FC-9</t>
        </is>
      </c>
      <c r="F4464" s="12" t="inlineStr">
        <is>
          <t>FC-9: SOFC module (Bloom ES5 class, 200-300 kW)</t>
        </is>
      </c>
      <c r="G4464" s="12" t="inlineStr">
        <is>
          <t>JB-FC-9-AI01</t>
        </is>
      </c>
      <c r="H4464" s="12" t="inlineStr">
        <is>
          <t>FC-9: SOFC module (Bloom ES5 class, 200-300 kW)</t>
        </is>
      </c>
      <c r="I4464" s="12" t="inlineStr">
        <is>
          <t>Instrumentation</t>
        </is>
      </c>
      <c r="J4464" s="12" t="inlineStr">
        <is>
          <t>Instrumentation PLTC / TC-ER 300 V, #18 twisted shielded pairs, overall shield</t>
        </is>
      </c>
      <c r="K4464" s="12" t="inlineStr">
        <is>
          <t>PLTC|1 pr|16</t>
        </is>
      </c>
      <c r="L4464" s="12" t="inlineStr">
        <is>
          <t>1 pr</t>
        </is>
      </c>
      <c r="M4464" s="12" t="inlineStr">
        <is>
          <t>16</t>
        </is>
      </c>
      <c r="N4464" s="12" t="n">
        <v>10</v>
      </c>
      <c r="O4464" s="12" t="n">
        <v>1</v>
      </c>
      <c r="P4464" s="12" t="n"/>
      <c r="Q4464" s="12" t="n"/>
      <c r="R4464" s="12" t="n"/>
      <c r="S4464" s="12" t="inlineStr">
        <is>
          <t>Tray / conduit</t>
        </is>
      </c>
      <c r="T4464" s="16" t="n">
        <v>45</v>
      </c>
      <c r="U4464" s="16" t="n">
        <v>10</v>
      </c>
      <c r="V4464" s="16">
        <f>ROUNDUP((T4464+U4464+2*'Read Me'!$B$13)*(1+'Read Me'!$B$12),-1)</f>
        <v/>
      </c>
      <c r="W4464" s="16">
        <f>V4464*N4464*O4464</f>
        <v/>
      </c>
      <c r="X4464" s="12">
        <f>IF(LEFT(I4464,2)="MV",2*N4464*IF(L4464="1/C",O4464,1),0)</f>
        <v/>
      </c>
      <c r="Y4464" s="12">
        <f>IF(OR(LEFT(K4464,4)="LVAX",LEFT(K4464,6)="MV15AX",LEFT(K4464,4)="CTAX",LEFT(K4464,2)="W|"),2*N4464*O4464,0)</f>
        <v/>
      </c>
      <c r="Z4464" s="12" t="inlineStr">
        <is>
          <t>device-to-JB field wiring, one cable per device</t>
        </is>
      </c>
      <c r="AA4464" s="12">
        <f>N4464*O4464</f>
        <v/>
      </c>
    </row>
    <row r="4465">
      <c r="A4465" s="12" t="inlineStr">
        <is>
          <t>I-I-0103</t>
        </is>
      </c>
      <c r="B4465" s="12" t="inlineStr">
        <is>
          <t>I</t>
        </is>
      </c>
      <c r="C4465" s="12" t="inlineStr">
        <is>
          <t>Modular / portable power</t>
        </is>
      </c>
      <c r="D4465" s="12" t="inlineStr">
        <is>
          <t>Home run JB-FC-9-AI01 to the control / marshalling room</t>
        </is>
      </c>
      <c r="E4465" s="12" t="inlineStr">
        <is>
          <t>PAD-EH</t>
        </is>
      </c>
      <c r="F4465" s="12" t="inlineStr">
        <is>
          <t>PAD-EH 13.8 kV switchgear e-house</t>
        </is>
      </c>
      <c r="G4465" s="12" t="inlineStr">
        <is>
          <t>JB-FC-9-AI01</t>
        </is>
      </c>
      <c r="H4465" s="12" t="inlineStr">
        <is>
          <t>FC-9: SOFC module (Bloom ES5 class, 200-300 kW)</t>
        </is>
      </c>
      <c r="I4465" s="12" t="inlineStr">
        <is>
          <t>Instrumentation</t>
        </is>
      </c>
      <c r="J4465" s="12" t="inlineStr">
        <is>
          <t>Instrumentation PLTC / TC-ER 300 V, #18 twisted shielded pairs, overall shield</t>
        </is>
      </c>
      <c r="K4465" s="12" t="inlineStr">
        <is>
          <t>PLTC|24 pr|18</t>
        </is>
      </c>
      <c r="L4465" s="12" t="inlineStr">
        <is>
          <t>24 pr</t>
        </is>
      </c>
      <c r="M4465" s="12" t="inlineStr">
        <is>
          <t>18</t>
        </is>
      </c>
      <c r="N4465" s="12" t="n">
        <v>1</v>
      </c>
      <c r="O4465" s="12" t="n">
        <v>1</v>
      </c>
      <c r="P4465" s="12" t="n"/>
      <c r="Q4465" s="12" t="n"/>
      <c r="R4465" s="12" t="n"/>
      <c r="S4465" s="12" t="inlineStr">
        <is>
          <t>Surface</t>
        </is>
      </c>
      <c r="T4465" s="16" t="n">
        <v>260</v>
      </c>
      <c r="U4465" s="16" t="n">
        <v>39</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I-I-0104</t>
        </is>
      </c>
      <c r="B4466" s="12" t="inlineStr">
        <is>
          <t>I</t>
        </is>
      </c>
      <c r="C4466" s="12" t="inlineStr">
        <is>
          <t>Modular / portable power</t>
        </is>
      </c>
      <c r="D4466" s="12" t="inlineStr">
        <is>
          <t>Discrete device to JB JB-FC-9-DI01: 10 x 1 pr (field cables)</t>
        </is>
      </c>
      <c r="E4466" s="12" t="inlineStr">
        <is>
          <t>FC-9</t>
        </is>
      </c>
      <c r="F4466" s="12" t="inlineStr">
        <is>
          <t>FC-9: SOFC module (Bloom ES5 class, 200-300 kW)</t>
        </is>
      </c>
      <c r="G4466" s="12" t="inlineStr">
        <is>
          <t>JB-FC-9-DI01</t>
        </is>
      </c>
      <c r="H4466" s="12" t="inlineStr">
        <is>
          <t>FC-9: SOFC module (Bloom ES5 class, 200-300 kW)</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10</v>
      </c>
      <c r="O4466" s="12" t="n">
        <v>1</v>
      </c>
      <c r="P4466" s="12" t="n"/>
      <c r="Q4466" s="12" t="n"/>
      <c r="R4466" s="12" t="n"/>
      <c r="S4466" s="12" t="inlineStr">
        <is>
          <t>Tray / conduit</t>
        </is>
      </c>
      <c r="T4466" s="16" t="n">
        <v>45</v>
      </c>
      <c r="U4466" s="16" t="n">
        <v>10</v>
      </c>
      <c r="V4466" s="16">
        <f>ROUNDUP((T4466+U4466+2*'Read Me'!$B$13)*(1+'Read Me'!$B$12),-1)</f>
        <v/>
      </c>
      <c r="W4466" s="16">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I-I-0105</t>
        </is>
      </c>
      <c r="B4467" s="12" t="inlineStr">
        <is>
          <t>I</t>
        </is>
      </c>
      <c r="C4467" s="12" t="inlineStr">
        <is>
          <t>Modular / portable power</t>
        </is>
      </c>
      <c r="D4467" s="12" t="inlineStr">
        <is>
          <t>Home run JB-FC-9-DI01 to the control / marshalling room</t>
        </is>
      </c>
      <c r="E4467" s="12" t="inlineStr">
        <is>
          <t>PAD-EH</t>
        </is>
      </c>
      <c r="F4467" s="12" t="inlineStr">
        <is>
          <t>PAD-EH 13.8 kV switchgear e-house</t>
        </is>
      </c>
      <c r="G4467" s="12" t="inlineStr">
        <is>
          <t>JB-FC-9-DI01</t>
        </is>
      </c>
      <c r="H4467" s="12" t="inlineStr">
        <is>
          <t>FC-9: SOFC module (Bloom ES5 class, 200-300 kW)</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Surface</t>
        </is>
      </c>
      <c r="T4467" s="16" t="n">
        <v>260</v>
      </c>
      <c r="U4467" s="16" t="n">
        <v>39</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I-I-0106</t>
        </is>
      </c>
      <c r="B4468" s="12" t="inlineStr">
        <is>
          <t>I</t>
        </is>
      </c>
      <c r="C4468" s="12" t="inlineStr">
        <is>
          <t>Modular / portable power</t>
        </is>
      </c>
      <c r="D4468" s="12" t="inlineStr">
        <is>
          <t>Instrumentation</t>
        </is>
      </c>
      <c r="E4468" s="12" t="inlineStr"/>
      <c r="F4468" s="12" t="inlineStr">
        <is>
          <t>PCM: power control module</t>
        </is>
      </c>
      <c r="G4468" s="12" t="inlineStr"/>
      <c r="H4468" s="12" t="inlineStr">
        <is>
          <t>Fuel-cell inverter / AC cabinet / desulfurizer</t>
        </is>
      </c>
      <c r="I4468" s="12" t="inlineStr">
        <is>
          <t>Instrumentation</t>
        </is>
      </c>
      <c r="J4468" s="12" t="inlineStr">
        <is>
          <t>Instrumentation ITC / PLTC, IS, #18 shielded pairs, blue jacket</t>
        </is>
      </c>
      <c r="K4468" s="12" t="inlineStr">
        <is>
          <t>ITC|4 pr|18</t>
        </is>
      </c>
      <c r="L4468" s="12" t="inlineStr">
        <is>
          <t>4 pr</t>
        </is>
      </c>
      <c r="M4468" s="12" t="inlineStr">
        <is>
          <t>18</t>
        </is>
      </c>
      <c r="N4468" s="12" t="n">
        <v>1</v>
      </c>
      <c r="O4468" s="12" t="n">
        <v>1</v>
      </c>
      <c r="P4468" s="12" t="n"/>
      <c r="Q4468" s="12" t="n"/>
      <c r="R4468" s="12" t="n"/>
      <c r="S4468" s="12" t="inlineStr">
        <is>
          <t>Duct bank</t>
        </is>
      </c>
      <c r="T4468" s="16" t="n">
        <v>1050</v>
      </c>
      <c r="U4468" s="16" t="n">
        <v>32</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I-I-0107</t>
        </is>
      </c>
      <c r="B4469" s="12" t="inlineStr">
        <is>
          <t>I</t>
        </is>
      </c>
      <c r="C4469" s="12" t="inlineStr">
        <is>
          <t>Modular / portable power</t>
        </is>
      </c>
      <c r="D4469" s="12" t="inlineStr">
        <is>
          <t>Thermocouples</t>
        </is>
      </c>
      <c r="E4469" s="12" t="inlineStr"/>
      <c r="F4469" s="12" t="inlineStr">
        <is>
          <t>PCM: power control module</t>
        </is>
      </c>
      <c r="G4469" s="12" t="inlineStr"/>
      <c r="H4469" s="12" t="inlineStr">
        <is>
          <t>Fuel-cell inverter / AC cabinet / desulfurizer</t>
        </is>
      </c>
      <c r="I4469" s="12" t="inlineStr">
        <is>
          <t>Instrumentation</t>
        </is>
      </c>
      <c r="J4469" s="12" t="inlineStr">
        <is>
          <t>Thermocouple extension KX, #16 shielded pairs, PLTC</t>
        </is>
      </c>
      <c r="K4469" s="12" t="inlineStr">
        <is>
          <t>TCX|12 pr|16</t>
        </is>
      </c>
      <c r="L4469" s="12" t="inlineStr">
        <is>
          <t>12 pr</t>
        </is>
      </c>
      <c r="M4469" s="12" t="inlineStr">
        <is>
          <t>16</t>
        </is>
      </c>
      <c r="N4469" s="12" t="n">
        <v>1</v>
      </c>
      <c r="O4469" s="12" t="n">
        <v>1</v>
      </c>
      <c r="P4469" s="12" t="n"/>
      <c r="Q4469" s="12" t="n"/>
      <c r="R4469" s="12" t="n"/>
      <c r="S4469" s="12" t="inlineStr">
        <is>
          <t>Duct bank</t>
        </is>
      </c>
      <c r="T4469" s="16" t="n">
        <v>1050</v>
      </c>
      <c r="U4469" s="16" t="n">
        <v>32</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I-I-0108</t>
        </is>
      </c>
      <c r="B4470" s="12" t="inlineStr">
        <is>
          <t>I</t>
        </is>
      </c>
      <c r="C4470" s="12" t="inlineStr">
        <is>
          <t>Modular / portable power</t>
        </is>
      </c>
      <c r="D4470" s="12" t="inlineStr">
        <is>
          <t>Thermocouples</t>
        </is>
      </c>
      <c r="E4470" s="12" t="inlineStr"/>
      <c r="F4470" s="12" t="inlineStr">
        <is>
          <t>PCM: power control module</t>
        </is>
      </c>
      <c r="G4470" s="12" t="inlineStr"/>
      <c r="H4470" s="12" t="inlineStr">
        <is>
          <t>Fuel-cell inverter / AC cabinet / desulfurizer</t>
        </is>
      </c>
      <c r="I4470" s="12" t="inlineStr">
        <is>
          <t>Instrumentation</t>
        </is>
      </c>
      <c r="J4470" s="12" t="inlineStr">
        <is>
          <t>Thermocouple extension KX, #16 shielded pairs, PLTC</t>
        </is>
      </c>
      <c r="K4470" s="12" t="inlineStr">
        <is>
          <t>TCX|12 pr|16</t>
        </is>
      </c>
      <c r="L4470" s="12" t="inlineStr">
        <is>
          <t>12 pr</t>
        </is>
      </c>
      <c r="M4470" s="12" t="inlineStr">
        <is>
          <t>16</t>
        </is>
      </c>
      <c r="N4470" s="12" t="n">
        <v>1</v>
      </c>
      <c r="O4470" s="12" t="n">
        <v>1</v>
      </c>
      <c r="P4470" s="12" t="n"/>
      <c r="Q4470" s="12" t="n"/>
      <c r="R4470" s="12" t="n"/>
      <c r="S4470" s="12" t="inlineStr">
        <is>
          <t>Duct bank</t>
        </is>
      </c>
      <c r="T4470" s="16" t="n">
        <v>1050</v>
      </c>
      <c r="U4470" s="16" t="n">
        <v>32</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I-I-0109</t>
        </is>
      </c>
      <c r="B4471" s="12" t="inlineStr">
        <is>
          <t>I</t>
        </is>
      </c>
      <c r="C4471" s="12" t="inlineStr">
        <is>
          <t>Modular / portable power</t>
        </is>
      </c>
      <c r="D4471" s="12" t="inlineStr">
        <is>
          <t>Analog instrument to JB JB-Fuel-gas compresso-AI01: 20 x 1 pr (field cables)</t>
        </is>
      </c>
      <c r="E4471" s="12" t="inlineStr"/>
      <c r="F4471" s="12" t="inlineStr">
        <is>
          <t>Fuel-gas compressors 3 x 100% electric</t>
        </is>
      </c>
      <c r="G4471" s="12" t="inlineStr">
        <is>
          <t>JB-Fuel-gas compresso-AI01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I-I-0110</t>
        </is>
      </c>
      <c r="B4472" s="12" t="inlineStr">
        <is>
          <t>I</t>
        </is>
      </c>
      <c r="C4472" s="12" t="inlineStr">
        <is>
          <t>Modular / portable power</t>
        </is>
      </c>
      <c r="D4472" s="12" t="inlineStr">
        <is>
          <t>Home run JB-Fuel-gas compresso-AI01 to the control / marshalling room</t>
        </is>
      </c>
      <c r="E4472" s="12" t="inlineStr"/>
      <c r="F4472" s="12" t="inlineStr">
        <is>
          <t>PCM: power control module</t>
        </is>
      </c>
      <c r="G4472" s="12" t="inlineStr">
        <is>
          <t>JB-Fuel-gas compresso-AI01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4458</v>
      </c>
      <c r="U4472" s="16" t="n">
        <v>33</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I-I-0111</t>
        </is>
      </c>
      <c r="B4473" s="12" t="inlineStr">
        <is>
          <t>I</t>
        </is>
      </c>
      <c r="C4473" s="12" t="inlineStr">
        <is>
          <t>Modular / portable power</t>
        </is>
      </c>
      <c r="D4473" s="12" t="inlineStr">
        <is>
          <t>Analog instrument to JB JB-Fuel-gas compresso-AI02: 10 x 1 pr (field cables)</t>
        </is>
      </c>
      <c r="E4473" s="12" t="inlineStr"/>
      <c r="F4473" s="12" t="inlineStr">
        <is>
          <t>Fuel-gas compressors 3 x 100% electric</t>
        </is>
      </c>
      <c r="G4473" s="12" t="inlineStr">
        <is>
          <t>JB-Fuel-gas compresso-AI02</t>
        </is>
      </c>
      <c r="H4473" s="12" t="inlineStr">
        <is>
          <t>Fuel-gas compressors 3 x 100% electric</t>
        </is>
      </c>
      <c r="I4473" s="12" t="inlineStr">
        <is>
          <t>Instrumentation</t>
        </is>
      </c>
      <c r="J4473" s="12" t="inlineStr">
        <is>
          <t>Instrumentation ITC / PLTC, IS, #18 shielded pairs, blue jacket</t>
        </is>
      </c>
      <c r="K4473" s="12" t="inlineStr">
        <is>
          <t>ITC|1 pr|16</t>
        </is>
      </c>
      <c r="L4473" s="12" t="inlineStr">
        <is>
          <t>1 pr</t>
        </is>
      </c>
      <c r="M4473" s="12" t="inlineStr">
        <is>
          <t>16</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I-I-0112</t>
        </is>
      </c>
      <c r="B4474" s="12" t="inlineStr">
        <is>
          <t>I</t>
        </is>
      </c>
      <c r="C4474" s="12" t="inlineStr">
        <is>
          <t>Modular / portable power</t>
        </is>
      </c>
      <c r="D4474" s="12" t="inlineStr">
        <is>
          <t>Home run JB-Fuel-gas compresso-AI02 to the control / marshalling room</t>
        </is>
      </c>
      <c r="E4474" s="12" t="inlineStr"/>
      <c r="F4474" s="12" t="inlineStr">
        <is>
          <t>PCM: power control module</t>
        </is>
      </c>
      <c r="G4474" s="12" t="inlineStr">
        <is>
          <t>JB-Fuel-gas compresso-AI02</t>
        </is>
      </c>
      <c r="H4474" s="12" t="inlineStr">
        <is>
          <t>Fuel-gas compressors 3 x 100% electric</t>
        </is>
      </c>
      <c r="I4474" s="12" t="inlineStr">
        <is>
          <t>Instrumentation</t>
        </is>
      </c>
      <c r="J4474" s="12" t="inlineStr">
        <is>
          <t>Instrumentation ITC / PLTC, IS, #18 shielded pairs, blue jacket</t>
        </is>
      </c>
      <c r="K4474" s="12" t="inlineStr">
        <is>
          <t>ITC|24 pr|18</t>
        </is>
      </c>
      <c r="L4474" s="12" t="inlineStr">
        <is>
          <t>24 pr</t>
        </is>
      </c>
      <c r="M4474" s="12" t="inlineStr">
        <is>
          <t>18</t>
        </is>
      </c>
      <c r="N4474" s="12" t="n">
        <v>1</v>
      </c>
      <c r="O4474" s="12" t="n">
        <v>1</v>
      </c>
      <c r="P4474" s="12" t="n"/>
      <c r="Q4474" s="12" t="n"/>
      <c r="R4474" s="12" t="n"/>
      <c r="S4474" s="12" t="inlineStr">
        <is>
          <t>HV duct bank</t>
        </is>
      </c>
      <c r="T4474" s="16" t="n">
        <v>4458</v>
      </c>
      <c r="U4474" s="16" t="n">
        <v>33</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I-I-0113</t>
        </is>
      </c>
      <c r="B4475" s="12" t="inlineStr">
        <is>
          <t>I</t>
        </is>
      </c>
      <c r="C4475" s="12" t="inlineStr">
        <is>
          <t>Modular / portable power</t>
        </is>
      </c>
      <c r="D4475" s="12" t="inlineStr">
        <is>
          <t>Discrete device to JB JB-Fuel-gas compresso-DI01: 20 x 1 pr (field cables)</t>
        </is>
      </c>
      <c r="E4475" s="12" t="inlineStr"/>
      <c r="F4475" s="12" t="inlineStr">
        <is>
          <t>Fuel-gas compressors 3 x 100% electric</t>
        </is>
      </c>
      <c r="G4475" s="12" t="inlineStr">
        <is>
          <t>JB-Fuel-gas compresso-DI01</t>
        </is>
      </c>
      <c r="H4475" s="12" t="inlineStr">
        <is>
          <t>Fuel-gas compressors 3 x 100% electric</t>
        </is>
      </c>
      <c r="I4475" s="12" t="inlineStr">
        <is>
          <t>Instrumentation</t>
        </is>
      </c>
      <c r="J4475" s="12" t="inlineStr">
        <is>
          <t>Instrumentation ITC / PLTC, IS, #18 shielded pairs, blue jacket</t>
        </is>
      </c>
      <c r="K4475" s="12" t="inlineStr">
        <is>
          <t>ITC|1 pr|16</t>
        </is>
      </c>
      <c r="L4475" s="12" t="inlineStr">
        <is>
          <t>1 pr</t>
        </is>
      </c>
      <c r="M4475" s="12" t="inlineStr">
        <is>
          <t>16</t>
        </is>
      </c>
      <c r="N4475" s="12" t="n">
        <v>20</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I-I-0114</t>
        </is>
      </c>
      <c r="B4476" s="12" t="inlineStr">
        <is>
          <t>I</t>
        </is>
      </c>
      <c r="C4476" s="12" t="inlineStr">
        <is>
          <t>Modular / portable power</t>
        </is>
      </c>
      <c r="D4476" s="12" t="inlineStr">
        <is>
          <t>Home run JB-Fuel-gas compresso-DI01 to the control / marshalling room</t>
        </is>
      </c>
      <c r="E4476" s="12" t="inlineStr"/>
      <c r="F4476" s="12" t="inlineStr">
        <is>
          <t>PCM: power control module</t>
        </is>
      </c>
      <c r="G4476" s="12" t="inlineStr">
        <is>
          <t>JB-Fuel-gas compresso-DI01</t>
        </is>
      </c>
      <c r="H4476" s="12" t="inlineStr">
        <is>
          <t>Fuel-gas compressors 3 x 100% electric</t>
        </is>
      </c>
      <c r="I4476" s="12" t="inlineStr">
        <is>
          <t>Instrumentation</t>
        </is>
      </c>
      <c r="J4476" s="12" t="inlineStr">
        <is>
          <t>Instrumentation ITC / PLTC, IS, #18 shielded pairs, blue jacket</t>
        </is>
      </c>
      <c r="K4476" s="12" t="inlineStr">
        <is>
          <t>ITC|24 pr|18</t>
        </is>
      </c>
      <c r="L4476" s="12" t="inlineStr">
        <is>
          <t>24 pr</t>
        </is>
      </c>
      <c r="M4476" s="12" t="inlineStr">
        <is>
          <t>18</t>
        </is>
      </c>
      <c r="N4476" s="12" t="n">
        <v>1</v>
      </c>
      <c r="O4476" s="12" t="n">
        <v>1</v>
      </c>
      <c r="P4476" s="12" t="n"/>
      <c r="Q4476" s="12" t="n"/>
      <c r="R4476" s="12" t="n"/>
      <c r="S4476" s="12" t="inlineStr">
        <is>
          <t>HV duct bank</t>
        </is>
      </c>
      <c r="T4476" s="16" t="n">
        <v>4458</v>
      </c>
      <c r="U4476" s="16" t="n">
        <v>33</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I-I-0115</t>
        </is>
      </c>
      <c r="B4477" s="12" t="inlineStr">
        <is>
          <t>I</t>
        </is>
      </c>
      <c r="C4477" s="12" t="inlineStr">
        <is>
          <t>Modular / portable power</t>
        </is>
      </c>
      <c r="D4477" s="12" t="inlineStr">
        <is>
          <t>RTD to JB JB-Fuel-gas compresso-RTD01: 10 x 1 tri (field cables)</t>
        </is>
      </c>
      <c r="E4477" s="12" t="inlineStr"/>
      <c r="F4477" s="12" t="inlineStr">
        <is>
          <t>Fuel-gas compressors 3 x 100% electric</t>
        </is>
      </c>
      <c r="G4477" s="12" t="inlineStr">
        <is>
          <t>JB-Fuel-gas compresso-RTD01</t>
        </is>
      </c>
      <c r="H4477" s="12" t="inlineStr">
        <is>
          <t>Fuel-gas compressors 3 x 100% electric</t>
        </is>
      </c>
      <c r="I4477" s="12" t="inlineStr">
        <is>
          <t>Instrumentation</t>
        </is>
      </c>
      <c r="J4477" s="12" t="inlineStr">
        <is>
          <t>RTD cable, #18 shielded triads, PLTC</t>
        </is>
      </c>
      <c r="K4477" s="12" t="inlineStr">
        <is>
          <t>RTD|1 tri|18</t>
        </is>
      </c>
      <c r="L4477" s="12" t="inlineStr">
        <is>
          <t>1 tri</t>
        </is>
      </c>
      <c r="M4477" s="12" t="inlineStr">
        <is>
          <t>18</t>
        </is>
      </c>
      <c r="N4477" s="12" t="n">
        <v>10</v>
      </c>
      <c r="O4477" s="12" t="n">
        <v>1</v>
      </c>
      <c r="P4477" s="12" t="n"/>
      <c r="Q4477" s="12" t="n"/>
      <c r="R4477" s="12" t="n"/>
      <c r="S4477" s="12" t="inlineStr">
        <is>
          <t>Tray / conduit</t>
        </is>
      </c>
      <c r="T4477" s="16" t="n">
        <v>103</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I-I-0116</t>
        </is>
      </c>
      <c r="B4478" s="12" t="inlineStr">
        <is>
          <t>I</t>
        </is>
      </c>
      <c r="C4478" s="12" t="inlineStr">
        <is>
          <t>Modular / portable power</t>
        </is>
      </c>
      <c r="D4478" s="12" t="inlineStr">
        <is>
          <t>Home run JB-Fuel-gas compresso-RTD01 to the control / marshalling room</t>
        </is>
      </c>
      <c r="E4478" s="12" t="inlineStr"/>
      <c r="F4478" s="12" t="inlineStr">
        <is>
          <t>PCM: power control module</t>
        </is>
      </c>
      <c r="G4478" s="12" t="inlineStr">
        <is>
          <t>JB-Fuel-gas compresso-RTD01</t>
        </is>
      </c>
      <c r="H4478" s="12" t="inlineStr">
        <is>
          <t>Fuel-gas compressors 3 x 100% electric</t>
        </is>
      </c>
      <c r="I4478" s="12" t="inlineStr">
        <is>
          <t>Instrumentation</t>
        </is>
      </c>
      <c r="J4478" s="12" t="inlineStr">
        <is>
          <t>RTD cable, #18 shielded triads, PLTC</t>
        </is>
      </c>
      <c r="K4478" s="12" t="inlineStr">
        <is>
          <t>RTD|12 tri|18</t>
        </is>
      </c>
      <c r="L4478" s="12" t="inlineStr">
        <is>
          <t>12 tri</t>
        </is>
      </c>
      <c r="M4478" s="12" t="inlineStr">
        <is>
          <t>18</t>
        </is>
      </c>
      <c r="N4478" s="12" t="n">
        <v>1</v>
      </c>
      <c r="O4478" s="12" t="n">
        <v>1</v>
      </c>
      <c r="P4478" s="12" t="n"/>
      <c r="Q4478" s="12" t="n"/>
      <c r="R4478" s="12" t="n"/>
      <c r="S4478" s="12" t="inlineStr">
        <is>
          <t>HV duct bank</t>
        </is>
      </c>
      <c r="T4478" s="16" t="n">
        <v>4458</v>
      </c>
      <c r="U4478" s="16" t="n">
        <v>33</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I-I-0117</t>
        </is>
      </c>
      <c r="B4479" s="12" t="inlineStr">
        <is>
          <t>I</t>
        </is>
      </c>
      <c r="C4479" s="12" t="inlineStr">
        <is>
          <t>Modular / portable power</t>
        </is>
      </c>
      <c r="D4479" s="12" t="inlineStr">
        <is>
          <t>RTD to JB JB-Fuel-gas compresso-RTD02: 2 x 1 tri (field cables)</t>
        </is>
      </c>
      <c r="E4479" s="12" t="inlineStr"/>
      <c r="F4479" s="12" t="inlineStr">
        <is>
          <t>Fuel-gas compressors 3 x 100% electric</t>
        </is>
      </c>
      <c r="G4479" s="12" t="inlineStr">
        <is>
          <t>JB-Fuel-gas compresso-RTD02</t>
        </is>
      </c>
      <c r="H4479" s="12" t="inlineStr">
        <is>
          <t>Fuel-gas compressors 3 x 100% electric</t>
        </is>
      </c>
      <c r="I4479" s="12" t="inlineStr">
        <is>
          <t>Instrumentation</t>
        </is>
      </c>
      <c r="J4479" s="12" t="inlineStr">
        <is>
          <t>RTD cable, #18 shielded triads, PLTC</t>
        </is>
      </c>
      <c r="K4479" s="12" t="inlineStr">
        <is>
          <t>RTD|1 tri|18</t>
        </is>
      </c>
      <c r="L4479" s="12" t="inlineStr">
        <is>
          <t>1 tri</t>
        </is>
      </c>
      <c r="M4479" s="12" t="inlineStr">
        <is>
          <t>18</t>
        </is>
      </c>
      <c r="N4479" s="12" t="n">
        <v>2</v>
      </c>
      <c r="O4479" s="12" t="n">
        <v>1</v>
      </c>
      <c r="P4479" s="12" t="n"/>
      <c r="Q4479" s="12" t="n"/>
      <c r="R4479" s="12" t="n"/>
      <c r="S4479" s="12" t="inlineStr">
        <is>
          <t>Tray / conduit</t>
        </is>
      </c>
      <c r="T4479" s="16" t="n">
        <v>103</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I-I-0118</t>
        </is>
      </c>
      <c r="B4480" s="12" t="inlineStr">
        <is>
          <t>I</t>
        </is>
      </c>
      <c r="C4480" s="12" t="inlineStr">
        <is>
          <t>Modular / portable power</t>
        </is>
      </c>
      <c r="D4480" s="12" t="inlineStr">
        <is>
          <t>Home run JB-Fuel-gas compresso-RTD02 to the control / marshalling room</t>
        </is>
      </c>
      <c r="E4480" s="12" t="inlineStr"/>
      <c r="F4480" s="12" t="inlineStr">
        <is>
          <t>PCM: power control module</t>
        </is>
      </c>
      <c r="G4480" s="12" t="inlineStr">
        <is>
          <t>JB-Fuel-gas compresso-RTD02</t>
        </is>
      </c>
      <c r="H4480" s="12" t="inlineStr">
        <is>
          <t>Fuel-gas compressors 3 x 100% electric</t>
        </is>
      </c>
      <c r="I4480" s="12" t="inlineStr">
        <is>
          <t>Instrumentation</t>
        </is>
      </c>
      <c r="J4480" s="12" t="inlineStr">
        <is>
          <t>RTD cable, #18 shielded triads, PLTC</t>
        </is>
      </c>
      <c r="K4480" s="12" t="inlineStr">
        <is>
          <t>RTD|12 tri|18</t>
        </is>
      </c>
      <c r="L4480" s="12" t="inlineStr">
        <is>
          <t>12 tri</t>
        </is>
      </c>
      <c r="M4480" s="12" t="inlineStr">
        <is>
          <t>18</t>
        </is>
      </c>
      <c r="N4480" s="12" t="n">
        <v>1</v>
      </c>
      <c r="O4480" s="12" t="n">
        <v>1</v>
      </c>
      <c r="P4480" s="12" t="n"/>
      <c r="Q4480" s="12" t="n"/>
      <c r="R4480" s="12" t="n"/>
      <c r="S4480" s="12" t="inlineStr">
        <is>
          <t>HV duct bank</t>
        </is>
      </c>
      <c r="T4480" s="16" t="n">
        <v>4458</v>
      </c>
      <c r="U4480" s="16" t="n">
        <v>33</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I-I-0119</t>
        </is>
      </c>
      <c r="B4481" s="12" t="inlineStr">
        <is>
          <t>I</t>
        </is>
      </c>
      <c r="C4481" s="12" t="inlineStr">
        <is>
          <t>Modular / portable power</t>
        </is>
      </c>
      <c r="D4481" s="12" t="inlineStr">
        <is>
          <t>Analog instrument to JB JB-GEN-E-AI01: 20 x 1 pr (field cables)</t>
        </is>
      </c>
      <c r="E4481" s="12" t="inlineStr">
        <is>
          <t>GEN-E</t>
        </is>
      </c>
      <c r="F4481" s="12" t="inlineStr">
        <is>
          <t>GEN-E: enclosed industrial gas genset 2 MW</t>
        </is>
      </c>
      <c r="G4481" s="12" t="inlineStr">
        <is>
          <t>JB-GEN-E-AI01</t>
        </is>
      </c>
      <c r="H4481" s="12" t="inlineStr">
        <is>
          <t>GEN-E: enclosed industrial gas genset 2 MW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60</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I-I-0120</t>
        </is>
      </c>
      <c r="B4482" s="12" t="inlineStr">
        <is>
          <t>I</t>
        </is>
      </c>
      <c r="C4482" s="12" t="inlineStr">
        <is>
          <t>Modular / portable power</t>
        </is>
      </c>
      <c r="D4482" s="12" t="inlineStr">
        <is>
          <t>Home run JB-GEN-E-AI01 to the control / marshalling room</t>
        </is>
      </c>
      <c r="E4482" s="12" t="inlineStr">
        <is>
          <t>PAD-EH</t>
        </is>
      </c>
      <c r="F4482" s="12" t="inlineStr">
        <is>
          <t>PAD-EH 13.8 kV switchgear e-house</t>
        </is>
      </c>
      <c r="G4482" s="12" t="inlineStr">
        <is>
          <t>JB-GEN-E-AI01</t>
        </is>
      </c>
      <c r="H4482" s="12" t="inlineStr">
        <is>
          <t>GEN-E: enclosed industrial gas genset 2 MW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165</v>
      </c>
      <c r="U4482" s="16" t="n">
        <v>27</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I-I-0121</t>
        </is>
      </c>
      <c r="B4483" s="12" t="inlineStr">
        <is>
          <t>I</t>
        </is>
      </c>
      <c r="C4483" s="12" t="inlineStr">
        <is>
          <t>Modular / portable power</t>
        </is>
      </c>
      <c r="D4483" s="12" t="inlineStr">
        <is>
          <t>Discrete device to JB JB-GEN-E-DI01: 20 x 1 pr (field cables)</t>
        </is>
      </c>
      <c r="E4483" s="12" t="inlineStr">
        <is>
          <t>GEN-E</t>
        </is>
      </c>
      <c r="F4483" s="12" t="inlineStr">
        <is>
          <t>GEN-E: enclosed industrial gas genset 2 MW</t>
        </is>
      </c>
      <c r="G4483" s="12" t="inlineStr">
        <is>
          <t>JB-GEN-E-DI01</t>
        </is>
      </c>
      <c r="H4483" s="12" t="inlineStr">
        <is>
          <t>GEN-E: enclosed industrial gas genset 2 MW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60</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I-I-0122</t>
        </is>
      </c>
      <c r="B4484" s="12" t="inlineStr">
        <is>
          <t>I</t>
        </is>
      </c>
      <c r="C4484" s="12" t="inlineStr">
        <is>
          <t>Modular / portable power</t>
        </is>
      </c>
      <c r="D4484" s="12" t="inlineStr">
        <is>
          <t>Home run JB-GEN-E-DI01 to the control / marshalling room</t>
        </is>
      </c>
      <c r="E4484" s="12" t="inlineStr">
        <is>
          <t>PAD-EH</t>
        </is>
      </c>
      <c r="F4484" s="12" t="inlineStr">
        <is>
          <t>PAD-EH 13.8 kV switchgear e-house</t>
        </is>
      </c>
      <c r="G4484" s="12" t="inlineStr">
        <is>
          <t>JB-GEN-E-DI01</t>
        </is>
      </c>
      <c r="H4484" s="12" t="inlineStr">
        <is>
          <t>GEN-E: enclosed industrial gas genset 2 MW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165</v>
      </c>
      <c r="U4484" s="16" t="n">
        <v>27</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I-I-0123</t>
        </is>
      </c>
      <c r="B4485" s="12" t="inlineStr">
        <is>
          <t>I</t>
        </is>
      </c>
      <c r="C4485" s="12" t="inlineStr">
        <is>
          <t>Modular / portable power</t>
        </is>
      </c>
      <c r="D4485" s="12" t="inlineStr">
        <is>
          <t>Analog instrument to JB JB-GEN-O-AI01: 20 x 1 pr (field cables)</t>
        </is>
      </c>
      <c r="E4485" s="12" t="inlineStr">
        <is>
          <t>GEN-O</t>
        </is>
      </c>
      <c r="F4485" s="12" t="inlineStr">
        <is>
          <t>GEN-O: open engine-generator skid</t>
        </is>
      </c>
      <c r="G4485" s="12" t="inlineStr">
        <is>
          <t>JB-GEN-O-AI01</t>
        </is>
      </c>
      <c r="H4485" s="12" t="inlineStr">
        <is>
          <t>GEN-O: open engine-generator skid</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20</v>
      </c>
      <c r="O4485" s="12" t="n">
        <v>1</v>
      </c>
      <c r="P4485" s="12" t="n"/>
      <c r="Q4485" s="12" t="n"/>
      <c r="R4485" s="12" t="n"/>
      <c r="S4485" s="12" t="inlineStr">
        <is>
          <t>Tray / conduit</t>
        </is>
      </c>
      <c r="T4485" s="16" t="n">
        <v>45</v>
      </c>
      <c r="U4485" s="16" t="n">
        <v>10</v>
      </c>
      <c r="V4485" s="16">
        <f>ROUNDUP((T4485+U4485+2*'Read Me'!$B$13)*(1+'Read Me'!$B$12),-1)</f>
        <v/>
      </c>
      <c r="W4485" s="16">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I-I-0124</t>
        </is>
      </c>
      <c r="B4486" s="12" t="inlineStr">
        <is>
          <t>I</t>
        </is>
      </c>
      <c r="C4486" s="12" t="inlineStr">
        <is>
          <t>Modular / portable power</t>
        </is>
      </c>
      <c r="D4486" s="12" t="inlineStr">
        <is>
          <t>Home run JB-GEN-O-AI01 to the control / marshalling room</t>
        </is>
      </c>
      <c r="E4486" s="12" t="inlineStr">
        <is>
          <t>PAD-EH</t>
        </is>
      </c>
      <c r="F4486" s="12" t="inlineStr">
        <is>
          <t>PAD-EH 13.8 kV switchgear e-house</t>
        </is>
      </c>
      <c r="G4486" s="12" t="inlineStr">
        <is>
          <t>JB-GEN-O-AI01</t>
        </is>
      </c>
      <c r="H4486" s="12" t="inlineStr">
        <is>
          <t>GEN-O: open engine-generator skid</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Surface</t>
        </is>
      </c>
      <c r="T4486" s="16" t="n">
        <v>165</v>
      </c>
      <c r="U4486" s="16" t="n">
        <v>74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I-I-0125</t>
        </is>
      </c>
      <c r="B4487" s="12" t="inlineStr">
        <is>
          <t>I</t>
        </is>
      </c>
      <c r="C4487" s="12" t="inlineStr">
        <is>
          <t>Modular / portable power</t>
        </is>
      </c>
      <c r="D4487" s="12" t="inlineStr">
        <is>
          <t>Discrete device to JB JB-GEN-O-DI01: 20 x 1 pr (field cables)</t>
        </is>
      </c>
      <c r="E4487" s="12" t="inlineStr">
        <is>
          <t>GEN-O</t>
        </is>
      </c>
      <c r="F4487" s="12" t="inlineStr">
        <is>
          <t>GEN-O: open engine-generator skid</t>
        </is>
      </c>
      <c r="G4487" s="12" t="inlineStr">
        <is>
          <t>JB-GEN-O-DI01</t>
        </is>
      </c>
      <c r="H4487" s="12" t="inlineStr">
        <is>
          <t>GEN-O: open engine-generator skid</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45</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I-I-0126</t>
        </is>
      </c>
      <c r="B4488" s="12" t="inlineStr">
        <is>
          <t>I</t>
        </is>
      </c>
      <c r="C4488" s="12" t="inlineStr">
        <is>
          <t>Modular / portable power</t>
        </is>
      </c>
      <c r="D4488" s="12" t="inlineStr">
        <is>
          <t>Home run JB-GEN-O-DI01 to the control / marshalling room</t>
        </is>
      </c>
      <c r="E4488" s="12" t="inlineStr">
        <is>
          <t>PAD-EH</t>
        </is>
      </c>
      <c r="F4488" s="12" t="inlineStr">
        <is>
          <t>PAD-EH 13.8 kV switchgear e-house</t>
        </is>
      </c>
      <c r="G4488" s="12" t="inlineStr">
        <is>
          <t>JB-GEN-O-DI01</t>
        </is>
      </c>
      <c r="H4488" s="12" t="inlineStr">
        <is>
          <t>GEN-O: open engine-generator skid</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165</v>
      </c>
      <c r="U4488" s="16" t="n">
        <v>74</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I-I-0127</t>
        </is>
      </c>
      <c r="B4489" s="12" t="inlineStr">
        <is>
          <t>I</t>
        </is>
      </c>
      <c r="C4489" s="12" t="inlineStr">
        <is>
          <t>Modular / portable power</t>
        </is>
      </c>
      <c r="D4489" s="12" t="inlineStr">
        <is>
          <t>Instrumentation</t>
        </is>
      </c>
      <c r="E4489" s="12" t="inlineStr"/>
      <c r="F4489" s="12" t="inlineStr">
        <is>
          <t>PCM: power control module</t>
        </is>
      </c>
      <c r="G4489" s="12" t="inlineStr"/>
      <c r="H4489" s="12" t="inlineStr">
        <is>
          <t>Gas conditioning skid</t>
        </is>
      </c>
      <c r="I4489" s="12" t="inlineStr">
        <is>
          <t>Instrumentation</t>
        </is>
      </c>
      <c r="J4489" s="12" t="inlineStr">
        <is>
          <t>Instrumentation ITC / PLTC, IS, #18 shielded pairs, blue jacket</t>
        </is>
      </c>
      <c r="K4489" s="12" t="inlineStr">
        <is>
          <t>ITC|4 pr|18</t>
        </is>
      </c>
      <c r="L4489" s="12" t="inlineStr">
        <is>
          <t>4 pr</t>
        </is>
      </c>
      <c r="M4489" s="12" t="inlineStr">
        <is>
          <t>18</t>
        </is>
      </c>
      <c r="N4489" s="12" t="n">
        <v>1</v>
      </c>
      <c r="O4489" s="12" t="n">
        <v>1</v>
      </c>
      <c r="P4489" s="12" t="n"/>
      <c r="Q4489" s="12" t="n"/>
      <c r="R4489" s="12" t="n"/>
      <c r="S4489" s="12" t="inlineStr">
        <is>
          <t>Tray</t>
        </is>
      </c>
      <c r="T4489" s="16" t="n">
        <v>32</v>
      </c>
      <c r="U4489" s="16" t="n">
        <v>94</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I-I-0128</t>
        </is>
      </c>
      <c r="B4490" s="12" t="inlineStr">
        <is>
          <t>I</t>
        </is>
      </c>
      <c r="C4490" s="12" t="inlineStr">
        <is>
          <t>Modular / portable power</t>
        </is>
      </c>
      <c r="D4490" s="12" t="inlineStr">
        <is>
          <t>Instrumentation</t>
        </is>
      </c>
      <c r="E4490" s="12" t="inlineStr"/>
      <c r="F4490" s="12" t="inlineStr">
        <is>
          <t>PCM: power control module</t>
        </is>
      </c>
      <c r="G4490" s="12" t="inlineStr"/>
      <c r="H4490" s="12" t="inlineStr">
        <is>
          <t>Gas conditioning skid</t>
        </is>
      </c>
      <c r="I4490" s="12" t="inlineStr">
        <is>
          <t>Instrumentation</t>
        </is>
      </c>
      <c r="J4490" s="12" t="inlineStr">
        <is>
          <t>Instrumentation ITC / PLTC, IS, #18 shielded pairs, blue jacket</t>
        </is>
      </c>
      <c r="K4490" s="12" t="inlineStr">
        <is>
          <t>ITC|12 pr|18</t>
        </is>
      </c>
      <c r="L4490" s="12" t="inlineStr">
        <is>
          <t>12 pr</t>
        </is>
      </c>
      <c r="M4490" s="12" t="inlineStr">
        <is>
          <t>18</t>
        </is>
      </c>
      <c r="N4490" s="12" t="n">
        <v>1</v>
      </c>
      <c r="O4490" s="12" t="n">
        <v>1</v>
      </c>
      <c r="P4490" s="12" t="n"/>
      <c r="Q4490" s="12" t="n"/>
      <c r="R4490" s="12" t="n"/>
      <c r="S4490" s="12" t="inlineStr">
        <is>
          <t>Tray</t>
        </is>
      </c>
      <c r="T4490" s="16" t="n">
        <v>32</v>
      </c>
      <c r="U4490" s="16" t="n">
        <v>94</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I-I-0129</t>
        </is>
      </c>
      <c r="B4491" s="12" t="inlineStr">
        <is>
          <t>I</t>
        </is>
      </c>
      <c r="C4491" s="12" t="inlineStr">
        <is>
          <t>Modular / portable power</t>
        </is>
      </c>
      <c r="D4491" s="12" t="inlineStr">
        <is>
          <t>Analog instrument to JB JB-MOB-1-AI01: 20 x 1 pr (field cables)</t>
        </is>
      </c>
      <c r="E4491" s="12" t="inlineStr">
        <is>
          <t>MOB-1</t>
        </is>
      </c>
      <c r="F4491" s="12" t="inlineStr">
        <is>
          <t>MOB-1: trailer genset</t>
        </is>
      </c>
      <c r="G4491" s="12" t="inlineStr">
        <is>
          <t>JB-MOB-1-AI01</t>
        </is>
      </c>
      <c r="H4491" s="12" t="inlineStr">
        <is>
          <t>MOB-1: trailer genset</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20</v>
      </c>
      <c r="O4491" s="12" t="n">
        <v>1</v>
      </c>
      <c r="P4491" s="12" t="n"/>
      <c r="Q4491" s="12" t="n"/>
      <c r="R4491" s="12" t="n"/>
      <c r="S4491" s="12" t="inlineStr">
        <is>
          <t>Tray / conduit</t>
        </is>
      </c>
      <c r="T4491" s="16" t="n">
        <v>61</v>
      </c>
      <c r="U4491" s="16" t="n">
        <v>10</v>
      </c>
      <c r="V4491" s="16">
        <f>ROUNDUP((T4491+U4491+2*'Read Me'!$B$13)*(1+'Read Me'!$B$12),-1)</f>
        <v/>
      </c>
      <c r="W4491" s="16">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I-I-0130</t>
        </is>
      </c>
      <c r="B4492" s="12" t="inlineStr">
        <is>
          <t>I</t>
        </is>
      </c>
      <c r="C4492" s="12" t="inlineStr">
        <is>
          <t>Modular / portable power</t>
        </is>
      </c>
      <c r="D4492" s="12" t="inlineStr">
        <is>
          <t>Home run JB-MOB-1-AI01 to the control / marshalling room</t>
        </is>
      </c>
      <c r="E4492" s="12" t="inlineStr">
        <is>
          <t>PAD-EH</t>
        </is>
      </c>
      <c r="F4492" s="12" t="inlineStr">
        <is>
          <t>PAD-EH 13.8 kV switchgear e-house</t>
        </is>
      </c>
      <c r="G4492" s="12" t="inlineStr">
        <is>
          <t>JB-MOB-1-AI01</t>
        </is>
      </c>
      <c r="H4492" s="12" t="inlineStr">
        <is>
          <t>MOB-1: trailer genset</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Surface</t>
        </is>
      </c>
      <c r="T4492" s="16" t="n">
        <v>89</v>
      </c>
      <c r="U4492" s="16" t="n">
        <v>150</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I-I-0131</t>
        </is>
      </c>
      <c r="B4493" s="12" t="inlineStr">
        <is>
          <t>I</t>
        </is>
      </c>
      <c r="C4493" s="12" t="inlineStr">
        <is>
          <t>Modular / portable power</t>
        </is>
      </c>
      <c r="D4493" s="12" t="inlineStr">
        <is>
          <t>Discrete device to JB JB-MOB-1-DI01: 20 x 1 pr (field cables)</t>
        </is>
      </c>
      <c r="E4493" s="12" t="inlineStr">
        <is>
          <t>MOB-1</t>
        </is>
      </c>
      <c r="F4493" s="12" t="inlineStr">
        <is>
          <t>MOB-1: trailer genset</t>
        </is>
      </c>
      <c r="G4493" s="12" t="inlineStr">
        <is>
          <t>JB-MOB-1-DI01</t>
        </is>
      </c>
      <c r="H4493" s="12" t="inlineStr">
        <is>
          <t>MOB-1: trailer genset</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20</v>
      </c>
      <c r="O4493" s="12" t="n">
        <v>1</v>
      </c>
      <c r="P4493" s="12" t="n"/>
      <c r="Q4493" s="12" t="n"/>
      <c r="R4493" s="12" t="n"/>
      <c r="S4493" s="12" t="inlineStr">
        <is>
          <t>Tray / conduit</t>
        </is>
      </c>
      <c r="T4493" s="16" t="n">
        <v>61</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I-I-0132</t>
        </is>
      </c>
      <c r="B4494" s="12" t="inlineStr">
        <is>
          <t>I</t>
        </is>
      </c>
      <c r="C4494" s="12" t="inlineStr">
        <is>
          <t>Modular / portable power</t>
        </is>
      </c>
      <c r="D4494" s="12" t="inlineStr">
        <is>
          <t>Home run JB-MOB-1-DI01 to the control / marshalling room</t>
        </is>
      </c>
      <c r="E4494" s="12" t="inlineStr">
        <is>
          <t>PAD-EH</t>
        </is>
      </c>
      <c r="F4494" s="12" t="inlineStr">
        <is>
          <t>PAD-EH 13.8 kV switchgear e-house</t>
        </is>
      </c>
      <c r="G4494" s="12" t="inlineStr">
        <is>
          <t>JB-MOB-1-DI01</t>
        </is>
      </c>
      <c r="H4494" s="12" t="inlineStr">
        <is>
          <t>MOB-1: trailer genset</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Surface</t>
        </is>
      </c>
      <c r="T4494" s="16" t="n">
        <v>89</v>
      </c>
      <c r="U4494" s="16" t="n">
        <v>150</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I-I-0133</t>
        </is>
      </c>
      <c r="B4495" s="12" t="inlineStr">
        <is>
          <t>I</t>
        </is>
      </c>
      <c r="C4495" s="12" t="inlineStr">
        <is>
          <t>Modular / portable power</t>
        </is>
      </c>
      <c r="D4495" s="12" t="inlineStr">
        <is>
          <t>Instrumentation</t>
        </is>
      </c>
      <c r="E4495" s="12" t="inlineStr"/>
      <c r="F4495" s="12" t="inlineStr">
        <is>
          <t>PCM: power control module</t>
        </is>
      </c>
      <c r="G4495" s="12" t="inlineStr"/>
      <c r="H4495" s="12" t="inlineStr">
        <is>
          <t>MOD-LV 480 V board + 480 V : 13.8 kV step-up</t>
        </is>
      </c>
      <c r="I4495" s="12" t="inlineStr">
        <is>
          <t>Instrumentation</t>
        </is>
      </c>
      <c r="J4495" s="12" t="inlineStr">
        <is>
          <t>Instrumentation PLTC / TC-ER 300 V, #18 twisted shielded pairs, overall shield</t>
        </is>
      </c>
      <c r="K4495" s="12" t="inlineStr">
        <is>
          <t>PLTC|4 pr|18</t>
        </is>
      </c>
      <c r="L4495" s="12" t="inlineStr">
        <is>
          <t>4 pr</t>
        </is>
      </c>
      <c r="M4495" s="12" t="inlineStr">
        <is>
          <t>18</t>
        </is>
      </c>
      <c r="N4495" s="12" t="n">
        <v>1</v>
      </c>
      <c r="O4495" s="12" t="n">
        <v>1</v>
      </c>
      <c r="P4495" s="12" t="n"/>
      <c r="Q4495" s="12" t="n"/>
      <c r="R4495" s="12" t="n"/>
      <c r="S4495" s="12" t="inlineStr">
        <is>
          <t>Duct bank</t>
        </is>
      </c>
      <c r="T4495" s="16" t="n">
        <v>755</v>
      </c>
      <c r="U4495" s="16" t="n">
        <v>32</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I-I-0134</t>
        </is>
      </c>
      <c r="B4496" s="12" t="inlineStr">
        <is>
          <t>I</t>
        </is>
      </c>
      <c r="C4496" s="12" t="inlineStr">
        <is>
          <t>Modular / portable power</t>
        </is>
      </c>
      <c r="D4496" s="12" t="inlineStr">
        <is>
          <t>Analog instrument to JB JB-MT-1: microturbine-AI01: 6 x 1 pr (field cables)</t>
        </is>
      </c>
      <c r="E4496" s="12" t="inlineStr"/>
      <c r="F4496" s="12" t="inlineStr">
        <is>
          <t>MT-1: microturbine 1 MW (Capstone C1000 class)</t>
        </is>
      </c>
      <c r="G4496" s="12" t="inlineStr">
        <is>
          <t>JB-MT-1: microturbine-AI01</t>
        </is>
      </c>
      <c r="H4496" s="12" t="inlineStr">
        <is>
          <t>MT-1: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I-I-0135</t>
        </is>
      </c>
      <c r="B4497" s="12" t="inlineStr">
        <is>
          <t>I</t>
        </is>
      </c>
      <c r="C4497" s="12" t="inlineStr">
        <is>
          <t>Modular / portable power</t>
        </is>
      </c>
      <c r="D4497" s="12" t="inlineStr">
        <is>
          <t>Home run JB-MT-1: microturbine-AI01 to the control / marshalling room</t>
        </is>
      </c>
      <c r="E4497" s="12" t="inlineStr"/>
      <c r="F4497" s="12" t="inlineStr">
        <is>
          <t>PCM: power control module</t>
        </is>
      </c>
      <c r="G4497" s="12" t="inlineStr">
        <is>
          <t>JB-MT-1: microturbine-AI01</t>
        </is>
      </c>
      <c r="H4497" s="12" t="inlineStr">
        <is>
          <t>MT-1: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818</v>
      </c>
      <c r="U4497" s="16" t="n">
        <v>115</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I-I-0136</t>
        </is>
      </c>
      <c r="B4498" s="12" t="inlineStr">
        <is>
          <t>I</t>
        </is>
      </c>
      <c r="C4498" s="12" t="inlineStr">
        <is>
          <t>Modular / portable power</t>
        </is>
      </c>
      <c r="D4498" s="12" t="inlineStr">
        <is>
          <t>Discrete device to JB JB-MT-1: microturbine-DI01: 6 x 1 pr (field cables)</t>
        </is>
      </c>
      <c r="E4498" s="12" t="inlineStr"/>
      <c r="F4498" s="12" t="inlineStr">
        <is>
          <t>MT-1: microturbine 1 MW (Capstone C1000 class)</t>
        </is>
      </c>
      <c r="G4498" s="12" t="inlineStr">
        <is>
          <t>JB-MT-1: microturbine-DI01</t>
        </is>
      </c>
      <c r="H4498" s="12" t="inlineStr">
        <is>
          <t>MT-1: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I-I-0137</t>
        </is>
      </c>
      <c r="B4499" s="12" t="inlineStr">
        <is>
          <t>I</t>
        </is>
      </c>
      <c r="C4499" s="12" t="inlineStr">
        <is>
          <t>Modular / portable power</t>
        </is>
      </c>
      <c r="D4499" s="12" t="inlineStr">
        <is>
          <t>Home run JB-MT-1: microturbine-DI01 to the control / marshalling room</t>
        </is>
      </c>
      <c r="E4499" s="12" t="inlineStr"/>
      <c r="F4499" s="12" t="inlineStr">
        <is>
          <t>PCM: power control module</t>
        </is>
      </c>
      <c r="G4499" s="12" t="inlineStr">
        <is>
          <t>JB-MT-1: microturbine-DI01</t>
        </is>
      </c>
      <c r="H4499" s="12" t="inlineStr">
        <is>
          <t>MT-1: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818</v>
      </c>
      <c r="U4499" s="16" t="n">
        <v>115</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I-I-0138</t>
        </is>
      </c>
      <c r="B4500" s="12" t="inlineStr">
        <is>
          <t>I</t>
        </is>
      </c>
      <c r="C4500" s="12" t="inlineStr">
        <is>
          <t>Modular / portable power</t>
        </is>
      </c>
      <c r="D4500" s="12" t="inlineStr">
        <is>
          <t>Analog instrument to JB JB-MT-2: microturbine-AI01: 6 x 1 pr (field cables)</t>
        </is>
      </c>
      <c r="E4500" s="12" t="inlineStr"/>
      <c r="F4500" s="12" t="inlineStr">
        <is>
          <t>MT-2: microturbine 1 MW (Capstone C1000 class)</t>
        </is>
      </c>
      <c r="G4500" s="12" t="inlineStr">
        <is>
          <t>JB-MT-2: microturbine-AI01</t>
        </is>
      </c>
      <c r="H4500" s="12" t="inlineStr">
        <is>
          <t>MT-2: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I-I-0139</t>
        </is>
      </c>
      <c r="B4501" s="12" t="inlineStr">
        <is>
          <t>I</t>
        </is>
      </c>
      <c r="C4501" s="12" t="inlineStr">
        <is>
          <t>Modular / portable power</t>
        </is>
      </c>
      <c r="D4501" s="12" t="inlineStr">
        <is>
          <t>Home run JB-MT-2: microturbine-AI01 to the control / marshalling room</t>
        </is>
      </c>
      <c r="E4501" s="12" t="inlineStr"/>
      <c r="F4501" s="12" t="inlineStr">
        <is>
          <t>PCM: power control module</t>
        </is>
      </c>
      <c r="G4501" s="12" t="inlineStr">
        <is>
          <t>JB-MT-2: microturbine-AI01</t>
        </is>
      </c>
      <c r="H4501" s="12" t="inlineStr">
        <is>
          <t>MT-2: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818</v>
      </c>
      <c r="U4501" s="16" t="n">
        <v>129</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I-I-0140</t>
        </is>
      </c>
      <c r="B4502" s="12" t="inlineStr">
        <is>
          <t>I</t>
        </is>
      </c>
      <c r="C4502" s="12" t="inlineStr">
        <is>
          <t>Modular / portable power</t>
        </is>
      </c>
      <c r="D4502" s="12" t="inlineStr">
        <is>
          <t>Discrete device to JB JB-MT-2: microturbine-DI01: 6 x 1 pr (field cables)</t>
        </is>
      </c>
      <c r="E4502" s="12" t="inlineStr"/>
      <c r="F4502" s="12" t="inlineStr">
        <is>
          <t>MT-2: microturbine 1 MW (Capstone C1000 class)</t>
        </is>
      </c>
      <c r="G4502" s="12" t="inlineStr">
        <is>
          <t>JB-MT-2: microturbine-DI01</t>
        </is>
      </c>
      <c r="H4502" s="12" t="inlineStr">
        <is>
          <t>MT-2: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I-I-0141</t>
        </is>
      </c>
      <c r="B4503" s="12" t="inlineStr">
        <is>
          <t>I</t>
        </is>
      </c>
      <c r="C4503" s="12" t="inlineStr">
        <is>
          <t>Modular / portable power</t>
        </is>
      </c>
      <c r="D4503" s="12" t="inlineStr">
        <is>
          <t>Home run JB-MT-2: microturbine-DI01 to the control / marshalling room</t>
        </is>
      </c>
      <c r="E4503" s="12" t="inlineStr"/>
      <c r="F4503" s="12" t="inlineStr">
        <is>
          <t>PCM: power control module</t>
        </is>
      </c>
      <c r="G4503" s="12" t="inlineStr">
        <is>
          <t>JB-MT-2: microturbine-DI01</t>
        </is>
      </c>
      <c r="H4503" s="12" t="inlineStr">
        <is>
          <t>MT-2: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818</v>
      </c>
      <c r="U4503" s="16" t="n">
        <v>129</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I-I-0142</t>
        </is>
      </c>
      <c r="B4504" s="12" t="inlineStr">
        <is>
          <t>I</t>
        </is>
      </c>
      <c r="C4504" s="12" t="inlineStr">
        <is>
          <t>Modular / portable power</t>
        </is>
      </c>
      <c r="D4504" s="12" t="inlineStr">
        <is>
          <t>Analog instrument to JB JB-MT-3: microturbine-AI01: 6 x 1 pr (field cables)</t>
        </is>
      </c>
      <c r="E4504" s="12" t="inlineStr"/>
      <c r="F4504" s="12" t="inlineStr">
        <is>
          <t>MT-3: microturbine 1 MW (Capstone C1000 class)</t>
        </is>
      </c>
      <c r="G4504" s="12" t="inlineStr">
        <is>
          <t>JB-MT-3: microturbine-AI01</t>
        </is>
      </c>
      <c r="H4504" s="12" t="inlineStr">
        <is>
          <t>MT-3: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I-I-0143</t>
        </is>
      </c>
      <c r="B4505" s="12" t="inlineStr">
        <is>
          <t>I</t>
        </is>
      </c>
      <c r="C4505" s="12" t="inlineStr">
        <is>
          <t>Modular / portable power</t>
        </is>
      </c>
      <c r="D4505" s="12" t="inlineStr">
        <is>
          <t>Home run JB-MT-3: microturbine-AI01 to the control / marshalling room</t>
        </is>
      </c>
      <c r="E4505" s="12" t="inlineStr"/>
      <c r="F4505" s="12" t="inlineStr">
        <is>
          <t>PCM: power control module</t>
        </is>
      </c>
      <c r="G4505" s="12" t="inlineStr">
        <is>
          <t>JB-MT-3: microturbine-AI01</t>
        </is>
      </c>
      <c r="H4505" s="12" t="inlineStr">
        <is>
          <t>MT-3: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818</v>
      </c>
      <c r="U4505" s="16" t="n">
        <v>143</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I-I-0144</t>
        </is>
      </c>
      <c r="B4506" s="12" t="inlineStr">
        <is>
          <t>I</t>
        </is>
      </c>
      <c r="C4506" s="12" t="inlineStr">
        <is>
          <t>Modular / portable power</t>
        </is>
      </c>
      <c r="D4506" s="12" t="inlineStr">
        <is>
          <t>Discrete device to JB JB-MT-3: microturbine-DI01: 6 x 1 pr (field cables)</t>
        </is>
      </c>
      <c r="E4506" s="12" t="inlineStr"/>
      <c r="F4506" s="12" t="inlineStr">
        <is>
          <t>MT-3: microturbine 1 MW (Capstone C1000 class)</t>
        </is>
      </c>
      <c r="G4506" s="12" t="inlineStr">
        <is>
          <t>JB-MT-3: microturbine-DI01</t>
        </is>
      </c>
      <c r="H4506" s="12" t="inlineStr">
        <is>
          <t>MT-3: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I-I-0145</t>
        </is>
      </c>
      <c r="B4507" s="12" t="inlineStr">
        <is>
          <t>I</t>
        </is>
      </c>
      <c r="C4507" s="12" t="inlineStr">
        <is>
          <t>Modular / portable power</t>
        </is>
      </c>
      <c r="D4507" s="12" t="inlineStr">
        <is>
          <t>Home run JB-MT-3: microturbine-DI01 to the control / marshalling room</t>
        </is>
      </c>
      <c r="E4507" s="12" t="inlineStr"/>
      <c r="F4507" s="12" t="inlineStr">
        <is>
          <t>PCM: power control module</t>
        </is>
      </c>
      <c r="G4507" s="12" t="inlineStr">
        <is>
          <t>JB-MT-3: microturbine-DI01</t>
        </is>
      </c>
      <c r="H4507" s="12" t="inlineStr">
        <is>
          <t>MT-3: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6" t="n">
        <v>818</v>
      </c>
      <c r="U4507" s="16" t="n">
        <v>143</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I-I-0146</t>
        </is>
      </c>
      <c r="B4508" s="12" t="inlineStr">
        <is>
          <t>I</t>
        </is>
      </c>
      <c r="C4508" s="12" t="inlineStr">
        <is>
          <t>Modular / portable power</t>
        </is>
      </c>
      <c r="D4508" s="12" t="inlineStr">
        <is>
          <t>Analog instrument to JB JB-MT-4-AI01: 6 x 1 pr (field cables)</t>
        </is>
      </c>
      <c r="E4508" s="12" t="inlineStr">
        <is>
          <t>MT-4</t>
        </is>
      </c>
      <c r="F4508" s="12" t="inlineStr">
        <is>
          <t>MT-4: microturbine 1 MW (Capstone C1000 class)</t>
        </is>
      </c>
      <c r="G4508" s="12" t="inlineStr">
        <is>
          <t>JB-MT-4-AI01</t>
        </is>
      </c>
      <c r="H4508" s="12" t="inlineStr">
        <is>
          <t>MT-4: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I-I-0147</t>
        </is>
      </c>
      <c r="B4509" s="12" t="inlineStr">
        <is>
          <t>I</t>
        </is>
      </c>
      <c r="C4509" s="12" t="inlineStr">
        <is>
          <t>Modular / portable power</t>
        </is>
      </c>
      <c r="D4509" s="12" t="inlineStr">
        <is>
          <t>Home run JB-MT-4-AI01 to the control / marshalling room</t>
        </is>
      </c>
      <c r="E4509" s="12" t="inlineStr">
        <is>
          <t>PAD-EH</t>
        </is>
      </c>
      <c r="F4509" s="12" t="inlineStr">
        <is>
          <t>PAD-EH 13.8 kV switchgear e-house</t>
        </is>
      </c>
      <c r="G4509" s="12" t="inlineStr">
        <is>
          <t>JB-MT-4-AI01</t>
        </is>
      </c>
      <c r="H4509" s="12" t="inlineStr">
        <is>
          <t>MT-4: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Conduit link</t>
        </is>
      </c>
      <c r="T4509" s="16" t="n">
        <v>106</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I-I-0148</t>
        </is>
      </c>
      <c r="B4510" s="12" t="inlineStr">
        <is>
          <t>I</t>
        </is>
      </c>
      <c r="C4510" s="12" t="inlineStr">
        <is>
          <t>Modular / portable power</t>
        </is>
      </c>
      <c r="D4510" s="12" t="inlineStr">
        <is>
          <t>Discrete device to JB JB-MT-4-DI01: 6 x 1 pr (field cables)</t>
        </is>
      </c>
      <c r="E4510" s="12" t="inlineStr">
        <is>
          <t>MT-4</t>
        </is>
      </c>
      <c r="F4510" s="12" t="inlineStr">
        <is>
          <t>MT-4: microturbine 1 MW (Capstone C1000 class)</t>
        </is>
      </c>
      <c r="G4510" s="12" t="inlineStr">
        <is>
          <t>JB-MT-4-DI01</t>
        </is>
      </c>
      <c r="H4510" s="12" t="inlineStr">
        <is>
          <t>MT-4: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I-I-0149</t>
        </is>
      </c>
      <c r="B4511" s="12" t="inlineStr">
        <is>
          <t>I</t>
        </is>
      </c>
      <c r="C4511" s="12" t="inlineStr">
        <is>
          <t>Modular / portable power</t>
        </is>
      </c>
      <c r="D4511" s="12" t="inlineStr">
        <is>
          <t>Home run JB-MT-4-DI01 to the control / marshalling room</t>
        </is>
      </c>
      <c r="E4511" s="12" t="inlineStr">
        <is>
          <t>PAD-EH</t>
        </is>
      </c>
      <c r="F4511" s="12" t="inlineStr">
        <is>
          <t>PAD-EH 13.8 kV switchgear e-house</t>
        </is>
      </c>
      <c r="G4511" s="12" t="inlineStr">
        <is>
          <t>JB-MT-4-DI01</t>
        </is>
      </c>
      <c r="H4511" s="12" t="inlineStr">
        <is>
          <t>MT-4: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Conduit link</t>
        </is>
      </c>
      <c r="T4511" s="16" t="n">
        <v>106</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I-I-0150</t>
        </is>
      </c>
      <c r="B4512" s="12" t="inlineStr">
        <is>
          <t>I</t>
        </is>
      </c>
      <c r="C4512" s="12" t="inlineStr">
        <is>
          <t>Modular / portable power</t>
        </is>
      </c>
      <c r="D4512" s="12" t="inlineStr">
        <is>
          <t>Analog instrument to JB JB-MT-5-AI01: 6 x 1 pr (field cables)</t>
        </is>
      </c>
      <c r="E4512" s="12" t="inlineStr">
        <is>
          <t>MT-5</t>
        </is>
      </c>
      <c r="F4512" s="12" t="inlineStr">
        <is>
          <t>MT-5: microturbine 1 MW (Capstone C1000 class)</t>
        </is>
      </c>
      <c r="G4512" s="12" t="inlineStr">
        <is>
          <t>JB-MT-5-AI01</t>
        </is>
      </c>
      <c r="H4512" s="12" t="inlineStr">
        <is>
          <t>MT-5: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I-I-0151</t>
        </is>
      </c>
      <c r="B4513" s="12" t="inlineStr">
        <is>
          <t>I</t>
        </is>
      </c>
      <c r="C4513" s="12" t="inlineStr">
        <is>
          <t>Modular / portable power</t>
        </is>
      </c>
      <c r="D4513" s="12" t="inlineStr">
        <is>
          <t>Home run JB-MT-5-AI01 to the control / marshalling room</t>
        </is>
      </c>
      <c r="E4513" s="12" t="inlineStr">
        <is>
          <t>PAD-EH</t>
        </is>
      </c>
      <c r="F4513" s="12" t="inlineStr">
        <is>
          <t>PAD-EH 13.8 kV switchgear e-house</t>
        </is>
      </c>
      <c r="G4513" s="12" t="inlineStr">
        <is>
          <t>JB-MT-5-AI01</t>
        </is>
      </c>
      <c r="H4513" s="12" t="inlineStr">
        <is>
          <t>MT-5: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Conduit link</t>
        </is>
      </c>
      <c r="T4513" s="16" t="n">
        <v>106</v>
      </c>
      <c r="U4513" s="16" t="n">
        <v>27</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I-I-0152</t>
        </is>
      </c>
      <c r="B4514" s="12" t="inlineStr">
        <is>
          <t>I</t>
        </is>
      </c>
      <c r="C4514" s="12" t="inlineStr">
        <is>
          <t>Modular / portable power</t>
        </is>
      </c>
      <c r="D4514" s="12" t="inlineStr">
        <is>
          <t>Discrete device to JB JB-MT-5-DI01: 6 x 1 pr (field cables)</t>
        </is>
      </c>
      <c r="E4514" s="12" t="inlineStr">
        <is>
          <t>MT-5</t>
        </is>
      </c>
      <c r="F4514" s="12" t="inlineStr">
        <is>
          <t>MT-5: microturbine 1 MW (Capstone C1000 class)</t>
        </is>
      </c>
      <c r="G4514" s="12" t="inlineStr">
        <is>
          <t>JB-MT-5-DI01</t>
        </is>
      </c>
      <c r="H4514" s="12" t="inlineStr">
        <is>
          <t>MT-5: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I-I-0153</t>
        </is>
      </c>
      <c r="B4515" s="12" t="inlineStr">
        <is>
          <t>I</t>
        </is>
      </c>
      <c r="C4515" s="12" t="inlineStr">
        <is>
          <t>Modular / portable power</t>
        </is>
      </c>
      <c r="D4515" s="12" t="inlineStr">
        <is>
          <t>Home run JB-MT-5-DI01 to the control / marshalling room</t>
        </is>
      </c>
      <c r="E4515" s="12" t="inlineStr">
        <is>
          <t>PAD-EH</t>
        </is>
      </c>
      <c r="F4515" s="12" t="inlineStr">
        <is>
          <t>PAD-EH 13.8 kV switchgear e-house</t>
        </is>
      </c>
      <c r="G4515" s="12" t="inlineStr">
        <is>
          <t>JB-MT-5-DI01</t>
        </is>
      </c>
      <c r="H4515" s="12" t="inlineStr">
        <is>
          <t>MT-5: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Conduit link</t>
        </is>
      </c>
      <c r="T4515" s="16" t="n">
        <v>106</v>
      </c>
      <c r="U4515" s="16" t="n">
        <v>27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I-I-0154</t>
        </is>
      </c>
      <c r="B4516" s="12" t="inlineStr">
        <is>
          <t>I</t>
        </is>
      </c>
      <c r="C4516" s="12" t="inlineStr">
        <is>
          <t>Modular / portable power</t>
        </is>
      </c>
      <c r="D4516" s="12" t="inlineStr">
        <is>
          <t>Analog instrument to JB JB-MT-6-AI01: 6 x 1 pr (field cables)</t>
        </is>
      </c>
      <c r="E4516" s="12" t="inlineStr">
        <is>
          <t>MT-6</t>
        </is>
      </c>
      <c r="F4516" s="12" t="inlineStr">
        <is>
          <t>MT-6: microturbine 1 MW (Capstone C1000 class)</t>
        </is>
      </c>
      <c r="G4516" s="12" t="inlineStr">
        <is>
          <t>JB-MT-6-AI01</t>
        </is>
      </c>
      <c r="H4516" s="12" t="inlineStr">
        <is>
          <t>MT-6: microturbine 1 MW (Capstone C1000 class)</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6</v>
      </c>
      <c r="O4516" s="12" t="n">
        <v>1</v>
      </c>
      <c r="P4516" s="12" t="n"/>
      <c r="Q4516" s="12" t="n"/>
      <c r="R4516" s="12" t="n"/>
      <c r="S4516" s="12" t="inlineStr">
        <is>
          <t>Tray / conduit</t>
        </is>
      </c>
      <c r="T4516" s="16" t="n">
        <v>47</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I-I-0155</t>
        </is>
      </c>
      <c r="B4517" s="12" t="inlineStr">
        <is>
          <t>I</t>
        </is>
      </c>
      <c r="C4517" s="12" t="inlineStr">
        <is>
          <t>Modular / portable power</t>
        </is>
      </c>
      <c r="D4517" s="12" t="inlineStr">
        <is>
          <t>Home run JB-MT-6-AI01 to the control / marshalling room</t>
        </is>
      </c>
      <c r="E4517" s="12" t="inlineStr">
        <is>
          <t>PAD-EH</t>
        </is>
      </c>
      <c r="F4517" s="12" t="inlineStr">
        <is>
          <t>PAD-EH 13.8 kV switchgear e-house</t>
        </is>
      </c>
      <c r="G4517" s="12" t="inlineStr">
        <is>
          <t>JB-MT-6-AI01</t>
        </is>
      </c>
      <c r="H4517" s="12" t="inlineStr">
        <is>
          <t>MT-6: microturbine 1 MW (Capstone C1000 class)</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Conduit link</t>
        </is>
      </c>
      <c r="T4517" s="16" t="n">
        <v>106</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I-I-0156</t>
        </is>
      </c>
      <c r="B4518" s="12" t="inlineStr">
        <is>
          <t>I</t>
        </is>
      </c>
      <c r="C4518" s="12" t="inlineStr">
        <is>
          <t>Modular / portable power</t>
        </is>
      </c>
      <c r="D4518" s="12" t="inlineStr">
        <is>
          <t>Discrete device to JB JB-MT-6-DI01: 6 x 1 pr (field cables)</t>
        </is>
      </c>
      <c r="E4518" s="12" t="inlineStr">
        <is>
          <t>MT-6</t>
        </is>
      </c>
      <c r="F4518" s="12" t="inlineStr">
        <is>
          <t>MT-6: microturbine 1 MW (Capstone C1000 class)</t>
        </is>
      </c>
      <c r="G4518" s="12" t="inlineStr">
        <is>
          <t>JB-MT-6-DI01</t>
        </is>
      </c>
      <c r="H4518" s="12" t="inlineStr">
        <is>
          <t>MT-6: microturbine 1 MW (Capstone C1000 class)</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47</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I-I-0157</t>
        </is>
      </c>
      <c r="B4519" s="12" t="inlineStr">
        <is>
          <t>I</t>
        </is>
      </c>
      <c r="C4519" s="12" t="inlineStr">
        <is>
          <t>Modular / portable power</t>
        </is>
      </c>
      <c r="D4519" s="12" t="inlineStr">
        <is>
          <t>Home run JB-MT-6-DI01 to the control / marshalling room</t>
        </is>
      </c>
      <c r="E4519" s="12" t="inlineStr">
        <is>
          <t>PAD-EH</t>
        </is>
      </c>
      <c r="F4519" s="12" t="inlineStr">
        <is>
          <t>PAD-EH 13.8 kV switchgear e-house</t>
        </is>
      </c>
      <c r="G4519" s="12" t="inlineStr">
        <is>
          <t>JB-MT-6-DI01</t>
        </is>
      </c>
      <c r="H4519" s="12" t="inlineStr">
        <is>
          <t>MT-6: microturbine 1 MW (Capstone C1000 class)</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Conduit link</t>
        </is>
      </c>
      <c r="T4519" s="16" t="n">
        <v>106</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I-I-0158</t>
        </is>
      </c>
      <c r="B4520" s="12" t="inlineStr">
        <is>
          <t>I</t>
        </is>
      </c>
      <c r="C4520" s="12" t="inlineStr">
        <is>
          <t>Modular / portable power</t>
        </is>
      </c>
      <c r="D4520" s="12" t="inlineStr">
        <is>
          <t>Analog instrument to JB JB-RICE 1 SCR + oxida-AI01: 10 x 1 pr (field cables)</t>
        </is>
      </c>
      <c r="E4520" s="12" t="inlineStr"/>
      <c r="F4520" s="12" t="inlineStr">
        <is>
          <t>RICE 1 SCR + oxidation catalyst and stack</t>
        </is>
      </c>
      <c r="G4520" s="12" t="inlineStr">
        <is>
          <t>JB-RICE 1 SCR + oxida-AI01</t>
        </is>
      </c>
      <c r="H4520" s="12" t="inlineStr">
        <is>
          <t>RICE 1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10</v>
      </c>
      <c r="O4520" s="12" t="n">
        <v>1</v>
      </c>
      <c r="P4520" s="12" t="n"/>
      <c r="Q4520" s="12" t="n"/>
      <c r="R4520" s="12" t="n"/>
      <c r="S4520" s="12" t="inlineStr">
        <is>
          <t>Tray / conduit</t>
        </is>
      </c>
      <c r="T4520" s="16" t="n">
        <v>92</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I-I-0159</t>
        </is>
      </c>
      <c r="B4521" s="12" t="inlineStr">
        <is>
          <t>I</t>
        </is>
      </c>
      <c r="C4521" s="12" t="inlineStr">
        <is>
          <t>Modular / portable power</t>
        </is>
      </c>
      <c r="D4521" s="12" t="inlineStr">
        <is>
          <t>Home run JB-RICE 1 SCR + oxida-AI01 to the control / marshalling room</t>
        </is>
      </c>
      <c r="E4521" s="12" t="inlineStr"/>
      <c r="F4521" s="12" t="inlineStr">
        <is>
          <t>PCM: power control module</t>
        </is>
      </c>
      <c r="G4521" s="12" t="inlineStr">
        <is>
          <t>JB-RICE 1 SCR + oxida-AI01</t>
        </is>
      </c>
      <c r="H4521" s="12" t="inlineStr">
        <is>
          <t>RICE 1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470</v>
      </c>
      <c r="U4521" s="16" t="n">
        <v>160</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I-I-0160</t>
        </is>
      </c>
      <c r="B4522" s="12" t="inlineStr">
        <is>
          <t>I</t>
        </is>
      </c>
      <c r="C4522" s="12" t="inlineStr">
        <is>
          <t>Modular / portable power</t>
        </is>
      </c>
      <c r="D4522" s="12" t="inlineStr">
        <is>
          <t>Discrete device to JB JB-RICE 1 SCR + oxida-DI01: 6 x 1 pr (field cables)</t>
        </is>
      </c>
      <c r="E4522" s="12" t="inlineStr"/>
      <c r="F4522" s="12" t="inlineStr">
        <is>
          <t>RICE 1 SCR + oxidation catalyst and stack</t>
        </is>
      </c>
      <c r="G4522" s="12" t="inlineStr">
        <is>
          <t>JB-RICE 1 SCR + oxida-DI01</t>
        </is>
      </c>
      <c r="H4522" s="12" t="inlineStr">
        <is>
          <t>RICE 1 SCR + oxidation catalyst and stack</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6</v>
      </c>
      <c r="O4522" s="12" t="n">
        <v>1</v>
      </c>
      <c r="P4522" s="12" t="n"/>
      <c r="Q4522" s="12" t="n"/>
      <c r="R4522" s="12" t="n"/>
      <c r="S4522" s="12" t="inlineStr">
        <is>
          <t>Tray / conduit</t>
        </is>
      </c>
      <c r="T4522" s="16" t="n">
        <v>92</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I-I-0161</t>
        </is>
      </c>
      <c r="B4523" s="12" t="inlineStr">
        <is>
          <t>I</t>
        </is>
      </c>
      <c r="C4523" s="12" t="inlineStr">
        <is>
          <t>Modular / portable power</t>
        </is>
      </c>
      <c r="D4523" s="12" t="inlineStr">
        <is>
          <t>Home run JB-RICE 1 SCR + oxida-DI01 to the control / marshalling room</t>
        </is>
      </c>
      <c r="E4523" s="12" t="inlineStr"/>
      <c r="F4523" s="12" t="inlineStr">
        <is>
          <t>PCM: power control module</t>
        </is>
      </c>
      <c r="G4523" s="12" t="inlineStr">
        <is>
          <t>JB-RICE 1 SCR + oxida-DI01</t>
        </is>
      </c>
      <c r="H4523" s="12" t="inlineStr">
        <is>
          <t>RICE 1 SCR + oxidation catalyst and stack</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470</v>
      </c>
      <c r="U4523" s="16" t="n">
        <v>160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I-I-0162</t>
        </is>
      </c>
      <c r="B4524" s="12" t="inlineStr">
        <is>
          <t>I</t>
        </is>
      </c>
      <c r="C4524" s="12" t="inlineStr">
        <is>
          <t>Modular / portable power</t>
        </is>
      </c>
      <c r="D4524" s="12" t="inlineStr">
        <is>
          <t>Analog instrument to JB JB-RICE 1 radiators (-AI01: 5 x 1 pr (field cables)</t>
        </is>
      </c>
      <c r="E4524" s="12" t="inlineStr"/>
      <c r="F4524" s="12" t="inlineStr">
        <is>
          <t>RICE 1 radiators (5)</t>
        </is>
      </c>
      <c r="G4524" s="12" t="inlineStr">
        <is>
          <t>JB-RICE 1 radiators (-AI01</t>
        </is>
      </c>
      <c r="H4524" s="12" t="inlineStr">
        <is>
          <t>RICE 1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5</v>
      </c>
      <c r="O4524" s="12" t="n">
        <v>1</v>
      </c>
      <c r="P4524" s="12" t="n"/>
      <c r="Q4524" s="12" t="n"/>
      <c r="R4524" s="12" t="n"/>
      <c r="S4524" s="12" t="inlineStr">
        <is>
          <t>Tray / conduit</t>
        </is>
      </c>
      <c r="T4524" s="16" t="n">
        <v>80</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I-I-0163</t>
        </is>
      </c>
      <c r="B4525" s="12" t="inlineStr">
        <is>
          <t>I</t>
        </is>
      </c>
      <c r="C4525" s="12" t="inlineStr">
        <is>
          <t>Modular / portable power</t>
        </is>
      </c>
      <c r="D4525" s="12" t="inlineStr">
        <is>
          <t>Home run JB-RICE 1 radiators (-AI01 to the control / marshalling room</t>
        </is>
      </c>
      <c r="E4525" s="12" t="inlineStr"/>
      <c r="F4525" s="12" t="inlineStr">
        <is>
          <t>PCM: power control module</t>
        </is>
      </c>
      <c r="G4525" s="12" t="inlineStr">
        <is>
          <t>JB-RICE 1 radiators (-AI01</t>
        </is>
      </c>
      <c r="H4525" s="12" t="inlineStr">
        <is>
          <t>RICE 1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745</v>
      </c>
      <c r="U4525" s="16" t="n">
        <v>139</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I-I-0164</t>
        </is>
      </c>
      <c r="B4526" s="12" t="inlineStr">
        <is>
          <t>I</t>
        </is>
      </c>
      <c r="C4526" s="12" t="inlineStr">
        <is>
          <t>Modular / portable power</t>
        </is>
      </c>
      <c r="D4526" s="12" t="inlineStr">
        <is>
          <t>Discrete device to JB JB-RICE 1 radiators (-DI01: 10 x 1 pr (field cables)</t>
        </is>
      </c>
      <c r="E4526" s="12" t="inlineStr"/>
      <c r="F4526" s="12" t="inlineStr">
        <is>
          <t>RICE 1 radiators (5)</t>
        </is>
      </c>
      <c r="G4526" s="12" t="inlineStr">
        <is>
          <t>JB-RICE 1 radiators (-DI01</t>
        </is>
      </c>
      <c r="H4526" s="12" t="inlineStr">
        <is>
          <t>RICE 1 radiators (5)</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6" t="n">
        <v>80</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I-I-0165</t>
        </is>
      </c>
      <c r="B4527" s="12" t="inlineStr">
        <is>
          <t>I</t>
        </is>
      </c>
      <c r="C4527" s="12" t="inlineStr">
        <is>
          <t>Modular / portable power</t>
        </is>
      </c>
      <c r="D4527" s="12" t="inlineStr">
        <is>
          <t>Home run JB-RICE 1 radiators (-DI01 to the control / marshalling room</t>
        </is>
      </c>
      <c r="E4527" s="12" t="inlineStr"/>
      <c r="F4527" s="12" t="inlineStr">
        <is>
          <t>PCM: power control module</t>
        </is>
      </c>
      <c r="G4527" s="12" t="inlineStr">
        <is>
          <t>JB-RICE 1 radiators (-DI01</t>
        </is>
      </c>
      <c r="H4527" s="12" t="inlineStr">
        <is>
          <t>RICE 1 radiators (5)</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745</v>
      </c>
      <c r="U4527" s="16" t="n">
        <v>139</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I-I-0166</t>
        </is>
      </c>
      <c r="B4528" s="12" t="inlineStr">
        <is>
          <t>I</t>
        </is>
      </c>
      <c r="C4528" s="12" t="inlineStr">
        <is>
          <t>Modular / portable power</t>
        </is>
      </c>
      <c r="D4528" s="12" t="inlineStr">
        <is>
          <t>Analog instrument to JB JB-RICE 2 SCR + oxida-AI01: 10 x 1 pr (field cables)</t>
        </is>
      </c>
      <c r="E4528" s="12" t="inlineStr"/>
      <c r="F4528" s="12" t="inlineStr">
        <is>
          <t>RICE 2 SCR + oxidation catalyst and stack</t>
        </is>
      </c>
      <c r="G4528" s="12" t="inlineStr">
        <is>
          <t>JB-RICE 2 SCR + oxida-AI01</t>
        </is>
      </c>
      <c r="H4528" s="12" t="inlineStr">
        <is>
          <t>RICE 2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10</v>
      </c>
      <c r="O4528" s="12" t="n">
        <v>1</v>
      </c>
      <c r="P4528" s="12" t="n"/>
      <c r="Q4528" s="12" t="n"/>
      <c r="R4528" s="12" t="n"/>
      <c r="S4528" s="12" t="inlineStr">
        <is>
          <t>Tray / conduit</t>
        </is>
      </c>
      <c r="T4528" s="16" t="n">
        <v>92</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I-I-0167</t>
        </is>
      </c>
      <c r="B4529" s="12" t="inlineStr">
        <is>
          <t>I</t>
        </is>
      </c>
      <c r="C4529" s="12" t="inlineStr">
        <is>
          <t>Modular / portable power</t>
        </is>
      </c>
      <c r="D4529" s="12" t="inlineStr">
        <is>
          <t>Home run JB-RICE 2 SCR + oxida-AI01 to the control / marshalling room</t>
        </is>
      </c>
      <c r="E4529" s="12" t="inlineStr"/>
      <c r="F4529" s="12" t="inlineStr">
        <is>
          <t>PCM: power control module</t>
        </is>
      </c>
      <c r="G4529" s="12" t="inlineStr">
        <is>
          <t>JB-RICE 2 SCR + oxida-AI01</t>
        </is>
      </c>
      <c r="H4529" s="12" t="inlineStr">
        <is>
          <t>RICE 2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470</v>
      </c>
      <c r="U4529" s="16" t="n">
        <v>132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I-I-0168</t>
        </is>
      </c>
      <c r="B4530" s="12" t="inlineStr">
        <is>
          <t>I</t>
        </is>
      </c>
      <c r="C4530" s="12" t="inlineStr">
        <is>
          <t>Modular / portable power</t>
        </is>
      </c>
      <c r="D4530" s="12" t="inlineStr">
        <is>
          <t>Discrete device to JB JB-RICE 2 SCR + oxida-DI01: 6 x 1 pr (field cables)</t>
        </is>
      </c>
      <c r="E4530" s="12" t="inlineStr"/>
      <c r="F4530" s="12" t="inlineStr">
        <is>
          <t>RICE 2 SCR + oxidation catalyst and stack</t>
        </is>
      </c>
      <c r="G4530" s="12" t="inlineStr">
        <is>
          <t>JB-RICE 2 SCR + oxida-DI01</t>
        </is>
      </c>
      <c r="H4530" s="12" t="inlineStr">
        <is>
          <t>RICE 2 SCR + oxidation catalyst and stack</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6</v>
      </c>
      <c r="O4530" s="12" t="n">
        <v>1</v>
      </c>
      <c r="P4530" s="12" t="n"/>
      <c r="Q4530" s="12" t="n"/>
      <c r="R4530" s="12" t="n"/>
      <c r="S4530" s="12" t="inlineStr">
        <is>
          <t>Tray / conduit</t>
        </is>
      </c>
      <c r="T4530" s="16" t="n">
        <v>92</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I-I-0169</t>
        </is>
      </c>
      <c r="B4531" s="12" t="inlineStr">
        <is>
          <t>I</t>
        </is>
      </c>
      <c r="C4531" s="12" t="inlineStr">
        <is>
          <t>Modular / portable power</t>
        </is>
      </c>
      <c r="D4531" s="12" t="inlineStr">
        <is>
          <t>Home run JB-RICE 2 SCR + oxida-DI01 to the control / marshalling room</t>
        </is>
      </c>
      <c r="E4531" s="12" t="inlineStr"/>
      <c r="F4531" s="12" t="inlineStr">
        <is>
          <t>PCM: power control module</t>
        </is>
      </c>
      <c r="G4531" s="12" t="inlineStr">
        <is>
          <t>JB-RICE 2 SCR + oxida-DI01</t>
        </is>
      </c>
      <c r="H4531" s="12" t="inlineStr">
        <is>
          <t>RICE 2 SCR + oxidation catalyst and stack</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470</v>
      </c>
      <c r="U4531" s="16" t="n">
        <v>132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I-I-0170</t>
        </is>
      </c>
      <c r="B4532" s="12" t="inlineStr">
        <is>
          <t>I</t>
        </is>
      </c>
      <c r="C4532" s="12" t="inlineStr">
        <is>
          <t>Modular / portable power</t>
        </is>
      </c>
      <c r="D4532" s="12" t="inlineStr">
        <is>
          <t>Analog instrument to JB JB-RICE 2 radiators (-AI01: 5 x 1 pr (field cables)</t>
        </is>
      </c>
      <c r="E4532" s="12" t="inlineStr"/>
      <c r="F4532" s="12" t="inlineStr">
        <is>
          <t>RICE 2 radiators (5)</t>
        </is>
      </c>
      <c r="G4532" s="12" t="inlineStr">
        <is>
          <t>JB-RICE 2 radiators (-AI01</t>
        </is>
      </c>
      <c r="H4532" s="12" t="inlineStr">
        <is>
          <t>RICE 2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5</v>
      </c>
      <c r="O4532" s="12" t="n">
        <v>1</v>
      </c>
      <c r="P4532" s="12" t="n"/>
      <c r="Q4532" s="12" t="n"/>
      <c r="R4532" s="12" t="n"/>
      <c r="S4532" s="12" t="inlineStr">
        <is>
          <t>Tray / conduit</t>
        </is>
      </c>
      <c r="T4532" s="16" t="n">
        <v>80</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I-I-0171</t>
        </is>
      </c>
      <c r="B4533" s="12" t="inlineStr">
        <is>
          <t>I</t>
        </is>
      </c>
      <c r="C4533" s="12" t="inlineStr">
        <is>
          <t>Modular / portable power</t>
        </is>
      </c>
      <c r="D4533" s="12" t="inlineStr">
        <is>
          <t>Home run JB-RICE 2 radiators (-AI01 to the control / marshalling room</t>
        </is>
      </c>
      <c r="E4533" s="12" t="inlineStr"/>
      <c r="F4533" s="12" t="inlineStr">
        <is>
          <t>PCM: power control module</t>
        </is>
      </c>
      <c r="G4533" s="12" t="inlineStr">
        <is>
          <t>JB-RICE 2 radiators (-AI01</t>
        </is>
      </c>
      <c r="H4533" s="12" t="inlineStr">
        <is>
          <t>RICE 2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550</v>
      </c>
      <c r="U4533" s="16" t="n">
        <v>192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I-I-0172</t>
        </is>
      </c>
      <c r="B4534" s="12" t="inlineStr">
        <is>
          <t>I</t>
        </is>
      </c>
      <c r="C4534" s="12" t="inlineStr">
        <is>
          <t>Modular / portable power</t>
        </is>
      </c>
      <c r="D4534" s="12" t="inlineStr">
        <is>
          <t>Discrete device to JB JB-RICE 2 radiators (-DI01: 10 x 1 pr (field cables)</t>
        </is>
      </c>
      <c r="E4534" s="12" t="inlineStr"/>
      <c r="F4534" s="12" t="inlineStr">
        <is>
          <t>RICE 2 radiators (5)</t>
        </is>
      </c>
      <c r="G4534" s="12" t="inlineStr">
        <is>
          <t>JB-RICE 2 radiators (-DI01</t>
        </is>
      </c>
      <c r="H4534" s="12" t="inlineStr">
        <is>
          <t>RICE 2 radiators (5)</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6" t="n">
        <v>80</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I-I-0173</t>
        </is>
      </c>
      <c r="B4535" s="12" t="inlineStr">
        <is>
          <t>I</t>
        </is>
      </c>
      <c r="C4535" s="12" t="inlineStr">
        <is>
          <t>Modular / portable power</t>
        </is>
      </c>
      <c r="D4535" s="12" t="inlineStr">
        <is>
          <t>Home run JB-RICE 2 radiators (-DI01 to the control / marshalling room</t>
        </is>
      </c>
      <c r="E4535" s="12" t="inlineStr"/>
      <c r="F4535" s="12" t="inlineStr">
        <is>
          <t>PCM: power control module</t>
        </is>
      </c>
      <c r="G4535" s="12" t="inlineStr">
        <is>
          <t>JB-RICE 2 radiators (-DI01</t>
        </is>
      </c>
      <c r="H4535" s="12" t="inlineStr">
        <is>
          <t>RICE 2 radiators (5)</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550</v>
      </c>
      <c r="U4535" s="16" t="n">
        <v>192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I-I-0174</t>
        </is>
      </c>
      <c r="B4536" s="12" t="inlineStr">
        <is>
          <t>I</t>
        </is>
      </c>
      <c r="C4536" s="12" t="inlineStr">
        <is>
          <t>Modular / portable power</t>
        </is>
      </c>
      <c r="D4536" s="12" t="inlineStr">
        <is>
          <t>Analog instrument to JB JB-RICE 3 SCR + oxida-AI01: 10 x 1 pr (field cables)</t>
        </is>
      </c>
      <c r="E4536" s="12" t="inlineStr"/>
      <c r="F4536" s="12" t="inlineStr">
        <is>
          <t>RICE 3 SCR + oxidation catalyst and stack</t>
        </is>
      </c>
      <c r="G4536" s="12" t="inlineStr">
        <is>
          <t>JB-RICE 3 SCR + oxida-AI01</t>
        </is>
      </c>
      <c r="H4536" s="12" t="inlineStr">
        <is>
          <t>RICE 3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10</v>
      </c>
      <c r="O4536" s="12" t="n">
        <v>1</v>
      </c>
      <c r="P4536" s="12" t="n"/>
      <c r="Q4536" s="12" t="n"/>
      <c r="R4536" s="12" t="n"/>
      <c r="S4536" s="12" t="inlineStr">
        <is>
          <t>Tray / conduit</t>
        </is>
      </c>
      <c r="T4536" s="16" t="n">
        <v>92</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I-I-0175</t>
        </is>
      </c>
      <c r="B4537" s="12" t="inlineStr">
        <is>
          <t>I</t>
        </is>
      </c>
      <c r="C4537" s="12" t="inlineStr">
        <is>
          <t>Modular / portable power</t>
        </is>
      </c>
      <c r="D4537" s="12" t="inlineStr">
        <is>
          <t>Home run JB-RICE 3 SCR + oxida-AI01 to the control / marshalling room</t>
        </is>
      </c>
      <c r="E4537" s="12" t="inlineStr"/>
      <c r="F4537" s="12" t="inlineStr">
        <is>
          <t>PCM: power control module</t>
        </is>
      </c>
      <c r="G4537" s="12" t="inlineStr">
        <is>
          <t>JB-RICE 3 SCR + oxida-AI01</t>
        </is>
      </c>
      <c r="H4537" s="12" t="inlineStr">
        <is>
          <t>RICE 3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470</v>
      </c>
      <c r="U4537" s="16" t="n">
        <v>104</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I-I-0176</t>
        </is>
      </c>
      <c r="B4538" s="12" t="inlineStr">
        <is>
          <t>I</t>
        </is>
      </c>
      <c r="C4538" s="12" t="inlineStr">
        <is>
          <t>Modular / portable power</t>
        </is>
      </c>
      <c r="D4538" s="12" t="inlineStr">
        <is>
          <t>Discrete device to JB JB-RICE 3 SCR + oxida-DI01: 6 x 1 pr (field cables)</t>
        </is>
      </c>
      <c r="E4538" s="12" t="inlineStr"/>
      <c r="F4538" s="12" t="inlineStr">
        <is>
          <t>RICE 3 SCR + oxidation catalyst and stack</t>
        </is>
      </c>
      <c r="G4538" s="12" t="inlineStr">
        <is>
          <t>JB-RICE 3 SCR + oxida-DI01</t>
        </is>
      </c>
      <c r="H4538" s="12" t="inlineStr">
        <is>
          <t>RICE 3 SCR + oxidation catalyst and stack</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6</v>
      </c>
      <c r="O4538" s="12" t="n">
        <v>1</v>
      </c>
      <c r="P4538" s="12" t="n"/>
      <c r="Q4538" s="12" t="n"/>
      <c r="R4538" s="12" t="n"/>
      <c r="S4538" s="12" t="inlineStr">
        <is>
          <t>Tray / conduit</t>
        </is>
      </c>
      <c r="T4538" s="16" t="n">
        <v>92</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I-I-0177</t>
        </is>
      </c>
      <c r="B4539" s="12" t="inlineStr">
        <is>
          <t>I</t>
        </is>
      </c>
      <c r="C4539" s="12" t="inlineStr">
        <is>
          <t>Modular / portable power</t>
        </is>
      </c>
      <c r="D4539" s="12" t="inlineStr">
        <is>
          <t>Home run JB-RICE 3 SCR + oxida-DI01 to the control / marshalling room</t>
        </is>
      </c>
      <c r="E4539" s="12" t="inlineStr"/>
      <c r="F4539" s="12" t="inlineStr">
        <is>
          <t>PCM: power control module</t>
        </is>
      </c>
      <c r="G4539" s="12" t="inlineStr">
        <is>
          <t>JB-RICE 3 SCR + oxida-DI01</t>
        </is>
      </c>
      <c r="H4539" s="12" t="inlineStr">
        <is>
          <t>RICE 3 SCR + oxidation catalyst and stack</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470</v>
      </c>
      <c r="U4539" s="16" t="n">
        <v>104</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I-I-0178</t>
        </is>
      </c>
      <c r="B4540" s="12" t="inlineStr">
        <is>
          <t>I</t>
        </is>
      </c>
      <c r="C4540" s="12" t="inlineStr">
        <is>
          <t>Modular / portable power</t>
        </is>
      </c>
      <c r="D4540" s="12" t="inlineStr">
        <is>
          <t>Analog instrument to JB JB-RICE 3 radiators (-AI01: 5 x 1 pr (field cables)</t>
        </is>
      </c>
      <c r="E4540" s="12" t="inlineStr"/>
      <c r="F4540" s="12" t="inlineStr">
        <is>
          <t>RICE 3 radiators (5)</t>
        </is>
      </c>
      <c r="G4540" s="12" t="inlineStr">
        <is>
          <t>JB-RICE 3 radiators (-AI01</t>
        </is>
      </c>
      <c r="H4540" s="12" t="inlineStr">
        <is>
          <t>RICE 3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5</v>
      </c>
      <c r="O4540" s="12" t="n">
        <v>1</v>
      </c>
      <c r="P4540" s="12" t="n"/>
      <c r="Q4540" s="12" t="n"/>
      <c r="R4540" s="12" t="n"/>
      <c r="S4540" s="12" t="inlineStr">
        <is>
          <t>Tray / conduit</t>
        </is>
      </c>
      <c r="T4540" s="16" t="n">
        <v>80</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I-I-0179</t>
        </is>
      </c>
      <c r="B4541" s="12" t="inlineStr">
        <is>
          <t>I</t>
        </is>
      </c>
      <c r="C4541" s="12" t="inlineStr">
        <is>
          <t>Modular / portable power</t>
        </is>
      </c>
      <c r="D4541" s="12" t="inlineStr">
        <is>
          <t>Home run JB-RICE 3 radiators (-AI01 to the control / marshalling room</t>
        </is>
      </c>
      <c r="E4541" s="12" t="inlineStr"/>
      <c r="F4541" s="12" t="inlineStr">
        <is>
          <t>PCM: power control module</t>
        </is>
      </c>
      <c r="G4541" s="12" t="inlineStr">
        <is>
          <t>JB-RICE 3 radiators (-AI01</t>
        </is>
      </c>
      <c r="H4541" s="12" t="inlineStr">
        <is>
          <t>RICE 3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6" t="n">
        <v>32</v>
      </c>
      <c r="U4541" s="16" t="n">
        <v>232</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I-I-0180</t>
        </is>
      </c>
      <c r="B4542" s="12" t="inlineStr">
        <is>
          <t>I</t>
        </is>
      </c>
      <c r="C4542" s="12" t="inlineStr">
        <is>
          <t>Modular / portable power</t>
        </is>
      </c>
      <c r="D4542" s="12" t="inlineStr">
        <is>
          <t>Discrete device to JB JB-RICE 3 radiators (-DI01: 10 x 1 pr (field cables)</t>
        </is>
      </c>
      <c r="E4542" s="12" t="inlineStr"/>
      <c r="F4542" s="12" t="inlineStr">
        <is>
          <t>RICE 3 radiators (5)</t>
        </is>
      </c>
      <c r="G4542" s="12" t="inlineStr">
        <is>
          <t>JB-RICE 3 radiators (-DI01</t>
        </is>
      </c>
      <c r="H4542" s="12" t="inlineStr">
        <is>
          <t>RICE 3 radiators (5)</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10</v>
      </c>
      <c r="O4542" s="12" t="n">
        <v>1</v>
      </c>
      <c r="P4542" s="12" t="n"/>
      <c r="Q4542" s="12" t="n"/>
      <c r="R4542" s="12" t="n"/>
      <c r="S4542" s="12" t="inlineStr">
        <is>
          <t>Tray / conduit</t>
        </is>
      </c>
      <c r="T4542" s="16" t="n">
        <v>80</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I-I-0181</t>
        </is>
      </c>
      <c r="B4543" s="12" t="inlineStr">
        <is>
          <t>I</t>
        </is>
      </c>
      <c r="C4543" s="12" t="inlineStr">
        <is>
          <t>Modular / portable power</t>
        </is>
      </c>
      <c r="D4543" s="12" t="inlineStr">
        <is>
          <t>Home run JB-RICE 3 radiators (-DI01 to the control / marshalling room</t>
        </is>
      </c>
      <c r="E4543" s="12" t="inlineStr"/>
      <c r="F4543" s="12" t="inlineStr">
        <is>
          <t>PCM: power control module</t>
        </is>
      </c>
      <c r="G4543" s="12" t="inlineStr">
        <is>
          <t>JB-RICE 3 radiators (-DI01</t>
        </is>
      </c>
      <c r="H4543" s="12" t="inlineStr">
        <is>
          <t>RICE 3 radiators (5)</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Tray</t>
        </is>
      </c>
      <c r="T4543" s="16" t="n">
        <v>32</v>
      </c>
      <c r="U4543" s="16" t="n">
        <v>232</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I-I-0182</t>
        </is>
      </c>
      <c r="B4544" s="12" t="inlineStr">
        <is>
          <t>I</t>
        </is>
      </c>
      <c r="C4544" s="12" t="inlineStr">
        <is>
          <t>Modular / portable power</t>
        </is>
      </c>
      <c r="D4544" s="12" t="inlineStr">
        <is>
          <t>Analog instrument to JB JB-RICE 4 SCR + oxida-AI01: 10 x 1 pr (field cables)</t>
        </is>
      </c>
      <c r="E4544" s="12" t="inlineStr"/>
      <c r="F4544" s="12" t="inlineStr">
        <is>
          <t>RICE 4 SCR + oxidation catalyst and stack</t>
        </is>
      </c>
      <c r="G4544" s="12" t="inlineStr">
        <is>
          <t>JB-RICE 4 SCR + oxida-AI01</t>
        </is>
      </c>
      <c r="H4544" s="12" t="inlineStr">
        <is>
          <t>RICE 4 SCR + oxidation catalyst and stack</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6" t="n">
        <v>92</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I-I-0183</t>
        </is>
      </c>
      <c r="B4545" s="12" t="inlineStr">
        <is>
          <t>I</t>
        </is>
      </c>
      <c r="C4545" s="12" t="inlineStr">
        <is>
          <t>Modular / portable power</t>
        </is>
      </c>
      <c r="D4545" s="12" t="inlineStr">
        <is>
          <t>Home run JB-RICE 4 SCR + oxida-AI01 to the control / marshalling room</t>
        </is>
      </c>
      <c r="E4545" s="12" t="inlineStr"/>
      <c r="F4545" s="12" t="inlineStr">
        <is>
          <t>PCM: power control module</t>
        </is>
      </c>
      <c r="G4545" s="12" t="inlineStr">
        <is>
          <t>JB-RICE 4 SCR + oxida-AI01</t>
        </is>
      </c>
      <c r="H4545" s="12" t="inlineStr">
        <is>
          <t>RICE 4 SCR + oxidation catalyst and stack</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6" t="n">
        <v>470</v>
      </c>
      <c r="U4545" s="16" t="n">
        <v>76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I-I-0184</t>
        </is>
      </c>
      <c r="B4546" s="12" t="inlineStr">
        <is>
          <t>I</t>
        </is>
      </c>
      <c r="C4546" s="12" t="inlineStr">
        <is>
          <t>Modular / portable power</t>
        </is>
      </c>
      <c r="D4546" s="12" t="inlineStr">
        <is>
          <t>Discrete device to JB JB-RICE 4 SCR + oxida-DI01: 6 x 1 pr (field cables)</t>
        </is>
      </c>
      <c r="E4546" s="12" t="inlineStr"/>
      <c r="F4546" s="12" t="inlineStr">
        <is>
          <t>RICE 4 SCR + oxidation catalyst and stack</t>
        </is>
      </c>
      <c r="G4546" s="12" t="inlineStr">
        <is>
          <t>JB-RICE 4 SCR + oxida-DI01</t>
        </is>
      </c>
      <c r="H4546" s="12" t="inlineStr">
        <is>
          <t>RICE 4 SCR + oxidation catalyst and stack</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6</v>
      </c>
      <c r="O4546" s="12" t="n">
        <v>1</v>
      </c>
      <c r="P4546" s="12" t="n"/>
      <c r="Q4546" s="12" t="n"/>
      <c r="R4546" s="12" t="n"/>
      <c r="S4546" s="12" t="inlineStr">
        <is>
          <t>Tray / conduit</t>
        </is>
      </c>
      <c r="T4546" s="16" t="n">
        <v>92</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I-I-0185</t>
        </is>
      </c>
      <c r="B4547" s="12" t="inlineStr">
        <is>
          <t>I</t>
        </is>
      </c>
      <c r="C4547" s="12" t="inlineStr">
        <is>
          <t>Modular / portable power</t>
        </is>
      </c>
      <c r="D4547" s="12" t="inlineStr">
        <is>
          <t>Home run JB-RICE 4 SCR + oxida-DI01 to the control / marshalling room</t>
        </is>
      </c>
      <c r="E4547" s="12" t="inlineStr"/>
      <c r="F4547" s="12" t="inlineStr">
        <is>
          <t>PCM: power control module</t>
        </is>
      </c>
      <c r="G4547" s="12" t="inlineStr">
        <is>
          <t>JB-RICE 4 SCR + oxida-DI01</t>
        </is>
      </c>
      <c r="H4547" s="12" t="inlineStr">
        <is>
          <t>RICE 4 SCR + oxidation catalyst and stack</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470</v>
      </c>
      <c r="U4547" s="16" t="n">
        <v>76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I-I-0186</t>
        </is>
      </c>
      <c r="B4548" s="12" t="inlineStr">
        <is>
          <t>I</t>
        </is>
      </c>
      <c r="C4548" s="12" t="inlineStr">
        <is>
          <t>Modular / portable power</t>
        </is>
      </c>
      <c r="D4548" s="12" t="inlineStr">
        <is>
          <t>Analog instrument to JB JB-RICE 4 radiators (-AI01: 5 x 1 pr (field cables)</t>
        </is>
      </c>
      <c r="E4548" s="12" t="inlineStr"/>
      <c r="F4548" s="12" t="inlineStr">
        <is>
          <t>RICE 4 radiators (5)</t>
        </is>
      </c>
      <c r="G4548" s="12" t="inlineStr">
        <is>
          <t>JB-RICE 4 radiators (-AI01</t>
        </is>
      </c>
      <c r="H4548" s="12" t="inlineStr">
        <is>
          <t>RICE 4 radiators (5)</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5</v>
      </c>
      <c r="O4548" s="12" t="n">
        <v>1</v>
      </c>
      <c r="P4548" s="12" t="n"/>
      <c r="Q4548" s="12" t="n"/>
      <c r="R4548" s="12" t="n"/>
      <c r="S4548" s="12" t="inlineStr">
        <is>
          <t>Tray / conduit</t>
        </is>
      </c>
      <c r="T4548" s="16" t="n">
        <v>80</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I-I-0187</t>
        </is>
      </c>
      <c r="B4549" s="12" t="inlineStr">
        <is>
          <t>I</t>
        </is>
      </c>
      <c r="C4549" s="12" t="inlineStr">
        <is>
          <t>Modular / portable power</t>
        </is>
      </c>
      <c r="D4549" s="12" t="inlineStr">
        <is>
          <t>Home run JB-RICE 4 radiators (-AI01 to the control / marshalling room</t>
        </is>
      </c>
      <c r="E4549" s="12" t="inlineStr"/>
      <c r="F4549" s="12" t="inlineStr">
        <is>
          <t>PCM: power control module</t>
        </is>
      </c>
      <c r="G4549" s="12" t="inlineStr">
        <is>
          <t>JB-RICE 4 radiators (-AI01</t>
        </is>
      </c>
      <c r="H4549" s="12" t="inlineStr">
        <is>
          <t>RICE 4 radiators (5)</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Tray</t>
        </is>
      </c>
      <c r="T4549" s="16" t="n">
        <v>0</v>
      </c>
      <c r="U4549" s="16" t="n">
        <v>206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I-I-0188</t>
        </is>
      </c>
      <c r="B4550" s="12" t="inlineStr">
        <is>
          <t>I</t>
        </is>
      </c>
      <c r="C4550" s="12" t="inlineStr">
        <is>
          <t>Modular / portable power</t>
        </is>
      </c>
      <c r="D4550" s="12" t="inlineStr">
        <is>
          <t>Discrete device to JB JB-RICE 4 radiators (-DI01: 10 x 1 pr (field cables)</t>
        </is>
      </c>
      <c r="E4550" s="12" t="inlineStr"/>
      <c r="F4550" s="12" t="inlineStr">
        <is>
          <t>RICE 4 radiators (5)</t>
        </is>
      </c>
      <c r="G4550" s="12" t="inlineStr">
        <is>
          <t>JB-RICE 4 radiators (-DI01</t>
        </is>
      </c>
      <c r="H4550" s="12" t="inlineStr">
        <is>
          <t>RICE 4 radiators (5)</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80</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I-I-0189</t>
        </is>
      </c>
      <c r="B4551" s="12" t="inlineStr">
        <is>
          <t>I</t>
        </is>
      </c>
      <c r="C4551" s="12" t="inlineStr">
        <is>
          <t>Modular / portable power</t>
        </is>
      </c>
      <c r="D4551" s="12" t="inlineStr">
        <is>
          <t>Home run JB-RICE 4 radiators (-DI01 to the control / marshalling room</t>
        </is>
      </c>
      <c r="E4551" s="12" t="inlineStr"/>
      <c r="F4551" s="12" t="inlineStr">
        <is>
          <t>PCM: power control module</t>
        </is>
      </c>
      <c r="G4551" s="12" t="inlineStr">
        <is>
          <t>JB-RICE 4 radiators (-DI01</t>
        </is>
      </c>
      <c r="H4551" s="12" t="inlineStr">
        <is>
          <t>RICE 4 radiators (5)</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6" t="n">
        <v>0</v>
      </c>
      <c r="U4551" s="16" t="n">
        <v>206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I-I-0190</t>
        </is>
      </c>
      <c r="B4552" s="12" t="inlineStr">
        <is>
          <t>I</t>
        </is>
      </c>
      <c r="C4552" s="12" t="inlineStr">
        <is>
          <t>Modular / portable power</t>
        </is>
      </c>
      <c r="D4552" s="12" t="inlineStr">
        <is>
          <t>Analog instrument to JB JB-RICE 5 SCR + oxida-AI01: 10 x 1 pr (field cables)</t>
        </is>
      </c>
      <c r="E4552" s="12" t="inlineStr"/>
      <c r="F4552" s="12" t="inlineStr">
        <is>
          <t>RICE 5 SCR + oxidation catalyst and stack</t>
        </is>
      </c>
      <c r="G4552" s="12" t="inlineStr">
        <is>
          <t>JB-RICE 5 SCR + oxida-AI01</t>
        </is>
      </c>
      <c r="H4552" s="12" t="inlineStr">
        <is>
          <t>RICE 5 SCR + oxidation catalyst and stack</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92</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I-I-0191</t>
        </is>
      </c>
      <c r="B4553" s="12" t="inlineStr">
        <is>
          <t>I</t>
        </is>
      </c>
      <c r="C4553" s="12" t="inlineStr">
        <is>
          <t>Modular / portable power</t>
        </is>
      </c>
      <c r="D4553" s="12" t="inlineStr">
        <is>
          <t>Home run JB-RICE 5 SCR + oxida-AI01 to the control / marshalling room</t>
        </is>
      </c>
      <c r="E4553" s="12" t="inlineStr"/>
      <c r="F4553" s="12" t="inlineStr">
        <is>
          <t>PCM: power control module</t>
        </is>
      </c>
      <c r="G4553" s="12" t="inlineStr">
        <is>
          <t>JB-RICE 5 SCR + oxida-AI01</t>
        </is>
      </c>
      <c r="H4553" s="12" t="inlineStr">
        <is>
          <t>RICE 5 SCR + oxidation catalyst and stack</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322</v>
      </c>
      <c r="U4553" s="16" t="n">
        <v>196</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I-I-0192</t>
        </is>
      </c>
      <c r="B4554" s="12" t="inlineStr">
        <is>
          <t>I</t>
        </is>
      </c>
      <c r="C4554" s="12" t="inlineStr">
        <is>
          <t>Modular / portable power</t>
        </is>
      </c>
      <c r="D4554" s="12" t="inlineStr">
        <is>
          <t>Discrete device to JB JB-RICE 5 SCR + oxida-DI01: 6 x 1 pr (field cables)</t>
        </is>
      </c>
      <c r="E4554" s="12" t="inlineStr"/>
      <c r="F4554" s="12" t="inlineStr">
        <is>
          <t>RICE 5 SCR + oxidation catalyst and stack</t>
        </is>
      </c>
      <c r="G4554" s="12" t="inlineStr">
        <is>
          <t>JB-RICE 5 SCR + oxida-DI01</t>
        </is>
      </c>
      <c r="H4554" s="12" t="inlineStr">
        <is>
          <t>RICE 5 SCR + oxidation catalyst and stack</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6</v>
      </c>
      <c r="O4554" s="12" t="n">
        <v>1</v>
      </c>
      <c r="P4554" s="12" t="n"/>
      <c r="Q4554" s="12" t="n"/>
      <c r="R4554" s="12" t="n"/>
      <c r="S4554" s="12" t="inlineStr">
        <is>
          <t>Tray / conduit</t>
        </is>
      </c>
      <c r="T4554" s="16" t="n">
        <v>92</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I-I-0193</t>
        </is>
      </c>
      <c r="B4555" s="12" t="inlineStr">
        <is>
          <t>I</t>
        </is>
      </c>
      <c r="C4555" s="12" t="inlineStr">
        <is>
          <t>Modular / portable power</t>
        </is>
      </c>
      <c r="D4555" s="12" t="inlineStr">
        <is>
          <t>Home run JB-RICE 5 SCR + oxida-DI01 to the control / marshalling room</t>
        </is>
      </c>
      <c r="E4555" s="12" t="inlineStr"/>
      <c r="F4555" s="12" t="inlineStr">
        <is>
          <t>PCM: power control module</t>
        </is>
      </c>
      <c r="G4555" s="12" t="inlineStr">
        <is>
          <t>JB-RICE 5 SCR + oxida-DI01</t>
        </is>
      </c>
      <c r="H4555" s="12" t="inlineStr">
        <is>
          <t>RICE 5 SCR + oxidation catalyst and stack</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322</v>
      </c>
      <c r="U4555" s="16" t="n">
        <v>196</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I-I-0194</t>
        </is>
      </c>
      <c r="B4556" s="12" t="inlineStr">
        <is>
          <t>I</t>
        </is>
      </c>
      <c r="C4556" s="12" t="inlineStr">
        <is>
          <t>Modular / portable power</t>
        </is>
      </c>
      <c r="D4556" s="12" t="inlineStr">
        <is>
          <t>Analog instrument to JB JB-RICE 5 radiators (-AI01: 5 x 1 pr (field cables)</t>
        </is>
      </c>
      <c r="E4556" s="12" t="inlineStr"/>
      <c r="F4556" s="12" t="inlineStr">
        <is>
          <t>RICE 5 radiators (5)</t>
        </is>
      </c>
      <c r="G4556" s="12" t="inlineStr">
        <is>
          <t>JB-RICE 5 radiators (-AI01</t>
        </is>
      </c>
      <c r="H4556" s="12" t="inlineStr">
        <is>
          <t>RICE 5 radiators (5)</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5</v>
      </c>
      <c r="O4556" s="12" t="n">
        <v>1</v>
      </c>
      <c r="P4556" s="12" t="n"/>
      <c r="Q4556" s="12" t="n"/>
      <c r="R4556" s="12" t="n"/>
      <c r="S4556" s="12" t="inlineStr">
        <is>
          <t>Tray / conduit</t>
        </is>
      </c>
      <c r="T4556" s="16" t="n">
        <v>80</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I-I-0195</t>
        </is>
      </c>
      <c r="B4557" s="12" t="inlineStr">
        <is>
          <t>I</t>
        </is>
      </c>
      <c r="C4557" s="12" t="inlineStr">
        <is>
          <t>Modular / portable power</t>
        </is>
      </c>
      <c r="D4557" s="12" t="inlineStr">
        <is>
          <t>Home run JB-RICE 5 radiators (-AI01 to the control / marshalling room</t>
        </is>
      </c>
      <c r="E4557" s="12" t="inlineStr"/>
      <c r="F4557" s="12" t="inlineStr">
        <is>
          <t>PCM: power control module</t>
        </is>
      </c>
      <c r="G4557" s="12" t="inlineStr">
        <is>
          <t>JB-RICE 5 radiators (-AI01</t>
        </is>
      </c>
      <c r="H4557" s="12" t="inlineStr">
        <is>
          <t>RICE 5 radiators (5)</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Tray</t>
        </is>
      </c>
      <c r="T4557" s="16" t="n">
        <v>0</v>
      </c>
      <c r="U4557" s="16" t="n">
        <v>178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I-I-0196</t>
        </is>
      </c>
      <c r="B4558" s="12" t="inlineStr">
        <is>
          <t>I</t>
        </is>
      </c>
      <c r="C4558" s="12" t="inlineStr">
        <is>
          <t>Modular / portable power</t>
        </is>
      </c>
      <c r="D4558" s="12" t="inlineStr">
        <is>
          <t>Discrete device to JB JB-RICE 5 radiators (-DI01: 10 x 1 pr (field cables)</t>
        </is>
      </c>
      <c r="E4558" s="12" t="inlineStr"/>
      <c r="F4558" s="12" t="inlineStr">
        <is>
          <t>RICE 5 radiators (5)</t>
        </is>
      </c>
      <c r="G4558" s="12" t="inlineStr">
        <is>
          <t>JB-RICE 5 radiators (-DI01</t>
        </is>
      </c>
      <c r="H4558" s="12" t="inlineStr">
        <is>
          <t>RICE 5 radiators (5)</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80</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I-I-0197</t>
        </is>
      </c>
      <c r="B4559" s="12" t="inlineStr">
        <is>
          <t>I</t>
        </is>
      </c>
      <c r="C4559" s="12" t="inlineStr">
        <is>
          <t>Modular / portable power</t>
        </is>
      </c>
      <c r="D4559" s="12" t="inlineStr">
        <is>
          <t>Home run JB-RICE 5 radiators (-DI01 to the control / marshalling room</t>
        </is>
      </c>
      <c r="E4559" s="12" t="inlineStr"/>
      <c r="F4559" s="12" t="inlineStr">
        <is>
          <t>PCM: power control module</t>
        </is>
      </c>
      <c r="G4559" s="12" t="inlineStr">
        <is>
          <t>JB-RICE 5 radiators (-DI01</t>
        </is>
      </c>
      <c r="H4559" s="12" t="inlineStr">
        <is>
          <t>RICE 5 radiators (5)</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Tray</t>
        </is>
      </c>
      <c r="T4559" s="16" t="n">
        <v>0</v>
      </c>
      <c r="U4559" s="16" t="n">
        <v>178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I-I-0198</t>
        </is>
      </c>
      <c r="B4560" s="12" t="inlineStr">
        <is>
          <t>I</t>
        </is>
      </c>
      <c r="C4560" s="12" t="inlineStr">
        <is>
          <t>Modular / portable power</t>
        </is>
      </c>
      <c r="D4560" s="12" t="inlineStr">
        <is>
          <t>Analog instrument to JB JB-RICE 6 SCR + oxida-AI01: 10 x 1 pr (field cables)</t>
        </is>
      </c>
      <c r="E4560" s="12" t="inlineStr"/>
      <c r="F4560" s="12" t="inlineStr">
        <is>
          <t>RICE 6 SCR + oxidation catalyst and stack</t>
        </is>
      </c>
      <c r="G4560" s="12" t="inlineStr">
        <is>
          <t>JB-RICE 6 SCR + oxida-AI01</t>
        </is>
      </c>
      <c r="H4560" s="12" t="inlineStr">
        <is>
          <t>RICE 6 SCR + oxidation catalyst and stack</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92</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I-I-0199</t>
        </is>
      </c>
      <c r="B4561" s="12" t="inlineStr">
        <is>
          <t>I</t>
        </is>
      </c>
      <c r="C4561" s="12" t="inlineStr">
        <is>
          <t>Modular / portable power</t>
        </is>
      </c>
      <c r="D4561" s="12" t="inlineStr">
        <is>
          <t>Home run JB-RICE 6 SCR + oxida-AI01 to the control / marshalling room</t>
        </is>
      </c>
      <c r="E4561" s="12" t="inlineStr"/>
      <c r="F4561" s="12" t="inlineStr">
        <is>
          <t>PCM: power control module</t>
        </is>
      </c>
      <c r="G4561" s="12" t="inlineStr">
        <is>
          <t>JB-RICE 6 SCR + oxida-AI01</t>
        </is>
      </c>
      <c r="H4561" s="12" t="inlineStr">
        <is>
          <t>RICE 6 SCR + oxidation catalyst and stack</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322</v>
      </c>
      <c r="U4561" s="16" t="n">
        <v>168</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I-I-0200</t>
        </is>
      </c>
      <c r="B4562" s="12" t="inlineStr">
        <is>
          <t>I</t>
        </is>
      </c>
      <c r="C4562" s="12" t="inlineStr">
        <is>
          <t>Modular / portable power</t>
        </is>
      </c>
      <c r="D4562" s="12" t="inlineStr">
        <is>
          <t>Discrete device to JB JB-RICE 6 SCR + oxida-DI01: 6 x 1 pr (field cables)</t>
        </is>
      </c>
      <c r="E4562" s="12" t="inlineStr"/>
      <c r="F4562" s="12" t="inlineStr">
        <is>
          <t>RICE 6 SCR + oxidation catalyst and stack</t>
        </is>
      </c>
      <c r="G4562" s="12" t="inlineStr">
        <is>
          <t>JB-RICE 6 SCR + oxida-DI01</t>
        </is>
      </c>
      <c r="H4562" s="12" t="inlineStr">
        <is>
          <t>RICE 6 SCR + oxidation catalyst and stack</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6</v>
      </c>
      <c r="O4562" s="12" t="n">
        <v>1</v>
      </c>
      <c r="P4562" s="12" t="n"/>
      <c r="Q4562" s="12" t="n"/>
      <c r="R4562" s="12" t="n"/>
      <c r="S4562" s="12" t="inlineStr">
        <is>
          <t>Tray / conduit</t>
        </is>
      </c>
      <c r="T4562" s="16" t="n">
        <v>92</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I-I-0201</t>
        </is>
      </c>
      <c r="B4563" s="12" t="inlineStr">
        <is>
          <t>I</t>
        </is>
      </c>
      <c r="C4563" s="12" t="inlineStr">
        <is>
          <t>Modular / portable power</t>
        </is>
      </c>
      <c r="D4563" s="12" t="inlineStr">
        <is>
          <t>Home run JB-RICE 6 SCR + oxida-DI01 to the control / marshalling room</t>
        </is>
      </c>
      <c r="E4563" s="12" t="inlineStr"/>
      <c r="F4563" s="12" t="inlineStr">
        <is>
          <t>PCM: power control module</t>
        </is>
      </c>
      <c r="G4563" s="12" t="inlineStr">
        <is>
          <t>JB-RICE 6 SCR + oxida-DI01</t>
        </is>
      </c>
      <c r="H4563" s="12" t="inlineStr">
        <is>
          <t>RICE 6 SCR + oxidation catalyst and stack</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322</v>
      </c>
      <c r="U4563" s="16" t="n">
        <v>168</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I-I-0202</t>
        </is>
      </c>
      <c r="B4564" s="12" t="inlineStr">
        <is>
          <t>I</t>
        </is>
      </c>
      <c r="C4564" s="12" t="inlineStr">
        <is>
          <t>Modular / portable power</t>
        </is>
      </c>
      <c r="D4564" s="12" t="inlineStr">
        <is>
          <t>Analog instrument to JB JB-RICE 6 radiators (-AI01: 5 x 1 pr (field cables)</t>
        </is>
      </c>
      <c r="E4564" s="12" t="inlineStr"/>
      <c r="F4564" s="12" t="inlineStr">
        <is>
          <t>RICE 6 radiators (5)</t>
        </is>
      </c>
      <c r="G4564" s="12" t="inlineStr">
        <is>
          <t>JB-RICE 6 radiators (-AI01</t>
        </is>
      </c>
      <c r="H4564" s="12" t="inlineStr">
        <is>
          <t>RICE 6 radiators (5)</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5</v>
      </c>
      <c r="O4564" s="12" t="n">
        <v>1</v>
      </c>
      <c r="P4564" s="12" t="n"/>
      <c r="Q4564" s="12" t="n"/>
      <c r="R4564" s="12" t="n"/>
      <c r="S4564" s="12" t="inlineStr">
        <is>
          <t>Tray / conduit</t>
        </is>
      </c>
      <c r="T4564" s="16" t="n">
        <v>80</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I-I-0203</t>
        </is>
      </c>
      <c r="B4565" s="12" t="inlineStr">
        <is>
          <t>I</t>
        </is>
      </c>
      <c r="C4565" s="12" t="inlineStr">
        <is>
          <t>Modular / portable power</t>
        </is>
      </c>
      <c r="D4565" s="12" t="inlineStr">
        <is>
          <t>Home run JB-RICE 6 radiators (-AI01 to the control / marshalling room</t>
        </is>
      </c>
      <c r="E4565" s="12" t="inlineStr"/>
      <c r="F4565" s="12" t="inlineStr">
        <is>
          <t>PCM: power control module</t>
        </is>
      </c>
      <c r="G4565" s="12" t="inlineStr">
        <is>
          <t>JB-RICE 6 radiators (-AI01</t>
        </is>
      </c>
      <c r="H4565" s="12" t="inlineStr">
        <is>
          <t>RICE 6 radiators (5)</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Tray</t>
        </is>
      </c>
      <c r="T4565" s="16" t="n">
        <v>0</v>
      </c>
      <c r="U4565" s="16" t="n">
        <v>150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I-I-0204</t>
        </is>
      </c>
      <c r="B4566" s="12" t="inlineStr">
        <is>
          <t>I</t>
        </is>
      </c>
      <c r="C4566" s="12" t="inlineStr">
        <is>
          <t>Modular / portable power</t>
        </is>
      </c>
      <c r="D4566" s="12" t="inlineStr">
        <is>
          <t>Discrete device to JB JB-RICE 6 radiators (-DI01: 10 x 1 pr (field cables)</t>
        </is>
      </c>
      <c r="E4566" s="12" t="inlineStr"/>
      <c r="F4566" s="12" t="inlineStr">
        <is>
          <t>RICE 6 radiators (5)</t>
        </is>
      </c>
      <c r="G4566" s="12" t="inlineStr">
        <is>
          <t>JB-RICE 6 radiators (-DI01</t>
        </is>
      </c>
      <c r="H4566" s="12" t="inlineStr">
        <is>
          <t>RICE 6 radiators (5)</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80</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I-I-0205</t>
        </is>
      </c>
      <c r="B4567" s="12" t="inlineStr">
        <is>
          <t>I</t>
        </is>
      </c>
      <c r="C4567" s="12" t="inlineStr">
        <is>
          <t>Modular / portable power</t>
        </is>
      </c>
      <c r="D4567" s="12" t="inlineStr">
        <is>
          <t>Home run JB-RICE 6 radiators (-DI01 to the control / marshalling room</t>
        </is>
      </c>
      <c r="E4567" s="12" t="inlineStr"/>
      <c r="F4567" s="12" t="inlineStr">
        <is>
          <t>PCM: power control module</t>
        </is>
      </c>
      <c r="G4567" s="12" t="inlineStr">
        <is>
          <t>JB-RICE 6 radiators (-DI01</t>
        </is>
      </c>
      <c r="H4567" s="12" t="inlineStr">
        <is>
          <t>RICE 6 radiators (5)</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6" t="n">
        <v>0</v>
      </c>
      <c r="U4567" s="16" t="n">
        <v>150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I-I-0206</t>
        </is>
      </c>
      <c r="B4568" s="12" t="inlineStr">
        <is>
          <t>I</t>
        </is>
      </c>
      <c r="C4568" s="12" t="inlineStr">
        <is>
          <t>Modular / portable power</t>
        </is>
      </c>
      <c r="D4568" s="12" t="inlineStr">
        <is>
          <t>Analog instrument to JB JB-RICE 7 SCR + oxida-AI01: 10 x 1 pr (field cables)</t>
        </is>
      </c>
      <c r="E4568" s="12" t="inlineStr"/>
      <c r="F4568" s="12" t="inlineStr">
        <is>
          <t>RICE 7 SCR + oxidation catalyst and stack</t>
        </is>
      </c>
      <c r="G4568" s="12" t="inlineStr">
        <is>
          <t>JB-RICE 7 SCR + oxida-AI01</t>
        </is>
      </c>
      <c r="H4568" s="12" t="inlineStr">
        <is>
          <t>RICE 7 SCR + oxidation catalyst and stack</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92</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I-I-0207</t>
        </is>
      </c>
      <c r="B4569" s="12" t="inlineStr">
        <is>
          <t>I</t>
        </is>
      </c>
      <c r="C4569" s="12" t="inlineStr">
        <is>
          <t>Modular / portable power</t>
        </is>
      </c>
      <c r="D4569" s="12" t="inlineStr">
        <is>
          <t>Home run JB-RICE 7 SCR + oxida-AI01 to the control / marshalling room</t>
        </is>
      </c>
      <c r="E4569" s="12" t="inlineStr"/>
      <c r="F4569" s="12" t="inlineStr">
        <is>
          <t>PCM: power control module</t>
        </is>
      </c>
      <c r="G4569" s="12" t="inlineStr">
        <is>
          <t>JB-RICE 7 SCR + oxida-AI01</t>
        </is>
      </c>
      <c r="H4569" s="12" t="inlineStr">
        <is>
          <t>RICE 7 SCR + oxidation catalyst and stack</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322</v>
      </c>
      <c r="U4569" s="16" t="n">
        <v>140</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I-I-0208</t>
        </is>
      </c>
      <c r="B4570" s="12" t="inlineStr">
        <is>
          <t>I</t>
        </is>
      </c>
      <c r="C4570" s="12" t="inlineStr">
        <is>
          <t>Modular / portable power</t>
        </is>
      </c>
      <c r="D4570" s="12" t="inlineStr">
        <is>
          <t>Discrete device to JB JB-RICE 7 SCR + oxida-DI01: 6 x 1 pr (field cables)</t>
        </is>
      </c>
      <c r="E4570" s="12" t="inlineStr"/>
      <c r="F4570" s="12" t="inlineStr">
        <is>
          <t>RICE 7 SCR + oxidation catalyst and stack</t>
        </is>
      </c>
      <c r="G4570" s="12" t="inlineStr">
        <is>
          <t>JB-RICE 7 SCR + oxida-DI01</t>
        </is>
      </c>
      <c r="H4570" s="12" t="inlineStr">
        <is>
          <t>RICE 7 SCR + oxidation catalyst and stack</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6</v>
      </c>
      <c r="O4570" s="12" t="n">
        <v>1</v>
      </c>
      <c r="P4570" s="12" t="n"/>
      <c r="Q4570" s="12" t="n"/>
      <c r="R4570" s="12" t="n"/>
      <c r="S4570" s="12" t="inlineStr">
        <is>
          <t>Tray / conduit</t>
        </is>
      </c>
      <c r="T4570" s="16" t="n">
        <v>92</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I-I-0209</t>
        </is>
      </c>
      <c r="B4571" s="12" t="inlineStr">
        <is>
          <t>I</t>
        </is>
      </c>
      <c r="C4571" s="12" t="inlineStr">
        <is>
          <t>Modular / portable power</t>
        </is>
      </c>
      <c r="D4571" s="12" t="inlineStr">
        <is>
          <t>Home run JB-RICE 7 SCR + oxida-DI01 to the control / marshalling room</t>
        </is>
      </c>
      <c r="E4571" s="12" t="inlineStr"/>
      <c r="F4571" s="12" t="inlineStr">
        <is>
          <t>PCM: power control module</t>
        </is>
      </c>
      <c r="G4571" s="12" t="inlineStr">
        <is>
          <t>JB-RICE 7 SCR + oxida-DI01</t>
        </is>
      </c>
      <c r="H4571" s="12" t="inlineStr">
        <is>
          <t>RICE 7 SCR + oxidation catalyst and stack</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322</v>
      </c>
      <c r="U4571" s="16" t="n">
        <v>140</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I-I-0210</t>
        </is>
      </c>
      <c r="B4572" s="12" t="inlineStr">
        <is>
          <t>I</t>
        </is>
      </c>
      <c r="C4572" s="12" t="inlineStr">
        <is>
          <t>Modular / portable power</t>
        </is>
      </c>
      <c r="D4572" s="12" t="inlineStr">
        <is>
          <t>Analog instrument to JB JB-RICE 7 radiators (-AI01: 5 x 1 pr (field cables)</t>
        </is>
      </c>
      <c r="E4572" s="12" t="inlineStr"/>
      <c r="F4572" s="12" t="inlineStr">
        <is>
          <t>RICE 7 radiators (5)</t>
        </is>
      </c>
      <c r="G4572" s="12" t="inlineStr">
        <is>
          <t>JB-RICE 7 radiators (-AI01</t>
        </is>
      </c>
      <c r="H4572" s="12" t="inlineStr">
        <is>
          <t>RICE 7 radiators (5)</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5</v>
      </c>
      <c r="O4572" s="12" t="n">
        <v>1</v>
      </c>
      <c r="P4572" s="12" t="n"/>
      <c r="Q4572" s="12" t="n"/>
      <c r="R4572" s="12" t="n"/>
      <c r="S4572" s="12" t="inlineStr">
        <is>
          <t>Tray / conduit</t>
        </is>
      </c>
      <c r="T4572" s="16" t="n">
        <v>80</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I-I-0211</t>
        </is>
      </c>
      <c r="B4573" s="12" t="inlineStr">
        <is>
          <t>I</t>
        </is>
      </c>
      <c r="C4573" s="12" t="inlineStr">
        <is>
          <t>Modular / portable power</t>
        </is>
      </c>
      <c r="D4573" s="12" t="inlineStr">
        <is>
          <t>Home run JB-RICE 7 radiators (-AI01 to the control / marshalling room</t>
        </is>
      </c>
      <c r="E4573" s="12" t="inlineStr"/>
      <c r="F4573" s="12" t="inlineStr">
        <is>
          <t>PCM: power control module</t>
        </is>
      </c>
      <c r="G4573" s="12" t="inlineStr">
        <is>
          <t>JB-RICE 7 radiators (-AI01</t>
        </is>
      </c>
      <c r="H4573" s="12" t="inlineStr">
        <is>
          <t>RICE 7 radiators (5)</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Tray</t>
        </is>
      </c>
      <c r="T4573" s="16" t="n">
        <v>0</v>
      </c>
      <c r="U4573" s="16" t="n">
        <v>122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I-I-0212</t>
        </is>
      </c>
      <c r="B4574" s="12" t="inlineStr">
        <is>
          <t>I</t>
        </is>
      </c>
      <c r="C4574" s="12" t="inlineStr">
        <is>
          <t>Modular / portable power</t>
        </is>
      </c>
      <c r="D4574" s="12" t="inlineStr">
        <is>
          <t>Discrete device to JB JB-RICE 7 radiators (-DI01: 10 x 1 pr (field cables)</t>
        </is>
      </c>
      <c r="E4574" s="12" t="inlineStr"/>
      <c r="F4574" s="12" t="inlineStr">
        <is>
          <t>RICE 7 radiators (5)</t>
        </is>
      </c>
      <c r="G4574" s="12" t="inlineStr">
        <is>
          <t>JB-RICE 7 radiators (-DI01</t>
        </is>
      </c>
      <c r="H4574" s="12" t="inlineStr">
        <is>
          <t>RICE 7 radiators (5)</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10</v>
      </c>
      <c r="O4574" s="12" t="n">
        <v>1</v>
      </c>
      <c r="P4574" s="12" t="n"/>
      <c r="Q4574" s="12" t="n"/>
      <c r="R4574" s="12" t="n"/>
      <c r="S4574" s="12" t="inlineStr">
        <is>
          <t>Tray / conduit</t>
        </is>
      </c>
      <c r="T4574" s="16" t="n">
        <v>80</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I-I-0213</t>
        </is>
      </c>
      <c r="B4575" s="12" t="inlineStr">
        <is>
          <t>I</t>
        </is>
      </c>
      <c r="C4575" s="12" t="inlineStr">
        <is>
          <t>Modular / portable power</t>
        </is>
      </c>
      <c r="D4575" s="12" t="inlineStr">
        <is>
          <t>Home run JB-RICE 7 radiators (-DI01 to the control / marshalling room</t>
        </is>
      </c>
      <c r="E4575" s="12" t="inlineStr"/>
      <c r="F4575" s="12" t="inlineStr">
        <is>
          <t>PCM: power control module</t>
        </is>
      </c>
      <c r="G4575" s="12" t="inlineStr">
        <is>
          <t>JB-RICE 7 radiators (-DI01</t>
        </is>
      </c>
      <c r="H4575" s="12" t="inlineStr">
        <is>
          <t>RICE 7 radiators (5)</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6" t="n">
        <v>0</v>
      </c>
      <c r="U4575" s="16" t="n">
        <v>122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I-I-0214</t>
        </is>
      </c>
      <c r="B4576" s="12" t="inlineStr">
        <is>
          <t>I</t>
        </is>
      </c>
      <c r="C4576" s="12" t="inlineStr">
        <is>
          <t>Modular / portable power</t>
        </is>
      </c>
      <c r="D4576" s="12" t="inlineStr">
        <is>
          <t>Analog instrument to JB JB-RICE 8 SCR + oxida-AI01: 10 x 1 pr (field cables)</t>
        </is>
      </c>
      <c r="E4576" s="12" t="inlineStr"/>
      <c r="F4576" s="12" t="inlineStr">
        <is>
          <t>RICE 8 SCR + oxidation catalyst and stack</t>
        </is>
      </c>
      <c r="G4576" s="12" t="inlineStr">
        <is>
          <t>JB-RICE 8 SCR + oxida-AI01</t>
        </is>
      </c>
      <c r="H4576" s="12" t="inlineStr">
        <is>
          <t>RICE 8 SCR + oxidation catalyst and stack</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6" t="n">
        <v>92</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I-I-0215</t>
        </is>
      </c>
      <c r="B4577" s="12" t="inlineStr">
        <is>
          <t>I</t>
        </is>
      </c>
      <c r="C4577" s="12" t="inlineStr">
        <is>
          <t>Modular / portable power</t>
        </is>
      </c>
      <c r="D4577" s="12" t="inlineStr">
        <is>
          <t>Home run JB-RICE 8 SCR + oxida-AI01 to the control / marshalling room</t>
        </is>
      </c>
      <c r="E4577" s="12" t="inlineStr"/>
      <c r="F4577" s="12" t="inlineStr">
        <is>
          <t>PCM: power control module</t>
        </is>
      </c>
      <c r="G4577" s="12" t="inlineStr">
        <is>
          <t>JB-RICE 8 SCR + oxida-AI01</t>
        </is>
      </c>
      <c r="H4577" s="12" t="inlineStr">
        <is>
          <t>RICE 8 SCR + oxidation catalyst and stack</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Duct bank</t>
        </is>
      </c>
      <c r="T4577" s="16" t="n">
        <v>322</v>
      </c>
      <c r="U4577" s="16" t="n">
        <v>112</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I-I-0216</t>
        </is>
      </c>
      <c r="B4578" s="12" t="inlineStr">
        <is>
          <t>I</t>
        </is>
      </c>
      <c r="C4578" s="12" t="inlineStr">
        <is>
          <t>Modular / portable power</t>
        </is>
      </c>
      <c r="D4578" s="12" t="inlineStr">
        <is>
          <t>Discrete device to JB JB-RICE 8 SCR + oxida-DI01: 6 x 1 pr (field cables)</t>
        </is>
      </c>
      <c r="E4578" s="12" t="inlineStr"/>
      <c r="F4578" s="12" t="inlineStr">
        <is>
          <t>RICE 8 SCR + oxidation catalyst and stack</t>
        </is>
      </c>
      <c r="G4578" s="12" t="inlineStr">
        <is>
          <t>JB-RICE 8 SCR + oxida-DI01</t>
        </is>
      </c>
      <c r="H4578" s="12" t="inlineStr">
        <is>
          <t>RICE 8 SCR + oxidation catalyst and stack</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6</v>
      </c>
      <c r="O4578" s="12" t="n">
        <v>1</v>
      </c>
      <c r="P4578" s="12" t="n"/>
      <c r="Q4578" s="12" t="n"/>
      <c r="R4578" s="12" t="n"/>
      <c r="S4578" s="12" t="inlineStr">
        <is>
          <t>Tray / conduit</t>
        </is>
      </c>
      <c r="T4578" s="16" t="n">
        <v>92</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I-I-0217</t>
        </is>
      </c>
      <c r="B4579" s="12" t="inlineStr">
        <is>
          <t>I</t>
        </is>
      </c>
      <c r="C4579" s="12" t="inlineStr">
        <is>
          <t>Modular / portable power</t>
        </is>
      </c>
      <c r="D4579" s="12" t="inlineStr">
        <is>
          <t>Home run JB-RICE 8 SCR + oxida-DI01 to the control / marshalling room</t>
        </is>
      </c>
      <c r="E4579" s="12" t="inlineStr"/>
      <c r="F4579" s="12" t="inlineStr">
        <is>
          <t>PCM: power control module</t>
        </is>
      </c>
      <c r="G4579" s="12" t="inlineStr">
        <is>
          <t>JB-RICE 8 SCR + oxida-DI01</t>
        </is>
      </c>
      <c r="H4579" s="12" t="inlineStr">
        <is>
          <t>RICE 8 SCR + oxidation catalyst and stack</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6" t="n">
        <v>322</v>
      </c>
      <c r="U4579" s="16" t="n">
        <v>112</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I-I-0218</t>
        </is>
      </c>
      <c r="B4580" s="12" t="inlineStr">
        <is>
          <t>I</t>
        </is>
      </c>
      <c r="C4580" s="12" t="inlineStr">
        <is>
          <t>Modular / portable power</t>
        </is>
      </c>
      <c r="D4580" s="12" t="inlineStr">
        <is>
          <t>Analog instrument to JB JB-RICE 8 radiators (-AI01: 5 x 1 pr (field cables)</t>
        </is>
      </c>
      <c r="E4580" s="12" t="inlineStr"/>
      <c r="F4580" s="12" t="inlineStr">
        <is>
          <t>RICE 8 radiators (5)</t>
        </is>
      </c>
      <c r="G4580" s="12" t="inlineStr">
        <is>
          <t>JB-RICE 8 radiators (-AI01</t>
        </is>
      </c>
      <c r="H4580" s="12" t="inlineStr">
        <is>
          <t>RICE 8 radiators (5)</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5</v>
      </c>
      <c r="O4580" s="12" t="n">
        <v>1</v>
      </c>
      <c r="P4580" s="12" t="n"/>
      <c r="Q4580" s="12" t="n"/>
      <c r="R4580" s="12" t="n"/>
      <c r="S4580" s="12" t="inlineStr">
        <is>
          <t>Tray / conduit</t>
        </is>
      </c>
      <c r="T4580" s="16" t="n">
        <v>80</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I-I-0219</t>
        </is>
      </c>
      <c r="B4581" s="12" t="inlineStr">
        <is>
          <t>I</t>
        </is>
      </c>
      <c r="C4581" s="12" t="inlineStr">
        <is>
          <t>Modular / portable power</t>
        </is>
      </c>
      <c r="D4581" s="12" t="inlineStr">
        <is>
          <t>Home run JB-RICE 8 radiators (-AI01 to the control / marshalling room</t>
        </is>
      </c>
      <c r="E4581" s="12" t="inlineStr"/>
      <c r="F4581" s="12" t="inlineStr">
        <is>
          <t>PCM: power control module</t>
        </is>
      </c>
      <c r="G4581" s="12" t="inlineStr">
        <is>
          <t>JB-RICE 8 radiators (-AI01</t>
        </is>
      </c>
      <c r="H4581" s="12" t="inlineStr">
        <is>
          <t>RICE 8 radiators (5)</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Tray</t>
        </is>
      </c>
      <c r="T4581" s="16" t="n">
        <v>0</v>
      </c>
      <c r="U4581" s="16" t="n">
        <v>94</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I-I-0220</t>
        </is>
      </c>
      <c r="B4582" s="12" t="inlineStr">
        <is>
          <t>I</t>
        </is>
      </c>
      <c r="C4582" s="12" t="inlineStr">
        <is>
          <t>Modular / portable power</t>
        </is>
      </c>
      <c r="D4582" s="12" t="inlineStr">
        <is>
          <t>Discrete device to JB JB-RICE 8 radiators (-DI01: 10 x 1 pr (field cables)</t>
        </is>
      </c>
      <c r="E4582" s="12" t="inlineStr"/>
      <c r="F4582" s="12" t="inlineStr">
        <is>
          <t>RICE 8 radiators (5)</t>
        </is>
      </c>
      <c r="G4582" s="12" t="inlineStr">
        <is>
          <t>JB-RICE 8 radiators (-DI01</t>
        </is>
      </c>
      <c r="H4582" s="12" t="inlineStr">
        <is>
          <t>RICE 8 radiators (5)</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10</v>
      </c>
      <c r="O4582" s="12" t="n">
        <v>1</v>
      </c>
      <c r="P4582" s="12" t="n"/>
      <c r="Q4582" s="12" t="n"/>
      <c r="R4582" s="12" t="n"/>
      <c r="S4582" s="12" t="inlineStr">
        <is>
          <t>Tray / conduit</t>
        </is>
      </c>
      <c r="T4582" s="16" t="n">
        <v>80</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I-I-0221</t>
        </is>
      </c>
      <c r="B4583" s="12" t="inlineStr">
        <is>
          <t>I</t>
        </is>
      </c>
      <c r="C4583" s="12" t="inlineStr">
        <is>
          <t>Modular / portable power</t>
        </is>
      </c>
      <c r="D4583" s="12" t="inlineStr">
        <is>
          <t>Home run JB-RICE 8 radiators (-DI01 to the control / marshalling room</t>
        </is>
      </c>
      <c r="E4583" s="12" t="inlineStr"/>
      <c r="F4583" s="12" t="inlineStr">
        <is>
          <t>PCM: power control module</t>
        </is>
      </c>
      <c r="G4583" s="12" t="inlineStr">
        <is>
          <t>JB-RICE 8 radiators (-DI01</t>
        </is>
      </c>
      <c r="H4583" s="12" t="inlineStr">
        <is>
          <t>RICE 8 radiators (5)</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Tray</t>
        </is>
      </c>
      <c r="T4583" s="16" t="n">
        <v>0</v>
      </c>
      <c r="U4583" s="16" t="n">
        <v>94</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I-I-0222</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PLTC|4 pr|18</t>
        </is>
      </c>
      <c r="L4584" s="12" t="inlineStr">
        <is>
          <t>4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I-I-0223</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PLTC|4 pr|18</t>
        </is>
      </c>
      <c r="L4585" s="12" t="inlineStr">
        <is>
          <t>4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I-I-0224</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I-I-0225</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I-I-0226</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I-I-0227</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I-I-0228</t>
        </is>
      </c>
      <c r="B4590" s="12" t="inlineStr">
        <is>
          <t>I</t>
        </is>
      </c>
      <c r="C4590" s="12" t="inlineStr">
        <is>
          <t>Modular / portable power</t>
        </is>
      </c>
      <c r="D4590" s="12" t="inlineStr">
        <is>
          <t>Instrumentation</t>
        </is>
      </c>
      <c r="E4590" s="12" t="inlineStr"/>
      <c r="F4590" s="12" t="inlineStr">
        <is>
          <t>PCM: power control module</t>
        </is>
      </c>
      <c r="G4590" s="12" t="inlineStr">
        <is>
          <t>RICE</t>
        </is>
      </c>
      <c r="H4590" s="12" t="inlineStr">
        <is>
          <t>RICE engine hall (8 engines)</t>
        </is>
      </c>
      <c r="I4590" s="12" t="inlineStr">
        <is>
          <t>Instrumentation</t>
        </is>
      </c>
      <c r="J4590" s="12" t="inlineStr">
        <is>
          <t>Instrumentation PLTC / TC-ER 300 V, #18 twisted shielded pairs, overall shield</t>
        </is>
      </c>
      <c r="K4590" s="12" t="inlineStr">
        <is>
          <t>PLTC|12 pr|18</t>
        </is>
      </c>
      <c r="L4590" s="12" t="inlineStr">
        <is>
          <t>12 pr</t>
        </is>
      </c>
      <c r="M4590" s="12" t="inlineStr">
        <is>
          <t>18</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I-I-0229</t>
        </is>
      </c>
      <c r="B4591" s="12" t="inlineStr">
        <is>
          <t>I</t>
        </is>
      </c>
      <c r="C4591" s="12" t="inlineStr">
        <is>
          <t>Modular / portable power</t>
        </is>
      </c>
      <c r="D4591" s="12" t="inlineStr">
        <is>
          <t>Instrumentation</t>
        </is>
      </c>
      <c r="E4591" s="12" t="inlineStr"/>
      <c r="F4591" s="12" t="inlineStr">
        <is>
          <t>PCM: power control module</t>
        </is>
      </c>
      <c r="G4591" s="12" t="inlineStr">
        <is>
          <t>RICE</t>
        </is>
      </c>
      <c r="H4591" s="12" t="inlineStr">
        <is>
          <t>RICE engine hall (8 engines)</t>
        </is>
      </c>
      <c r="I4591" s="12" t="inlineStr">
        <is>
          <t>Instrumentation</t>
        </is>
      </c>
      <c r="J4591" s="12" t="inlineStr">
        <is>
          <t>Instrumentation PLTC / TC-ER 300 V, #18 twisted shielded pairs, overall shield</t>
        </is>
      </c>
      <c r="K4591" s="12" t="inlineStr">
        <is>
          <t>PLTC|12 pr|18</t>
        </is>
      </c>
      <c r="L4591" s="12" t="inlineStr">
        <is>
          <t>12 pr</t>
        </is>
      </c>
      <c r="M4591" s="12" t="inlineStr">
        <is>
          <t>18</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I-I-0230</t>
        </is>
      </c>
      <c r="B4592" s="12" t="inlineStr">
        <is>
          <t>I</t>
        </is>
      </c>
      <c r="C4592" s="12" t="inlineStr">
        <is>
          <t>Modular / portable power</t>
        </is>
      </c>
      <c r="D4592" s="12" t="inlineStr">
        <is>
          <t>Instrumentation</t>
        </is>
      </c>
      <c r="E4592" s="12" t="inlineStr"/>
      <c r="F4592" s="12" t="inlineStr">
        <is>
          <t>PCM: power control module</t>
        </is>
      </c>
      <c r="G4592" s="12" t="inlineStr">
        <is>
          <t>RICE</t>
        </is>
      </c>
      <c r="H4592" s="12" t="inlineStr">
        <is>
          <t>RICE engine hall (8 engines)</t>
        </is>
      </c>
      <c r="I4592" s="12" t="inlineStr">
        <is>
          <t>Instrumentation</t>
        </is>
      </c>
      <c r="J4592" s="12" t="inlineStr">
        <is>
          <t>Instrumentation PLTC / TC-ER 300 V, #18 twisted shielded pairs, overall shield</t>
        </is>
      </c>
      <c r="K4592" s="12" t="inlineStr">
        <is>
          <t>PLTC|12 pr|18</t>
        </is>
      </c>
      <c r="L4592" s="12" t="inlineStr">
        <is>
          <t>12 pr</t>
        </is>
      </c>
      <c r="M4592" s="12" t="inlineStr">
        <is>
          <t>18</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I-I-0231</t>
        </is>
      </c>
      <c r="B4593" s="12" t="inlineStr">
        <is>
          <t>I</t>
        </is>
      </c>
      <c r="C4593" s="12" t="inlineStr">
        <is>
          <t>Modular / portable power</t>
        </is>
      </c>
      <c r="D4593" s="12" t="inlineStr">
        <is>
          <t>Instrumentation</t>
        </is>
      </c>
      <c r="E4593" s="12" t="inlineStr"/>
      <c r="F4593" s="12" t="inlineStr">
        <is>
          <t>PCM: power control module</t>
        </is>
      </c>
      <c r="G4593" s="12" t="inlineStr">
        <is>
          <t>RICE</t>
        </is>
      </c>
      <c r="H4593" s="12" t="inlineStr">
        <is>
          <t>RICE engine hall (8 engines)</t>
        </is>
      </c>
      <c r="I4593" s="12" t="inlineStr">
        <is>
          <t>Instrumentation</t>
        </is>
      </c>
      <c r="J4593" s="12" t="inlineStr">
        <is>
          <t>Instrumentation PLTC / TC-ER 300 V, #18 twisted shielded pairs, overall shield</t>
        </is>
      </c>
      <c r="K4593" s="12" t="inlineStr">
        <is>
          <t>PLTC|12 pr|18</t>
        </is>
      </c>
      <c r="L4593" s="12" t="inlineStr">
        <is>
          <t>12 pr</t>
        </is>
      </c>
      <c r="M4593" s="12" t="inlineStr">
        <is>
          <t>18</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I-I-0232</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I-I-0233</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I-I-0234</t>
        </is>
      </c>
      <c r="B4596" s="12" t="inlineStr">
        <is>
          <t>I</t>
        </is>
      </c>
      <c r="C4596" s="12" t="inlineStr">
        <is>
          <t>Modular / portable power</t>
        </is>
      </c>
      <c r="D4596" s="12" t="inlineStr">
        <is>
          <t>Thermocouples</t>
        </is>
      </c>
      <c r="E4596" s="12" t="inlineStr"/>
      <c r="F4596" s="12" t="inlineStr">
        <is>
          <t>PCM: power control module</t>
        </is>
      </c>
      <c r="G4596" s="12" t="inlineStr">
        <is>
          <t>RICE</t>
        </is>
      </c>
      <c r="H4596" s="12" t="inlineStr">
        <is>
          <t>RICE engine hall (8 engines)</t>
        </is>
      </c>
      <c r="I4596" s="12" t="inlineStr">
        <is>
          <t>Instrumentation</t>
        </is>
      </c>
      <c r="J4596" s="12" t="inlineStr">
        <is>
          <t>Thermocouple extension KX, #16 shielded pairs, PLTC</t>
        </is>
      </c>
      <c r="K4596" s="12" t="inlineStr">
        <is>
          <t>TCX|12 pr|16</t>
        </is>
      </c>
      <c r="L4596" s="12" t="inlineStr">
        <is>
          <t>12 pr</t>
        </is>
      </c>
      <c r="M4596" s="12" t="inlineStr">
        <is>
          <t>16</t>
        </is>
      </c>
      <c r="N4596" s="12" t="n">
        <v>1</v>
      </c>
      <c r="O4596" s="12" t="n">
        <v>1</v>
      </c>
      <c r="P4596" s="12" t="n"/>
      <c r="Q4596" s="12" t="n"/>
      <c r="R4596" s="12" t="n"/>
      <c r="S4596" s="12" t="inlineStr">
        <is>
          <t>Duct bank</t>
        </is>
      </c>
      <c r="T4596" s="16" t="n">
        <v>367</v>
      </c>
      <c r="U4596" s="16" t="n">
        <v>95</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I-I-0235</t>
        </is>
      </c>
      <c r="B4597" s="12" t="inlineStr">
        <is>
          <t>I</t>
        </is>
      </c>
      <c r="C4597" s="12" t="inlineStr">
        <is>
          <t>Modular / portable power</t>
        </is>
      </c>
      <c r="D4597" s="12" t="inlineStr">
        <is>
          <t>Thermocouples</t>
        </is>
      </c>
      <c r="E4597" s="12" t="inlineStr"/>
      <c r="F4597" s="12" t="inlineStr">
        <is>
          <t>PCM: power control module</t>
        </is>
      </c>
      <c r="G4597" s="12" t="inlineStr">
        <is>
          <t>RICE</t>
        </is>
      </c>
      <c r="H4597" s="12" t="inlineStr">
        <is>
          <t>RICE engine hall (8 engines)</t>
        </is>
      </c>
      <c r="I4597" s="12" t="inlineStr">
        <is>
          <t>Instrumentation</t>
        </is>
      </c>
      <c r="J4597" s="12" t="inlineStr">
        <is>
          <t>Thermocouple extension KX, #16 shielded pairs, PLTC</t>
        </is>
      </c>
      <c r="K4597" s="12" t="inlineStr">
        <is>
          <t>TCX|12 pr|16</t>
        </is>
      </c>
      <c r="L4597" s="12" t="inlineStr">
        <is>
          <t>12 pr</t>
        </is>
      </c>
      <c r="M4597" s="12" t="inlineStr">
        <is>
          <t>16</t>
        </is>
      </c>
      <c r="N4597" s="12" t="n">
        <v>1</v>
      </c>
      <c r="O4597" s="12" t="n">
        <v>1</v>
      </c>
      <c r="P4597" s="12" t="n"/>
      <c r="Q4597" s="12" t="n"/>
      <c r="R4597" s="12" t="n"/>
      <c r="S4597" s="12" t="inlineStr">
        <is>
          <t>Duct bank</t>
        </is>
      </c>
      <c r="T4597" s="16" t="n">
        <v>367</v>
      </c>
      <c r="U4597" s="16" t="n">
        <v>95</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I-I-0236</t>
        </is>
      </c>
      <c r="B4598" s="12" t="inlineStr">
        <is>
          <t>I</t>
        </is>
      </c>
      <c r="C4598" s="12" t="inlineStr">
        <is>
          <t>Modular / portable power</t>
        </is>
      </c>
      <c r="D4598" s="12" t="inlineStr">
        <is>
          <t>Thermocouples</t>
        </is>
      </c>
      <c r="E4598" s="12" t="inlineStr"/>
      <c r="F4598" s="12" t="inlineStr">
        <is>
          <t>PCM: power control module</t>
        </is>
      </c>
      <c r="G4598" s="12" t="inlineStr">
        <is>
          <t>RICE</t>
        </is>
      </c>
      <c r="H4598" s="12" t="inlineStr">
        <is>
          <t>RICE engine hall (8 engines)</t>
        </is>
      </c>
      <c r="I4598" s="12" t="inlineStr">
        <is>
          <t>Instrumentation</t>
        </is>
      </c>
      <c r="J4598" s="12" t="inlineStr">
        <is>
          <t>Thermocouple extension KX, #16 shielded pairs, PLTC</t>
        </is>
      </c>
      <c r="K4598" s="12" t="inlineStr">
        <is>
          <t>TCX|12 pr|16</t>
        </is>
      </c>
      <c r="L4598" s="12" t="inlineStr">
        <is>
          <t>12 pr</t>
        </is>
      </c>
      <c r="M4598" s="12" t="inlineStr">
        <is>
          <t>16</t>
        </is>
      </c>
      <c r="N4598" s="12" t="n">
        <v>1</v>
      </c>
      <c r="O4598" s="12" t="n">
        <v>1</v>
      </c>
      <c r="P4598" s="12" t="n"/>
      <c r="Q4598" s="12" t="n"/>
      <c r="R4598" s="12" t="n"/>
      <c r="S4598" s="12" t="inlineStr">
        <is>
          <t>Duct bank</t>
        </is>
      </c>
      <c r="T4598" s="16" t="n">
        <v>367</v>
      </c>
      <c r="U4598" s="16" t="n">
        <v>95</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I-I-0237</t>
        </is>
      </c>
      <c r="B4599" s="12" t="inlineStr">
        <is>
          <t>I</t>
        </is>
      </c>
      <c r="C4599" s="12" t="inlineStr">
        <is>
          <t>Modular / portable power</t>
        </is>
      </c>
      <c r="D4599" s="12" t="inlineStr">
        <is>
          <t>Thermocouples</t>
        </is>
      </c>
      <c r="E4599" s="12" t="inlineStr"/>
      <c r="F4599" s="12" t="inlineStr">
        <is>
          <t>PCM: power control module</t>
        </is>
      </c>
      <c r="G4599" s="12" t="inlineStr">
        <is>
          <t>RICE</t>
        </is>
      </c>
      <c r="H4599" s="12" t="inlineStr">
        <is>
          <t>RICE engine hall (8 engines)</t>
        </is>
      </c>
      <c r="I4599" s="12" t="inlineStr">
        <is>
          <t>Instrumentation</t>
        </is>
      </c>
      <c r="J4599" s="12" t="inlineStr">
        <is>
          <t>Thermocouple extension KX, #16 shielded pairs, PLTC</t>
        </is>
      </c>
      <c r="K4599" s="12" t="inlineStr">
        <is>
          <t>TCX|12 pr|16</t>
        </is>
      </c>
      <c r="L4599" s="12" t="inlineStr">
        <is>
          <t>12 pr</t>
        </is>
      </c>
      <c r="M4599" s="12" t="inlineStr">
        <is>
          <t>16</t>
        </is>
      </c>
      <c r="N4599" s="12" t="n">
        <v>1</v>
      </c>
      <c r="O4599" s="12" t="n">
        <v>1</v>
      </c>
      <c r="P4599" s="12" t="n"/>
      <c r="Q4599" s="12" t="n"/>
      <c r="R4599" s="12" t="n"/>
      <c r="S4599" s="12" t="inlineStr">
        <is>
          <t>Duct bank</t>
        </is>
      </c>
      <c r="T4599" s="16" t="n">
        <v>367</v>
      </c>
      <c r="U4599" s="16" t="n">
        <v>95</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I-I-0238</t>
        </is>
      </c>
      <c r="B4600" s="12" t="inlineStr">
        <is>
          <t>I</t>
        </is>
      </c>
      <c r="C4600" s="12" t="inlineStr">
        <is>
          <t>Modular / portable power</t>
        </is>
      </c>
      <c r="D4600" s="12" t="inlineStr">
        <is>
          <t>Analog instrument to JB JB-RICE-1-AI01: 20 x 1 pr (field cables)</t>
        </is>
      </c>
      <c r="E4600" s="12" t="inlineStr">
        <is>
          <t>RICE-1</t>
        </is>
      </c>
      <c r="F4600" s="12" t="inlineStr">
        <is>
          <t>RICE engine-generator 1</t>
        </is>
      </c>
      <c r="G4600" s="12" t="inlineStr">
        <is>
          <t>JB-RICE-1-AI01</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I-I-0239</t>
        </is>
      </c>
      <c r="B4601" s="12" t="inlineStr">
        <is>
          <t>I</t>
        </is>
      </c>
      <c r="C4601" s="12" t="inlineStr">
        <is>
          <t>Modular / portable power</t>
        </is>
      </c>
      <c r="D4601" s="12" t="inlineStr">
        <is>
          <t>Home run JB-RICE-1-AI01 to the control / marshalling room</t>
        </is>
      </c>
      <c r="E4601" s="12" t="inlineStr"/>
      <c r="F4601" s="12" t="inlineStr">
        <is>
          <t>PCM: power control module</t>
        </is>
      </c>
      <c r="G4601" s="12" t="inlineStr">
        <is>
          <t>JB-RICE-1-AI01</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I-I-0240</t>
        </is>
      </c>
      <c r="B4602" s="12" t="inlineStr">
        <is>
          <t>I</t>
        </is>
      </c>
      <c r="C4602" s="12" t="inlineStr">
        <is>
          <t>Modular / portable power</t>
        </is>
      </c>
      <c r="D4602" s="12" t="inlineStr">
        <is>
          <t>Analog instrument to JB JB-RICE-1-AI02: 20 x 1 pr (field cables)</t>
        </is>
      </c>
      <c r="E4602" s="12" t="inlineStr">
        <is>
          <t>RICE-1</t>
        </is>
      </c>
      <c r="F4602" s="12" t="inlineStr">
        <is>
          <t>RICE engine-generator 1</t>
        </is>
      </c>
      <c r="G4602" s="12" t="inlineStr">
        <is>
          <t>JB-RICE-1-AI02</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I-I-0241</t>
        </is>
      </c>
      <c r="B4603" s="12" t="inlineStr">
        <is>
          <t>I</t>
        </is>
      </c>
      <c r="C4603" s="12" t="inlineStr">
        <is>
          <t>Modular / portable power</t>
        </is>
      </c>
      <c r="D4603" s="12" t="inlineStr">
        <is>
          <t>Home run JB-RICE-1-AI02 to the control / marshalling room</t>
        </is>
      </c>
      <c r="E4603" s="12" t="inlineStr"/>
      <c r="F4603" s="12" t="inlineStr">
        <is>
          <t>PCM: power control module</t>
        </is>
      </c>
      <c r="G4603" s="12" t="inlineStr">
        <is>
          <t>JB-RICE-1-AI02</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I-I-0242</t>
        </is>
      </c>
      <c r="B4604" s="12" t="inlineStr">
        <is>
          <t>I</t>
        </is>
      </c>
      <c r="C4604" s="12" t="inlineStr">
        <is>
          <t>Modular / portable power</t>
        </is>
      </c>
      <c r="D4604" s="12" t="inlineStr">
        <is>
          <t>Analog instrument to JB JB-RICE-1-AI03: 20 x 1 pr (field cables)</t>
        </is>
      </c>
      <c r="E4604" s="12" t="inlineStr">
        <is>
          <t>RICE-1</t>
        </is>
      </c>
      <c r="F4604" s="12" t="inlineStr">
        <is>
          <t>RICE engine-generator 1</t>
        </is>
      </c>
      <c r="G4604" s="12" t="inlineStr">
        <is>
          <t>JB-RICE-1-AI03</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I-I-0243</t>
        </is>
      </c>
      <c r="B4605" s="12" t="inlineStr">
        <is>
          <t>I</t>
        </is>
      </c>
      <c r="C4605" s="12" t="inlineStr">
        <is>
          <t>Modular / portable power</t>
        </is>
      </c>
      <c r="D4605" s="12" t="inlineStr">
        <is>
          <t>Home run JB-RICE-1-AI03 to the control / marshalling room</t>
        </is>
      </c>
      <c r="E4605" s="12" t="inlineStr"/>
      <c r="F4605" s="12" t="inlineStr">
        <is>
          <t>PCM: power control module</t>
        </is>
      </c>
      <c r="G4605" s="12" t="inlineStr">
        <is>
          <t>JB-RICE-1-AI03</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I-I-0244</t>
        </is>
      </c>
      <c r="B4606" s="12" t="inlineStr">
        <is>
          <t>I</t>
        </is>
      </c>
      <c r="C4606" s="12" t="inlineStr">
        <is>
          <t>Modular / portable power</t>
        </is>
      </c>
      <c r="D4606" s="12" t="inlineStr">
        <is>
          <t>Analog instrument to JB JB-RICE-1-AI04: 20 x 1 pr (field cables)</t>
        </is>
      </c>
      <c r="E4606" s="12" t="inlineStr">
        <is>
          <t>RICE-1</t>
        </is>
      </c>
      <c r="F4606" s="12" t="inlineStr">
        <is>
          <t>RICE engine-generator 1</t>
        </is>
      </c>
      <c r="G4606" s="12" t="inlineStr">
        <is>
          <t>JB-RICE-1-AI04</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I-I-0245</t>
        </is>
      </c>
      <c r="B4607" s="12" t="inlineStr">
        <is>
          <t>I</t>
        </is>
      </c>
      <c r="C4607" s="12" t="inlineStr">
        <is>
          <t>Modular / portable power</t>
        </is>
      </c>
      <c r="D4607" s="12" t="inlineStr">
        <is>
          <t>Home run JB-RICE-1-AI04 to the control / marshalling room</t>
        </is>
      </c>
      <c r="E4607" s="12" t="inlineStr"/>
      <c r="F4607" s="12" t="inlineStr">
        <is>
          <t>PCM: power control module</t>
        </is>
      </c>
      <c r="G4607" s="12" t="inlineStr">
        <is>
          <t>JB-RICE-1-AI04</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I-I-0246</t>
        </is>
      </c>
      <c r="B4608" s="12" t="inlineStr">
        <is>
          <t>I</t>
        </is>
      </c>
      <c r="C4608" s="12" t="inlineStr">
        <is>
          <t>Modular / portable power</t>
        </is>
      </c>
      <c r="D4608" s="12" t="inlineStr">
        <is>
          <t>Discrete device to JB JB-RICE-1-DI01: 20 x 1 pr (field cables)</t>
        </is>
      </c>
      <c r="E4608" s="12" t="inlineStr">
        <is>
          <t>RICE-1</t>
        </is>
      </c>
      <c r="F4608" s="12" t="inlineStr">
        <is>
          <t>RICE engine-generator 1</t>
        </is>
      </c>
      <c r="G4608" s="12" t="inlineStr">
        <is>
          <t>JB-RICE-1-DI01</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I-I-0247</t>
        </is>
      </c>
      <c r="B4609" s="12" t="inlineStr">
        <is>
          <t>I</t>
        </is>
      </c>
      <c r="C4609" s="12" t="inlineStr">
        <is>
          <t>Modular / portable power</t>
        </is>
      </c>
      <c r="D4609" s="12" t="inlineStr">
        <is>
          <t>Home run JB-RICE-1-DI01 to the control / marshalling room</t>
        </is>
      </c>
      <c r="E4609" s="12" t="inlineStr"/>
      <c r="F4609" s="12" t="inlineStr">
        <is>
          <t>PCM: power control module</t>
        </is>
      </c>
      <c r="G4609" s="12" t="inlineStr">
        <is>
          <t>JB-RICE-1-DI01</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I-I-0248</t>
        </is>
      </c>
      <c r="B4610" s="12" t="inlineStr">
        <is>
          <t>I</t>
        </is>
      </c>
      <c r="C4610" s="12" t="inlineStr">
        <is>
          <t>Modular / portable power</t>
        </is>
      </c>
      <c r="D4610" s="12" t="inlineStr">
        <is>
          <t>Discrete device to JB JB-RICE-1-DI02: 20 x 1 pr (field cables)</t>
        </is>
      </c>
      <c r="E4610" s="12" t="inlineStr">
        <is>
          <t>RICE-1</t>
        </is>
      </c>
      <c r="F4610" s="12" t="inlineStr">
        <is>
          <t>RICE engine-generator 1</t>
        </is>
      </c>
      <c r="G4610" s="12" t="inlineStr">
        <is>
          <t>JB-RICE-1-DI02</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I-I-0249</t>
        </is>
      </c>
      <c r="B4611" s="12" t="inlineStr">
        <is>
          <t>I</t>
        </is>
      </c>
      <c r="C4611" s="12" t="inlineStr">
        <is>
          <t>Modular / portable power</t>
        </is>
      </c>
      <c r="D4611" s="12" t="inlineStr">
        <is>
          <t>Home run JB-RICE-1-DI02 to the control / marshalling room</t>
        </is>
      </c>
      <c r="E4611" s="12" t="inlineStr"/>
      <c r="F4611" s="12" t="inlineStr">
        <is>
          <t>PCM: power control module</t>
        </is>
      </c>
      <c r="G4611" s="12" t="inlineStr">
        <is>
          <t>JB-RICE-1-DI02</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I-I-0250</t>
        </is>
      </c>
      <c r="B4612" s="12" t="inlineStr">
        <is>
          <t>I</t>
        </is>
      </c>
      <c r="C4612" s="12" t="inlineStr">
        <is>
          <t>Modular / portable power</t>
        </is>
      </c>
      <c r="D4612" s="12" t="inlineStr">
        <is>
          <t>Discrete device to JB JB-RICE-1-DI03: 20 x 1 pr (field cables)</t>
        </is>
      </c>
      <c r="E4612" s="12" t="inlineStr">
        <is>
          <t>RICE-1</t>
        </is>
      </c>
      <c r="F4612" s="12" t="inlineStr">
        <is>
          <t>RICE engine-generator 1</t>
        </is>
      </c>
      <c r="G4612" s="12" t="inlineStr">
        <is>
          <t>JB-RICE-1-DI03</t>
        </is>
      </c>
      <c r="H4612" s="12" t="inlineStr">
        <is>
          <t>RICE engine-generator 1</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I-I-0251</t>
        </is>
      </c>
      <c r="B4613" s="12" t="inlineStr">
        <is>
          <t>I</t>
        </is>
      </c>
      <c r="C4613" s="12" t="inlineStr">
        <is>
          <t>Modular / portable power</t>
        </is>
      </c>
      <c r="D4613" s="12" t="inlineStr">
        <is>
          <t>Home run JB-RICE-1-DI03 to the control / marshalling room</t>
        </is>
      </c>
      <c r="E4613" s="12" t="inlineStr"/>
      <c r="F4613" s="12" t="inlineStr">
        <is>
          <t>PCM: power control module</t>
        </is>
      </c>
      <c r="G4613" s="12" t="inlineStr">
        <is>
          <t>JB-RICE-1-DI03</t>
        </is>
      </c>
      <c r="H4613" s="12" t="inlineStr">
        <is>
          <t>RICE engine-generator 1</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I-I-0252</t>
        </is>
      </c>
      <c r="B4614" s="12" t="inlineStr">
        <is>
          <t>I</t>
        </is>
      </c>
      <c r="C4614" s="12" t="inlineStr">
        <is>
          <t>Modular / portable power</t>
        </is>
      </c>
      <c r="D4614" s="12" t="inlineStr">
        <is>
          <t>Thermocouple to TC JB JB-RICE-1-TC01: 20 x 1 pr (field cables)</t>
        </is>
      </c>
      <c r="E4614" s="12" t="inlineStr">
        <is>
          <t>RICE-1</t>
        </is>
      </c>
      <c r="F4614" s="12" t="inlineStr">
        <is>
          <t>RICE engine-generator 1</t>
        </is>
      </c>
      <c r="G4614" s="12" t="inlineStr">
        <is>
          <t>JB-RICE-1-TC01</t>
        </is>
      </c>
      <c r="H4614" s="12" t="inlineStr">
        <is>
          <t>RICE engine-generator 1</t>
        </is>
      </c>
      <c r="I4614" s="12" t="inlineStr">
        <is>
          <t>Instrumentation</t>
        </is>
      </c>
      <c r="J4614" s="12" t="inlineStr">
        <is>
          <t>Thermocouple extension KX, #16 shielded pairs, PLTC</t>
        </is>
      </c>
      <c r="K4614" s="12" t="inlineStr">
        <is>
          <t>TCX|1 pr|16</t>
        </is>
      </c>
      <c r="L4614" s="12" t="inlineStr">
        <is>
          <t>1 pr</t>
        </is>
      </c>
      <c r="M4614" s="12" t="inlineStr">
        <is>
          <t>16</t>
        </is>
      </c>
      <c r="N4614" s="12" t="n">
        <v>20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I-I-0253</t>
        </is>
      </c>
      <c r="B4615" s="12" t="inlineStr">
        <is>
          <t>I</t>
        </is>
      </c>
      <c r="C4615" s="12" t="inlineStr">
        <is>
          <t>Modular / portable power</t>
        </is>
      </c>
      <c r="D4615" s="12" t="inlineStr">
        <is>
          <t>Home run JB-RICE-1-TC01 to the control / marshalling room</t>
        </is>
      </c>
      <c r="E4615" s="12" t="inlineStr"/>
      <c r="F4615" s="12" t="inlineStr">
        <is>
          <t>PCM: power control module</t>
        </is>
      </c>
      <c r="G4615" s="12" t="inlineStr">
        <is>
          <t>JB-RICE-1-TC01</t>
        </is>
      </c>
      <c r="H4615" s="12" t="inlineStr">
        <is>
          <t>RICE engine-generator 1</t>
        </is>
      </c>
      <c r="I4615" s="12" t="inlineStr">
        <is>
          <t>Instrumentation</t>
        </is>
      </c>
      <c r="J4615" s="12" t="inlineStr">
        <is>
          <t>Thermocouple extension KX, #16 shielded pairs, PLTC</t>
        </is>
      </c>
      <c r="K4615" s="12" t="inlineStr">
        <is>
          <t>TCX|24 pr|16</t>
        </is>
      </c>
      <c r="L4615" s="12" t="inlineStr">
        <is>
          <t>24 pr</t>
        </is>
      </c>
      <c r="M4615" s="12" t="inlineStr">
        <is>
          <t>16</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I-I-0254</t>
        </is>
      </c>
      <c r="B4616" s="12" t="inlineStr">
        <is>
          <t>I</t>
        </is>
      </c>
      <c r="C4616" s="12" t="inlineStr">
        <is>
          <t>Modular / portable power</t>
        </is>
      </c>
      <c r="D4616" s="12" t="inlineStr">
        <is>
          <t>Thermocouple to TC JB JB-RICE-1-TC02: 10 x 1 pr (field cables)</t>
        </is>
      </c>
      <c r="E4616" s="12" t="inlineStr">
        <is>
          <t>RICE-1</t>
        </is>
      </c>
      <c r="F4616" s="12" t="inlineStr">
        <is>
          <t>RICE engine-generator 1</t>
        </is>
      </c>
      <c r="G4616" s="12" t="inlineStr">
        <is>
          <t>JB-RICE-1-TC02</t>
        </is>
      </c>
      <c r="H4616" s="12" t="inlineStr">
        <is>
          <t>RICE engine-generator 1</t>
        </is>
      </c>
      <c r="I4616" s="12" t="inlineStr">
        <is>
          <t>Instrumentation</t>
        </is>
      </c>
      <c r="J4616" s="12" t="inlineStr">
        <is>
          <t>Thermocouple extension KX, #16 shielded pairs, PLTC</t>
        </is>
      </c>
      <c r="K4616" s="12" t="inlineStr">
        <is>
          <t>TCX|1 pr|16</t>
        </is>
      </c>
      <c r="L4616" s="12" t="inlineStr">
        <is>
          <t>1 pr</t>
        </is>
      </c>
      <c r="M4616" s="12" t="inlineStr">
        <is>
          <t>16</t>
        </is>
      </c>
      <c r="N4616" s="12" t="n">
        <v>10</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I-I-0255</t>
        </is>
      </c>
      <c r="B4617" s="12" t="inlineStr">
        <is>
          <t>I</t>
        </is>
      </c>
      <c r="C4617" s="12" t="inlineStr">
        <is>
          <t>Modular / portable power</t>
        </is>
      </c>
      <c r="D4617" s="12" t="inlineStr">
        <is>
          <t>Home run JB-RICE-1-TC02 to the control / marshalling room</t>
        </is>
      </c>
      <c r="E4617" s="12" t="inlineStr"/>
      <c r="F4617" s="12" t="inlineStr">
        <is>
          <t>PCM: power control module</t>
        </is>
      </c>
      <c r="G4617" s="12" t="inlineStr">
        <is>
          <t>JB-RICE-1-TC02</t>
        </is>
      </c>
      <c r="H4617" s="12" t="inlineStr">
        <is>
          <t>RICE engine-generator 1</t>
        </is>
      </c>
      <c r="I4617" s="12" t="inlineStr">
        <is>
          <t>Instrumentation</t>
        </is>
      </c>
      <c r="J4617" s="12" t="inlineStr">
        <is>
          <t>Thermocouple extension KX, #16 shielded pairs, PLTC</t>
        </is>
      </c>
      <c r="K4617" s="12" t="inlineStr">
        <is>
          <t>TCX|24 pr|16</t>
        </is>
      </c>
      <c r="L4617" s="12" t="inlineStr">
        <is>
          <t>24 pr</t>
        </is>
      </c>
      <c r="M4617" s="12" t="inlineStr">
        <is>
          <t>16</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I-I-0256</t>
        </is>
      </c>
      <c r="B4618" s="12" t="inlineStr">
        <is>
          <t>I</t>
        </is>
      </c>
      <c r="C4618" s="12" t="inlineStr">
        <is>
          <t>Modular / portable power</t>
        </is>
      </c>
      <c r="D4618" s="12" t="inlineStr">
        <is>
          <t>RTD to JB JB-RICE-1-RTD01: 10 x 1 tri (field cables)</t>
        </is>
      </c>
      <c r="E4618" s="12" t="inlineStr">
        <is>
          <t>RICE-1</t>
        </is>
      </c>
      <c r="F4618" s="12" t="inlineStr">
        <is>
          <t>RICE engine-generator 1</t>
        </is>
      </c>
      <c r="G4618" s="12" t="inlineStr">
        <is>
          <t>JB-RICE-1-RTD01</t>
        </is>
      </c>
      <c r="H4618" s="12" t="inlineStr">
        <is>
          <t>RICE engine-generator 1</t>
        </is>
      </c>
      <c r="I4618" s="12" t="inlineStr">
        <is>
          <t>Instrumentation</t>
        </is>
      </c>
      <c r="J4618" s="12" t="inlineStr">
        <is>
          <t>RTD cable, #18 shielded triads, PLTC</t>
        </is>
      </c>
      <c r="K4618" s="12" t="inlineStr">
        <is>
          <t>RTD|1 tri|18</t>
        </is>
      </c>
      <c r="L4618" s="12" t="inlineStr">
        <is>
          <t>1 tri</t>
        </is>
      </c>
      <c r="M4618" s="12" t="inlineStr">
        <is>
          <t>18</t>
        </is>
      </c>
      <c r="N4618" s="12" t="n">
        <v>10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I-I-0257</t>
        </is>
      </c>
      <c r="B4619" s="12" t="inlineStr">
        <is>
          <t>I</t>
        </is>
      </c>
      <c r="C4619" s="12" t="inlineStr">
        <is>
          <t>Modular / portable power</t>
        </is>
      </c>
      <c r="D4619" s="12" t="inlineStr">
        <is>
          <t>Home run JB-RICE-1-RTD01 to the control / marshalling room</t>
        </is>
      </c>
      <c r="E4619" s="12" t="inlineStr"/>
      <c r="F4619" s="12" t="inlineStr">
        <is>
          <t>PCM: power control module</t>
        </is>
      </c>
      <c r="G4619" s="12" t="inlineStr">
        <is>
          <t>JB-RICE-1-RTD01</t>
        </is>
      </c>
      <c r="H4619" s="12" t="inlineStr">
        <is>
          <t>RICE engine-generator 1</t>
        </is>
      </c>
      <c r="I4619" s="12" t="inlineStr">
        <is>
          <t>Instrumentation</t>
        </is>
      </c>
      <c r="J4619" s="12" t="inlineStr">
        <is>
          <t>RTD cable, #18 shielded triads, PLTC</t>
        </is>
      </c>
      <c r="K4619" s="12" t="inlineStr">
        <is>
          <t>RTD|12 tri|18</t>
        </is>
      </c>
      <c r="L4619" s="12" t="inlineStr">
        <is>
          <t>12 tri</t>
        </is>
      </c>
      <c r="M4619" s="12" t="inlineStr">
        <is>
          <t>18</t>
        </is>
      </c>
      <c r="N4619" s="12" t="n">
        <v>1</v>
      </c>
      <c r="O4619" s="12" t="n">
        <v>1</v>
      </c>
      <c r="P4619" s="12" t="n"/>
      <c r="Q4619" s="12" t="n"/>
      <c r="R4619" s="12" t="n"/>
      <c r="S4619" s="12" t="inlineStr">
        <is>
          <t>Duct bank</t>
        </is>
      </c>
      <c r="T4619" s="16" t="n">
        <v>550</v>
      </c>
      <c r="U4619" s="16" t="n">
        <v>137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I-I-0258</t>
        </is>
      </c>
      <c r="B4620" s="12" t="inlineStr">
        <is>
          <t>I</t>
        </is>
      </c>
      <c r="C4620" s="12" t="inlineStr">
        <is>
          <t>Modular / portable power</t>
        </is>
      </c>
      <c r="D4620" s="12" t="inlineStr">
        <is>
          <t>RTD to JB JB-RICE-1-RTD02: 2 x 1 tri (field cables)</t>
        </is>
      </c>
      <c r="E4620" s="12" t="inlineStr">
        <is>
          <t>RICE-1</t>
        </is>
      </c>
      <c r="F4620" s="12" t="inlineStr">
        <is>
          <t>RICE engine-generator 1</t>
        </is>
      </c>
      <c r="G4620" s="12" t="inlineStr">
        <is>
          <t>JB-RICE-1-RTD02</t>
        </is>
      </c>
      <c r="H4620" s="12" t="inlineStr">
        <is>
          <t>RICE engine-generator 1</t>
        </is>
      </c>
      <c r="I4620" s="12" t="inlineStr">
        <is>
          <t>Instrumentation</t>
        </is>
      </c>
      <c r="J4620" s="12" t="inlineStr">
        <is>
          <t>RTD cable, #18 shielded triads, PLTC</t>
        </is>
      </c>
      <c r="K4620" s="12" t="inlineStr">
        <is>
          <t>RTD|1 tri|18</t>
        </is>
      </c>
      <c r="L4620" s="12" t="inlineStr">
        <is>
          <t>1 tri</t>
        </is>
      </c>
      <c r="M4620" s="12" t="inlineStr">
        <is>
          <t>18</t>
        </is>
      </c>
      <c r="N4620" s="12" t="n">
        <v>2</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I-I-0259</t>
        </is>
      </c>
      <c r="B4621" s="12" t="inlineStr">
        <is>
          <t>I</t>
        </is>
      </c>
      <c r="C4621" s="12" t="inlineStr">
        <is>
          <t>Modular / portable power</t>
        </is>
      </c>
      <c r="D4621" s="12" t="inlineStr">
        <is>
          <t>Home run JB-RICE-1-RTD02 to the control / marshalling room</t>
        </is>
      </c>
      <c r="E4621" s="12" t="inlineStr"/>
      <c r="F4621" s="12" t="inlineStr">
        <is>
          <t>PCM: power control module</t>
        </is>
      </c>
      <c r="G4621" s="12" t="inlineStr">
        <is>
          <t>JB-RICE-1-RTD02</t>
        </is>
      </c>
      <c r="H4621" s="12" t="inlineStr">
        <is>
          <t>RICE engine-generator 1</t>
        </is>
      </c>
      <c r="I4621" s="12" t="inlineStr">
        <is>
          <t>Instrumentation</t>
        </is>
      </c>
      <c r="J4621" s="12" t="inlineStr">
        <is>
          <t>RTD cable, #18 shielded triads, PLTC</t>
        </is>
      </c>
      <c r="K4621" s="12" t="inlineStr">
        <is>
          <t>RTD|12 tri|18</t>
        </is>
      </c>
      <c r="L4621" s="12" t="inlineStr">
        <is>
          <t>12 tri</t>
        </is>
      </c>
      <c r="M4621" s="12" t="inlineStr">
        <is>
          <t>18</t>
        </is>
      </c>
      <c r="N4621" s="12" t="n">
        <v>1</v>
      </c>
      <c r="O4621" s="12" t="n">
        <v>1</v>
      </c>
      <c r="P4621" s="12" t="n"/>
      <c r="Q4621" s="12" t="n"/>
      <c r="R4621" s="12" t="n"/>
      <c r="S4621" s="12" t="inlineStr">
        <is>
          <t>Duct bank</t>
        </is>
      </c>
      <c r="T4621" s="16" t="n">
        <v>550</v>
      </c>
      <c r="U4621" s="16" t="n">
        <v>137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I-I-0260</t>
        </is>
      </c>
      <c r="B4622" s="12" t="inlineStr">
        <is>
          <t>I</t>
        </is>
      </c>
      <c r="C4622" s="12" t="inlineStr">
        <is>
          <t>Modular / portable power</t>
        </is>
      </c>
      <c r="D4622" s="12" t="inlineStr">
        <is>
          <t>Analog instrument to JB JB-RICE-2-AI01: 20 x 1 pr (field cables)</t>
        </is>
      </c>
      <c r="E4622" s="12" t="inlineStr">
        <is>
          <t>RICE-2</t>
        </is>
      </c>
      <c r="F4622" s="12" t="inlineStr">
        <is>
          <t>RICE engine-generator 2</t>
        </is>
      </c>
      <c r="G4622" s="12" t="inlineStr">
        <is>
          <t>JB-RICE-2-AI01</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I-I-0261</t>
        </is>
      </c>
      <c r="B4623" s="12" t="inlineStr">
        <is>
          <t>I</t>
        </is>
      </c>
      <c r="C4623" s="12" t="inlineStr">
        <is>
          <t>Modular / portable power</t>
        </is>
      </c>
      <c r="D4623" s="12" t="inlineStr">
        <is>
          <t>Home run JB-RICE-2-AI01 to the control / marshalling room</t>
        </is>
      </c>
      <c r="E4623" s="12" t="inlineStr"/>
      <c r="F4623" s="12" t="inlineStr">
        <is>
          <t>PCM: power control module</t>
        </is>
      </c>
      <c r="G4623" s="12" t="inlineStr">
        <is>
          <t>JB-RICE-2-AI01</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I-I-0262</t>
        </is>
      </c>
      <c r="B4624" s="12" t="inlineStr">
        <is>
          <t>I</t>
        </is>
      </c>
      <c r="C4624" s="12" t="inlineStr">
        <is>
          <t>Modular / portable power</t>
        </is>
      </c>
      <c r="D4624" s="12" t="inlineStr">
        <is>
          <t>Analog instrument to JB JB-RICE-2-AI02: 20 x 1 pr (field cables)</t>
        </is>
      </c>
      <c r="E4624" s="12" t="inlineStr">
        <is>
          <t>RICE-2</t>
        </is>
      </c>
      <c r="F4624" s="12" t="inlineStr">
        <is>
          <t>RICE engine-generator 2</t>
        </is>
      </c>
      <c r="G4624" s="12" t="inlineStr">
        <is>
          <t>JB-RICE-2-AI02</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I-I-0263</t>
        </is>
      </c>
      <c r="B4625" s="12" t="inlineStr">
        <is>
          <t>I</t>
        </is>
      </c>
      <c r="C4625" s="12" t="inlineStr">
        <is>
          <t>Modular / portable power</t>
        </is>
      </c>
      <c r="D4625" s="12" t="inlineStr">
        <is>
          <t>Home run JB-RICE-2-AI02 to the control / marshalling room</t>
        </is>
      </c>
      <c r="E4625" s="12" t="inlineStr"/>
      <c r="F4625" s="12" t="inlineStr">
        <is>
          <t>PCM: power control module</t>
        </is>
      </c>
      <c r="G4625" s="12" t="inlineStr">
        <is>
          <t>JB-RICE-2-AI02</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I-I-0264</t>
        </is>
      </c>
      <c r="B4626" s="12" t="inlineStr">
        <is>
          <t>I</t>
        </is>
      </c>
      <c r="C4626" s="12" t="inlineStr">
        <is>
          <t>Modular / portable power</t>
        </is>
      </c>
      <c r="D4626" s="12" t="inlineStr">
        <is>
          <t>Analog instrument to JB JB-RICE-2-AI03: 20 x 1 pr (field cables)</t>
        </is>
      </c>
      <c r="E4626" s="12" t="inlineStr">
        <is>
          <t>RICE-2</t>
        </is>
      </c>
      <c r="F4626" s="12" t="inlineStr">
        <is>
          <t>RICE engine-generator 2</t>
        </is>
      </c>
      <c r="G4626" s="12" t="inlineStr">
        <is>
          <t>JB-RICE-2-AI03</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I-I-0265</t>
        </is>
      </c>
      <c r="B4627" s="12" t="inlineStr">
        <is>
          <t>I</t>
        </is>
      </c>
      <c r="C4627" s="12" t="inlineStr">
        <is>
          <t>Modular / portable power</t>
        </is>
      </c>
      <c r="D4627" s="12" t="inlineStr">
        <is>
          <t>Home run JB-RICE-2-AI03 to the control / marshalling room</t>
        </is>
      </c>
      <c r="E4627" s="12" t="inlineStr"/>
      <c r="F4627" s="12" t="inlineStr">
        <is>
          <t>PCM: power control module</t>
        </is>
      </c>
      <c r="G4627" s="12" t="inlineStr">
        <is>
          <t>JB-RICE-2-AI03</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I-I-0266</t>
        </is>
      </c>
      <c r="B4628" s="12" t="inlineStr">
        <is>
          <t>I</t>
        </is>
      </c>
      <c r="C4628" s="12" t="inlineStr">
        <is>
          <t>Modular / portable power</t>
        </is>
      </c>
      <c r="D4628" s="12" t="inlineStr">
        <is>
          <t>Analog instrument to JB JB-RICE-2-AI04: 20 x 1 pr (field cables)</t>
        </is>
      </c>
      <c r="E4628" s="12" t="inlineStr">
        <is>
          <t>RICE-2</t>
        </is>
      </c>
      <c r="F4628" s="12" t="inlineStr">
        <is>
          <t>RICE engine-generator 2</t>
        </is>
      </c>
      <c r="G4628" s="12" t="inlineStr">
        <is>
          <t>JB-RICE-2-AI04</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I-I-0267</t>
        </is>
      </c>
      <c r="B4629" s="12" t="inlineStr">
        <is>
          <t>I</t>
        </is>
      </c>
      <c r="C4629" s="12" t="inlineStr">
        <is>
          <t>Modular / portable power</t>
        </is>
      </c>
      <c r="D4629" s="12" t="inlineStr">
        <is>
          <t>Home run JB-RICE-2-AI04 to the control / marshalling room</t>
        </is>
      </c>
      <c r="E4629" s="12" t="inlineStr"/>
      <c r="F4629" s="12" t="inlineStr">
        <is>
          <t>PCM: power control module</t>
        </is>
      </c>
      <c r="G4629" s="12" t="inlineStr">
        <is>
          <t>JB-RICE-2-AI04</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I-I-0268</t>
        </is>
      </c>
      <c r="B4630" s="12" t="inlineStr">
        <is>
          <t>I</t>
        </is>
      </c>
      <c r="C4630" s="12" t="inlineStr">
        <is>
          <t>Modular / portable power</t>
        </is>
      </c>
      <c r="D4630" s="12" t="inlineStr">
        <is>
          <t>Discrete device to JB JB-RICE-2-DI01: 20 x 1 pr (field cables)</t>
        </is>
      </c>
      <c r="E4630" s="12" t="inlineStr">
        <is>
          <t>RICE-2</t>
        </is>
      </c>
      <c r="F4630" s="12" t="inlineStr">
        <is>
          <t>RICE engine-generator 2</t>
        </is>
      </c>
      <c r="G4630" s="12" t="inlineStr">
        <is>
          <t>JB-RICE-2-DI01</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I-I-0269</t>
        </is>
      </c>
      <c r="B4631" s="12" t="inlineStr">
        <is>
          <t>I</t>
        </is>
      </c>
      <c r="C4631" s="12" t="inlineStr">
        <is>
          <t>Modular / portable power</t>
        </is>
      </c>
      <c r="D4631" s="12" t="inlineStr">
        <is>
          <t>Home run JB-RICE-2-DI01 to the control / marshalling room</t>
        </is>
      </c>
      <c r="E4631" s="12" t="inlineStr"/>
      <c r="F4631" s="12" t="inlineStr">
        <is>
          <t>PCM: power control module</t>
        </is>
      </c>
      <c r="G4631" s="12" t="inlineStr">
        <is>
          <t>JB-RICE-2-DI01</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I-I-0270</t>
        </is>
      </c>
      <c r="B4632" s="12" t="inlineStr">
        <is>
          <t>I</t>
        </is>
      </c>
      <c r="C4632" s="12" t="inlineStr">
        <is>
          <t>Modular / portable power</t>
        </is>
      </c>
      <c r="D4632" s="12" t="inlineStr">
        <is>
          <t>Discrete device to JB JB-RICE-2-DI02: 20 x 1 pr (field cables)</t>
        </is>
      </c>
      <c r="E4632" s="12" t="inlineStr">
        <is>
          <t>RICE-2</t>
        </is>
      </c>
      <c r="F4632" s="12" t="inlineStr">
        <is>
          <t>RICE engine-generator 2</t>
        </is>
      </c>
      <c r="G4632" s="12" t="inlineStr">
        <is>
          <t>JB-RICE-2-DI02</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I-I-0271</t>
        </is>
      </c>
      <c r="B4633" s="12" t="inlineStr">
        <is>
          <t>I</t>
        </is>
      </c>
      <c r="C4633" s="12" t="inlineStr">
        <is>
          <t>Modular / portable power</t>
        </is>
      </c>
      <c r="D4633" s="12" t="inlineStr">
        <is>
          <t>Home run JB-RICE-2-DI02 to the control / marshalling room</t>
        </is>
      </c>
      <c r="E4633" s="12" t="inlineStr"/>
      <c r="F4633" s="12" t="inlineStr">
        <is>
          <t>PCM: power control module</t>
        </is>
      </c>
      <c r="G4633" s="12" t="inlineStr">
        <is>
          <t>JB-RICE-2-DI02</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I-I-0272</t>
        </is>
      </c>
      <c r="B4634" s="12" t="inlineStr">
        <is>
          <t>I</t>
        </is>
      </c>
      <c r="C4634" s="12" t="inlineStr">
        <is>
          <t>Modular / portable power</t>
        </is>
      </c>
      <c r="D4634" s="12" t="inlineStr">
        <is>
          <t>Discrete device to JB JB-RICE-2-DI03: 20 x 1 pr (field cables)</t>
        </is>
      </c>
      <c r="E4634" s="12" t="inlineStr">
        <is>
          <t>RICE-2</t>
        </is>
      </c>
      <c r="F4634" s="12" t="inlineStr">
        <is>
          <t>RICE engine-generator 2</t>
        </is>
      </c>
      <c r="G4634" s="12" t="inlineStr">
        <is>
          <t>JB-RICE-2-DI03</t>
        </is>
      </c>
      <c r="H4634" s="12" t="inlineStr">
        <is>
          <t>RICE engine-generator 2</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I-I-0273</t>
        </is>
      </c>
      <c r="B4635" s="12" t="inlineStr">
        <is>
          <t>I</t>
        </is>
      </c>
      <c r="C4635" s="12" t="inlineStr">
        <is>
          <t>Modular / portable power</t>
        </is>
      </c>
      <c r="D4635" s="12" t="inlineStr">
        <is>
          <t>Home run JB-RICE-2-DI03 to the control / marshalling room</t>
        </is>
      </c>
      <c r="E4635" s="12" t="inlineStr"/>
      <c r="F4635" s="12" t="inlineStr">
        <is>
          <t>PCM: power control module</t>
        </is>
      </c>
      <c r="G4635" s="12" t="inlineStr">
        <is>
          <t>JB-RICE-2-DI03</t>
        </is>
      </c>
      <c r="H4635" s="12" t="inlineStr">
        <is>
          <t>RICE engine-generator 2</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I-I-0274</t>
        </is>
      </c>
      <c r="B4636" s="12" t="inlineStr">
        <is>
          <t>I</t>
        </is>
      </c>
      <c r="C4636" s="12" t="inlineStr">
        <is>
          <t>Modular / portable power</t>
        </is>
      </c>
      <c r="D4636" s="12" t="inlineStr">
        <is>
          <t>Thermocouple to TC JB JB-RICE-2-TC01: 20 x 1 pr (field cables)</t>
        </is>
      </c>
      <c r="E4636" s="12" t="inlineStr">
        <is>
          <t>RICE-2</t>
        </is>
      </c>
      <c r="F4636" s="12" t="inlineStr">
        <is>
          <t>RICE engine-generator 2</t>
        </is>
      </c>
      <c r="G4636" s="12" t="inlineStr">
        <is>
          <t>JB-RICE-2-TC01</t>
        </is>
      </c>
      <c r="H4636" s="12" t="inlineStr">
        <is>
          <t>RICE engine-generator 2</t>
        </is>
      </c>
      <c r="I4636" s="12" t="inlineStr">
        <is>
          <t>Instrumentation</t>
        </is>
      </c>
      <c r="J4636" s="12" t="inlineStr">
        <is>
          <t>Thermocouple extension KX, #16 shielded pairs, PLTC</t>
        </is>
      </c>
      <c r="K4636" s="12" t="inlineStr">
        <is>
          <t>TCX|1 pr|16</t>
        </is>
      </c>
      <c r="L4636" s="12" t="inlineStr">
        <is>
          <t>1 pr</t>
        </is>
      </c>
      <c r="M4636" s="12" t="inlineStr">
        <is>
          <t>16</t>
        </is>
      </c>
      <c r="N4636" s="12" t="n">
        <v>20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I-I-0275</t>
        </is>
      </c>
      <c r="B4637" s="12" t="inlineStr">
        <is>
          <t>I</t>
        </is>
      </c>
      <c r="C4637" s="12" t="inlineStr">
        <is>
          <t>Modular / portable power</t>
        </is>
      </c>
      <c r="D4637" s="12" t="inlineStr">
        <is>
          <t>Home run JB-RICE-2-TC01 to the control / marshalling room</t>
        </is>
      </c>
      <c r="E4637" s="12" t="inlineStr"/>
      <c r="F4637" s="12" t="inlineStr">
        <is>
          <t>PCM: power control module</t>
        </is>
      </c>
      <c r="G4637" s="12" t="inlineStr">
        <is>
          <t>JB-RICE-2-TC01</t>
        </is>
      </c>
      <c r="H4637" s="12" t="inlineStr">
        <is>
          <t>RICE engine-generator 2</t>
        </is>
      </c>
      <c r="I4637" s="12" t="inlineStr">
        <is>
          <t>Instrumentation</t>
        </is>
      </c>
      <c r="J4637" s="12" t="inlineStr">
        <is>
          <t>Thermocouple extension KX, #16 shielded pairs, PLTC</t>
        </is>
      </c>
      <c r="K4637" s="12" t="inlineStr">
        <is>
          <t>TCX|24 pr|16</t>
        </is>
      </c>
      <c r="L4637" s="12" t="inlineStr">
        <is>
          <t>24 pr</t>
        </is>
      </c>
      <c r="M4637" s="12" t="inlineStr">
        <is>
          <t>16</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I-I-0276</t>
        </is>
      </c>
      <c r="B4638" s="12" t="inlineStr">
        <is>
          <t>I</t>
        </is>
      </c>
      <c r="C4638" s="12" t="inlineStr">
        <is>
          <t>Modular / portable power</t>
        </is>
      </c>
      <c r="D4638" s="12" t="inlineStr">
        <is>
          <t>Thermocouple to TC JB JB-RICE-2-TC02: 10 x 1 pr (field cables)</t>
        </is>
      </c>
      <c r="E4638" s="12" t="inlineStr">
        <is>
          <t>RICE-2</t>
        </is>
      </c>
      <c r="F4638" s="12" t="inlineStr">
        <is>
          <t>RICE engine-generator 2</t>
        </is>
      </c>
      <c r="G4638" s="12" t="inlineStr">
        <is>
          <t>JB-RICE-2-TC02</t>
        </is>
      </c>
      <c r="H4638" s="12" t="inlineStr">
        <is>
          <t>RICE engine-generator 2</t>
        </is>
      </c>
      <c r="I4638" s="12" t="inlineStr">
        <is>
          <t>Instrumentation</t>
        </is>
      </c>
      <c r="J4638" s="12" t="inlineStr">
        <is>
          <t>Thermocouple extension KX, #16 shielded pairs, PLTC</t>
        </is>
      </c>
      <c r="K4638" s="12" t="inlineStr">
        <is>
          <t>TCX|1 pr|16</t>
        </is>
      </c>
      <c r="L4638" s="12" t="inlineStr">
        <is>
          <t>1 pr</t>
        </is>
      </c>
      <c r="M4638" s="12" t="inlineStr">
        <is>
          <t>16</t>
        </is>
      </c>
      <c r="N4638" s="12" t="n">
        <v>10</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I-I-0277</t>
        </is>
      </c>
      <c r="B4639" s="12" t="inlineStr">
        <is>
          <t>I</t>
        </is>
      </c>
      <c r="C4639" s="12" t="inlineStr">
        <is>
          <t>Modular / portable power</t>
        </is>
      </c>
      <c r="D4639" s="12" t="inlineStr">
        <is>
          <t>Home run JB-RICE-2-TC02 to the control / marshalling room</t>
        </is>
      </c>
      <c r="E4639" s="12" t="inlineStr"/>
      <c r="F4639" s="12" t="inlineStr">
        <is>
          <t>PCM: power control module</t>
        </is>
      </c>
      <c r="G4639" s="12" t="inlineStr">
        <is>
          <t>JB-RICE-2-TC02</t>
        </is>
      </c>
      <c r="H4639" s="12" t="inlineStr">
        <is>
          <t>RICE engine-generator 2</t>
        </is>
      </c>
      <c r="I4639" s="12" t="inlineStr">
        <is>
          <t>Instrumentation</t>
        </is>
      </c>
      <c r="J4639" s="12" t="inlineStr">
        <is>
          <t>Thermocouple extension KX, #16 shielded pairs, PLTC</t>
        </is>
      </c>
      <c r="K4639" s="12" t="inlineStr">
        <is>
          <t>TCX|24 pr|16</t>
        </is>
      </c>
      <c r="L4639" s="12" t="inlineStr">
        <is>
          <t>24 pr</t>
        </is>
      </c>
      <c r="M4639" s="12" t="inlineStr">
        <is>
          <t>16</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I-I-0278</t>
        </is>
      </c>
      <c r="B4640" s="12" t="inlineStr">
        <is>
          <t>I</t>
        </is>
      </c>
      <c r="C4640" s="12" t="inlineStr">
        <is>
          <t>Modular / portable power</t>
        </is>
      </c>
      <c r="D4640" s="12" t="inlineStr">
        <is>
          <t>RTD to JB JB-RICE-2-RTD01: 10 x 1 tri (field cables)</t>
        </is>
      </c>
      <c r="E4640" s="12" t="inlineStr">
        <is>
          <t>RICE-2</t>
        </is>
      </c>
      <c r="F4640" s="12" t="inlineStr">
        <is>
          <t>RICE engine-generator 2</t>
        </is>
      </c>
      <c r="G4640" s="12" t="inlineStr">
        <is>
          <t>JB-RICE-2-RTD01</t>
        </is>
      </c>
      <c r="H4640" s="12" t="inlineStr">
        <is>
          <t>RICE engine-generator 2</t>
        </is>
      </c>
      <c r="I4640" s="12" t="inlineStr">
        <is>
          <t>Instrumentation</t>
        </is>
      </c>
      <c r="J4640" s="12" t="inlineStr">
        <is>
          <t>RTD cable, #18 shielded triads, PLTC</t>
        </is>
      </c>
      <c r="K4640" s="12" t="inlineStr">
        <is>
          <t>RTD|1 tri|18</t>
        </is>
      </c>
      <c r="L4640" s="12" t="inlineStr">
        <is>
          <t>1 tri</t>
        </is>
      </c>
      <c r="M4640" s="12" t="inlineStr">
        <is>
          <t>18</t>
        </is>
      </c>
      <c r="N4640" s="12" t="n">
        <v>10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I-I-0279</t>
        </is>
      </c>
      <c r="B4641" s="12" t="inlineStr">
        <is>
          <t>I</t>
        </is>
      </c>
      <c r="C4641" s="12" t="inlineStr">
        <is>
          <t>Modular / portable power</t>
        </is>
      </c>
      <c r="D4641" s="12" t="inlineStr">
        <is>
          <t>Home run JB-RICE-2-RTD01 to the control / marshalling room</t>
        </is>
      </c>
      <c r="E4641" s="12" t="inlineStr"/>
      <c r="F4641" s="12" t="inlineStr">
        <is>
          <t>PCM: power control module</t>
        </is>
      </c>
      <c r="G4641" s="12" t="inlineStr">
        <is>
          <t>JB-RICE-2-RTD01</t>
        </is>
      </c>
      <c r="H4641" s="12" t="inlineStr">
        <is>
          <t>RICE engine-generator 2</t>
        </is>
      </c>
      <c r="I4641" s="12" t="inlineStr">
        <is>
          <t>Instrumentation</t>
        </is>
      </c>
      <c r="J4641" s="12" t="inlineStr">
        <is>
          <t>RTD cable, #18 shielded triads, PLTC</t>
        </is>
      </c>
      <c r="K4641" s="12" t="inlineStr">
        <is>
          <t>RTD|12 tri|18</t>
        </is>
      </c>
      <c r="L4641" s="12" t="inlineStr">
        <is>
          <t>12 tri</t>
        </is>
      </c>
      <c r="M4641" s="12" t="inlineStr">
        <is>
          <t>18</t>
        </is>
      </c>
      <c r="N4641" s="12" t="n">
        <v>1</v>
      </c>
      <c r="O4641" s="12" t="n">
        <v>1</v>
      </c>
      <c r="P4641" s="12" t="n"/>
      <c r="Q4641" s="12" t="n"/>
      <c r="R4641" s="12" t="n"/>
      <c r="S4641" s="12" t="inlineStr">
        <is>
          <t>Duct bank</t>
        </is>
      </c>
      <c r="T4641" s="16" t="n">
        <v>550</v>
      </c>
      <c r="U4641" s="16" t="n">
        <v>109</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I-I-0280</t>
        </is>
      </c>
      <c r="B4642" s="12" t="inlineStr">
        <is>
          <t>I</t>
        </is>
      </c>
      <c r="C4642" s="12" t="inlineStr">
        <is>
          <t>Modular / portable power</t>
        </is>
      </c>
      <c r="D4642" s="12" t="inlineStr">
        <is>
          <t>RTD to JB JB-RICE-2-RTD02: 2 x 1 tri (field cables)</t>
        </is>
      </c>
      <c r="E4642" s="12" t="inlineStr">
        <is>
          <t>RICE-2</t>
        </is>
      </c>
      <c r="F4642" s="12" t="inlineStr">
        <is>
          <t>RICE engine-generator 2</t>
        </is>
      </c>
      <c r="G4642" s="12" t="inlineStr">
        <is>
          <t>JB-RICE-2-RTD02</t>
        </is>
      </c>
      <c r="H4642" s="12" t="inlineStr">
        <is>
          <t>RICE engine-generator 2</t>
        </is>
      </c>
      <c r="I4642" s="12" t="inlineStr">
        <is>
          <t>Instrumentation</t>
        </is>
      </c>
      <c r="J4642" s="12" t="inlineStr">
        <is>
          <t>RTD cable, #18 shielded triads, PLTC</t>
        </is>
      </c>
      <c r="K4642" s="12" t="inlineStr">
        <is>
          <t>RTD|1 tri|18</t>
        </is>
      </c>
      <c r="L4642" s="12" t="inlineStr">
        <is>
          <t>1 tri</t>
        </is>
      </c>
      <c r="M4642" s="12" t="inlineStr">
        <is>
          <t>18</t>
        </is>
      </c>
      <c r="N4642" s="12" t="n">
        <v>2</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I-I-0281</t>
        </is>
      </c>
      <c r="B4643" s="12" t="inlineStr">
        <is>
          <t>I</t>
        </is>
      </c>
      <c r="C4643" s="12" t="inlineStr">
        <is>
          <t>Modular / portable power</t>
        </is>
      </c>
      <c r="D4643" s="12" t="inlineStr">
        <is>
          <t>Home run JB-RICE-2-RTD02 to the control / marshalling room</t>
        </is>
      </c>
      <c r="E4643" s="12" t="inlineStr"/>
      <c r="F4643" s="12" t="inlineStr">
        <is>
          <t>PCM: power control module</t>
        </is>
      </c>
      <c r="G4643" s="12" t="inlineStr">
        <is>
          <t>JB-RICE-2-RTD02</t>
        </is>
      </c>
      <c r="H4643" s="12" t="inlineStr">
        <is>
          <t>RICE engine-generator 2</t>
        </is>
      </c>
      <c r="I4643" s="12" t="inlineStr">
        <is>
          <t>Instrumentation</t>
        </is>
      </c>
      <c r="J4643" s="12" t="inlineStr">
        <is>
          <t>RTD cable, #18 shielded triads, PLTC</t>
        </is>
      </c>
      <c r="K4643" s="12" t="inlineStr">
        <is>
          <t>RTD|12 tri|18</t>
        </is>
      </c>
      <c r="L4643" s="12" t="inlineStr">
        <is>
          <t>12 tri</t>
        </is>
      </c>
      <c r="M4643" s="12" t="inlineStr">
        <is>
          <t>18</t>
        </is>
      </c>
      <c r="N4643" s="12" t="n">
        <v>1</v>
      </c>
      <c r="O4643" s="12" t="n">
        <v>1</v>
      </c>
      <c r="P4643" s="12" t="n"/>
      <c r="Q4643" s="12" t="n"/>
      <c r="R4643" s="12" t="n"/>
      <c r="S4643" s="12" t="inlineStr">
        <is>
          <t>Duct bank</t>
        </is>
      </c>
      <c r="T4643" s="16" t="n">
        <v>550</v>
      </c>
      <c r="U4643" s="16" t="n">
        <v>109</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I-I-0282</t>
        </is>
      </c>
      <c r="B4644" s="12" t="inlineStr">
        <is>
          <t>I</t>
        </is>
      </c>
      <c r="C4644" s="12" t="inlineStr">
        <is>
          <t>Modular / portable power</t>
        </is>
      </c>
      <c r="D4644" s="12" t="inlineStr">
        <is>
          <t>Analog instrument to JB JB-RICE-3-AI01: 20 x 1 pr (field cables)</t>
        </is>
      </c>
      <c r="E4644" s="12" t="inlineStr">
        <is>
          <t>RICE-3</t>
        </is>
      </c>
      <c r="F4644" s="12" t="inlineStr">
        <is>
          <t>RICE engine-generator 3</t>
        </is>
      </c>
      <c r="G4644" s="12" t="inlineStr">
        <is>
          <t>JB-RICE-3-AI01</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I-I-0283</t>
        </is>
      </c>
      <c r="B4645" s="12" t="inlineStr">
        <is>
          <t>I</t>
        </is>
      </c>
      <c r="C4645" s="12" t="inlineStr">
        <is>
          <t>Modular / portable power</t>
        </is>
      </c>
      <c r="D4645" s="12" t="inlineStr">
        <is>
          <t>Home run JB-RICE-3-AI01 to the control / marshalling room</t>
        </is>
      </c>
      <c r="E4645" s="12" t="inlineStr"/>
      <c r="F4645" s="12" t="inlineStr">
        <is>
          <t>PCM: power control module</t>
        </is>
      </c>
      <c r="G4645" s="12" t="inlineStr">
        <is>
          <t>JB-RICE-3-AI01</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I-I-0284</t>
        </is>
      </c>
      <c r="B4646" s="12" t="inlineStr">
        <is>
          <t>I</t>
        </is>
      </c>
      <c r="C4646" s="12" t="inlineStr">
        <is>
          <t>Modular / portable power</t>
        </is>
      </c>
      <c r="D4646" s="12" t="inlineStr">
        <is>
          <t>Analog instrument to JB JB-RICE-3-AI02: 20 x 1 pr (field cables)</t>
        </is>
      </c>
      <c r="E4646" s="12" t="inlineStr">
        <is>
          <t>RICE-3</t>
        </is>
      </c>
      <c r="F4646" s="12" t="inlineStr">
        <is>
          <t>RICE engine-generator 3</t>
        </is>
      </c>
      <c r="G4646" s="12" t="inlineStr">
        <is>
          <t>JB-RICE-3-AI02</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I-I-0285</t>
        </is>
      </c>
      <c r="B4647" s="12" t="inlineStr">
        <is>
          <t>I</t>
        </is>
      </c>
      <c r="C4647" s="12" t="inlineStr">
        <is>
          <t>Modular / portable power</t>
        </is>
      </c>
      <c r="D4647" s="12" t="inlineStr">
        <is>
          <t>Home run JB-RICE-3-AI02 to the control / marshalling room</t>
        </is>
      </c>
      <c r="E4647" s="12" t="inlineStr"/>
      <c r="F4647" s="12" t="inlineStr">
        <is>
          <t>PCM: power control module</t>
        </is>
      </c>
      <c r="G4647" s="12" t="inlineStr">
        <is>
          <t>JB-RICE-3-AI02</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I-I-0286</t>
        </is>
      </c>
      <c r="B4648" s="12" t="inlineStr">
        <is>
          <t>I</t>
        </is>
      </c>
      <c r="C4648" s="12" t="inlineStr">
        <is>
          <t>Modular / portable power</t>
        </is>
      </c>
      <c r="D4648" s="12" t="inlineStr">
        <is>
          <t>Analog instrument to JB JB-RICE-3-AI03: 20 x 1 pr (field cables)</t>
        </is>
      </c>
      <c r="E4648" s="12" t="inlineStr">
        <is>
          <t>RICE-3</t>
        </is>
      </c>
      <c r="F4648" s="12" t="inlineStr">
        <is>
          <t>RICE engine-generator 3</t>
        </is>
      </c>
      <c r="G4648" s="12" t="inlineStr">
        <is>
          <t>JB-RICE-3-AI03</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I-I-0287</t>
        </is>
      </c>
      <c r="B4649" s="12" t="inlineStr">
        <is>
          <t>I</t>
        </is>
      </c>
      <c r="C4649" s="12" t="inlineStr">
        <is>
          <t>Modular / portable power</t>
        </is>
      </c>
      <c r="D4649" s="12" t="inlineStr">
        <is>
          <t>Home run JB-RICE-3-AI03 to the control / marshalling room</t>
        </is>
      </c>
      <c r="E4649" s="12" t="inlineStr"/>
      <c r="F4649" s="12" t="inlineStr">
        <is>
          <t>PCM: power control module</t>
        </is>
      </c>
      <c r="G4649" s="12" t="inlineStr">
        <is>
          <t>JB-RICE-3-AI03</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I-I-0288</t>
        </is>
      </c>
      <c r="B4650" s="12" t="inlineStr">
        <is>
          <t>I</t>
        </is>
      </c>
      <c r="C4650" s="12" t="inlineStr">
        <is>
          <t>Modular / portable power</t>
        </is>
      </c>
      <c r="D4650" s="12" t="inlineStr">
        <is>
          <t>Analog instrument to JB JB-RICE-3-AI04: 20 x 1 pr (field cables)</t>
        </is>
      </c>
      <c r="E4650" s="12" t="inlineStr">
        <is>
          <t>RICE-3</t>
        </is>
      </c>
      <c r="F4650" s="12" t="inlineStr">
        <is>
          <t>RICE engine-generator 3</t>
        </is>
      </c>
      <c r="G4650" s="12" t="inlineStr">
        <is>
          <t>JB-RICE-3-AI04</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I-I-0289</t>
        </is>
      </c>
      <c r="B4651" s="12" t="inlineStr">
        <is>
          <t>I</t>
        </is>
      </c>
      <c r="C4651" s="12" t="inlineStr">
        <is>
          <t>Modular / portable power</t>
        </is>
      </c>
      <c r="D4651" s="12" t="inlineStr">
        <is>
          <t>Home run JB-RICE-3-AI04 to the control / marshalling room</t>
        </is>
      </c>
      <c r="E4651" s="12" t="inlineStr"/>
      <c r="F4651" s="12" t="inlineStr">
        <is>
          <t>PCM: power control module</t>
        </is>
      </c>
      <c r="G4651" s="12" t="inlineStr">
        <is>
          <t>JB-RICE-3-AI04</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I-I-0290</t>
        </is>
      </c>
      <c r="B4652" s="12" t="inlineStr">
        <is>
          <t>I</t>
        </is>
      </c>
      <c r="C4652" s="12" t="inlineStr">
        <is>
          <t>Modular / portable power</t>
        </is>
      </c>
      <c r="D4652" s="12" t="inlineStr">
        <is>
          <t>Discrete device to JB JB-RICE-3-DI01: 20 x 1 pr (field cables)</t>
        </is>
      </c>
      <c r="E4652" s="12" t="inlineStr">
        <is>
          <t>RICE-3</t>
        </is>
      </c>
      <c r="F4652" s="12" t="inlineStr">
        <is>
          <t>RICE engine-generator 3</t>
        </is>
      </c>
      <c r="G4652" s="12" t="inlineStr">
        <is>
          <t>JB-RICE-3-DI01</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I-I-0291</t>
        </is>
      </c>
      <c r="B4653" s="12" t="inlineStr">
        <is>
          <t>I</t>
        </is>
      </c>
      <c r="C4653" s="12" t="inlineStr">
        <is>
          <t>Modular / portable power</t>
        </is>
      </c>
      <c r="D4653" s="12" t="inlineStr">
        <is>
          <t>Home run JB-RICE-3-DI01 to the control / marshalling room</t>
        </is>
      </c>
      <c r="E4653" s="12" t="inlineStr"/>
      <c r="F4653" s="12" t="inlineStr">
        <is>
          <t>PCM: power control module</t>
        </is>
      </c>
      <c r="G4653" s="12" t="inlineStr">
        <is>
          <t>JB-RICE-3-DI01</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I-I-0292</t>
        </is>
      </c>
      <c r="B4654" s="12" t="inlineStr">
        <is>
          <t>I</t>
        </is>
      </c>
      <c r="C4654" s="12" t="inlineStr">
        <is>
          <t>Modular / portable power</t>
        </is>
      </c>
      <c r="D4654" s="12" t="inlineStr">
        <is>
          <t>Discrete device to JB JB-RICE-3-DI02: 20 x 1 pr (field cables)</t>
        </is>
      </c>
      <c r="E4654" s="12" t="inlineStr">
        <is>
          <t>RICE-3</t>
        </is>
      </c>
      <c r="F4654" s="12" t="inlineStr">
        <is>
          <t>RICE engine-generator 3</t>
        </is>
      </c>
      <c r="G4654" s="12" t="inlineStr">
        <is>
          <t>JB-RICE-3-DI02</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I-I-0293</t>
        </is>
      </c>
      <c r="B4655" s="12" t="inlineStr">
        <is>
          <t>I</t>
        </is>
      </c>
      <c r="C4655" s="12" t="inlineStr">
        <is>
          <t>Modular / portable power</t>
        </is>
      </c>
      <c r="D4655" s="12" t="inlineStr">
        <is>
          <t>Home run JB-RICE-3-DI02 to the control / marshalling room</t>
        </is>
      </c>
      <c r="E4655" s="12" t="inlineStr"/>
      <c r="F4655" s="12" t="inlineStr">
        <is>
          <t>PCM: power control module</t>
        </is>
      </c>
      <c r="G4655" s="12" t="inlineStr">
        <is>
          <t>JB-RICE-3-DI02</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I-I-0294</t>
        </is>
      </c>
      <c r="B4656" s="12" t="inlineStr">
        <is>
          <t>I</t>
        </is>
      </c>
      <c r="C4656" s="12" t="inlineStr">
        <is>
          <t>Modular / portable power</t>
        </is>
      </c>
      <c r="D4656" s="12" t="inlineStr">
        <is>
          <t>Discrete device to JB JB-RICE-3-DI03: 20 x 1 pr (field cables)</t>
        </is>
      </c>
      <c r="E4656" s="12" t="inlineStr">
        <is>
          <t>RICE-3</t>
        </is>
      </c>
      <c r="F4656" s="12" t="inlineStr">
        <is>
          <t>RICE engine-generator 3</t>
        </is>
      </c>
      <c r="G4656" s="12" t="inlineStr">
        <is>
          <t>JB-RICE-3-DI03</t>
        </is>
      </c>
      <c r="H4656" s="12" t="inlineStr">
        <is>
          <t>RICE engine-generator 3</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I-I-0295</t>
        </is>
      </c>
      <c r="B4657" s="12" t="inlineStr">
        <is>
          <t>I</t>
        </is>
      </c>
      <c r="C4657" s="12" t="inlineStr">
        <is>
          <t>Modular / portable power</t>
        </is>
      </c>
      <c r="D4657" s="12" t="inlineStr">
        <is>
          <t>Home run JB-RICE-3-DI03 to the control / marshalling room</t>
        </is>
      </c>
      <c r="E4657" s="12" t="inlineStr"/>
      <c r="F4657" s="12" t="inlineStr">
        <is>
          <t>PCM: power control module</t>
        </is>
      </c>
      <c r="G4657" s="12" t="inlineStr">
        <is>
          <t>JB-RICE-3-DI03</t>
        </is>
      </c>
      <c r="H4657" s="12" t="inlineStr">
        <is>
          <t>RICE engine-generator 3</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I-I-0296</t>
        </is>
      </c>
      <c r="B4658" s="12" t="inlineStr">
        <is>
          <t>I</t>
        </is>
      </c>
      <c r="C4658" s="12" t="inlineStr">
        <is>
          <t>Modular / portable power</t>
        </is>
      </c>
      <c r="D4658" s="12" t="inlineStr">
        <is>
          <t>Thermocouple to TC JB JB-RICE-3-TC01: 20 x 1 pr (field cables)</t>
        </is>
      </c>
      <c r="E4658" s="12" t="inlineStr">
        <is>
          <t>RICE-3</t>
        </is>
      </c>
      <c r="F4658" s="12" t="inlineStr">
        <is>
          <t>RICE engine-generator 3</t>
        </is>
      </c>
      <c r="G4658" s="12" t="inlineStr">
        <is>
          <t>JB-RICE-3-TC01</t>
        </is>
      </c>
      <c r="H4658" s="12" t="inlineStr">
        <is>
          <t>RICE engine-generator 3</t>
        </is>
      </c>
      <c r="I4658" s="12" t="inlineStr">
        <is>
          <t>Instrumentation</t>
        </is>
      </c>
      <c r="J4658" s="12" t="inlineStr">
        <is>
          <t>Thermocouple extension KX, #16 shielded pairs, PLTC</t>
        </is>
      </c>
      <c r="K4658" s="12" t="inlineStr">
        <is>
          <t>TCX|1 pr|16</t>
        </is>
      </c>
      <c r="L4658" s="12" t="inlineStr">
        <is>
          <t>1 pr</t>
        </is>
      </c>
      <c r="M4658" s="12" t="inlineStr">
        <is>
          <t>16</t>
        </is>
      </c>
      <c r="N4658" s="12" t="n">
        <v>20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I-I-0297</t>
        </is>
      </c>
      <c r="B4659" s="12" t="inlineStr">
        <is>
          <t>I</t>
        </is>
      </c>
      <c r="C4659" s="12" t="inlineStr">
        <is>
          <t>Modular / portable power</t>
        </is>
      </c>
      <c r="D4659" s="12" t="inlineStr">
        <is>
          <t>Home run JB-RICE-3-TC01 to the control / marshalling room</t>
        </is>
      </c>
      <c r="E4659" s="12" t="inlineStr"/>
      <c r="F4659" s="12" t="inlineStr">
        <is>
          <t>PCM: power control module</t>
        </is>
      </c>
      <c r="G4659" s="12" t="inlineStr">
        <is>
          <t>JB-RICE-3-TC01</t>
        </is>
      </c>
      <c r="H4659" s="12" t="inlineStr">
        <is>
          <t>RICE engine-generator 3</t>
        </is>
      </c>
      <c r="I4659" s="12" t="inlineStr">
        <is>
          <t>Instrumentation</t>
        </is>
      </c>
      <c r="J4659" s="12" t="inlineStr">
        <is>
          <t>Thermocouple extension KX, #16 shielded pairs, PLTC</t>
        </is>
      </c>
      <c r="K4659" s="12" t="inlineStr">
        <is>
          <t>TCX|24 pr|16</t>
        </is>
      </c>
      <c r="L4659" s="12" t="inlineStr">
        <is>
          <t>24 pr</t>
        </is>
      </c>
      <c r="M4659" s="12" t="inlineStr">
        <is>
          <t>16</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I-I-0298</t>
        </is>
      </c>
      <c r="B4660" s="12" t="inlineStr">
        <is>
          <t>I</t>
        </is>
      </c>
      <c r="C4660" s="12" t="inlineStr">
        <is>
          <t>Modular / portable power</t>
        </is>
      </c>
      <c r="D4660" s="12" t="inlineStr">
        <is>
          <t>Thermocouple to TC JB JB-RICE-3-TC02: 10 x 1 pr (field cables)</t>
        </is>
      </c>
      <c r="E4660" s="12" t="inlineStr">
        <is>
          <t>RICE-3</t>
        </is>
      </c>
      <c r="F4660" s="12" t="inlineStr">
        <is>
          <t>RICE engine-generator 3</t>
        </is>
      </c>
      <c r="G4660" s="12" t="inlineStr">
        <is>
          <t>JB-RICE-3-TC02</t>
        </is>
      </c>
      <c r="H4660" s="12" t="inlineStr">
        <is>
          <t>RICE engine-generator 3</t>
        </is>
      </c>
      <c r="I4660" s="12" t="inlineStr">
        <is>
          <t>Instrumentation</t>
        </is>
      </c>
      <c r="J4660" s="12" t="inlineStr">
        <is>
          <t>Thermocouple extension KX, #16 shielded pairs, PLTC</t>
        </is>
      </c>
      <c r="K4660" s="12" t="inlineStr">
        <is>
          <t>TCX|1 pr|16</t>
        </is>
      </c>
      <c r="L4660" s="12" t="inlineStr">
        <is>
          <t>1 pr</t>
        </is>
      </c>
      <c r="M4660" s="12" t="inlineStr">
        <is>
          <t>16</t>
        </is>
      </c>
      <c r="N4660" s="12" t="n">
        <v>10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I-I-0299</t>
        </is>
      </c>
      <c r="B4661" s="12" t="inlineStr">
        <is>
          <t>I</t>
        </is>
      </c>
      <c r="C4661" s="12" t="inlineStr">
        <is>
          <t>Modular / portable power</t>
        </is>
      </c>
      <c r="D4661" s="12" t="inlineStr">
        <is>
          <t>Home run JB-RICE-3-TC02 to the control / marshalling room</t>
        </is>
      </c>
      <c r="E4661" s="12" t="inlineStr"/>
      <c r="F4661" s="12" t="inlineStr">
        <is>
          <t>PCM: power control module</t>
        </is>
      </c>
      <c r="G4661" s="12" t="inlineStr">
        <is>
          <t>JB-RICE-3-TC02</t>
        </is>
      </c>
      <c r="H4661" s="12" t="inlineStr">
        <is>
          <t>RICE engine-generator 3</t>
        </is>
      </c>
      <c r="I4661" s="12" t="inlineStr">
        <is>
          <t>Instrumentation</t>
        </is>
      </c>
      <c r="J4661" s="12" t="inlineStr">
        <is>
          <t>Thermocouple extension KX, #16 shielded pairs, PLTC</t>
        </is>
      </c>
      <c r="K4661" s="12" t="inlineStr">
        <is>
          <t>TCX|24 pr|16</t>
        </is>
      </c>
      <c r="L4661" s="12" t="inlineStr">
        <is>
          <t>24 pr</t>
        </is>
      </c>
      <c r="M4661" s="12" t="inlineStr">
        <is>
          <t>16</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I-I-0300</t>
        </is>
      </c>
      <c r="B4662" s="12" t="inlineStr">
        <is>
          <t>I</t>
        </is>
      </c>
      <c r="C4662" s="12" t="inlineStr">
        <is>
          <t>Modular / portable power</t>
        </is>
      </c>
      <c r="D4662" s="12" t="inlineStr">
        <is>
          <t>RTD to JB JB-RICE-3-RTD01: 10 x 1 tri (field cables)</t>
        </is>
      </c>
      <c r="E4662" s="12" t="inlineStr">
        <is>
          <t>RICE-3</t>
        </is>
      </c>
      <c r="F4662" s="12" t="inlineStr">
        <is>
          <t>RICE engine-generator 3</t>
        </is>
      </c>
      <c r="G4662" s="12" t="inlineStr">
        <is>
          <t>JB-RICE-3-RTD01</t>
        </is>
      </c>
      <c r="H4662" s="12" t="inlineStr">
        <is>
          <t>RICE engine-generator 3</t>
        </is>
      </c>
      <c r="I4662" s="12" t="inlineStr">
        <is>
          <t>Instrumentation</t>
        </is>
      </c>
      <c r="J4662" s="12" t="inlineStr">
        <is>
          <t>RTD cable, #18 shielded triads, PLTC</t>
        </is>
      </c>
      <c r="K4662" s="12" t="inlineStr">
        <is>
          <t>RTD|1 tri|18</t>
        </is>
      </c>
      <c r="L4662" s="12" t="inlineStr">
        <is>
          <t>1 tri</t>
        </is>
      </c>
      <c r="M4662" s="12" t="inlineStr">
        <is>
          <t>18</t>
        </is>
      </c>
      <c r="N4662" s="12" t="n">
        <v>10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I-I-0301</t>
        </is>
      </c>
      <c r="B4663" s="12" t="inlineStr">
        <is>
          <t>I</t>
        </is>
      </c>
      <c r="C4663" s="12" t="inlineStr">
        <is>
          <t>Modular / portable power</t>
        </is>
      </c>
      <c r="D4663" s="12" t="inlineStr">
        <is>
          <t>Home run JB-RICE-3-RTD01 to the control / marshalling room</t>
        </is>
      </c>
      <c r="E4663" s="12" t="inlineStr"/>
      <c r="F4663" s="12" t="inlineStr">
        <is>
          <t>PCM: power control module</t>
        </is>
      </c>
      <c r="G4663" s="12" t="inlineStr">
        <is>
          <t>JB-RICE-3-RTD01</t>
        </is>
      </c>
      <c r="H4663" s="12" t="inlineStr">
        <is>
          <t>RICE engine-generator 3</t>
        </is>
      </c>
      <c r="I4663" s="12" t="inlineStr">
        <is>
          <t>Instrumentation</t>
        </is>
      </c>
      <c r="J4663" s="12" t="inlineStr">
        <is>
          <t>RTD cable, #18 shielded triads, PLTC</t>
        </is>
      </c>
      <c r="K4663" s="12" t="inlineStr">
        <is>
          <t>RTD|12 tri|18</t>
        </is>
      </c>
      <c r="L4663" s="12" t="inlineStr">
        <is>
          <t>12 tri</t>
        </is>
      </c>
      <c r="M4663" s="12" t="inlineStr">
        <is>
          <t>18</t>
        </is>
      </c>
      <c r="N4663" s="12" t="n">
        <v>1</v>
      </c>
      <c r="O4663" s="12" t="n">
        <v>1</v>
      </c>
      <c r="P4663" s="12" t="n"/>
      <c r="Q4663" s="12" t="n"/>
      <c r="R4663" s="12" t="n"/>
      <c r="S4663" s="12" t="inlineStr">
        <is>
          <t>Duct bank</t>
        </is>
      </c>
      <c r="T4663" s="16" t="n">
        <v>550</v>
      </c>
      <c r="U4663" s="16" t="n">
        <v>81</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I-I-0302</t>
        </is>
      </c>
      <c r="B4664" s="12" t="inlineStr">
        <is>
          <t>I</t>
        </is>
      </c>
      <c r="C4664" s="12" t="inlineStr">
        <is>
          <t>Modular / portable power</t>
        </is>
      </c>
      <c r="D4664" s="12" t="inlineStr">
        <is>
          <t>RTD to JB JB-RICE-3-RTD02: 2 x 1 tri (field cables)</t>
        </is>
      </c>
      <c r="E4664" s="12" t="inlineStr">
        <is>
          <t>RICE-3</t>
        </is>
      </c>
      <c r="F4664" s="12" t="inlineStr">
        <is>
          <t>RICE engine-generator 3</t>
        </is>
      </c>
      <c r="G4664" s="12" t="inlineStr">
        <is>
          <t>JB-RICE-3-RTD02</t>
        </is>
      </c>
      <c r="H4664" s="12" t="inlineStr">
        <is>
          <t>RICE engine-generator 3</t>
        </is>
      </c>
      <c r="I4664" s="12" t="inlineStr">
        <is>
          <t>Instrumentation</t>
        </is>
      </c>
      <c r="J4664" s="12" t="inlineStr">
        <is>
          <t>RTD cable, #18 shielded triads, PLTC</t>
        </is>
      </c>
      <c r="K4664" s="12" t="inlineStr">
        <is>
          <t>RTD|1 tri|18</t>
        </is>
      </c>
      <c r="L4664" s="12" t="inlineStr">
        <is>
          <t>1 tri</t>
        </is>
      </c>
      <c r="M4664" s="12" t="inlineStr">
        <is>
          <t>18</t>
        </is>
      </c>
      <c r="N4664" s="12" t="n">
        <v>2</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I-I-0303</t>
        </is>
      </c>
      <c r="B4665" s="12" t="inlineStr">
        <is>
          <t>I</t>
        </is>
      </c>
      <c r="C4665" s="12" t="inlineStr">
        <is>
          <t>Modular / portable power</t>
        </is>
      </c>
      <c r="D4665" s="12" t="inlineStr">
        <is>
          <t>Home run JB-RICE-3-RTD02 to the control / marshalling room</t>
        </is>
      </c>
      <c r="E4665" s="12" t="inlineStr"/>
      <c r="F4665" s="12" t="inlineStr">
        <is>
          <t>PCM: power control module</t>
        </is>
      </c>
      <c r="G4665" s="12" t="inlineStr">
        <is>
          <t>JB-RICE-3-RTD02</t>
        </is>
      </c>
      <c r="H4665" s="12" t="inlineStr">
        <is>
          <t>RICE engine-generator 3</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550</v>
      </c>
      <c r="U4665" s="16" t="n">
        <v>81</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I-I-0304</t>
        </is>
      </c>
      <c r="B4666" s="12" t="inlineStr">
        <is>
          <t>I</t>
        </is>
      </c>
      <c r="C4666" s="12" t="inlineStr">
        <is>
          <t>Modular / portable power</t>
        </is>
      </c>
      <c r="D4666" s="12" t="inlineStr">
        <is>
          <t>Analog instrument to JB JB-RICE-4-AI01: 20 x 1 pr (field cables)</t>
        </is>
      </c>
      <c r="E4666" s="12" t="inlineStr">
        <is>
          <t>RICE-4</t>
        </is>
      </c>
      <c r="F4666" s="12" t="inlineStr">
        <is>
          <t>RICE engine-generator 4</t>
        </is>
      </c>
      <c r="G4666" s="12" t="inlineStr">
        <is>
          <t>JB-RICE-4-AI01</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I-I-0305</t>
        </is>
      </c>
      <c r="B4667" s="12" t="inlineStr">
        <is>
          <t>I</t>
        </is>
      </c>
      <c r="C4667" s="12" t="inlineStr">
        <is>
          <t>Modular / portable power</t>
        </is>
      </c>
      <c r="D4667" s="12" t="inlineStr">
        <is>
          <t>Home run JB-RICE-4-AI01 to the control / marshalling room</t>
        </is>
      </c>
      <c r="E4667" s="12" t="inlineStr"/>
      <c r="F4667" s="12" t="inlineStr">
        <is>
          <t>PCM: power control module</t>
        </is>
      </c>
      <c r="G4667" s="12" t="inlineStr">
        <is>
          <t>JB-RICE-4-AI01</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I-I-0306</t>
        </is>
      </c>
      <c r="B4668" s="12" t="inlineStr">
        <is>
          <t>I</t>
        </is>
      </c>
      <c r="C4668" s="12" t="inlineStr">
        <is>
          <t>Modular / portable power</t>
        </is>
      </c>
      <c r="D4668" s="12" t="inlineStr">
        <is>
          <t>Analog instrument to JB JB-RICE-4-AI02: 20 x 1 pr (field cables)</t>
        </is>
      </c>
      <c r="E4668" s="12" t="inlineStr">
        <is>
          <t>RICE-4</t>
        </is>
      </c>
      <c r="F4668" s="12" t="inlineStr">
        <is>
          <t>RICE engine-generator 4</t>
        </is>
      </c>
      <c r="G4668" s="12" t="inlineStr">
        <is>
          <t>JB-RICE-4-AI02</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I-I-0307</t>
        </is>
      </c>
      <c r="B4669" s="12" t="inlineStr">
        <is>
          <t>I</t>
        </is>
      </c>
      <c r="C4669" s="12" t="inlineStr">
        <is>
          <t>Modular / portable power</t>
        </is>
      </c>
      <c r="D4669" s="12" t="inlineStr">
        <is>
          <t>Home run JB-RICE-4-AI02 to the control / marshalling room</t>
        </is>
      </c>
      <c r="E4669" s="12" t="inlineStr"/>
      <c r="F4669" s="12" t="inlineStr">
        <is>
          <t>PCM: power control module</t>
        </is>
      </c>
      <c r="G4669" s="12" t="inlineStr">
        <is>
          <t>JB-RICE-4-AI02</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I-I-0308</t>
        </is>
      </c>
      <c r="B4670" s="12" t="inlineStr">
        <is>
          <t>I</t>
        </is>
      </c>
      <c r="C4670" s="12" t="inlineStr">
        <is>
          <t>Modular / portable power</t>
        </is>
      </c>
      <c r="D4670" s="12" t="inlineStr">
        <is>
          <t>Analog instrument to JB JB-RICE-4-AI03: 20 x 1 pr (field cables)</t>
        </is>
      </c>
      <c r="E4670" s="12" t="inlineStr">
        <is>
          <t>RICE-4</t>
        </is>
      </c>
      <c r="F4670" s="12" t="inlineStr">
        <is>
          <t>RICE engine-generator 4</t>
        </is>
      </c>
      <c r="G4670" s="12" t="inlineStr">
        <is>
          <t>JB-RICE-4-AI03</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I-I-0309</t>
        </is>
      </c>
      <c r="B4671" s="12" t="inlineStr">
        <is>
          <t>I</t>
        </is>
      </c>
      <c r="C4671" s="12" t="inlineStr">
        <is>
          <t>Modular / portable power</t>
        </is>
      </c>
      <c r="D4671" s="12" t="inlineStr">
        <is>
          <t>Home run JB-RICE-4-AI03 to the control / marshalling room</t>
        </is>
      </c>
      <c r="E4671" s="12" t="inlineStr"/>
      <c r="F4671" s="12" t="inlineStr">
        <is>
          <t>PCM: power control module</t>
        </is>
      </c>
      <c r="G4671" s="12" t="inlineStr">
        <is>
          <t>JB-RICE-4-AI03</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I-I-0310</t>
        </is>
      </c>
      <c r="B4672" s="12" t="inlineStr">
        <is>
          <t>I</t>
        </is>
      </c>
      <c r="C4672" s="12" t="inlineStr">
        <is>
          <t>Modular / portable power</t>
        </is>
      </c>
      <c r="D4672" s="12" t="inlineStr">
        <is>
          <t>Analog instrument to JB JB-RICE-4-AI04: 20 x 1 pr (field cables)</t>
        </is>
      </c>
      <c r="E4672" s="12" t="inlineStr">
        <is>
          <t>RICE-4</t>
        </is>
      </c>
      <c r="F4672" s="12" t="inlineStr">
        <is>
          <t>RICE engine-generator 4</t>
        </is>
      </c>
      <c r="G4672" s="12" t="inlineStr">
        <is>
          <t>JB-RICE-4-AI04</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I-I-0311</t>
        </is>
      </c>
      <c r="B4673" s="12" t="inlineStr">
        <is>
          <t>I</t>
        </is>
      </c>
      <c r="C4673" s="12" t="inlineStr">
        <is>
          <t>Modular / portable power</t>
        </is>
      </c>
      <c r="D4673" s="12" t="inlineStr">
        <is>
          <t>Home run JB-RICE-4-AI04 to the control / marshalling room</t>
        </is>
      </c>
      <c r="E4673" s="12" t="inlineStr"/>
      <c r="F4673" s="12" t="inlineStr">
        <is>
          <t>PCM: power control module</t>
        </is>
      </c>
      <c r="G4673" s="12" t="inlineStr">
        <is>
          <t>JB-RICE-4-AI04</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I-I-0312</t>
        </is>
      </c>
      <c r="B4674" s="12" t="inlineStr">
        <is>
          <t>I</t>
        </is>
      </c>
      <c r="C4674" s="12" t="inlineStr">
        <is>
          <t>Modular / portable power</t>
        </is>
      </c>
      <c r="D4674" s="12" t="inlineStr">
        <is>
          <t>Discrete device to JB JB-RICE-4-DI01: 20 x 1 pr (field cables)</t>
        </is>
      </c>
      <c r="E4674" s="12" t="inlineStr">
        <is>
          <t>RICE-4</t>
        </is>
      </c>
      <c r="F4674" s="12" t="inlineStr">
        <is>
          <t>RICE engine-generator 4</t>
        </is>
      </c>
      <c r="G4674" s="12" t="inlineStr">
        <is>
          <t>JB-RICE-4-DI01</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I-I-0313</t>
        </is>
      </c>
      <c r="B4675" s="12" t="inlineStr">
        <is>
          <t>I</t>
        </is>
      </c>
      <c r="C4675" s="12" t="inlineStr">
        <is>
          <t>Modular / portable power</t>
        </is>
      </c>
      <c r="D4675" s="12" t="inlineStr">
        <is>
          <t>Home run JB-RICE-4-DI01 to the control / marshalling room</t>
        </is>
      </c>
      <c r="E4675" s="12" t="inlineStr"/>
      <c r="F4675" s="12" t="inlineStr">
        <is>
          <t>PCM: power control module</t>
        </is>
      </c>
      <c r="G4675" s="12" t="inlineStr">
        <is>
          <t>JB-RICE-4-DI01</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I-I-0314</t>
        </is>
      </c>
      <c r="B4676" s="12" t="inlineStr">
        <is>
          <t>I</t>
        </is>
      </c>
      <c r="C4676" s="12" t="inlineStr">
        <is>
          <t>Modular / portable power</t>
        </is>
      </c>
      <c r="D4676" s="12" t="inlineStr">
        <is>
          <t>Discrete device to JB JB-RICE-4-DI02: 20 x 1 pr (field cables)</t>
        </is>
      </c>
      <c r="E4676" s="12" t="inlineStr">
        <is>
          <t>RICE-4</t>
        </is>
      </c>
      <c r="F4676" s="12" t="inlineStr">
        <is>
          <t>RICE engine-generator 4</t>
        </is>
      </c>
      <c r="G4676" s="12" t="inlineStr">
        <is>
          <t>JB-RICE-4-DI02</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I-I-0315</t>
        </is>
      </c>
      <c r="B4677" s="12" t="inlineStr">
        <is>
          <t>I</t>
        </is>
      </c>
      <c r="C4677" s="12" t="inlineStr">
        <is>
          <t>Modular / portable power</t>
        </is>
      </c>
      <c r="D4677" s="12" t="inlineStr">
        <is>
          <t>Home run JB-RICE-4-DI02 to the control / marshalling room</t>
        </is>
      </c>
      <c r="E4677" s="12" t="inlineStr"/>
      <c r="F4677" s="12" t="inlineStr">
        <is>
          <t>PCM: power control module</t>
        </is>
      </c>
      <c r="G4677" s="12" t="inlineStr">
        <is>
          <t>JB-RICE-4-DI02</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I-I-0316</t>
        </is>
      </c>
      <c r="B4678" s="12" t="inlineStr">
        <is>
          <t>I</t>
        </is>
      </c>
      <c r="C4678" s="12" t="inlineStr">
        <is>
          <t>Modular / portable power</t>
        </is>
      </c>
      <c r="D4678" s="12" t="inlineStr">
        <is>
          <t>Discrete device to JB JB-RICE-4-DI03: 20 x 1 pr (field cables)</t>
        </is>
      </c>
      <c r="E4678" s="12" t="inlineStr">
        <is>
          <t>RICE-4</t>
        </is>
      </c>
      <c r="F4678" s="12" t="inlineStr">
        <is>
          <t>RICE engine-generator 4</t>
        </is>
      </c>
      <c r="G4678" s="12" t="inlineStr">
        <is>
          <t>JB-RICE-4-DI03</t>
        </is>
      </c>
      <c r="H4678" s="12" t="inlineStr">
        <is>
          <t>RICE engine-generator 4</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I-I-0317</t>
        </is>
      </c>
      <c r="B4679" s="12" t="inlineStr">
        <is>
          <t>I</t>
        </is>
      </c>
      <c r="C4679" s="12" t="inlineStr">
        <is>
          <t>Modular / portable power</t>
        </is>
      </c>
      <c r="D4679" s="12" t="inlineStr">
        <is>
          <t>Home run JB-RICE-4-DI03 to the control / marshalling room</t>
        </is>
      </c>
      <c r="E4679" s="12" t="inlineStr"/>
      <c r="F4679" s="12" t="inlineStr">
        <is>
          <t>PCM: power control module</t>
        </is>
      </c>
      <c r="G4679" s="12" t="inlineStr">
        <is>
          <t>JB-RICE-4-DI03</t>
        </is>
      </c>
      <c r="H4679" s="12" t="inlineStr">
        <is>
          <t>RICE engine-generator 4</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I-I-0318</t>
        </is>
      </c>
      <c r="B4680" s="12" t="inlineStr">
        <is>
          <t>I</t>
        </is>
      </c>
      <c r="C4680" s="12" t="inlineStr">
        <is>
          <t>Modular / portable power</t>
        </is>
      </c>
      <c r="D4680" s="12" t="inlineStr">
        <is>
          <t>Thermocouple to TC JB JB-RICE-4-TC01: 20 x 1 pr (field cables)</t>
        </is>
      </c>
      <c r="E4680" s="12" t="inlineStr">
        <is>
          <t>RICE-4</t>
        </is>
      </c>
      <c r="F4680" s="12" t="inlineStr">
        <is>
          <t>RICE engine-generator 4</t>
        </is>
      </c>
      <c r="G4680" s="12" t="inlineStr">
        <is>
          <t>JB-RICE-4-TC01</t>
        </is>
      </c>
      <c r="H4680" s="12" t="inlineStr">
        <is>
          <t>RICE engine-generator 4</t>
        </is>
      </c>
      <c r="I4680" s="12" t="inlineStr">
        <is>
          <t>Instrumentation</t>
        </is>
      </c>
      <c r="J4680" s="12" t="inlineStr">
        <is>
          <t>Thermocouple extension KX, #16 shielded pairs, PLTC</t>
        </is>
      </c>
      <c r="K4680" s="12" t="inlineStr">
        <is>
          <t>TCX|1 pr|16</t>
        </is>
      </c>
      <c r="L4680" s="12" t="inlineStr">
        <is>
          <t>1 pr</t>
        </is>
      </c>
      <c r="M4680" s="12" t="inlineStr">
        <is>
          <t>16</t>
        </is>
      </c>
      <c r="N4680" s="12" t="n">
        <v>20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I-I-0319</t>
        </is>
      </c>
      <c r="B4681" s="12" t="inlineStr">
        <is>
          <t>I</t>
        </is>
      </c>
      <c r="C4681" s="12" t="inlineStr">
        <is>
          <t>Modular / portable power</t>
        </is>
      </c>
      <c r="D4681" s="12" t="inlineStr">
        <is>
          <t>Home run JB-RICE-4-TC01 to the control / marshalling room</t>
        </is>
      </c>
      <c r="E4681" s="12" t="inlineStr"/>
      <c r="F4681" s="12" t="inlineStr">
        <is>
          <t>PCM: power control module</t>
        </is>
      </c>
      <c r="G4681" s="12" t="inlineStr">
        <is>
          <t>JB-RICE-4-TC01</t>
        </is>
      </c>
      <c r="H4681" s="12" t="inlineStr">
        <is>
          <t>RICE engine-generator 4</t>
        </is>
      </c>
      <c r="I4681" s="12" t="inlineStr">
        <is>
          <t>Instrumentation</t>
        </is>
      </c>
      <c r="J4681" s="12" t="inlineStr">
        <is>
          <t>Thermocouple extension KX, #16 shielded pairs, PLTC</t>
        </is>
      </c>
      <c r="K4681" s="12" t="inlineStr">
        <is>
          <t>TCX|24 pr|16</t>
        </is>
      </c>
      <c r="L4681" s="12" t="inlineStr">
        <is>
          <t>24 pr</t>
        </is>
      </c>
      <c r="M4681" s="12" t="inlineStr">
        <is>
          <t>16</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I-I-0320</t>
        </is>
      </c>
      <c r="B4682" s="12" t="inlineStr">
        <is>
          <t>I</t>
        </is>
      </c>
      <c r="C4682" s="12" t="inlineStr">
        <is>
          <t>Modular / portable power</t>
        </is>
      </c>
      <c r="D4682" s="12" t="inlineStr">
        <is>
          <t>Thermocouple to TC JB JB-RICE-4-TC02: 10 x 1 pr (field cables)</t>
        </is>
      </c>
      <c r="E4682" s="12" t="inlineStr">
        <is>
          <t>RICE-4</t>
        </is>
      </c>
      <c r="F4682" s="12" t="inlineStr">
        <is>
          <t>RICE engine-generator 4</t>
        </is>
      </c>
      <c r="G4682" s="12" t="inlineStr">
        <is>
          <t>JB-RICE-4-TC02</t>
        </is>
      </c>
      <c r="H4682" s="12" t="inlineStr">
        <is>
          <t>RICE engine-generator 4</t>
        </is>
      </c>
      <c r="I4682" s="12" t="inlineStr">
        <is>
          <t>Instrumentation</t>
        </is>
      </c>
      <c r="J4682" s="12" t="inlineStr">
        <is>
          <t>Thermocouple extension KX, #16 shielded pairs, PLTC</t>
        </is>
      </c>
      <c r="K4682" s="12" t="inlineStr">
        <is>
          <t>TCX|1 pr|16</t>
        </is>
      </c>
      <c r="L4682" s="12" t="inlineStr">
        <is>
          <t>1 pr</t>
        </is>
      </c>
      <c r="M4682" s="12" t="inlineStr">
        <is>
          <t>16</t>
        </is>
      </c>
      <c r="N4682" s="12" t="n">
        <v>10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I-I-0321</t>
        </is>
      </c>
      <c r="B4683" s="12" t="inlineStr">
        <is>
          <t>I</t>
        </is>
      </c>
      <c r="C4683" s="12" t="inlineStr">
        <is>
          <t>Modular / portable power</t>
        </is>
      </c>
      <c r="D4683" s="12" t="inlineStr">
        <is>
          <t>Home run JB-RICE-4-TC02 to the control / marshalling room</t>
        </is>
      </c>
      <c r="E4683" s="12" t="inlineStr"/>
      <c r="F4683" s="12" t="inlineStr">
        <is>
          <t>PCM: power control module</t>
        </is>
      </c>
      <c r="G4683" s="12" t="inlineStr">
        <is>
          <t>JB-RICE-4-TC02</t>
        </is>
      </c>
      <c r="H4683" s="12" t="inlineStr">
        <is>
          <t>RICE engine-generator 4</t>
        </is>
      </c>
      <c r="I4683" s="12" t="inlineStr">
        <is>
          <t>Instrumentation</t>
        </is>
      </c>
      <c r="J4683" s="12" t="inlineStr">
        <is>
          <t>Thermocouple extension KX, #16 shielded pairs, PLTC</t>
        </is>
      </c>
      <c r="K4683" s="12" t="inlineStr">
        <is>
          <t>TCX|24 pr|16</t>
        </is>
      </c>
      <c r="L4683" s="12" t="inlineStr">
        <is>
          <t>24 pr</t>
        </is>
      </c>
      <c r="M4683" s="12" t="inlineStr">
        <is>
          <t>16</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I-I-0322</t>
        </is>
      </c>
      <c r="B4684" s="12" t="inlineStr">
        <is>
          <t>I</t>
        </is>
      </c>
      <c r="C4684" s="12" t="inlineStr">
        <is>
          <t>Modular / portable power</t>
        </is>
      </c>
      <c r="D4684" s="12" t="inlineStr">
        <is>
          <t>RTD to JB JB-RICE-4-RTD01: 10 x 1 tri (field cables)</t>
        </is>
      </c>
      <c r="E4684" s="12" t="inlineStr">
        <is>
          <t>RICE-4</t>
        </is>
      </c>
      <c r="F4684" s="12" t="inlineStr">
        <is>
          <t>RICE engine-generator 4</t>
        </is>
      </c>
      <c r="G4684" s="12" t="inlineStr">
        <is>
          <t>JB-RICE-4-RTD01</t>
        </is>
      </c>
      <c r="H4684" s="12" t="inlineStr">
        <is>
          <t>RICE engine-generator 4</t>
        </is>
      </c>
      <c r="I4684" s="12" t="inlineStr">
        <is>
          <t>Instrumentation</t>
        </is>
      </c>
      <c r="J4684" s="12" t="inlineStr">
        <is>
          <t>RTD cable, #18 shielded triads, PLTC</t>
        </is>
      </c>
      <c r="K4684" s="12" t="inlineStr">
        <is>
          <t>RTD|1 tri|18</t>
        </is>
      </c>
      <c r="L4684" s="12" t="inlineStr">
        <is>
          <t>1 tri</t>
        </is>
      </c>
      <c r="M4684" s="12" t="inlineStr">
        <is>
          <t>18</t>
        </is>
      </c>
      <c r="N4684" s="12" t="n">
        <v>10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I-I-0323</t>
        </is>
      </c>
      <c r="B4685" s="12" t="inlineStr">
        <is>
          <t>I</t>
        </is>
      </c>
      <c r="C4685" s="12" t="inlineStr">
        <is>
          <t>Modular / portable power</t>
        </is>
      </c>
      <c r="D4685" s="12" t="inlineStr">
        <is>
          <t>Home run JB-RICE-4-RTD01 to the control / marshalling room</t>
        </is>
      </c>
      <c r="E4685" s="12" t="inlineStr"/>
      <c r="F4685" s="12" t="inlineStr">
        <is>
          <t>PCM: power control module</t>
        </is>
      </c>
      <c r="G4685" s="12" t="inlineStr">
        <is>
          <t>JB-RICE-4-RTD01</t>
        </is>
      </c>
      <c r="H4685" s="12" t="inlineStr">
        <is>
          <t>RICE engine-generator 4</t>
        </is>
      </c>
      <c r="I4685" s="12" t="inlineStr">
        <is>
          <t>Instrumentation</t>
        </is>
      </c>
      <c r="J4685" s="12" t="inlineStr">
        <is>
          <t>RTD cable, #18 shielded triads, PLTC</t>
        </is>
      </c>
      <c r="K4685" s="12" t="inlineStr">
        <is>
          <t>RTD|12 tri|18</t>
        </is>
      </c>
      <c r="L4685" s="12" t="inlineStr">
        <is>
          <t>12 tri</t>
        </is>
      </c>
      <c r="M4685" s="12" t="inlineStr">
        <is>
          <t>18</t>
        </is>
      </c>
      <c r="N4685" s="12" t="n">
        <v>1</v>
      </c>
      <c r="O4685" s="12" t="n">
        <v>1</v>
      </c>
      <c r="P4685" s="12" t="n"/>
      <c r="Q4685" s="12" t="n"/>
      <c r="R4685" s="12" t="n"/>
      <c r="S4685" s="12" t="inlineStr">
        <is>
          <t>Duct bank</t>
        </is>
      </c>
      <c r="T4685" s="16" t="n">
        <v>550</v>
      </c>
      <c r="U4685" s="16" t="n">
        <v>53</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I-I-0324</t>
        </is>
      </c>
      <c r="B4686" s="12" t="inlineStr">
        <is>
          <t>I</t>
        </is>
      </c>
      <c r="C4686" s="12" t="inlineStr">
        <is>
          <t>Modular / portable power</t>
        </is>
      </c>
      <c r="D4686" s="12" t="inlineStr">
        <is>
          <t>RTD to JB JB-RICE-4-RTD02: 2 x 1 tri (field cables)</t>
        </is>
      </c>
      <c r="E4686" s="12" t="inlineStr">
        <is>
          <t>RICE-4</t>
        </is>
      </c>
      <c r="F4686" s="12" t="inlineStr">
        <is>
          <t>RICE engine-generator 4</t>
        </is>
      </c>
      <c r="G4686" s="12" t="inlineStr">
        <is>
          <t>JB-RICE-4-RTD02</t>
        </is>
      </c>
      <c r="H4686" s="12" t="inlineStr">
        <is>
          <t>RICE engine-generator 4</t>
        </is>
      </c>
      <c r="I4686" s="12" t="inlineStr">
        <is>
          <t>Instrumentation</t>
        </is>
      </c>
      <c r="J4686" s="12" t="inlineStr">
        <is>
          <t>RTD cable, #18 shielded triads, PLTC</t>
        </is>
      </c>
      <c r="K4686" s="12" t="inlineStr">
        <is>
          <t>RTD|1 tri|18</t>
        </is>
      </c>
      <c r="L4686" s="12" t="inlineStr">
        <is>
          <t>1 tri</t>
        </is>
      </c>
      <c r="M4686" s="12" t="inlineStr">
        <is>
          <t>18</t>
        </is>
      </c>
      <c r="N4686" s="12" t="n">
        <v>2</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I-I-0325</t>
        </is>
      </c>
      <c r="B4687" s="12" t="inlineStr">
        <is>
          <t>I</t>
        </is>
      </c>
      <c r="C4687" s="12" t="inlineStr">
        <is>
          <t>Modular / portable power</t>
        </is>
      </c>
      <c r="D4687" s="12" t="inlineStr">
        <is>
          <t>Home run JB-RICE-4-RTD02 to the control / marshalling room</t>
        </is>
      </c>
      <c r="E4687" s="12" t="inlineStr"/>
      <c r="F4687" s="12" t="inlineStr">
        <is>
          <t>PCM: power control module</t>
        </is>
      </c>
      <c r="G4687" s="12" t="inlineStr">
        <is>
          <t>JB-RICE-4-RTD02</t>
        </is>
      </c>
      <c r="H4687" s="12" t="inlineStr">
        <is>
          <t>RICE engine-generator 4</t>
        </is>
      </c>
      <c r="I4687" s="12" t="inlineStr">
        <is>
          <t>Instrumentation</t>
        </is>
      </c>
      <c r="J4687" s="12" t="inlineStr">
        <is>
          <t>RTD cable, #18 shielded triads, PLTC</t>
        </is>
      </c>
      <c r="K4687" s="12" t="inlineStr">
        <is>
          <t>RTD|12 tri|18</t>
        </is>
      </c>
      <c r="L4687" s="12" t="inlineStr">
        <is>
          <t>12 tri</t>
        </is>
      </c>
      <c r="M4687" s="12" t="inlineStr">
        <is>
          <t>18</t>
        </is>
      </c>
      <c r="N4687" s="12" t="n">
        <v>1</v>
      </c>
      <c r="O4687" s="12" t="n">
        <v>1</v>
      </c>
      <c r="P4687" s="12" t="n"/>
      <c r="Q4687" s="12" t="n"/>
      <c r="R4687" s="12" t="n"/>
      <c r="S4687" s="12" t="inlineStr">
        <is>
          <t>Duct bank</t>
        </is>
      </c>
      <c r="T4687" s="16" t="n">
        <v>550</v>
      </c>
      <c r="U4687" s="16" t="n">
        <v>53</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I-I-0326</t>
        </is>
      </c>
      <c r="B4688" s="12" t="inlineStr">
        <is>
          <t>I</t>
        </is>
      </c>
      <c r="C4688" s="12" t="inlineStr">
        <is>
          <t>Modular / portable power</t>
        </is>
      </c>
      <c r="D4688" s="12" t="inlineStr">
        <is>
          <t>Analog instrument to JB JB-RICE-5-AI01: 20 x 1 pr (field cables)</t>
        </is>
      </c>
      <c r="E4688" s="12" t="inlineStr">
        <is>
          <t>RICE-5</t>
        </is>
      </c>
      <c r="F4688" s="12" t="inlineStr">
        <is>
          <t>RICE engine-generator 5</t>
        </is>
      </c>
      <c r="G4688" s="12" t="inlineStr">
        <is>
          <t>JB-RICE-5-AI01</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I-I-0327</t>
        </is>
      </c>
      <c r="B4689" s="12" t="inlineStr">
        <is>
          <t>I</t>
        </is>
      </c>
      <c r="C4689" s="12" t="inlineStr">
        <is>
          <t>Modular / portable power</t>
        </is>
      </c>
      <c r="D4689" s="12" t="inlineStr">
        <is>
          <t>Home run JB-RICE-5-AI01 to the control / marshalling room</t>
        </is>
      </c>
      <c r="E4689" s="12" t="inlineStr"/>
      <c r="F4689" s="12" t="inlineStr">
        <is>
          <t>PCM: power control module</t>
        </is>
      </c>
      <c r="G4689" s="12" t="inlineStr">
        <is>
          <t>JB-RICE-5-AI01</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I-I-0328</t>
        </is>
      </c>
      <c r="B4690" s="12" t="inlineStr">
        <is>
          <t>I</t>
        </is>
      </c>
      <c r="C4690" s="12" t="inlineStr">
        <is>
          <t>Modular / portable power</t>
        </is>
      </c>
      <c r="D4690" s="12" t="inlineStr">
        <is>
          <t>Analog instrument to JB JB-RICE-5-AI02: 20 x 1 pr (field cables)</t>
        </is>
      </c>
      <c r="E4690" s="12" t="inlineStr">
        <is>
          <t>RICE-5</t>
        </is>
      </c>
      <c r="F4690" s="12" t="inlineStr">
        <is>
          <t>RICE engine-generator 5</t>
        </is>
      </c>
      <c r="G4690" s="12" t="inlineStr">
        <is>
          <t>JB-RICE-5-AI02</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I-I-0329</t>
        </is>
      </c>
      <c r="B4691" s="12" t="inlineStr">
        <is>
          <t>I</t>
        </is>
      </c>
      <c r="C4691" s="12" t="inlineStr">
        <is>
          <t>Modular / portable power</t>
        </is>
      </c>
      <c r="D4691" s="12" t="inlineStr">
        <is>
          <t>Home run JB-RICE-5-AI02 to the control / marshalling room</t>
        </is>
      </c>
      <c r="E4691" s="12" t="inlineStr"/>
      <c r="F4691" s="12" t="inlineStr">
        <is>
          <t>PCM: power control module</t>
        </is>
      </c>
      <c r="G4691" s="12" t="inlineStr">
        <is>
          <t>JB-RICE-5-AI02</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I-I-0330</t>
        </is>
      </c>
      <c r="B4692" s="12" t="inlineStr">
        <is>
          <t>I</t>
        </is>
      </c>
      <c r="C4692" s="12" t="inlineStr">
        <is>
          <t>Modular / portable power</t>
        </is>
      </c>
      <c r="D4692" s="12" t="inlineStr">
        <is>
          <t>Analog instrument to JB JB-RICE-5-AI03: 20 x 1 pr (field cables)</t>
        </is>
      </c>
      <c r="E4692" s="12" t="inlineStr">
        <is>
          <t>RICE-5</t>
        </is>
      </c>
      <c r="F4692" s="12" t="inlineStr">
        <is>
          <t>RICE engine-generator 5</t>
        </is>
      </c>
      <c r="G4692" s="12" t="inlineStr">
        <is>
          <t>JB-RICE-5-AI03</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I-I-0331</t>
        </is>
      </c>
      <c r="B4693" s="12" t="inlineStr">
        <is>
          <t>I</t>
        </is>
      </c>
      <c r="C4693" s="12" t="inlineStr">
        <is>
          <t>Modular / portable power</t>
        </is>
      </c>
      <c r="D4693" s="12" t="inlineStr">
        <is>
          <t>Home run JB-RICE-5-AI03 to the control / marshalling room</t>
        </is>
      </c>
      <c r="E4693" s="12" t="inlineStr"/>
      <c r="F4693" s="12" t="inlineStr">
        <is>
          <t>PCM: power control module</t>
        </is>
      </c>
      <c r="G4693" s="12" t="inlineStr">
        <is>
          <t>JB-RICE-5-AI03</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I-I-0332</t>
        </is>
      </c>
      <c r="B4694" s="12" t="inlineStr">
        <is>
          <t>I</t>
        </is>
      </c>
      <c r="C4694" s="12" t="inlineStr">
        <is>
          <t>Modular / portable power</t>
        </is>
      </c>
      <c r="D4694" s="12" t="inlineStr">
        <is>
          <t>Analog instrument to JB JB-RICE-5-AI04: 20 x 1 pr (field cables)</t>
        </is>
      </c>
      <c r="E4694" s="12" t="inlineStr">
        <is>
          <t>RICE-5</t>
        </is>
      </c>
      <c r="F4694" s="12" t="inlineStr">
        <is>
          <t>RICE engine-generator 5</t>
        </is>
      </c>
      <c r="G4694" s="12" t="inlineStr">
        <is>
          <t>JB-RICE-5-AI04</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I-I-0333</t>
        </is>
      </c>
      <c r="B4695" s="12" t="inlineStr">
        <is>
          <t>I</t>
        </is>
      </c>
      <c r="C4695" s="12" t="inlineStr">
        <is>
          <t>Modular / portable power</t>
        </is>
      </c>
      <c r="D4695" s="12" t="inlineStr">
        <is>
          <t>Home run JB-RICE-5-AI04 to the control / marshalling room</t>
        </is>
      </c>
      <c r="E4695" s="12" t="inlineStr"/>
      <c r="F4695" s="12" t="inlineStr">
        <is>
          <t>PCM: power control module</t>
        </is>
      </c>
      <c r="G4695" s="12" t="inlineStr">
        <is>
          <t>JB-RICE-5-AI04</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I-I-0334</t>
        </is>
      </c>
      <c r="B4696" s="12" t="inlineStr">
        <is>
          <t>I</t>
        </is>
      </c>
      <c r="C4696" s="12" t="inlineStr">
        <is>
          <t>Modular / portable power</t>
        </is>
      </c>
      <c r="D4696" s="12" t="inlineStr">
        <is>
          <t>Discrete device to JB JB-RICE-5-DI01: 20 x 1 pr (field cables)</t>
        </is>
      </c>
      <c r="E4696" s="12" t="inlineStr">
        <is>
          <t>RICE-5</t>
        </is>
      </c>
      <c r="F4696" s="12" t="inlineStr">
        <is>
          <t>RICE engine-generator 5</t>
        </is>
      </c>
      <c r="G4696" s="12" t="inlineStr">
        <is>
          <t>JB-RICE-5-DI01</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I-I-0335</t>
        </is>
      </c>
      <c r="B4697" s="12" t="inlineStr">
        <is>
          <t>I</t>
        </is>
      </c>
      <c r="C4697" s="12" t="inlineStr">
        <is>
          <t>Modular / portable power</t>
        </is>
      </c>
      <c r="D4697" s="12" t="inlineStr">
        <is>
          <t>Home run JB-RICE-5-DI01 to the control / marshalling room</t>
        </is>
      </c>
      <c r="E4697" s="12" t="inlineStr"/>
      <c r="F4697" s="12" t="inlineStr">
        <is>
          <t>PCM: power control module</t>
        </is>
      </c>
      <c r="G4697" s="12" t="inlineStr">
        <is>
          <t>JB-RICE-5-DI01</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I-I-0336</t>
        </is>
      </c>
      <c r="B4698" s="12" t="inlineStr">
        <is>
          <t>I</t>
        </is>
      </c>
      <c r="C4698" s="12" t="inlineStr">
        <is>
          <t>Modular / portable power</t>
        </is>
      </c>
      <c r="D4698" s="12" t="inlineStr">
        <is>
          <t>Discrete device to JB JB-RICE-5-DI02: 20 x 1 pr (field cables)</t>
        </is>
      </c>
      <c r="E4698" s="12" t="inlineStr">
        <is>
          <t>RICE-5</t>
        </is>
      </c>
      <c r="F4698" s="12" t="inlineStr">
        <is>
          <t>RICE engine-generator 5</t>
        </is>
      </c>
      <c r="G4698" s="12" t="inlineStr">
        <is>
          <t>JB-RICE-5-DI02</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I-I-0337</t>
        </is>
      </c>
      <c r="B4699" s="12" t="inlineStr">
        <is>
          <t>I</t>
        </is>
      </c>
      <c r="C4699" s="12" t="inlineStr">
        <is>
          <t>Modular / portable power</t>
        </is>
      </c>
      <c r="D4699" s="12" t="inlineStr">
        <is>
          <t>Home run JB-RICE-5-DI02 to the control / marshalling room</t>
        </is>
      </c>
      <c r="E4699" s="12" t="inlineStr"/>
      <c r="F4699" s="12" t="inlineStr">
        <is>
          <t>PCM: power control module</t>
        </is>
      </c>
      <c r="G4699" s="12" t="inlineStr">
        <is>
          <t>JB-RICE-5-DI02</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I-I-0338</t>
        </is>
      </c>
      <c r="B4700" s="12" t="inlineStr">
        <is>
          <t>I</t>
        </is>
      </c>
      <c r="C4700" s="12" t="inlineStr">
        <is>
          <t>Modular / portable power</t>
        </is>
      </c>
      <c r="D4700" s="12" t="inlineStr">
        <is>
          <t>Discrete device to JB JB-RICE-5-DI03: 20 x 1 pr (field cables)</t>
        </is>
      </c>
      <c r="E4700" s="12" t="inlineStr">
        <is>
          <t>RICE-5</t>
        </is>
      </c>
      <c r="F4700" s="12" t="inlineStr">
        <is>
          <t>RICE engine-generator 5</t>
        </is>
      </c>
      <c r="G4700" s="12" t="inlineStr">
        <is>
          <t>JB-RICE-5-DI03</t>
        </is>
      </c>
      <c r="H4700" s="12" t="inlineStr">
        <is>
          <t>RICE engine-generator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I-I-0339</t>
        </is>
      </c>
      <c r="B4701" s="12" t="inlineStr">
        <is>
          <t>I</t>
        </is>
      </c>
      <c r="C4701" s="12" t="inlineStr">
        <is>
          <t>Modular / portable power</t>
        </is>
      </c>
      <c r="D4701" s="12" t="inlineStr">
        <is>
          <t>Home run JB-RICE-5-DI03 to the control / marshalling room</t>
        </is>
      </c>
      <c r="E4701" s="12" t="inlineStr"/>
      <c r="F4701" s="12" t="inlineStr">
        <is>
          <t>PCM: power control module</t>
        </is>
      </c>
      <c r="G4701" s="12" t="inlineStr">
        <is>
          <t>JB-RICE-5-DI03</t>
        </is>
      </c>
      <c r="H4701" s="12" t="inlineStr">
        <is>
          <t>RICE engine-generator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I-I-0340</t>
        </is>
      </c>
      <c r="B4702" s="12" t="inlineStr">
        <is>
          <t>I</t>
        </is>
      </c>
      <c r="C4702" s="12" t="inlineStr">
        <is>
          <t>Modular / portable power</t>
        </is>
      </c>
      <c r="D4702" s="12" t="inlineStr">
        <is>
          <t>Thermocouple to TC JB JB-RICE-5-TC01: 20 x 1 pr (field cables)</t>
        </is>
      </c>
      <c r="E4702" s="12" t="inlineStr">
        <is>
          <t>RICE-5</t>
        </is>
      </c>
      <c r="F4702" s="12" t="inlineStr">
        <is>
          <t>RICE engine-generator 5</t>
        </is>
      </c>
      <c r="G4702" s="12" t="inlineStr">
        <is>
          <t>JB-RICE-5-TC01</t>
        </is>
      </c>
      <c r="H4702" s="12" t="inlineStr">
        <is>
          <t>RICE engine-generator 5</t>
        </is>
      </c>
      <c r="I4702" s="12" t="inlineStr">
        <is>
          <t>Instrumentation</t>
        </is>
      </c>
      <c r="J4702" s="12" t="inlineStr">
        <is>
          <t>Thermocouple extension KX, #16 shielded pairs, PLTC</t>
        </is>
      </c>
      <c r="K4702" s="12" t="inlineStr">
        <is>
          <t>TCX|1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I-I-0341</t>
        </is>
      </c>
      <c r="B4703" s="12" t="inlineStr">
        <is>
          <t>I</t>
        </is>
      </c>
      <c r="C4703" s="12" t="inlineStr">
        <is>
          <t>Modular / portable power</t>
        </is>
      </c>
      <c r="D4703" s="12" t="inlineStr">
        <is>
          <t>Home run JB-RICE-5-TC01 to the control / marshalling room</t>
        </is>
      </c>
      <c r="E4703" s="12" t="inlineStr"/>
      <c r="F4703" s="12" t="inlineStr">
        <is>
          <t>PCM: power control module</t>
        </is>
      </c>
      <c r="G4703" s="12" t="inlineStr">
        <is>
          <t>JB-RICE-5-TC01</t>
        </is>
      </c>
      <c r="H4703" s="12" t="inlineStr">
        <is>
          <t>RICE engine-generator 5</t>
        </is>
      </c>
      <c r="I4703" s="12" t="inlineStr">
        <is>
          <t>Instrumentation</t>
        </is>
      </c>
      <c r="J4703" s="12" t="inlineStr">
        <is>
          <t>Thermocouple extension KX, #16 shielded pairs, PLTC</t>
        </is>
      </c>
      <c r="K4703" s="12" t="inlineStr">
        <is>
          <t>TCX|24 pr|16</t>
        </is>
      </c>
      <c r="L4703" s="12" t="inlineStr">
        <is>
          <t>24 pr</t>
        </is>
      </c>
      <c r="M4703" s="12" t="inlineStr">
        <is>
          <t>16</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I-I-0342</t>
        </is>
      </c>
      <c r="B4704" s="12" t="inlineStr">
        <is>
          <t>I</t>
        </is>
      </c>
      <c r="C4704" s="12" t="inlineStr">
        <is>
          <t>Modular / portable power</t>
        </is>
      </c>
      <c r="D4704" s="12" t="inlineStr">
        <is>
          <t>Thermocouple to TC JB JB-RICE-5-TC02: 10 x 1 pr (field cables)</t>
        </is>
      </c>
      <c r="E4704" s="12" t="inlineStr">
        <is>
          <t>RICE-5</t>
        </is>
      </c>
      <c r="F4704" s="12" t="inlineStr">
        <is>
          <t>RICE engine-generator 5</t>
        </is>
      </c>
      <c r="G4704" s="12" t="inlineStr">
        <is>
          <t>JB-RICE-5-TC02</t>
        </is>
      </c>
      <c r="H4704" s="12" t="inlineStr">
        <is>
          <t>RICE engine-generator 5</t>
        </is>
      </c>
      <c r="I4704" s="12" t="inlineStr">
        <is>
          <t>Instrumentation</t>
        </is>
      </c>
      <c r="J4704" s="12" t="inlineStr">
        <is>
          <t>Thermocouple extension KX, #16 shielded pairs, PLTC</t>
        </is>
      </c>
      <c r="K4704" s="12" t="inlineStr">
        <is>
          <t>TCX|1 pr|16</t>
        </is>
      </c>
      <c r="L4704" s="12" t="inlineStr">
        <is>
          <t>1 pr</t>
        </is>
      </c>
      <c r="M4704" s="12" t="inlineStr">
        <is>
          <t>16</t>
        </is>
      </c>
      <c r="N4704" s="12" t="n">
        <v>10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I-I-0343</t>
        </is>
      </c>
      <c r="B4705" s="12" t="inlineStr">
        <is>
          <t>I</t>
        </is>
      </c>
      <c r="C4705" s="12" t="inlineStr">
        <is>
          <t>Modular / portable power</t>
        </is>
      </c>
      <c r="D4705" s="12" t="inlineStr">
        <is>
          <t>Home run JB-RICE-5-TC02 to the control / marshalling room</t>
        </is>
      </c>
      <c r="E4705" s="12" t="inlineStr"/>
      <c r="F4705" s="12" t="inlineStr">
        <is>
          <t>PCM: power control module</t>
        </is>
      </c>
      <c r="G4705" s="12" t="inlineStr">
        <is>
          <t>JB-RICE-5-TC02</t>
        </is>
      </c>
      <c r="H4705" s="12" t="inlineStr">
        <is>
          <t>RICE engine-generator 5</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I-I-0344</t>
        </is>
      </c>
      <c r="B4706" s="12" t="inlineStr">
        <is>
          <t>I</t>
        </is>
      </c>
      <c r="C4706" s="12" t="inlineStr">
        <is>
          <t>Modular / portable power</t>
        </is>
      </c>
      <c r="D4706" s="12" t="inlineStr">
        <is>
          <t>RTD to JB JB-RICE-5-RTD01: 10 x 1 tri (field cables)</t>
        </is>
      </c>
      <c r="E4706" s="12" t="inlineStr">
        <is>
          <t>RICE-5</t>
        </is>
      </c>
      <c r="F4706" s="12" t="inlineStr">
        <is>
          <t>RICE engine-generator 5</t>
        </is>
      </c>
      <c r="G4706" s="12" t="inlineStr">
        <is>
          <t>JB-RICE-5-RTD01</t>
        </is>
      </c>
      <c r="H4706" s="12" t="inlineStr">
        <is>
          <t>RICE engine-generator 5</t>
        </is>
      </c>
      <c r="I4706" s="12" t="inlineStr">
        <is>
          <t>Instrumentation</t>
        </is>
      </c>
      <c r="J4706" s="12" t="inlineStr">
        <is>
          <t>RTD cable, #18 shielded triads, PLTC</t>
        </is>
      </c>
      <c r="K4706" s="12" t="inlineStr">
        <is>
          <t>RTD|1 tri|18</t>
        </is>
      </c>
      <c r="L4706" s="12" t="inlineStr">
        <is>
          <t>1 tri</t>
        </is>
      </c>
      <c r="M4706" s="12" t="inlineStr">
        <is>
          <t>18</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I-I-0345</t>
        </is>
      </c>
      <c r="B4707" s="12" t="inlineStr">
        <is>
          <t>I</t>
        </is>
      </c>
      <c r="C4707" s="12" t="inlineStr">
        <is>
          <t>Modular / portable power</t>
        </is>
      </c>
      <c r="D4707" s="12" t="inlineStr">
        <is>
          <t>Home run JB-RICE-5-RTD01 to the control / marshalling room</t>
        </is>
      </c>
      <c r="E4707" s="12" t="inlineStr"/>
      <c r="F4707" s="12" t="inlineStr">
        <is>
          <t>PCM: power control module</t>
        </is>
      </c>
      <c r="G4707" s="12" t="inlineStr">
        <is>
          <t>JB-RICE-5-RTD01</t>
        </is>
      </c>
      <c r="H4707" s="12" t="inlineStr">
        <is>
          <t>RICE engine-generator 5</t>
        </is>
      </c>
      <c r="I4707" s="12" t="inlineStr">
        <is>
          <t>Instrumentation</t>
        </is>
      </c>
      <c r="J4707" s="12" t="inlineStr">
        <is>
          <t>RTD cable, #18 shielded triads, PLTC</t>
        </is>
      </c>
      <c r="K4707" s="12" t="inlineStr">
        <is>
          <t>RTD|12 tri|18</t>
        </is>
      </c>
      <c r="L4707" s="12" t="inlineStr">
        <is>
          <t>12 tri</t>
        </is>
      </c>
      <c r="M4707" s="12" t="inlineStr">
        <is>
          <t>18</t>
        </is>
      </c>
      <c r="N4707" s="12" t="n">
        <v>1</v>
      </c>
      <c r="O4707" s="12" t="n">
        <v>1</v>
      </c>
      <c r="P4707" s="12" t="n"/>
      <c r="Q4707" s="12" t="n"/>
      <c r="R4707" s="12" t="n"/>
      <c r="S4707" s="12" t="inlineStr">
        <is>
          <t>Duct bank</t>
        </is>
      </c>
      <c r="T4707" s="16" t="n">
        <v>367</v>
      </c>
      <c r="U4707" s="16" t="n">
        <v>208</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I-I-0346</t>
        </is>
      </c>
      <c r="B4708" s="12" t="inlineStr">
        <is>
          <t>I</t>
        </is>
      </c>
      <c r="C4708" s="12" t="inlineStr">
        <is>
          <t>Modular / portable power</t>
        </is>
      </c>
      <c r="D4708" s="12" t="inlineStr">
        <is>
          <t>RTD to JB JB-RICE-5-RTD02: 2 x 1 tri (field cables)</t>
        </is>
      </c>
      <c r="E4708" s="12" t="inlineStr">
        <is>
          <t>RICE-5</t>
        </is>
      </c>
      <c r="F4708" s="12" t="inlineStr">
        <is>
          <t>RICE engine-generator 5</t>
        </is>
      </c>
      <c r="G4708" s="12" t="inlineStr">
        <is>
          <t>JB-RICE-5-RTD02</t>
        </is>
      </c>
      <c r="H4708" s="12" t="inlineStr">
        <is>
          <t>RICE engine-generator 5</t>
        </is>
      </c>
      <c r="I4708" s="12" t="inlineStr">
        <is>
          <t>Instrumentation</t>
        </is>
      </c>
      <c r="J4708" s="12" t="inlineStr">
        <is>
          <t>RTD cable, #18 shielded triads, PLTC</t>
        </is>
      </c>
      <c r="K4708" s="12" t="inlineStr">
        <is>
          <t>RTD|1 tri|18</t>
        </is>
      </c>
      <c r="L4708" s="12" t="inlineStr">
        <is>
          <t>1 tri</t>
        </is>
      </c>
      <c r="M4708" s="12" t="inlineStr">
        <is>
          <t>18</t>
        </is>
      </c>
      <c r="N4708" s="12" t="n">
        <v>2</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I-I-0347</t>
        </is>
      </c>
      <c r="B4709" s="12" t="inlineStr">
        <is>
          <t>I</t>
        </is>
      </c>
      <c r="C4709" s="12" t="inlineStr">
        <is>
          <t>Modular / portable power</t>
        </is>
      </c>
      <c r="D4709" s="12" t="inlineStr">
        <is>
          <t>Home run JB-RICE-5-RTD02 to the control / marshalling room</t>
        </is>
      </c>
      <c r="E4709" s="12" t="inlineStr"/>
      <c r="F4709" s="12" t="inlineStr">
        <is>
          <t>PCM: power control module</t>
        </is>
      </c>
      <c r="G4709" s="12" t="inlineStr">
        <is>
          <t>JB-RICE-5-RTD02</t>
        </is>
      </c>
      <c r="H4709" s="12" t="inlineStr">
        <is>
          <t>RICE engine-generator 5</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Duct bank</t>
        </is>
      </c>
      <c r="T4709" s="16" t="n">
        <v>367</v>
      </c>
      <c r="U4709" s="16" t="n">
        <v>208</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I-I-0348</t>
        </is>
      </c>
      <c r="B4710" s="12" t="inlineStr">
        <is>
          <t>I</t>
        </is>
      </c>
      <c r="C4710" s="12" t="inlineStr">
        <is>
          <t>Modular / portable power</t>
        </is>
      </c>
      <c r="D4710" s="12" t="inlineStr">
        <is>
          <t>Analog instrument to JB JB-RICE-6-AI01: 20 x 1 pr (field cables)</t>
        </is>
      </c>
      <c r="E4710" s="12" t="inlineStr">
        <is>
          <t>RICE-6</t>
        </is>
      </c>
      <c r="F4710" s="12" t="inlineStr">
        <is>
          <t>RICE engine-generator 6</t>
        </is>
      </c>
      <c r="G4710" s="12" t="inlineStr">
        <is>
          <t>JB-RICE-6-AI01</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I-I-0349</t>
        </is>
      </c>
      <c r="B4711" s="12" t="inlineStr">
        <is>
          <t>I</t>
        </is>
      </c>
      <c r="C4711" s="12" t="inlineStr">
        <is>
          <t>Modular / portable power</t>
        </is>
      </c>
      <c r="D4711" s="12" t="inlineStr">
        <is>
          <t>Home run JB-RICE-6-AI01 to the control / marshalling room</t>
        </is>
      </c>
      <c r="E4711" s="12" t="inlineStr"/>
      <c r="F4711" s="12" t="inlineStr">
        <is>
          <t>PCM: power control module</t>
        </is>
      </c>
      <c r="G4711" s="12" t="inlineStr">
        <is>
          <t>JB-RICE-6-AI01</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I-I-0350</t>
        </is>
      </c>
      <c r="B4712" s="12" t="inlineStr">
        <is>
          <t>I</t>
        </is>
      </c>
      <c r="C4712" s="12" t="inlineStr">
        <is>
          <t>Modular / portable power</t>
        </is>
      </c>
      <c r="D4712" s="12" t="inlineStr">
        <is>
          <t>Analog instrument to JB JB-RICE-6-AI02: 20 x 1 pr (field cables)</t>
        </is>
      </c>
      <c r="E4712" s="12" t="inlineStr">
        <is>
          <t>RICE-6</t>
        </is>
      </c>
      <c r="F4712" s="12" t="inlineStr">
        <is>
          <t>RICE engine-generator 6</t>
        </is>
      </c>
      <c r="G4712" s="12" t="inlineStr">
        <is>
          <t>JB-RICE-6-AI02</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I-I-0351</t>
        </is>
      </c>
      <c r="B4713" s="12" t="inlineStr">
        <is>
          <t>I</t>
        </is>
      </c>
      <c r="C4713" s="12" t="inlineStr">
        <is>
          <t>Modular / portable power</t>
        </is>
      </c>
      <c r="D4713" s="12" t="inlineStr">
        <is>
          <t>Home run JB-RICE-6-AI02 to the control / marshalling room</t>
        </is>
      </c>
      <c r="E4713" s="12" t="inlineStr"/>
      <c r="F4713" s="12" t="inlineStr">
        <is>
          <t>PCM: power control module</t>
        </is>
      </c>
      <c r="G4713" s="12" t="inlineStr">
        <is>
          <t>JB-RICE-6-AI02</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I-I-0352</t>
        </is>
      </c>
      <c r="B4714" s="12" t="inlineStr">
        <is>
          <t>I</t>
        </is>
      </c>
      <c r="C4714" s="12" t="inlineStr">
        <is>
          <t>Modular / portable power</t>
        </is>
      </c>
      <c r="D4714" s="12" t="inlineStr">
        <is>
          <t>Analog instrument to JB JB-RICE-6-AI03: 20 x 1 pr (field cables)</t>
        </is>
      </c>
      <c r="E4714" s="12" t="inlineStr">
        <is>
          <t>RICE-6</t>
        </is>
      </c>
      <c r="F4714" s="12" t="inlineStr">
        <is>
          <t>RICE engine-generator 6</t>
        </is>
      </c>
      <c r="G4714" s="12" t="inlineStr">
        <is>
          <t>JB-RICE-6-AI03</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I-I-0353</t>
        </is>
      </c>
      <c r="B4715" s="12" t="inlineStr">
        <is>
          <t>I</t>
        </is>
      </c>
      <c r="C4715" s="12" t="inlineStr">
        <is>
          <t>Modular / portable power</t>
        </is>
      </c>
      <c r="D4715" s="12" t="inlineStr">
        <is>
          <t>Home run JB-RICE-6-AI03 to the control / marshalling room</t>
        </is>
      </c>
      <c r="E4715" s="12" t="inlineStr"/>
      <c r="F4715" s="12" t="inlineStr">
        <is>
          <t>PCM: power control module</t>
        </is>
      </c>
      <c r="G4715" s="12" t="inlineStr">
        <is>
          <t>JB-RICE-6-AI03</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I-I-0354</t>
        </is>
      </c>
      <c r="B4716" s="12" t="inlineStr">
        <is>
          <t>I</t>
        </is>
      </c>
      <c r="C4716" s="12" t="inlineStr">
        <is>
          <t>Modular / portable power</t>
        </is>
      </c>
      <c r="D4716" s="12" t="inlineStr">
        <is>
          <t>Analog instrument to JB JB-RICE-6-AI04: 20 x 1 pr (field cables)</t>
        </is>
      </c>
      <c r="E4716" s="12" t="inlineStr">
        <is>
          <t>RICE-6</t>
        </is>
      </c>
      <c r="F4716" s="12" t="inlineStr">
        <is>
          <t>RICE engine-generator 6</t>
        </is>
      </c>
      <c r="G4716" s="12" t="inlineStr">
        <is>
          <t>JB-RICE-6-AI04</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I-I-0355</t>
        </is>
      </c>
      <c r="B4717" s="12" t="inlineStr">
        <is>
          <t>I</t>
        </is>
      </c>
      <c r="C4717" s="12" t="inlineStr">
        <is>
          <t>Modular / portable power</t>
        </is>
      </c>
      <c r="D4717" s="12" t="inlineStr">
        <is>
          <t>Home run JB-RICE-6-AI04 to the control / marshalling room</t>
        </is>
      </c>
      <c r="E4717" s="12" t="inlineStr"/>
      <c r="F4717" s="12" t="inlineStr">
        <is>
          <t>PCM: power control module</t>
        </is>
      </c>
      <c r="G4717" s="12" t="inlineStr">
        <is>
          <t>JB-RICE-6-AI04</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I-I-0356</t>
        </is>
      </c>
      <c r="B4718" s="12" t="inlineStr">
        <is>
          <t>I</t>
        </is>
      </c>
      <c r="C4718" s="12" t="inlineStr">
        <is>
          <t>Modular / portable power</t>
        </is>
      </c>
      <c r="D4718" s="12" t="inlineStr">
        <is>
          <t>Discrete device to JB JB-RICE-6-DI01: 20 x 1 pr (field cables)</t>
        </is>
      </c>
      <c r="E4718" s="12" t="inlineStr">
        <is>
          <t>RICE-6</t>
        </is>
      </c>
      <c r="F4718" s="12" t="inlineStr">
        <is>
          <t>RICE engine-generator 6</t>
        </is>
      </c>
      <c r="G4718" s="12" t="inlineStr">
        <is>
          <t>JB-RICE-6-DI01</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I-I-0357</t>
        </is>
      </c>
      <c r="B4719" s="12" t="inlineStr">
        <is>
          <t>I</t>
        </is>
      </c>
      <c r="C4719" s="12" t="inlineStr">
        <is>
          <t>Modular / portable power</t>
        </is>
      </c>
      <c r="D4719" s="12" t="inlineStr">
        <is>
          <t>Home run JB-RICE-6-DI01 to the control / marshalling room</t>
        </is>
      </c>
      <c r="E4719" s="12" t="inlineStr"/>
      <c r="F4719" s="12" t="inlineStr">
        <is>
          <t>PCM: power control module</t>
        </is>
      </c>
      <c r="G4719" s="12" t="inlineStr">
        <is>
          <t>JB-RICE-6-DI01</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I-I-0358</t>
        </is>
      </c>
      <c r="B4720" s="12" t="inlineStr">
        <is>
          <t>I</t>
        </is>
      </c>
      <c r="C4720" s="12" t="inlineStr">
        <is>
          <t>Modular / portable power</t>
        </is>
      </c>
      <c r="D4720" s="12" t="inlineStr">
        <is>
          <t>Discrete device to JB JB-RICE-6-DI02: 20 x 1 pr (field cables)</t>
        </is>
      </c>
      <c r="E4720" s="12" t="inlineStr">
        <is>
          <t>RICE-6</t>
        </is>
      </c>
      <c r="F4720" s="12" t="inlineStr">
        <is>
          <t>RICE engine-generator 6</t>
        </is>
      </c>
      <c r="G4720" s="12" t="inlineStr">
        <is>
          <t>JB-RICE-6-DI02</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I-I-0359</t>
        </is>
      </c>
      <c r="B4721" s="12" t="inlineStr">
        <is>
          <t>I</t>
        </is>
      </c>
      <c r="C4721" s="12" t="inlineStr">
        <is>
          <t>Modular / portable power</t>
        </is>
      </c>
      <c r="D4721" s="12" t="inlineStr">
        <is>
          <t>Home run JB-RICE-6-DI02 to the control / marshalling room</t>
        </is>
      </c>
      <c r="E4721" s="12" t="inlineStr"/>
      <c r="F4721" s="12" t="inlineStr">
        <is>
          <t>PCM: power control module</t>
        </is>
      </c>
      <c r="G4721" s="12" t="inlineStr">
        <is>
          <t>JB-RICE-6-DI02</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I-I-0360</t>
        </is>
      </c>
      <c r="B4722" s="12" t="inlineStr">
        <is>
          <t>I</t>
        </is>
      </c>
      <c r="C4722" s="12" t="inlineStr">
        <is>
          <t>Modular / portable power</t>
        </is>
      </c>
      <c r="D4722" s="12" t="inlineStr">
        <is>
          <t>Discrete device to JB JB-RICE-6-DI03: 20 x 1 pr (field cables)</t>
        </is>
      </c>
      <c r="E4722" s="12" t="inlineStr">
        <is>
          <t>RICE-6</t>
        </is>
      </c>
      <c r="F4722" s="12" t="inlineStr">
        <is>
          <t>RICE engine-generator 6</t>
        </is>
      </c>
      <c r="G4722" s="12" t="inlineStr">
        <is>
          <t>JB-RICE-6-DI03</t>
        </is>
      </c>
      <c r="H4722" s="12" t="inlineStr">
        <is>
          <t>RICE engine-generator 6</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I-I-0361</t>
        </is>
      </c>
      <c r="B4723" s="12" t="inlineStr">
        <is>
          <t>I</t>
        </is>
      </c>
      <c r="C4723" s="12" t="inlineStr">
        <is>
          <t>Modular / portable power</t>
        </is>
      </c>
      <c r="D4723" s="12" t="inlineStr">
        <is>
          <t>Home run JB-RICE-6-DI03 to the control / marshalling room</t>
        </is>
      </c>
      <c r="E4723" s="12" t="inlineStr"/>
      <c r="F4723" s="12" t="inlineStr">
        <is>
          <t>PCM: power control module</t>
        </is>
      </c>
      <c r="G4723" s="12" t="inlineStr">
        <is>
          <t>JB-RICE-6-DI03</t>
        </is>
      </c>
      <c r="H4723" s="12" t="inlineStr">
        <is>
          <t>RICE engine-generator 6</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I-I-0362</t>
        </is>
      </c>
      <c r="B4724" s="12" t="inlineStr">
        <is>
          <t>I</t>
        </is>
      </c>
      <c r="C4724" s="12" t="inlineStr">
        <is>
          <t>Modular / portable power</t>
        </is>
      </c>
      <c r="D4724" s="12" t="inlineStr">
        <is>
          <t>Thermocouple to TC JB JB-RICE-6-TC01: 20 x 1 pr (field cables)</t>
        </is>
      </c>
      <c r="E4724" s="12" t="inlineStr">
        <is>
          <t>RICE-6</t>
        </is>
      </c>
      <c r="F4724" s="12" t="inlineStr">
        <is>
          <t>RICE engine-generator 6</t>
        </is>
      </c>
      <c r="G4724" s="12" t="inlineStr">
        <is>
          <t>JB-RICE-6-TC01</t>
        </is>
      </c>
      <c r="H4724" s="12" t="inlineStr">
        <is>
          <t>RICE engine-generator 6</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I-I-0363</t>
        </is>
      </c>
      <c r="B4725" s="12" t="inlineStr">
        <is>
          <t>I</t>
        </is>
      </c>
      <c r="C4725" s="12" t="inlineStr">
        <is>
          <t>Modular / portable power</t>
        </is>
      </c>
      <c r="D4725" s="12" t="inlineStr">
        <is>
          <t>Home run JB-RICE-6-TC01 to the control / marshalling room</t>
        </is>
      </c>
      <c r="E4725" s="12" t="inlineStr"/>
      <c r="F4725" s="12" t="inlineStr">
        <is>
          <t>PCM: power control module</t>
        </is>
      </c>
      <c r="G4725" s="12" t="inlineStr">
        <is>
          <t>JB-RICE-6-TC01</t>
        </is>
      </c>
      <c r="H4725" s="12" t="inlineStr">
        <is>
          <t>RICE engine-generator 6</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I-I-0364</t>
        </is>
      </c>
      <c r="B4726" s="12" t="inlineStr">
        <is>
          <t>I</t>
        </is>
      </c>
      <c r="C4726" s="12" t="inlineStr">
        <is>
          <t>Modular / portable power</t>
        </is>
      </c>
      <c r="D4726" s="12" t="inlineStr">
        <is>
          <t>Thermocouple to TC JB JB-RICE-6-TC02: 10 x 1 pr (field cables)</t>
        </is>
      </c>
      <c r="E4726" s="12" t="inlineStr">
        <is>
          <t>RICE-6</t>
        </is>
      </c>
      <c r="F4726" s="12" t="inlineStr">
        <is>
          <t>RICE engine-generator 6</t>
        </is>
      </c>
      <c r="G4726" s="12" t="inlineStr">
        <is>
          <t>JB-RICE-6-TC02</t>
        </is>
      </c>
      <c r="H4726" s="12" t="inlineStr">
        <is>
          <t>RICE engine-generator 6</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I-I-0365</t>
        </is>
      </c>
      <c r="B4727" s="12" t="inlineStr">
        <is>
          <t>I</t>
        </is>
      </c>
      <c r="C4727" s="12" t="inlineStr">
        <is>
          <t>Modular / portable power</t>
        </is>
      </c>
      <c r="D4727" s="12" t="inlineStr">
        <is>
          <t>Home run JB-RICE-6-TC02 to the control / marshalling room</t>
        </is>
      </c>
      <c r="E4727" s="12" t="inlineStr"/>
      <c r="F4727" s="12" t="inlineStr">
        <is>
          <t>PCM: power control module</t>
        </is>
      </c>
      <c r="G4727" s="12" t="inlineStr">
        <is>
          <t>JB-RICE-6-TC02</t>
        </is>
      </c>
      <c r="H4727" s="12" t="inlineStr">
        <is>
          <t>RICE engine-generator 6</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I-I-0366</t>
        </is>
      </c>
      <c r="B4728" s="12" t="inlineStr">
        <is>
          <t>I</t>
        </is>
      </c>
      <c r="C4728" s="12" t="inlineStr">
        <is>
          <t>Modular / portable power</t>
        </is>
      </c>
      <c r="D4728" s="12" t="inlineStr">
        <is>
          <t>RTD to JB JB-RICE-6-RTD01: 10 x 1 tri (field cables)</t>
        </is>
      </c>
      <c r="E4728" s="12" t="inlineStr">
        <is>
          <t>RICE-6</t>
        </is>
      </c>
      <c r="F4728" s="12" t="inlineStr">
        <is>
          <t>RICE engine-generator 6</t>
        </is>
      </c>
      <c r="G4728" s="12" t="inlineStr">
        <is>
          <t>JB-RICE-6-RTD01</t>
        </is>
      </c>
      <c r="H4728" s="12" t="inlineStr">
        <is>
          <t>RICE engine-generator 6</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I-I-0367</t>
        </is>
      </c>
      <c r="B4729" s="12" t="inlineStr">
        <is>
          <t>I</t>
        </is>
      </c>
      <c r="C4729" s="12" t="inlineStr">
        <is>
          <t>Modular / portable power</t>
        </is>
      </c>
      <c r="D4729" s="12" t="inlineStr">
        <is>
          <t>Home run JB-RICE-6-RTD01 to the control / marshalling room</t>
        </is>
      </c>
      <c r="E4729" s="12" t="inlineStr"/>
      <c r="F4729" s="12" t="inlineStr">
        <is>
          <t>PCM: power control module</t>
        </is>
      </c>
      <c r="G4729" s="12" t="inlineStr">
        <is>
          <t>JB-RICE-6-RTD01</t>
        </is>
      </c>
      <c r="H4729" s="12" t="inlineStr">
        <is>
          <t>RICE engine-generator 6</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367</v>
      </c>
      <c r="U4729" s="16" t="n">
        <v>180</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I-I-0368</t>
        </is>
      </c>
      <c r="B4730" s="12" t="inlineStr">
        <is>
          <t>I</t>
        </is>
      </c>
      <c r="C4730" s="12" t="inlineStr">
        <is>
          <t>Modular / portable power</t>
        </is>
      </c>
      <c r="D4730" s="12" t="inlineStr">
        <is>
          <t>RTD to JB JB-RICE-6-RTD02: 2 x 1 tri (field cables)</t>
        </is>
      </c>
      <c r="E4730" s="12" t="inlineStr">
        <is>
          <t>RICE-6</t>
        </is>
      </c>
      <c r="F4730" s="12" t="inlineStr">
        <is>
          <t>RICE engine-generator 6</t>
        </is>
      </c>
      <c r="G4730" s="12" t="inlineStr">
        <is>
          <t>JB-RICE-6-RTD02</t>
        </is>
      </c>
      <c r="H4730" s="12" t="inlineStr">
        <is>
          <t>RICE engine-generator 6</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I-I-0369</t>
        </is>
      </c>
      <c r="B4731" s="12" t="inlineStr">
        <is>
          <t>I</t>
        </is>
      </c>
      <c r="C4731" s="12" t="inlineStr">
        <is>
          <t>Modular / portable power</t>
        </is>
      </c>
      <c r="D4731" s="12" t="inlineStr">
        <is>
          <t>Home run JB-RICE-6-RTD02 to the control / marshalling room</t>
        </is>
      </c>
      <c r="E4731" s="12" t="inlineStr"/>
      <c r="F4731" s="12" t="inlineStr">
        <is>
          <t>PCM: power control module</t>
        </is>
      </c>
      <c r="G4731" s="12" t="inlineStr">
        <is>
          <t>JB-RICE-6-RTD02</t>
        </is>
      </c>
      <c r="H4731" s="12" t="inlineStr">
        <is>
          <t>RICE engine-generator 6</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367</v>
      </c>
      <c r="U4731" s="16" t="n">
        <v>180</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I-I-0370</t>
        </is>
      </c>
      <c r="B4732" s="12" t="inlineStr">
        <is>
          <t>I</t>
        </is>
      </c>
      <c r="C4732" s="12" t="inlineStr">
        <is>
          <t>Modular / portable power</t>
        </is>
      </c>
      <c r="D4732" s="12" t="inlineStr">
        <is>
          <t>Analog instrument to JB JB-RICE-7-AI01: 20 x 1 pr (field cables)</t>
        </is>
      </c>
      <c r="E4732" s="12" t="inlineStr">
        <is>
          <t>RICE-7</t>
        </is>
      </c>
      <c r="F4732" s="12" t="inlineStr">
        <is>
          <t>RICE engine-generator 7</t>
        </is>
      </c>
      <c r="G4732" s="12" t="inlineStr">
        <is>
          <t>JB-RICE-7-AI01</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I-I-0371</t>
        </is>
      </c>
      <c r="B4733" s="12" t="inlineStr">
        <is>
          <t>I</t>
        </is>
      </c>
      <c r="C4733" s="12" t="inlineStr">
        <is>
          <t>Modular / portable power</t>
        </is>
      </c>
      <c r="D4733" s="12" t="inlineStr">
        <is>
          <t>Home run JB-RICE-7-AI01 to the control / marshalling room</t>
        </is>
      </c>
      <c r="E4733" s="12" t="inlineStr"/>
      <c r="F4733" s="12" t="inlineStr">
        <is>
          <t>PCM: power control module</t>
        </is>
      </c>
      <c r="G4733" s="12" t="inlineStr">
        <is>
          <t>JB-RICE-7-AI01</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I-I-0372</t>
        </is>
      </c>
      <c r="B4734" s="12" t="inlineStr">
        <is>
          <t>I</t>
        </is>
      </c>
      <c r="C4734" s="12" t="inlineStr">
        <is>
          <t>Modular / portable power</t>
        </is>
      </c>
      <c r="D4734" s="12" t="inlineStr">
        <is>
          <t>Analog instrument to JB JB-RICE-7-AI02: 20 x 1 pr (field cables)</t>
        </is>
      </c>
      <c r="E4734" s="12" t="inlineStr">
        <is>
          <t>RICE-7</t>
        </is>
      </c>
      <c r="F4734" s="12" t="inlineStr">
        <is>
          <t>RICE engine-generator 7</t>
        </is>
      </c>
      <c r="G4734" s="12" t="inlineStr">
        <is>
          <t>JB-RICE-7-AI02</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I-I-0373</t>
        </is>
      </c>
      <c r="B4735" s="12" t="inlineStr">
        <is>
          <t>I</t>
        </is>
      </c>
      <c r="C4735" s="12" t="inlineStr">
        <is>
          <t>Modular / portable power</t>
        </is>
      </c>
      <c r="D4735" s="12" t="inlineStr">
        <is>
          <t>Home run JB-RICE-7-AI02 to the control / marshalling room</t>
        </is>
      </c>
      <c r="E4735" s="12" t="inlineStr"/>
      <c r="F4735" s="12" t="inlineStr">
        <is>
          <t>PCM: power control module</t>
        </is>
      </c>
      <c r="G4735" s="12" t="inlineStr">
        <is>
          <t>JB-RICE-7-AI02</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I-I-0374</t>
        </is>
      </c>
      <c r="B4736" s="12" t="inlineStr">
        <is>
          <t>I</t>
        </is>
      </c>
      <c r="C4736" s="12" t="inlineStr">
        <is>
          <t>Modular / portable power</t>
        </is>
      </c>
      <c r="D4736" s="12" t="inlineStr">
        <is>
          <t>Analog instrument to JB JB-RICE-7-AI03: 20 x 1 pr (field cables)</t>
        </is>
      </c>
      <c r="E4736" s="12" t="inlineStr">
        <is>
          <t>RICE-7</t>
        </is>
      </c>
      <c r="F4736" s="12" t="inlineStr">
        <is>
          <t>RICE engine-generator 7</t>
        </is>
      </c>
      <c r="G4736" s="12" t="inlineStr">
        <is>
          <t>JB-RICE-7-AI03</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I-I-0375</t>
        </is>
      </c>
      <c r="B4737" s="12" t="inlineStr">
        <is>
          <t>I</t>
        </is>
      </c>
      <c r="C4737" s="12" t="inlineStr">
        <is>
          <t>Modular / portable power</t>
        </is>
      </c>
      <c r="D4737" s="12" t="inlineStr">
        <is>
          <t>Home run JB-RICE-7-AI03 to the control / marshalling room</t>
        </is>
      </c>
      <c r="E4737" s="12" t="inlineStr"/>
      <c r="F4737" s="12" t="inlineStr">
        <is>
          <t>PCM: power control module</t>
        </is>
      </c>
      <c r="G4737" s="12" t="inlineStr">
        <is>
          <t>JB-RICE-7-AI03</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I-I-0376</t>
        </is>
      </c>
      <c r="B4738" s="12" t="inlineStr">
        <is>
          <t>I</t>
        </is>
      </c>
      <c r="C4738" s="12" t="inlineStr">
        <is>
          <t>Modular / portable power</t>
        </is>
      </c>
      <c r="D4738" s="12" t="inlineStr">
        <is>
          <t>Analog instrument to JB JB-RICE-7-AI04: 20 x 1 pr (field cables)</t>
        </is>
      </c>
      <c r="E4738" s="12" t="inlineStr">
        <is>
          <t>RICE-7</t>
        </is>
      </c>
      <c r="F4738" s="12" t="inlineStr">
        <is>
          <t>RICE engine-generator 7</t>
        </is>
      </c>
      <c r="G4738" s="12" t="inlineStr">
        <is>
          <t>JB-RICE-7-AI04</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I-I-0377</t>
        </is>
      </c>
      <c r="B4739" s="12" t="inlineStr">
        <is>
          <t>I</t>
        </is>
      </c>
      <c r="C4739" s="12" t="inlineStr">
        <is>
          <t>Modular / portable power</t>
        </is>
      </c>
      <c r="D4739" s="12" t="inlineStr">
        <is>
          <t>Home run JB-RICE-7-AI04 to the control / marshalling room</t>
        </is>
      </c>
      <c r="E4739" s="12" t="inlineStr"/>
      <c r="F4739" s="12" t="inlineStr">
        <is>
          <t>PCM: power control module</t>
        </is>
      </c>
      <c r="G4739" s="12" t="inlineStr">
        <is>
          <t>JB-RICE-7-AI04</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I-I-0378</t>
        </is>
      </c>
      <c r="B4740" s="12" t="inlineStr">
        <is>
          <t>I</t>
        </is>
      </c>
      <c r="C4740" s="12" t="inlineStr">
        <is>
          <t>Modular / portable power</t>
        </is>
      </c>
      <c r="D4740" s="12" t="inlineStr">
        <is>
          <t>Discrete device to JB JB-RICE-7-DI01: 20 x 1 pr (field cables)</t>
        </is>
      </c>
      <c r="E4740" s="12" t="inlineStr">
        <is>
          <t>RICE-7</t>
        </is>
      </c>
      <c r="F4740" s="12" t="inlineStr">
        <is>
          <t>RICE engine-generator 7</t>
        </is>
      </c>
      <c r="G4740" s="12" t="inlineStr">
        <is>
          <t>JB-RICE-7-DI01</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I-I-0379</t>
        </is>
      </c>
      <c r="B4741" s="12" t="inlineStr">
        <is>
          <t>I</t>
        </is>
      </c>
      <c r="C4741" s="12" t="inlineStr">
        <is>
          <t>Modular / portable power</t>
        </is>
      </c>
      <c r="D4741" s="12" t="inlineStr">
        <is>
          <t>Home run JB-RICE-7-DI01 to the control / marshalling room</t>
        </is>
      </c>
      <c r="E4741" s="12" t="inlineStr"/>
      <c r="F4741" s="12" t="inlineStr">
        <is>
          <t>PCM: power control module</t>
        </is>
      </c>
      <c r="G4741" s="12" t="inlineStr">
        <is>
          <t>JB-RICE-7-DI01</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I-I-0380</t>
        </is>
      </c>
      <c r="B4742" s="12" t="inlineStr">
        <is>
          <t>I</t>
        </is>
      </c>
      <c r="C4742" s="12" t="inlineStr">
        <is>
          <t>Modular / portable power</t>
        </is>
      </c>
      <c r="D4742" s="12" t="inlineStr">
        <is>
          <t>Discrete device to JB JB-RICE-7-DI02: 20 x 1 pr (field cables)</t>
        </is>
      </c>
      <c r="E4742" s="12" t="inlineStr">
        <is>
          <t>RICE-7</t>
        </is>
      </c>
      <c r="F4742" s="12" t="inlineStr">
        <is>
          <t>RICE engine-generator 7</t>
        </is>
      </c>
      <c r="G4742" s="12" t="inlineStr">
        <is>
          <t>JB-RICE-7-DI02</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I-I-0381</t>
        </is>
      </c>
      <c r="B4743" s="12" t="inlineStr">
        <is>
          <t>I</t>
        </is>
      </c>
      <c r="C4743" s="12" t="inlineStr">
        <is>
          <t>Modular / portable power</t>
        </is>
      </c>
      <c r="D4743" s="12" t="inlineStr">
        <is>
          <t>Home run JB-RICE-7-DI02 to the control / marshalling room</t>
        </is>
      </c>
      <c r="E4743" s="12" t="inlineStr"/>
      <c r="F4743" s="12" t="inlineStr">
        <is>
          <t>PCM: power control module</t>
        </is>
      </c>
      <c r="G4743" s="12" t="inlineStr">
        <is>
          <t>JB-RICE-7-DI02</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I-I-0382</t>
        </is>
      </c>
      <c r="B4744" s="12" t="inlineStr">
        <is>
          <t>I</t>
        </is>
      </c>
      <c r="C4744" s="12" t="inlineStr">
        <is>
          <t>Modular / portable power</t>
        </is>
      </c>
      <c r="D4744" s="12" t="inlineStr">
        <is>
          <t>Discrete device to JB JB-RICE-7-DI03: 20 x 1 pr (field cables)</t>
        </is>
      </c>
      <c r="E4744" s="12" t="inlineStr">
        <is>
          <t>RICE-7</t>
        </is>
      </c>
      <c r="F4744" s="12" t="inlineStr">
        <is>
          <t>RICE engine-generator 7</t>
        </is>
      </c>
      <c r="G4744" s="12" t="inlineStr">
        <is>
          <t>JB-RICE-7-DI03</t>
        </is>
      </c>
      <c r="H4744" s="12" t="inlineStr">
        <is>
          <t>RICE engine-generator 7</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I-I-0383</t>
        </is>
      </c>
      <c r="B4745" s="12" t="inlineStr">
        <is>
          <t>I</t>
        </is>
      </c>
      <c r="C4745" s="12" t="inlineStr">
        <is>
          <t>Modular / portable power</t>
        </is>
      </c>
      <c r="D4745" s="12" t="inlineStr">
        <is>
          <t>Home run JB-RICE-7-DI03 to the control / marshalling room</t>
        </is>
      </c>
      <c r="E4745" s="12" t="inlineStr"/>
      <c r="F4745" s="12" t="inlineStr">
        <is>
          <t>PCM: power control module</t>
        </is>
      </c>
      <c r="G4745" s="12" t="inlineStr">
        <is>
          <t>JB-RICE-7-DI03</t>
        </is>
      </c>
      <c r="H4745" s="12" t="inlineStr">
        <is>
          <t>RICE engine-generator 7</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I-I-0384</t>
        </is>
      </c>
      <c r="B4746" s="12" t="inlineStr">
        <is>
          <t>I</t>
        </is>
      </c>
      <c r="C4746" s="12" t="inlineStr">
        <is>
          <t>Modular / portable power</t>
        </is>
      </c>
      <c r="D4746" s="12" t="inlineStr">
        <is>
          <t>Thermocouple to TC JB JB-RICE-7-TC01: 20 x 1 pr (field cables)</t>
        </is>
      </c>
      <c r="E4746" s="12" t="inlineStr">
        <is>
          <t>RICE-7</t>
        </is>
      </c>
      <c r="F4746" s="12" t="inlineStr">
        <is>
          <t>RICE engine-generator 7</t>
        </is>
      </c>
      <c r="G4746" s="12" t="inlineStr">
        <is>
          <t>JB-RICE-7-TC01</t>
        </is>
      </c>
      <c r="H4746" s="12" t="inlineStr">
        <is>
          <t>RICE engine-generator 7</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I-I-0385</t>
        </is>
      </c>
      <c r="B4747" s="12" t="inlineStr">
        <is>
          <t>I</t>
        </is>
      </c>
      <c r="C4747" s="12" t="inlineStr">
        <is>
          <t>Modular / portable power</t>
        </is>
      </c>
      <c r="D4747" s="12" t="inlineStr">
        <is>
          <t>Home run JB-RICE-7-TC01 to the control / marshalling room</t>
        </is>
      </c>
      <c r="E4747" s="12" t="inlineStr"/>
      <c r="F4747" s="12" t="inlineStr">
        <is>
          <t>PCM: power control module</t>
        </is>
      </c>
      <c r="G4747" s="12" t="inlineStr">
        <is>
          <t>JB-RICE-7-TC01</t>
        </is>
      </c>
      <c r="H4747" s="12" t="inlineStr">
        <is>
          <t>RICE engine-generator 7</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I-I-0386</t>
        </is>
      </c>
      <c r="B4748" s="12" t="inlineStr">
        <is>
          <t>I</t>
        </is>
      </c>
      <c r="C4748" s="12" t="inlineStr">
        <is>
          <t>Modular / portable power</t>
        </is>
      </c>
      <c r="D4748" s="12" t="inlineStr">
        <is>
          <t>Thermocouple to TC JB JB-RICE-7-TC02: 10 x 1 pr (field cables)</t>
        </is>
      </c>
      <c r="E4748" s="12" t="inlineStr">
        <is>
          <t>RICE-7</t>
        </is>
      </c>
      <c r="F4748" s="12" t="inlineStr">
        <is>
          <t>RICE engine-generator 7</t>
        </is>
      </c>
      <c r="G4748" s="12" t="inlineStr">
        <is>
          <t>JB-RICE-7-TC02</t>
        </is>
      </c>
      <c r="H4748" s="12" t="inlineStr">
        <is>
          <t>RICE engine-generator 7</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I-I-0387</t>
        </is>
      </c>
      <c r="B4749" s="12" t="inlineStr">
        <is>
          <t>I</t>
        </is>
      </c>
      <c r="C4749" s="12" t="inlineStr">
        <is>
          <t>Modular / portable power</t>
        </is>
      </c>
      <c r="D4749" s="12" t="inlineStr">
        <is>
          <t>Home run JB-RICE-7-TC02 to the control / marshalling room</t>
        </is>
      </c>
      <c r="E4749" s="12" t="inlineStr"/>
      <c r="F4749" s="12" t="inlineStr">
        <is>
          <t>PCM: power control module</t>
        </is>
      </c>
      <c r="G4749" s="12" t="inlineStr">
        <is>
          <t>JB-RICE-7-TC02</t>
        </is>
      </c>
      <c r="H4749" s="12" t="inlineStr">
        <is>
          <t>RICE engine-generator 7</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I-I-0388</t>
        </is>
      </c>
      <c r="B4750" s="12" t="inlineStr">
        <is>
          <t>I</t>
        </is>
      </c>
      <c r="C4750" s="12" t="inlineStr">
        <is>
          <t>Modular / portable power</t>
        </is>
      </c>
      <c r="D4750" s="12" t="inlineStr">
        <is>
          <t>RTD to JB JB-RICE-7-RTD01: 10 x 1 tri (field cables)</t>
        </is>
      </c>
      <c r="E4750" s="12" t="inlineStr">
        <is>
          <t>RICE-7</t>
        </is>
      </c>
      <c r="F4750" s="12" t="inlineStr">
        <is>
          <t>RICE engine-generator 7</t>
        </is>
      </c>
      <c r="G4750" s="12" t="inlineStr">
        <is>
          <t>JB-RICE-7-RTD01</t>
        </is>
      </c>
      <c r="H4750" s="12" t="inlineStr">
        <is>
          <t>RICE engine-generator 7</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I-I-0389</t>
        </is>
      </c>
      <c r="B4751" s="12" t="inlineStr">
        <is>
          <t>I</t>
        </is>
      </c>
      <c r="C4751" s="12" t="inlineStr">
        <is>
          <t>Modular / portable power</t>
        </is>
      </c>
      <c r="D4751" s="12" t="inlineStr">
        <is>
          <t>Home run JB-RICE-7-RTD01 to the control / marshalling room</t>
        </is>
      </c>
      <c r="E4751" s="12" t="inlineStr"/>
      <c r="F4751" s="12" t="inlineStr">
        <is>
          <t>PCM: power control module</t>
        </is>
      </c>
      <c r="G4751" s="12" t="inlineStr">
        <is>
          <t>JB-RICE-7-RTD01</t>
        </is>
      </c>
      <c r="H4751" s="12" t="inlineStr">
        <is>
          <t>RICE engine-generator 7</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Tray</t>
        </is>
      </c>
      <c r="T4751" s="16" t="n">
        <v>0</v>
      </c>
      <c r="U4751" s="16" t="n">
        <v>189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I-I-0390</t>
        </is>
      </c>
      <c r="B4752" s="12" t="inlineStr">
        <is>
          <t>I</t>
        </is>
      </c>
      <c r="C4752" s="12" t="inlineStr">
        <is>
          <t>Modular / portable power</t>
        </is>
      </c>
      <c r="D4752" s="12" t="inlineStr">
        <is>
          <t>RTD to JB JB-RICE-7-RTD02: 2 x 1 tri (field cables)</t>
        </is>
      </c>
      <c r="E4752" s="12" t="inlineStr">
        <is>
          <t>RICE-7</t>
        </is>
      </c>
      <c r="F4752" s="12" t="inlineStr">
        <is>
          <t>RICE engine-generator 7</t>
        </is>
      </c>
      <c r="G4752" s="12" t="inlineStr">
        <is>
          <t>JB-RICE-7-RTD02</t>
        </is>
      </c>
      <c r="H4752" s="12" t="inlineStr">
        <is>
          <t>RICE engine-generator 7</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I-I-0391</t>
        </is>
      </c>
      <c r="B4753" s="12" t="inlineStr">
        <is>
          <t>I</t>
        </is>
      </c>
      <c r="C4753" s="12" t="inlineStr">
        <is>
          <t>Modular / portable power</t>
        </is>
      </c>
      <c r="D4753" s="12" t="inlineStr">
        <is>
          <t>Home run JB-RICE-7-RTD02 to the control / marshalling room</t>
        </is>
      </c>
      <c r="E4753" s="12" t="inlineStr"/>
      <c r="F4753" s="12" t="inlineStr">
        <is>
          <t>PCM: power control module</t>
        </is>
      </c>
      <c r="G4753" s="12" t="inlineStr">
        <is>
          <t>JB-RICE-7-RTD02</t>
        </is>
      </c>
      <c r="H4753" s="12" t="inlineStr">
        <is>
          <t>RICE engine-generator 7</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Tray</t>
        </is>
      </c>
      <c r="T4753" s="16" t="n">
        <v>0</v>
      </c>
      <c r="U4753" s="16" t="n">
        <v>189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I-I-0392</t>
        </is>
      </c>
      <c r="B4754" s="12" t="inlineStr">
        <is>
          <t>I</t>
        </is>
      </c>
      <c r="C4754" s="12" t="inlineStr">
        <is>
          <t>Modular / portable power</t>
        </is>
      </c>
      <c r="D4754" s="12" t="inlineStr">
        <is>
          <t>Analog instrument to JB JB-RICE-8-AI01: 20 x 1 pr (field cables)</t>
        </is>
      </c>
      <c r="E4754" s="12" t="inlineStr">
        <is>
          <t>RICE-8</t>
        </is>
      </c>
      <c r="F4754" s="12" t="inlineStr">
        <is>
          <t>RICE engine-generator 8</t>
        </is>
      </c>
      <c r="G4754" s="12" t="inlineStr">
        <is>
          <t>JB-RICE-8-AI01</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I-I-0393</t>
        </is>
      </c>
      <c r="B4755" s="12" t="inlineStr">
        <is>
          <t>I</t>
        </is>
      </c>
      <c r="C4755" s="12" t="inlineStr">
        <is>
          <t>Modular / portable power</t>
        </is>
      </c>
      <c r="D4755" s="12" t="inlineStr">
        <is>
          <t>Home run JB-RICE-8-AI01 to the control / marshalling room</t>
        </is>
      </c>
      <c r="E4755" s="12" t="inlineStr"/>
      <c r="F4755" s="12" t="inlineStr">
        <is>
          <t>PCM: power control module</t>
        </is>
      </c>
      <c r="G4755" s="12" t="inlineStr">
        <is>
          <t>JB-RICE-8-AI01</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I-I-0394</t>
        </is>
      </c>
      <c r="B4756" s="12" t="inlineStr">
        <is>
          <t>I</t>
        </is>
      </c>
      <c r="C4756" s="12" t="inlineStr">
        <is>
          <t>Modular / portable power</t>
        </is>
      </c>
      <c r="D4756" s="12" t="inlineStr">
        <is>
          <t>Analog instrument to JB JB-RICE-8-AI02: 20 x 1 pr (field cables)</t>
        </is>
      </c>
      <c r="E4756" s="12" t="inlineStr">
        <is>
          <t>RICE-8</t>
        </is>
      </c>
      <c r="F4756" s="12" t="inlineStr">
        <is>
          <t>RICE engine-generator 8</t>
        </is>
      </c>
      <c r="G4756" s="12" t="inlineStr">
        <is>
          <t>JB-RICE-8-AI02</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I-I-0395</t>
        </is>
      </c>
      <c r="B4757" s="12" t="inlineStr">
        <is>
          <t>I</t>
        </is>
      </c>
      <c r="C4757" s="12" t="inlineStr">
        <is>
          <t>Modular / portable power</t>
        </is>
      </c>
      <c r="D4757" s="12" t="inlineStr">
        <is>
          <t>Home run JB-RICE-8-AI02 to the control / marshalling room</t>
        </is>
      </c>
      <c r="E4757" s="12" t="inlineStr"/>
      <c r="F4757" s="12" t="inlineStr">
        <is>
          <t>PCM: power control module</t>
        </is>
      </c>
      <c r="G4757" s="12" t="inlineStr">
        <is>
          <t>JB-RICE-8-AI02</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I-I-0396</t>
        </is>
      </c>
      <c r="B4758" s="12" t="inlineStr">
        <is>
          <t>I</t>
        </is>
      </c>
      <c r="C4758" s="12" t="inlineStr">
        <is>
          <t>Modular / portable power</t>
        </is>
      </c>
      <c r="D4758" s="12" t="inlineStr">
        <is>
          <t>Analog instrument to JB JB-RICE-8-AI03: 20 x 1 pr (field cables)</t>
        </is>
      </c>
      <c r="E4758" s="12" t="inlineStr">
        <is>
          <t>RICE-8</t>
        </is>
      </c>
      <c r="F4758" s="12" t="inlineStr">
        <is>
          <t>RICE engine-generator 8</t>
        </is>
      </c>
      <c r="G4758" s="12" t="inlineStr">
        <is>
          <t>JB-RICE-8-AI03</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I-I-0397</t>
        </is>
      </c>
      <c r="B4759" s="12" t="inlineStr">
        <is>
          <t>I</t>
        </is>
      </c>
      <c r="C4759" s="12" t="inlineStr">
        <is>
          <t>Modular / portable power</t>
        </is>
      </c>
      <c r="D4759" s="12" t="inlineStr">
        <is>
          <t>Home run JB-RICE-8-AI03 to the control / marshalling room</t>
        </is>
      </c>
      <c r="E4759" s="12" t="inlineStr"/>
      <c r="F4759" s="12" t="inlineStr">
        <is>
          <t>PCM: power control module</t>
        </is>
      </c>
      <c r="G4759" s="12" t="inlineStr">
        <is>
          <t>JB-RICE-8-AI03</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I-I-0398</t>
        </is>
      </c>
      <c r="B4760" s="12" t="inlineStr">
        <is>
          <t>I</t>
        </is>
      </c>
      <c r="C4760" s="12" t="inlineStr">
        <is>
          <t>Modular / portable power</t>
        </is>
      </c>
      <c r="D4760" s="12" t="inlineStr">
        <is>
          <t>Analog instrument to JB JB-RICE-8-AI04: 20 x 1 pr (field cables)</t>
        </is>
      </c>
      <c r="E4760" s="12" t="inlineStr">
        <is>
          <t>RICE-8</t>
        </is>
      </c>
      <c r="F4760" s="12" t="inlineStr">
        <is>
          <t>RICE engine-generator 8</t>
        </is>
      </c>
      <c r="G4760" s="12" t="inlineStr">
        <is>
          <t>JB-RICE-8-AI04</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I-I-0399</t>
        </is>
      </c>
      <c r="B4761" s="12" t="inlineStr">
        <is>
          <t>I</t>
        </is>
      </c>
      <c r="C4761" s="12" t="inlineStr">
        <is>
          <t>Modular / portable power</t>
        </is>
      </c>
      <c r="D4761" s="12" t="inlineStr">
        <is>
          <t>Home run JB-RICE-8-AI04 to the control / marshalling room</t>
        </is>
      </c>
      <c r="E4761" s="12" t="inlineStr"/>
      <c r="F4761" s="12" t="inlineStr">
        <is>
          <t>PCM: power control module</t>
        </is>
      </c>
      <c r="G4761" s="12" t="inlineStr">
        <is>
          <t>JB-RICE-8-AI04</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I-I-0400</t>
        </is>
      </c>
      <c r="B4762" s="12" t="inlineStr">
        <is>
          <t>I</t>
        </is>
      </c>
      <c r="C4762" s="12" t="inlineStr">
        <is>
          <t>Modular / portable power</t>
        </is>
      </c>
      <c r="D4762" s="12" t="inlineStr">
        <is>
          <t>Discrete device to JB JB-RICE-8-DI01: 20 x 1 pr (field cables)</t>
        </is>
      </c>
      <c r="E4762" s="12" t="inlineStr">
        <is>
          <t>RICE-8</t>
        </is>
      </c>
      <c r="F4762" s="12" t="inlineStr">
        <is>
          <t>RICE engine-generator 8</t>
        </is>
      </c>
      <c r="G4762" s="12" t="inlineStr">
        <is>
          <t>JB-RICE-8-DI01</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I-I-0401</t>
        </is>
      </c>
      <c r="B4763" s="12" t="inlineStr">
        <is>
          <t>I</t>
        </is>
      </c>
      <c r="C4763" s="12" t="inlineStr">
        <is>
          <t>Modular / portable power</t>
        </is>
      </c>
      <c r="D4763" s="12" t="inlineStr">
        <is>
          <t>Home run JB-RICE-8-DI01 to the control / marshalling room</t>
        </is>
      </c>
      <c r="E4763" s="12" t="inlineStr"/>
      <c r="F4763" s="12" t="inlineStr">
        <is>
          <t>PCM: power control module</t>
        </is>
      </c>
      <c r="G4763" s="12" t="inlineStr">
        <is>
          <t>JB-RICE-8-DI01</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I-I-0402</t>
        </is>
      </c>
      <c r="B4764" s="12" t="inlineStr">
        <is>
          <t>I</t>
        </is>
      </c>
      <c r="C4764" s="12" t="inlineStr">
        <is>
          <t>Modular / portable power</t>
        </is>
      </c>
      <c r="D4764" s="12" t="inlineStr">
        <is>
          <t>Discrete device to JB JB-RICE-8-DI02: 20 x 1 pr (field cables)</t>
        </is>
      </c>
      <c r="E4764" s="12" t="inlineStr">
        <is>
          <t>RICE-8</t>
        </is>
      </c>
      <c r="F4764" s="12" t="inlineStr">
        <is>
          <t>RICE engine-generator 8</t>
        </is>
      </c>
      <c r="G4764" s="12" t="inlineStr">
        <is>
          <t>JB-RICE-8-DI02</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I-I-0403</t>
        </is>
      </c>
      <c r="B4765" s="12" t="inlineStr">
        <is>
          <t>I</t>
        </is>
      </c>
      <c r="C4765" s="12" t="inlineStr">
        <is>
          <t>Modular / portable power</t>
        </is>
      </c>
      <c r="D4765" s="12" t="inlineStr">
        <is>
          <t>Home run JB-RICE-8-DI02 to the control / marshalling room</t>
        </is>
      </c>
      <c r="E4765" s="12" t="inlineStr"/>
      <c r="F4765" s="12" t="inlineStr">
        <is>
          <t>PCM: power control module</t>
        </is>
      </c>
      <c r="G4765" s="12" t="inlineStr">
        <is>
          <t>JB-RICE-8-DI02</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I-I-0404</t>
        </is>
      </c>
      <c r="B4766" s="12" t="inlineStr">
        <is>
          <t>I</t>
        </is>
      </c>
      <c r="C4766" s="12" t="inlineStr">
        <is>
          <t>Modular / portable power</t>
        </is>
      </c>
      <c r="D4766" s="12" t="inlineStr">
        <is>
          <t>Discrete device to JB JB-RICE-8-DI03: 20 x 1 pr (field cables)</t>
        </is>
      </c>
      <c r="E4766" s="12" t="inlineStr">
        <is>
          <t>RICE-8</t>
        </is>
      </c>
      <c r="F4766" s="12" t="inlineStr">
        <is>
          <t>RICE engine-generator 8</t>
        </is>
      </c>
      <c r="G4766" s="12" t="inlineStr">
        <is>
          <t>JB-RICE-8-DI03</t>
        </is>
      </c>
      <c r="H4766" s="12" t="inlineStr">
        <is>
          <t>RICE engine-generator 8</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I-I-0405</t>
        </is>
      </c>
      <c r="B4767" s="12" t="inlineStr">
        <is>
          <t>I</t>
        </is>
      </c>
      <c r="C4767" s="12" t="inlineStr">
        <is>
          <t>Modular / portable power</t>
        </is>
      </c>
      <c r="D4767" s="12" t="inlineStr">
        <is>
          <t>Home run JB-RICE-8-DI03 to the control / marshalling room</t>
        </is>
      </c>
      <c r="E4767" s="12" t="inlineStr"/>
      <c r="F4767" s="12" t="inlineStr">
        <is>
          <t>PCM: power control module</t>
        </is>
      </c>
      <c r="G4767" s="12" t="inlineStr">
        <is>
          <t>JB-RICE-8-DI03</t>
        </is>
      </c>
      <c r="H4767" s="12" t="inlineStr">
        <is>
          <t>RICE engine-generator 8</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I-I-0406</t>
        </is>
      </c>
      <c r="B4768" s="12" t="inlineStr">
        <is>
          <t>I</t>
        </is>
      </c>
      <c r="C4768" s="12" t="inlineStr">
        <is>
          <t>Modular / portable power</t>
        </is>
      </c>
      <c r="D4768" s="12" t="inlineStr">
        <is>
          <t>Thermocouple to TC JB JB-RICE-8-TC01: 20 x 1 pr (field cables)</t>
        </is>
      </c>
      <c r="E4768" s="12" t="inlineStr">
        <is>
          <t>RICE-8</t>
        </is>
      </c>
      <c r="F4768" s="12" t="inlineStr">
        <is>
          <t>RICE engine-generator 8</t>
        </is>
      </c>
      <c r="G4768" s="12" t="inlineStr">
        <is>
          <t>JB-RICE-8-TC01</t>
        </is>
      </c>
      <c r="H4768" s="12" t="inlineStr">
        <is>
          <t>RICE engine-generator 8</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I-I-0407</t>
        </is>
      </c>
      <c r="B4769" s="12" t="inlineStr">
        <is>
          <t>I</t>
        </is>
      </c>
      <c r="C4769" s="12" t="inlineStr">
        <is>
          <t>Modular / portable power</t>
        </is>
      </c>
      <c r="D4769" s="12" t="inlineStr">
        <is>
          <t>Home run JB-RICE-8-TC01 to the control / marshalling room</t>
        </is>
      </c>
      <c r="E4769" s="12" t="inlineStr"/>
      <c r="F4769" s="12" t="inlineStr">
        <is>
          <t>PCM: power control module</t>
        </is>
      </c>
      <c r="G4769" s="12" t="inlineStr">
        <is>
          <t>JB-RICE-8-TC01</t>
        </is>
      </c>
      <c r="H4769" s="12" t="inlineStr">
        <is>
          <t>RICE engine-generator 8</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I-I-0408</t>
        </is>
      </c>
      <c r="B4770" s="12" t="inlineStr">
        <is>
          <t>I</t>
        </is>
      </c>
      <c r="C4770" s="12" t="inlineStr">
        <is>
          <t>Modular / portable power</t>
        </is>
      </c>
      <c r="D4770" s="12" t="inlineStr">
        <is>
          <t>Thermocouple to TC JB JB-RICE-8-TC02: 10 x 1 pr (field cables)</t>
        </is>
      </c>
      <c r="E4770" s="12" t="inlineStr">
        <is>
          <t>RICE-8</t>
        </is>
      </c>
      <c r="F4770" s="12" t="inlineStr">
        <is>
          <t>RICE engine-generator 8</t>
        </is>
      </c>
      <c r="G4770" s="12" t="inlineStr">
        <is>
          <t>JB-RICE-8-TC02</t>
        </is>
      </c>
      <c r="H4770" s="12" t="inlineStr">
        <is>
          <t>RICE engine-generator 8</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I-I-0409</t>
        </is>
      </c>
      <c r="B4771" s="12" t="inlineStr">
        <is>
          <t>I</t>
        </is>
      </c>
      <c r="C4771" s="12" t="inlineStr">
        <is>
          <t>Modular / portable power</t>
        </is>
      </c>
      <c r="D4771" s="12" t="inlineStr">
        <is>
          <t>Home run JB-RICE-8-TC02 to the control / marshalling room</t>
        </is>
      </c>
      <c r="E4771" s="12" t="inlineStr"/>
      <c r="F4771" s="12" t="inlineStr">
        <is>
          <t>PCM: power control module</t>
        </is>
      </c>
      <c r="G4771" s="12" t="inlineStr">
        <is>
          <t>JB-RICE-8-TC02</t>
        </is>
      </c>
      <c r="H4771" s="12" t="inlineStr">
        <is>
          <t>RICE engine-generator 8</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I-I-0410</t>
        </is>
      </c>
      <c r="B4772" s="12" t="inlineStr">
        <is>
          <t>I</t>
        </is>
      </c>
      <c r="C4772" s="12" t="inlineStr">
        <is>
          <t>Modular / portable power</t>
        </is>
      </c>
      <c r="D4772" s="12" t="inlineStr">
        <is>
          <t>RTD to JB JB-RICE-8-RTD01: 10 x 1 tri (field cables)</t>
        </is>
      </c>
      <c r="E4772" s="12" t="inlineStr">
        <is>
          <t>RICE-8</t>
        </is>
      </c>
      <c r="F4772" s="12" t="inlineStr">
        <is>
          <t>RICE engine-generator 8</t>
        </is>
      </c>
      <c r="G4772" s="12" t="inlineStr">
        <is>
          <t>JB-RICE-8-RTD01</t>
        </is>
      </c>
      <c r="H4772" s="12" t="inlineStr">
        <is>
          <t>RICE engine-generator 8</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I-I-0411</t>
        </is>
      </c>
      <c r="B4773" s="12" t="inlineStr">
        <is>
          <t>I</t>
        </is>
      </c>
      <c r="C4773" s="12" t="inlineStr">
        <is>
          <t>Modular / portable power</t>
        </is>
      </c>
      <c r="D4773" s="12" t="inlineStr">
        <is>
          <t>Home run JB-RICE-8-RTD01 to the control / marshalling room</t>
        </is>
      </c>
      <c r="E4773" s="12" t="inlineStr"/>
      <c r="F4773" s="12" t="inlineStr">
        <is>
          <t>PCM: power control module</t>
        </is>
      </c>
      <c r="G4773" s="12" t="inlineStr">
        <is>
          <t>JB-RICE-8-RTD01</t>
        </is>
      </c>
      <c r="H4773" s="12" t="inlineStr">
        <is>
          <t>RICE engine-generator 8</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Tray</t>
        </is>
      </c>
      <c r="T4773" s="16" t="n">
        <v>0</v>
      </c>
      <c r="U4773" s="16" t="n">
        <v>161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I-I-0412</t>
        </is>
      </c>
      <c r="B4774" s="12" t="inlineStr">
        <is>
          <t>I</t>
        </is>
      </c>
      <c r="C4774" s="12" t="inlineStr">
        <is>
          <t>Modular / portable power</t>
        </is>
      </c>
      <c r="D4774" s="12" t="inlineStr">
        <is>
          <t>RTD to JB JB-RICE-8-RTD02: 2 x 1 tri (field cables)</t>
        </is>
      </c>
      <c r="E4774" s="12" t="inlineStr">
        <is>
          <t>RICE-8</t>
        </is>
      </c>
      <c r="F4774" s="12" t="inlineStr">
        <is>
          <t>RICE engine-generator 8</t>
        </is>
      </c>
      <c r="G4774" s="12" t="inlineStr">
        <is>
          <t>JB-RICE-8-RTD02</t>
        </is>
      </c>
      <c r="H4774" s="12" t="inlineStr">
        <is>
          <t>RICE engine-generator 8</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I-I-0413</t>
        </is>
      </c>
      <c r="B4775" s="12" t="inlineStr">
        <is>
          <t>I</t>
        </is>
      </c>
      <c r="C4775" s="12" t="inlineStr">
        <is>
          <t>Modular / portable power</t>
        </is>
      </c>
      <c r="D4775" s="12" t="inlineStr">
        <is>
          <t>Home run JB-RICE-8-RTD02 to the control / marshalling room</t>
        </is>
      </c>
      <c r="E4775" s="12" t="inlineStr"/>
      <c r="F4775" s="12" t="inlineStr">
        <is>
          <t>PCM: power control module</t>
        </is>
      </c>
      <c r="G4775" s="12" t="inlineStr">
        <is>
          <t>JB-RICE-8-RTD02</t>
        </is>
      </c>
      <c r="H4775" s="12" t="inlineStr">
        <is>
          <t>RICE engine-generator 8</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Tray</t>
        </is>
      </c>
      <c r="T4775" s="16" t="n">
        <v>0</v>
      </c>
      <c r="U4775" s="16" t="n">
        <v>161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I-I-0414</t>
        </is>
      </c>
      <c r="B4776" s="12" t="inlineStr">
        <is>
          <t>I</t>
        </is>
      </c>
      <c r="C4776" s="12" t="inlineStr">
        <is>
          <t>Modular / portable power</t>
        </is>
      </c>
      <c r="D4776" s="12" t="inlineStr">
        <is>
          <t>Instrumentation</t>
        </is>
      </c>
      <c r="E4776" s="12" t="inlineStr"/>
      <c r="F4776" s="12" t="inlineStr">
        <is>
          <t>PCM: power control module</t>
        </is>
      </c>
      <c r="G4776" s="12" t="inlineStr"/>
      <c r="H4776" s="12" t="inlineStr">
        <is>
          <t>Reagent storage</t>
        </is>
      </c>
      <c r="I4776" s="12" t="inlineStr">
        <is>
          <t>Instrumentation</t>
        </is>
      </c>
      <c r="J4776" s="12" t="inlineStr">
        <is>
          <t>Instrumentation PLTC / TC-ER 300 V, #18 twisted shielded pairs, overall shield</t>
        </is>
      </c>
      <c r="K4776" s="12" t="inlineStr">
        <is>
          <t>PLTC|4 pr|18</t>
        </is>
      </c>
      <c r="L4776" s="12" t="inlineStr">
        <is>
          <t>4 pr</t>
        </is>
      </c>
      <c r="M4776" s="12" t="inlineStr">
        <is>
          <t>18</t>
        </is>
      </c>
      <c r="N4776" s="12" t="n">
        <v>1</v>
      </c>
      <c r="O4776" s="12" t="n">
        <v>1</v>
      </c>
      <c r="P4776" s="12" t="n"/>
      <c r="Q4776" s="12" t="n"/>
      <c r="R4776" s="12" t="n"/>
      <c r="S4776" s="12" t="inlineStr">
        <is>
          <t>Tray</t>
        </is>
      </c>
      <c r="T4776" s="16" t="n">
        <v>32</v>
      </c>
      <c r="U4776" s="16" t="n">
        <v>32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I-I-0415</t>
        </is>
      </c>
      <c r="B4777" s="12" t="inlineStr">
        <is>
          <t>I</t>
        </is>
      </c>
      <c r="C4777" s="12" t="inlineStr">
        <is>
          <t>Modular / portable power</t>
        </is>
      </c>
      <c r="D4777" s="12" t="inlineStr">
        <is>
          <t>Analog instrument to JB JB-SC-1 SCR / CO cata-AI01: 12 x 1 pr (field cables)</t>
        </is>
      </c>
      <c r="E4777" s="12" t="inlineStr"/>
      <c r="F4777" s="12" t="inlineStr">
        <is>
          <t>SC-1 SCR / CO catalyst</t>
        </is>
      </c>
      <c r="G4777" s="12" t="inlineStr">
        <is>
          <t>JB-SC-1 SCR / CO cata-AI01</t>
        </is>
      </c>
      <c r="H4777" s="12" t="inlineStr">
        <is>
          <t>SC-1 SCR / CO catalyst</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12</v>
      </c>
      <c r="O4777" s="12" t="n">
        <v>1</v>
      </c>
      <c r="P4777" s="12" t="n"/>
      <c r="Q4777" s="12" t="n"/>
      <c r="R4777" s="12" t="n"/>
      <c r="S4777" s="12" t="inlineStr">
        <is>
          <t>Tray / conduit</t>
        </is>
      </c>
      <c r="T4777" s="16" t="n">
        <v>74</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I-I-0416</t>
        </is>
      </c>
      <c r="B4778" s="12" t="inlineStr">
        <is>
          <t>I</t>
        </is>
      </c>
      <c r="C4778" s="12" t="inlineStr">
        <is>
          <t>Modular / portable power</t>
        </is>
      </c>
      <c r="D4778" s="12" t="inlineStr">
        <is>
          <t>Home run JB-SC-1 SCR / CO cata-AI01 to the control / marshalling room</t>
        </is>
      </c>
      <c r="E4778" s="12" t="inlineStr"/>
      <c r="F4778" s="12" t="inlineStr">
        <is>
          <t>PCM: power control module</t>
        </is>
      </c>
      <c r="G4778" s="12" t="inlineStr">
        <is>
          <t>JB-SC-1 SCR / CO cata-AI01</t>
        </is>
      </c>
      <c r="H4778" s="12" t="inlineStr">
        <is>
          <t>SC-1 SCR / CO catalyst</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40</v>
      </c>
      <c r="U4778" s="16" t="n">
        <v>142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I-I-0417</t>
        </is>
      </c>
      <c r="B4779" s="12" t="inlineStr">
        <is>
          <t>I</t>
        </is>
      </c>
      <c r="C4779" s="12" t="inlineStr">
        <is>
          <t>Modular / portable power</t>
        </is>
      </c>
      <c r="D4779" s="12" t="inlineStr">
        <is>
          <t>Discrete device to JB JB-SC-1 SCR / CO cata-DI01: 8 x 1 pr (field cables)</t>
        </is>
      </c>
      <c r="E4779" s="12" t="inlineStr"/>
      <c r="F4779" s="12" t="inlineStr">
        <is>
          <t>SC-1 SCR / CO catalyst</t>
        </is>
      </c>
      <c r="G4779" s="12" t="inlineStr">
        <is>
          <t>JB-SC-1 SCR / CO cata-DI01</t>
        </is>
      </c>
      <c r="H4779" s="12" t="inlineStr">
        <is>
          <t>SC-1 SCR / CO catalyst</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74</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I-I-0418</t>
        </is>
      </c>
      <c r="B4780" s="12" t="inlineStr">
        <is>
          <t>I</t>
        </is>
      </c>
      <c r="C4780" s="12" t="inlineStr">
        <is>
          <t>Modular / portable power</t>
        </is>
      </c>
      <c r="D4780" s="12" t="inlineStr">
        <is>
          <t>Home run JB-SC-1 SCR / CO cata-DI01 to the control / marshalling room</t>
        </is>
      </c>
      <c r="E4780" s="12" t="inlineStr"/>
      <c r="F4780" s="12" t="inlineStr">
        <is>
          <t>PCM: power control module</t>
        </is>
      </c>
      <c r="G4780" s="12" t="inlineStr">
        <is>
          <t>JB-SC-1 SCR / CO cata-DI01</t>
        </is>
      </c>
      <c r="H4780" s="12" t="inlineStr">
        <is>
          <t>SC-1 SCR / CO catalyst</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40</v>
      </c>
      <c r="U4780" s="16" t="n">
        <v>142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I-I-0419</t>
        </is>
      </c>
      <c r="B4781" s="12" t="inlineStr">
        <is>
          <t>I</t>
        </is>
      </c>
      <c r="C4781" s="12" t="inlineStr">
        <is>
          <t>Modular / portable power</t>
        </is>
      </c>
      <c r="D4781" s="12" t="inlineStr">
        <is>
          <t>Analog instrument to JB JB-SC-1 lube-oil fin--AI01: 4 x 1 pr (field cables)</t>
        </is>
      </c>
      <c r="E4781" s="12" t="inlineStr"/>
      <c r="F4781" s="12" t="inlineStr">
        <is>
          <t>SC-1 lube-oil fin-fan cooler</t>
        </is>
      </c>
      <c r="G4781" s="12" t="inlineStr">
        <is>
          <t>JB-SC-1 lube-oil fin--AI01</t>
        </is>
      </c>
      <c r="H4781" s="12" t="inlineStr">
        <is>
          <t>SC-1 lube-oil fin-fan cooler</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4</v>
      </c>
      <c r="O4781" s="12" t="n">
        <v>1</v>
      </c>
      <c r="P4781" s="12" t="n"/>
      <c r="Q4781" s="12" t="n"/>
      <c r="R4781" s="12" t="n"/>
      <c r="S4781" s="12" t="inlineStr">
        <is>
          <t>Tray / conduit</t>
        </is>
      </c>
      <c r="T4781" s="16" t="n">
        <v>46</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I-I-0420</t>
        </is>
      </c>
      <c r="B4782" s="12" t="inlineStr">
        <is>
          <t>I</t>
        </is>
      </c>
      <c r="C4782" s="12" t="inlineStr">
        <is>
          <t>Modular / portable power</t>
        </is>
      </c>
      <c r="D4782" s="12" t="inlineStr">
        <is>
          <t>Home run JB-SC-1 lube-oil fin--AI01 to the control / marshalling room</t>
        </is>
      </c>
      <c r="E4782" s="12" t="inlineStr"/>
      <c r="F4782" s="12" t="inlineStr">
        <is>
          <t>PCM: power control module</t>
        </is>
      </c>
      <c r="G4782" s="12" t="inlineStr">
        <is>
          <t>JB-SC-1 lube-oil fin--AI01</t>
        </is>
      </c>
      <c r="H4782" s="12" t="inlineStr">
        <is>
          <t>SC-1 lube-oil fin-fan cooler</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82</v>
      </c>
      <c r="U4782" s="16" t="n">
        <v>82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I-I-0421</t>
        </is>
      </c>
      <c r="B4783" s="12" t="inlineStr">
        <is>
          <t>I</t>
        </is>
      </c>
      <c r="C4783" s="12" t="inlineStr">
        <is>
          <t>Modular / portable power</t>
        </is>
      </c>
      <c r="D4783" s="12" t="inlineStr">
        <is>
          <t>Discrete device to JB JB-SC-1 lube-oil fin--DI01: 8 x 1 pr (field cables)</t>
        </is>
      </c>
      <c r="E4783" s="12" t="inlineStr"/>
      <c r="F4783" s="12" t="inlineStr">
        <is>
          <t>SC-1 lube-oil fin-fan cooler</t>
        </is>
      </c>
      <c r="G4783" s="12" t="inlineStr">
        <is>
          <t>JB-SC-1 lube-oil fin--DI01</t>
        </is>
      </c>
      <c r="H4783" s="12" t="inlineStr">
        <is>
          <t>SC-1 lube-oil fin-fan cooler</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8</v>
      </c>
      <c r="O4783" s="12" t="n">
        <v>1</v>
      </c>
      <c r="P4783" s="12" t="n"/>
      <c r="Q4783" s="12" t="n"/>
      <c r="R4783" s="12" t="n"/>
      <c r="S4783" s="12" t="inlineStr">
        <is>
          <t>Tray / conduit</t>
        </is>
      </c>
      <c r="T4783" s="16" t="n">
        <v>46</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I-I-0422</t>
        </is>
      </c>
      <c r="B4784" s="12" t="inlineStr">
        <is>
          <t>I</t>
        </is>
      </c>
      <c r="C4784" s="12" t="inlineStr">
        <is>
          <t>Modular / portable power</t>
        </is>
      </c>
      <c r="D4784" s="12" t="inlineStr">
        <is>
          <t>Home run JB-SC-1 lube-oil fin--DI01 to the control / marshalling room</t>
        </is>
      </c>
      <c r="E4784" s="12" t="inlineStr"/>
      <c r="F4784" s="12" t="inlineStr">
        <is>
          <t>PCM: power control module</t>
        </is>
      </c>
      <c r="G4784" s="12" t="inlineStr">
        <is>
          <t>JB-SC-1 lube-oil fin--DI01</t>
        </is>
      </c>
      <c r="H4784" s="12" t="inlineStr">
        <is>
          <t>SC-1 lube-oil fin-fan cooler</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82</v>
      </c>
      <c r="U4784" s="16" t="n">
        <v>82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I-I-0423</t>
        </is>
      </c>
      <c r="B4785" s="12" t="inlineStr">
        <is>
          <t>I</t>
        </is>
      </c>
      <c r="C4785" s="12" t="inlineStr">
        <is>
          <t>Modular / portable power</t>
        </is>
      </c>
      <c r="D4785" s="12" t="inlineStr">
        <is>
          <t>Analog instrument to JB JB-SC-1-AI01: 20 x 1 pr (field cables)</t>
        </is>
      </c>
      <c r="E4785" s="12" t="inlineStr">
        <is>
          <t>SC-1</t>
        </is>
      </c>
      <c r="F4785" s="12" t="inlineStr">
        <is>
          <t>SC-1: aeroderivative simple-cycle unit (LM6000 class)</t>
        </is>
      </c>
      <c r="G4785" s="12" t="inlineStr">
        <is>
          <t>JB-SC-1-AI01</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I-I-0424</t>
        </is>
      </c>
      <c r="B4786" s="12" t="inlineStr">
        <is>
          <t>I</t>
        </is>
      </c>
      <c r="C4786" s="12" t="inlineStr">
        <is>
          <t>Modular / portable power</t>
        </is>
      </c>
      <c r="D4786" s="12" t="inlineStr">
        <is>
          <t>Home run JB-SC-1-AI01 to the control / marshalling room</t>
        </is>
      </c>
      <c r="E4786" s="12" t="inlineStr"/>
      <c r="F4786" s="12" t="inlineStr">
        <is>
          <t>PCM: power control module</t>
        </is>
      </c>
      <c r="G4786" s="12" t="inlineStr">
        <is>
          <t>JB-SC-1-AI01</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I-I-0425</t>
        </is>
      </c>
      <c r="B4787" s="12" t="inlineStr">
        <is>
          <t>I</t>
        </is>
      </c>
      <c r="C4787" s="12" t="inlineStr">
        <is>
          <t>Modular / portable power</t>
        </is>
      </c>
      <c r="D4787" s="12" t="inlineStr">
        <is>
          <t>Analog instrument to JB JB-SC-1-AI02: 20 x 1 pr (field cables)</t>
        </is>
      </c>
      <c r="E4787" s="12" t="inlineStr">
        <is>
          <t>SC-1</t>
        </is>
      </c>
      <c r="F4787" s="12" t="inlineStr">
        <is>
          <t>SC-1: aeroderivative simple-cycle unit (LM6000 class)</t>
        </is>
      </c>
      <c r="G4787" s="12" t="inlineStr">
        <is>
          <t>JB-SC-1-AI02</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I-I-0426</t>
        </is>
      </c>
      <c r="B4788" s="12" t="inlineStr">
        <is>
          <t>I</t>
        </is>
      </c>
      <c r="C4788" s="12" t="inlineStr">
        <is>
          <t>Modular / portable power</t>
        </is>
      </c>
      <c r="D4788" s="12" t="inlineStr">
        <is>
          <t>Home run JB-SC-1-AI02 to the control / marshalling room</t>
        </is>
      </c>
      <c r="E4788" s="12" t="inlineStr"/>
      <c r="F4788" s="12" t="inlineStr">
        <is>
          <t>PCM: power control module</t>
        </is>
      </c>
      <c r="G4788" s="12" t="inlineStr">
        <is>
          <t>JB-SC-1-AI02</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I-I-0427</t>
        </is>
      </c>
      <c r="B4789" s="12" t="inlineStr">
        <is>
          <t>I</t>
        </is>
      </c>
      <c r="C4789" s="12" t="inlineStr">
        <is>
          <t>Modular / portable power</t>
        </is>
      </c>
      <c r="D4789" s="12" t="inlineStr">
        <is>
          <t>Analog instrument to JB JB-SC-1-AI03: 20 x 1 pr (field cables)</t>
        </is>
      </c>
      <c r="E4789" s="12" t="inlineStr">
        <is>
          <t>SC-1</t>
        </is>
      </c>
      <c r="F4789" s="12" t="inlineStr">
        <is>
          <t>SC-1: aeroderivative simple-cycle unit (LM6000 class)</t>
        </is>
      </c>
      <c r="G4789" s="12" t="inlineStr">
        <is>
          <t>JB-SC-1-AI03</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I-I-0428</t>
        </is>
      </c>
      <c r="B4790" s="12" t="inlineStr">
        <is>
          <t>I</t>
        </is>
      </c>
      <c r="C4790" s="12" t="inlineStr">
        <is>
          <t>Modular / portable power</t>
        </is>
      </c>
      <c r="D4790" s="12" t="inlineStr">
        <is>
          <t>Home run JB-SC-1-AI03 to the control / marshalling room</t>
        </is>
      </c>
      <c r="E4790" s="12" t="inlineStr"/>
      <c r="F4790" s="12" t="inlineStr">
        <is>
          <t>PCM: power control module</t>
        </is>
      </c>
      <c r="G4790" s="12" t="inlineStr">
        <is>
          <t>JB-SC-1-AI03</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I-I-0429</t>
        </is>
      </c>
      <c r="B4791" s="12" t="inlineStr">
        <is>
          <t>I</t>
        </is>
      </c>
      <c r="C4791" s="12" t="inlineStr">
        <is>
          <t>Modular / portable power</t>
        </is>
      </c>
      <c r="D4791" s="12" t="inlineStr">
        <is>
          <t>Analog instrument to JB JB-SC-1-AI04: 20 x 1 pr (field cables)</t>
        </is>
      </c>
      <c r="E4791" s="12" t="inlineStr">
        <is>
          <t>SC-1</t>
        </is>
      </c>
      <c r="F4791" s="12" t="inlineStr">
        <is>
          <t>SC-1: aeroderivative simple-cycle unit (LM6000 class)</t>
        </is>
      </c>
      <c r="G4791" s="12" t="inlineStr">
        <is>
          <t>JB-SC-1-AI04</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I-I-0430</t>
        </is>
      </c>
      <c r="B4792" s="12" t="inlineStr">
        <is>
          <t>I</t>
        </is>
      </c>
      <c r="C4792" s="12" t="inlineStr">
        <is>
          <t>Modular / portable power</t>
        </is>
      </c>
      <c r="D4792" s="12" t="inlineStr">
        <is>
          <t>Home run JB-SC-1-AI04 to the control / marshalling room</t>
        </is>
      </c>
      <c r="E4792" s="12" t="inlineStr"/>
      <c r="F4792" s="12" t="inlineStr">
        <is>
          <t>PCM: power control module</t>
        </is>
      </c>
      <c r="G4792" s="12" t="inlineStr">
        <is>
          <t>JB-SC-1-AI04</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I-I-0431</t>
        </is>
      </c>
      <c r="B4793" s="12" t="inlineStr">
        <is>
          <t>I</t>
        </is>
      </c>
      <c r="C4793" s="12" t="inlineStr">
        <is>
          <t>Modular / portable power</t>
        </is>
      </c>
      <c r="D4793" s="12" t="inlineStr">
        <is>
          <t>Analog instrument to JB JB-SC-1-AI05: 20 x 1 pr (field cables)</t>
        </is>
      </c>
      <c r="E4793" s="12" t="inlineStr">
        <is>
          <t>SC-1</t>
        </is>
      </c>
      <c r="F4793" s="12" t="inlineStr">
        <is>
          <t>SC-1: aeroderivative simple-cycle unit (LM6000 class)</t>
        </is>
      </c>
      <c r="G4793" s="12" t="inlineStr">
        <is>
          <t>JB-SC-1-AI05</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I-I-0432</t>
        </is>
      </c>
      <c r="B4794" s="12" t="inlineStr">
        <is>
          <t>I</t>
        </is>
      </c>
      <c r="C4794" s="12" t="inlineStr">
        <is>
          <t>Modular / portable power</t>
        </is>
      </c>
      <c r="D4794" s="12" t="inlineStr">
        <is>
          <t>Home run JB-SC-1-AI05 to the control / marshalling room</t>
        </is>
      </c>
      <c r="E4794" s="12" t="inlineStr"/>
      <c r="F4794" s="12" t="inlineStr">
        <is>
          <t>PCM: power control module</t>
        </is>
      </c>
      <c r="G4794" s="12" t="inlineStr">
        <is>
          <t>JB-SC-1-AI05</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I-I-0433</t>
        </is>
      </c>
      <c r="B4795" s="12" t="inlineStr">
        <is>
          <t>I</t>
        </is>
      </c>
      <c r="C4795" s="12" t="inlineStr">
        <is>
          <t>Modular / portable power</t>
        </is>
      </c>
      <c r="D4795" s="12" t="inlineStr">
        <is>
          <t>Analog instrument to JB JB-SC-1-AI06: 20 x 1 pr (field cables)</t>
        </is>
      </c>
      <c r="E4795" s="12" t="inlineStr">
        <is>
          <t>SC-1</t>
        </is>
      </c>
      <c r="F4795" s="12" t="inlineStr">
        <is>
          <t>SC-1: aeroderivative simple-cycle unit (LM6000 class)</t>
        </is>
      </c>
      <c r="G4795" s="12" t="inlineStr">
        <is>
          <t>JB-SC-1-AI06</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20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I-I-0434</t>
        </is>
      </c>
      <c r="B4796" s="12" t="inlineStr">
        <is>
          <t>I</t>
        </is>
      </c>
      <c r="C4796" s="12" t="inlineStr">
        <is>
          <t>Modular / portable power</t>
        </is>
      </c>
      <c r="D4796" s="12" t="inlineStr">
        <is>
          <t>Home run JB-SC-1-AI06 to the control / marshalling room</t>
        </is>
      </c>
      <c r="E4796" s="12" t="inlineStr"/>
      <c r="F4796" s="12" t="inlineStr">
        <is>
          <t>PCM: power control module</t>
        </is>
      </c>
      <c r="G4796" s="12" t="inlineStr">
        <is>
          <t>JB-SC-1-AI06</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I-I-0435</t>
        </is>
      </c>
      <c r="B4797" s="12" t="inlineStr">
        <is>
          <t>I</t>
        </is>
      </c>
      <c r="C4797" s="12" t="inlineStr">
        <is>
          <t>Modular / portable power</t>
        </is>
      </c>
      <c r="D4797" s="12" t="inlineStr">
        <is>
          <t>Analog instrument to JB JB-SC-1-AI07: 20 x 1 pr (field cables)</t>
        </is>
      </c>
      <c r="E4797" s="12" t="inlineStr">
        <is>
          <t>SC-1</t>
        </is>
      </c>
      <c r="F4797" s="12" t="inlineStr">
        <is>
          <t>SC-1: aeroderivative simple-cycle unit (LM6000 class)</t>
        </is>
      </c>
      <c r="G4797" s="12" t="inlineStr">
        <is>
          <t>JB-SC-1-AI07</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I-I-0436</t>
        </is>
      </c>
      <c r="B4798" s="12" t="inlineStr">
        <is>
          <t>I</t>
        </is>
      </c>
      <c r="C4798" s="12" t="inlineStr">
        <is>
          <t>Modular / portable power</t>
        </is>
      </c>
      <c r="D4798" s="12" t="inlineStr">
        <is>
          <t>Home run JB-SC-1-AI07 to the control / marshalling room</t>
        </is>
      </c>
      <c r="E4798" s="12" t="inlineStr"/>
      <c r="F4798" s="12" t="inlineStr">
        <is>
          <t>PCM: power control module</t>
        </is>
      </c>
      <c r="G4798" s="12" t="inlineStr">
        <is>
          <t>JB-SC-1-AI07</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I-I-0437</t>
        </is>
      </c>
      <c r="B4799" s="12" t="inlineStr">
        <is>
          <t>I</t>
        </is>
      </c>
      <c r="C4799" s="12" t="inlineStr">
        <is>
          <t>Modular / portable power</t>
        </is>
      </c>
      <c r="D4799" s="12" t="inlineStr">
        <is>
          <t>Analog instrument to JB JB-SC-1-AI08: 10 x 1 pr (field cables)</t>
        </is>
      </c>
      <c r="E4799" s="12" t="inlineStr">
        <is>
          <t>SC-1</t>
        </is>
      </c>
      <c r="F4799" s="12" t="inlineStr">
        <is>
          <t>SC-1: aeroderivative simple-cycle unit (LM6000 class)</t>
        </is>
      </c>
      <c r="G4799" s="12" t="inlineStr">
        <is>
          <t>JB-SC-1-AI08</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I-I-0438</t>
        </is>
      </c>
      <c r="B4800" s="12" t="inlineStr">
        <is>
          <t>I</t>
        </is>
      </c>
      <c r="C4800" s="12" t="inlineStr">
        <is>
          <t>Modular / portable power</t>
        </is>
      </c>
      <c r="D4800" s="12" t="inlineStr">
        <is>
          <t>Home run JB-SC-1-AI08 to the control / marshalling room</t>
        </is>
      </c>
      <c r="E4800" s="12" t="inlineStr"/>
      <c r="F4800" s="12" t="inlineStr">
        <is>
          <t>PCM: power control module</t>
        </is>
      </c>
      <c r="G4800" s="12" t="inlineStr">
        <is>
          <t>JB-SC-1-AI08</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I-I-0439</t>
        </is>
      </c>
      <c r="B4801" s="12" t="inlineStr">
        <is>
          <t>I</t>
        </is>
      </c>
      <c r="C4801" s="12" t="inlineStr">
        <is>
          <t>Modular / portable power</t>
        </is>
      </c>
      <c r="D4801" s="12" t="inlineStr">
        <is>
          <t>Discrete device to JB JB-SC-1-DI01: 20 x 1 pr (field cables)</t>
        </is>
      </c>
      <c r="E4801" s="12" t="inlineStr">
        <is>
          <t>SC-1</t>
        </is>
      </c>
      <c r="F4801" s="12" t="inlineStr">
        <is>
          <t>SC-1: aeroderivative simple-cycle unit (LM6000 class)</t>
        </is>
      </c>
      <c r="G4801" s="12" t="inlineStr">
        <is>
          <t>JB-SC-1-DI01</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I-I-0440</t>
        </is>
      </c>
      <c r="B4802" s="12" t="inlineStr">
        <is>
          <t>I</t>
        </is>
      </c>
      <c r="C4802" s="12" t="inlineStr">
        <is>
          <t>Modular / portable power</t>
        </is>
      </c>
      <c r="D4802" s="12" t="inlineStr">
        <is>
          <t>Home run JB-SC-1-DI01 to the control / marshalling room</t>
        </is>
      </c>
      <c r="E4802" s="12" t="inlineStr"/>
      <c r="F4802" s="12" t="inlineStr">
        <is>
          <t>PCM: power control module</t>
        </is>
      </c>
      <c r="G4802" s="12" t="inlineStr">
        <is>
          <t>JB-SC-1-DI01</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I-I-0441</t>
        </is>
      </c>
      <c r="B4803" s="12" t="inlineStr">
        <is>
          <t>I</t>
        </is>
      </c>
      <c r="C4803" s="12" t="inlineStr">
        <is>
          <t>Modular / portable power</t>
        </is>
      </c>
      <c r="D4803" s="12" t="inlineStr">
        <is>
          <t>Discrete device to JB JB-SC-1-DI02: 20 x 1 pr (field cables)</t>
        </is>
      </c>
      <c r="E4803" s="12" t="inlineStr">
        <is>
          <t>SC-1</t>
        </is>
      </c>
      <c r="F4803" s="12" t="inlineStr">
        <is>
          <t>SC-1: aeroderivative simple-cycle unit (LM6000 class)</t>
        </is>
      </c>
      <c r="G4803" s="12" t="inlineStr">
        <is>
          <t>JB-SC-1-DI02</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I-I-0442</t>
        </is>
      </c>
      <c r="B4804" s="12" t="inlineStr">
        <is>
          <t>I</t>
        </is>
      </c>
      <c r="C4804" s="12" t="inlineStr">
        <is>
          <t>Modular / portable power</t>
        </is>
      </c>
      <c r="D4804" s="12" t="inlineStr">
        <is>
          <t>Home run JB-SC-1-DI02 to the control / marshalling room</t>
        </is>
      </c>
      <c r="E4804" s="12" t="inlineStr"/>
      <c r="F4804" s="12" t="inlineStr">
        <is>
          <t>PCM: power control module</t>
        </is>
      </c>
      <c r="G4804" s="12" t="inlineStr">
        <is>
          <t>JB-SC-1-DI02</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I-I-0443</t>
        </is>
      </c>
      <c r="B4805" s="12" t="inlineStr">
        <is>
          <t>I</t>
        </is>
      </c>
      <c r="C4805" s="12" t="inlineStr">
        <is>
          <t>Modular / portable power</t>
        </is>
      </c>
      <c r="D4805" s="12" t="inlineStr">
        <is>
          <t>Discrete device to JB JB-SC-1-DI03: 20 x 1 pr (field cables)</t>
        </is>
      </c>
      <c r="E4805" s="12" t="inlineStr">
        <is>
          <t>SC-1</t>
        </is>
      </c>
      <c r="F4805" s="12" t="inlineStr">
        <is>
          <t>SC-1: aeroderivative simple-cycle unit (LM6000 class)</t>
        </is>
      </c>
      <c r="G4805" s="12" t="inlineStr">
        <is>
          <t>JB-SC-1-DI03</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I-I-0444</t>
        </is>
      </c>
      <c r="B4806" s="12" t="inlineStr">
        <is>
          <t>I</t>
        </is>
      </c>
      <c r="C4806" s="12" t="inlineStr">
        <is>
          <t>Modular / portable power</t>
        </is>
      </c>
      <c r="D4806" s="12" t="inlineStr">
        <is>
          <t>Home run JB-SC-1-DI03 to the control / marshalling room</t>
        </is>
      </c>
      <c r="E4806" s="12" t="inlineStr"/>
      <c r="F4806" s="12" t="inlineStr">
        <is>
          <t>PCM: power control module</t>
        </is>
      </c>
      <c r="G4806" s="12" t="inlineStr">
        <is>
          <t>JB-SC-1-DI03</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I-I-0445</t>
        </is>
      </c>
      <c r="B4807" s="12" t="inlineStr">
        <is>
          <t>I</t>
        </is>
      </c>
      <c r="C4807" s="12" t="inlineStr">
        <is>
          <t>Modular / portable power</t>
        </is>
      </c>
      <c r="D4807" s="12" t="inlineStr">
        <is>
          <t>Discrete device to JB JB-SC-1-DI04: 20 x 1 pr (field cables)</t>
        </is>
      </c>
      <c r="E4807" s="12" t="inlineStr">
        <is>
          <t>SC-1</t>
        </is>
      </c>
      <c r="F4807" s="12" t="inlineStr">
        <is>
          <t>SC-1: aeroderivative simple-cycle unit (LM6000 class)</t>
        </is>
      </c>
      <c r="G4807" s="12" t="inlineStr">
        <is>
          <t>JB-SC-1-DI04</t>
        </is>
      </c>
      <c r="H4807" s="12" t="inlineStr">
        <is>
          <t>SC-1: aeroderivative simple-cycle unit (LM6000 class)</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I-I-0446</t>
        </is>
      </c>
      <c r="B4808" s="12" t="inlineStr">
        <is>
          <t>I</t>
        </is>
      </c>
      <c r="C4808" s="12" t="inlineStr">
        <is>
          <t>Modular / portable power</t>
        </is>
      </c>
      <c r="D4808" s="12" t="inlineStr">
        <is>
          <t>Home run JB-SC-1-DI04 to the control / marshalling room</t>
        </is>
      </c>
      <c r="E4808" s="12" t="inlineStr"/>
      <c r="F4808" s="12" t="inlineStr">
        <is>
          <t>PCM: power control module</t>
        </is>
      </c>
      <c r="G4808" s="12" t="inlineStr">
        <is>
          <t>JB-SC-1-DI04</t>
        </is>
      </c>
      <c r="H4808" s="12" t="inlineStr">
        <is>
          <t>SC-1: aeroderivative simple-cycle unit (LM6000 class)</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I-I-0447</t>
        </is>
      </c>
      <c r="B4809" s="12" t="inlineStr">
        <is>
          <t>I</t>
        </is>
      </c>
      <c r="C4809" s="12" t="inlineStr">
        <is>
          <t>Modular / portable power</t>
        </is>
      </c>
      <c r="D4809" s="12" t="inlineStr">
        <is>
          <t>Discrete device to JB JB-SC-1-DI05: 20 x 1 pr (field cables)</t>
        </is>
      </c>
      <c r="E4809" s="12" t="inlineStr">
        <is>
          <t>SC-1</t>
        </is>
      </c>
      <c r="F4809" s="12" t="inlineStr">
        <is>
          <t>SC-1: aeroderivative simple-cycle unit (LM6000 class)</t>
        </is>
      </c>
      <c r="G4809" s="12" t="inlineStr">
        <is>
          <t>JB-SC-1-DI05</t>
        </is>
      </c>
      <c r="H4809" s="12" t="inlineStr">
        <is>
          <t>SC-1: aeroderivative simple-cycle unit (LM6000 class)</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I-I-0448</t>
        </is>
      </c>
      <c r="B4810" s="12" t="inlineStr">
        <is>
          <t>I</t>
        </is>
      </c>
      <c r="C4810" s="12" t="inlineStr">
        <is>
          <t>Modular / portable power</t>
        </is>
      </c>
      <c r="D4810" s="12" t="inlineStr">
        <is>
          <t>Home run JB-SC-1-DI05 to the control / marshalling room</t>
        </is>
      </c>
      <c r="E4810" s="12" t="inlineStr"/>
      <c r="F4810" s="12" t="inlineStr">
        <is>
          <t>PCM: power control module</t>
        </is>
      </c>
      <c r="G4810" s="12" t="inlineStr">
        <is>
          <t>JB-SC-1-DI05</t>
        </is>
      </c>
      <c r="H4810" s="12" t="inlineStr">
        <is>
          <t>SC-1: aeroderivative simple-cycle unit (LM6000 class)</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I-I-0449</t>
        </is>
      </c>
      <c r="B4811" s="12" t="inlineStr">
        <is>
          <t>I</t>
        </is>
      </c>
      <c r="C4811" s="12" t="inlineStr">
        <is>
          <t>Modular / portable power</t>
        </is>
      </c>
      <c r="D4811" s="12" t="inlineStr">
        <is>
          <t>Thermocouple to TC JB JB-SC-1-TC01: 20 x 1 pr (field cables)</t>
        </is>
      </c>
      <c r="E4811" s="12" t="inlineStr">
        <is>
          <t>SC-1</t>
        </is>
      </c>
      <c r="F4811" s="12" t="inlineStr">
        <is>
          <t>SC-1: aeroderivative simple-cycle unit (LM6000 class)</t>
        </is>
      </c>
      <c r="G4811" s="12" t="inlineStr">
        <is>
          <t>JB-SC-1-TC01</t>
        </is>
      </c>
      <c r="H4811" s="12" t="inlineStr">
        <is>
          <t>SC-1: aeroderivative simple-cycle unit (LM6000 class)</t>
        </is>
      </c>
      <c r="I4811" s="12" t="inlineStr">
        <is>
          <t>Instrumentation</t>
        </is>
      </c>
      <c r="J4811" s="12" t="inlineStr">
        <is>
          <t>Thermocouple extension KX, #16 shielded pairs, PLTC</t>
        </is>
      </c>
      <c r="K4811" s="12" t="inlineStr">
        <is>
          <t>TCX|1 pr|16</t>
        </is>
      </c>
      <c r="L4811" s="12" t="inlineStr">
        <is>
          <t>1 pr</t>
        </is>
      </c>
      <c r="M4811" s="12" t="inlineStr">
        <is>
          <t>16</t>
        </is>
      </c>
      <c r="N4811" s="12" t="n">
        <v>20</v>
      </c>
      <c r="O4811" s="12" t="n">
        <v>1</v>
      </c>
      <c r="P4811" s="12" t="n"/>
      <c r="Q4811" s="12" t="n"/>
      <c r="R4811" s="12" t="n"/>
      <c r="S4811" s="12" t="inlineStr">
        <is>
          <t>Tray / conduit</t>
        </is>
      </c>
      <c r="T4811" s="16" t="n">
        <v>99</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I-I-0450</t>
        </is>
      </c>
      <c r="B4812" s="12" t="inlineStr">
        <is>
          <t>I</t>
        </is>
      </c>
      <c r="C4812" s="12" t="inlineStr">
        <is>
          <t>Modular / portable power</t>
        </is>
      </c>
      <c r="D4812" s="12" t="inlineStr">
        <is>
          <t>Home run JB-SC-1-TC01 to the control / marshalling room</t>
        </is>
      </c>
      <c r="E4812" s="12" t="inlineStr"/>
      <c r="F4812" s="12" t="inlineStr">
        <is>
          <t>PCM: power control module</t>
        </is>
      </c>
      <c r="G4812" s="12" t="inlineStr">
        <is>
          <t>JB-SC-1-TC01</t>
        </is>
      </c>
      <c r="H4812" s="12" t="inlineStr">
        <is>
          <t>SC-1: aeroderivative simple-cycle unit (LM6000 class)</t>
        </is>
      </c>
      <c r="I4812" s="12" t="inlineStr">
        <is>
          <t>Instrumentation</t>
        </is>
      </c>
      <c r="J4812" s="12" t="inlineStr">
        <is>
          <t>Thermocouple extension KX, #16 shielded pairs, PLTC</t>
        </is>
      </c>
      <c r="K4812" s="12" t="inlineStr">
        <is>
          <t>TCX|24 pr|16</t>
        </is>
      </c>
      <c r="L4812" s="12" t="inlineStr">
        <is>
          <t>24 pr</t>
        </is>
      </c>
      <c r="M4812" s="12" t="inlineStr">
        <is>
          <t>16</t>
        </is>
      </c>
      <c r="N4812" s="12" t="n">
        <v>1</v>
      </c>
      <c r="O4812" s="12" t="n">
        <v>1</v>
      </c>
      <c r="P4812" s="12" t="n"/>
      <c r="Q4812" s="12" t="n"/>
      <c r="R4812" s="12" t="n"/>
      <c r="S4812" s="12" t="inlineStr">
        <is>
          <t>Duct bank</t>
        </is>
      </c>
      <c r="T4812" s="16" t="n">
        <v>40</v>
      </c>
      <c r="U4812" s="16" t="n">
        <v>52</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I-I-0451</t>
        </is>
      </c>
      <c r="B4813" s="12" t="inlineStr">
        <is>
          <t>I</t>
        </is>
      </c>
      <c r="C4813" s="12" t="inlineStr">
        <is>
          <t>Modular / portable power</t>
        </is>
      </c>
      <c r="D4813" s="12" t="inlineStr">
        <is>
          <t>Thermocouple to TC JB JB-SC-1-TC02: 20 x 1 pr (field cables)</t>
        </is>
      </c>
      <c r="E4813" s="12" t="inlineStr">
        <is>
          <t>SC-1</t>
        </is>
      </c>
      <c r="F4813" s="12" t="inlineStr">
        <is>
          <t>SC-1: aeroderivative simple-cycle unit (LM6000 class)</t>
        </is>
      </c>
      <c r="G4813" s="12" t="inlineStr">
        <is>
          <t>JB-SC-1-TC02</t>
        </is>
      </c>
      <c r="H4813" s="12" t="inlineStr">
        <is>
          <t>SC-1: aeroderivative simple-cycle unit (LM6000 class)</t>
        </is>
      </c>
      <c r="I4813" s="12" t="inlineStr">
        <is>
          <t>Instrumentation</t>
        </is>
      </c>
      <c r="J4813" s="12" t="inlineStr">
        <is>
          <t>Thermocouple extension KX, #16 shielded pairs, PLTC</t>
        </is>
      </c>
      <c r="K4813" s="12" t="inlineStr">
        <is>
          <t>TCX|1 pr|16</t>
        </is>
      </c>
      <c r="L4813" s="12" t="inlineStr">
        <is>
          <t>1 pr</t>
        </is>
      </c>
      <c r="M4813" s="12" t="inlineStr">
        <is>
          <t>16</t>
        </is>
      </c>
      <c r="N4813" s="12" t="n">
        <v>20</v>
      </c>
      <c r="O4813" s="12" t="n">
        <v>1</v>
      </c>
      <c r="P4813" s="12" t="n"/>
      <c r="Q4813" s="12" t="n"/>
      <c r="R4813" s="12" t="n"/>
      <c r="S4813" s="12" t="inlineStr">
        <is>
          <t>Tray / conduit</t>
        </is>
      </c>
      <c r="T4813" s="16" t="n">
        <v>99</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I-I-0452</t>
        </is>
      </c>
      <c r="B4814" s="12" t="inlineStr">
        <is>
          <t>I</t>
        </is>
      </c>
      <c r="C4814" s="12" t="inlineStr">
        <is>
          <t>Modular / portable power</t>
        </is>
      </c>
      <c r="D4814" s="12" t="inlineStr">
        <is>
          <t>Home run JB-SC-1-TC02 to the control / marshalling room</t>
        </is>
      </c>
      <c r="E4814" s="12" t="inlineStr"/>
      <c r="F4814" s="12" t="inlineStr">
        <is>
          <t>PCM: power control module</t>
        </is>
      </c>
      <c r="G4814" s="12" t="inlineStr">
        <is>
          <t>JB-SC-1-TC02</t>
        </is>
      </c>
      <c r="H4814" s="12" t="inlineStr">
        <is>
          <t>SC-1: aeroderivative simple-cycle unit (LM6000 class)</t>
        </is>
      </c>
      <c r="I4814" s="12" t="inlineStr">
        <is>
          <t>Instrumentation</t>
        </is>
      </c>
      <c r="J4814" s="12" t="inlineStr">
        <is>
          <t>Thermocouple extension KX, #16 shielded pairs, PLTC</t>
        </is>
      </c>
      <c r="K4814" s="12" t="inlineStr">
        <is>
          <t>TCX|24 pr|16</t>
        </is>
      </c>
      <c r="L4814" s="12" t="inlineStr">
        <is>
          <t>24 pr</t>
        </is>
      </c>
      <c r="M4814" s="12" t="inlineStr">
        <is>
          <t>16</t>
        </is>
      </c>
      <c r="N4814" s="12" t="n">
        <v>1</v>
      </c>
      <c r="O4814" s="12" t="n">
        <v>1</v>
      </c>
      <c r="P4814" s="12" t="n"/>
      <c r="Q4814" s="12" t="n"/>
      <c r="R4814" s="12" t="n"/>
      <c r="S4814" s="12" t="inlineStr">
        <is>
          <t>Duct bank</t>
        </is>
      </c>
      <c r="T4814" s="16" t="n">
        <v>40</v>
      </c>
      <c r="U4814" s="16" t="n">
        <v>52</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I-I-0453</t>
        </is>
      </c>
      <c r="B4815" s="12" t="inlineStr">
        <is>
          <t>I</t>
        </is>
      </c>
      <c r="C4815" s="12" t="inlineStr">
        <is>
          <t>Modular / portable power</t>
        </is>
      </c>
      <c r="D4815" s="12" t="inlineStr">
        <is>
          <t>Analog instrument to JB JB-SC-2 SCR / CO cata-AI01: 12 x 1 pr (field cables)</t>
        </is>
      </c>
      <c r="E4815" s="12" t="inlineStr"/>
      <c r="F4815" s="12" t="inlineStr">
        <is>
          <t>SC-2 SCR / CO catalyst</t>
        </is>
      </c>
      <c r="G4815" s="12" t="inlineStr">
        <is>
          <t>JB-SC-2 SCR / CO cata-AI01</t>
        </is>
      </c>
      <c r="H4815" s="12" t="inlineStr">
        <is>
          <t>SC-2 SCR / CO catalyst</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12</v>
      </c>
      <c r="O4815" s="12" t="n">
        <v>1</v>
      </c>
      <c r="P4815" s="12" t="n"/>
      <c r="Q4815" s="12" t="n"/>
      <c r="R4815" s="12" t="n"/>
      <c r="S4815" s="12" t="inlineStr">
        <is>
          <t>Tray / conduit</t>
        </is>
      </c>
      <c r="T4815" s="16" t="n">
        <v>74</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I-I-0454</t>
        </is>
      </c>
      <c r="B4816" s="12" t="inlineStr">
        <is>
          <t>I</t>
        </is>
      </c>
      <c r="C4816" s="12" t="inlineStr">
        <is>
          <t>Modular / portable power</t>
        </is>
      </c>
      <c r="D4816" s="12" t="inlineStr">
        <is>
          <t>Home run JB-SC-2 SCR / CO cata-AI01 to the control / marshalling room</t>
        </is>
      </c>
      <c r="E4816" s="12" t="inlineStr"/>
      <c r="F4816" s="12" t="inlineStr">
        <is>
          <t>PCM: power control module</t>
        </is>
      </c>
      <c r="G4816" s="12" t="inlineStr">
        <is>
          <t>JB-SC-2 SCR / CO cata-AI01</t>
        </is>
      </c>
      <c r="H4816" s="12" t="inlineStr">
        <is>
          <t>SC-2 SCR / CO catalyst</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4403</v>
      </c>
      <c r="U4816" s="16" t="n">
        <v>53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I-I-0455</t>
        </is>
      </c>
      <c r="B4817" s="12" t="inlineStr">
        <is>
          <t>I</t>
        </is>
      </c>
      <c r="C4817" s="12" t="inlineStr">
        <is>
          <t>Modular / portable power</t>
        </is>
      </c>
      <c r="D4817" s="12" t="inlineStr">
        <is>
          <t>Discrete device to JB JB-SC-2 SCR / CO cata-DI01: 8 x 1 pr (field cables)</t>
        </is>
      </c>
      <c r="E4817" s="12" t="inlineStr"/>
      <c r="F4817" s="12" t="inlineStr">
        <is>
          <t>SC-2 SCR / CO catalyst</t>
        </is>
      </c>
      <c r="G4817" s="12" t="inlineStr">
        <is>
          <t>JB-SC-2 SCR / CO cata-DI01</t>
        </is>
      </c>
      <c r="H4817" s="12" t="inlineStr">
        <is>
          <t>SC-2 SCR / CO catalyst</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74</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I-I-0456</t>
        </is>
      </c>
      <c r="B4818" s="12" t="inlineStr">
        <is>
          <t>I</t>
        </is>
      </c>
      <c r="C4818" s="12" t="inlineStr">
        <is>
          <t>Modular / portable power</t>
        </is>
      </c>
      <c r="D4818" s="12" t="inlineStr">
        <is>
          <t>Home run JB-SC-2 SCR / CO cata-DI01 to the control / marshalling room</t>
        </is>
      </c>
      <c r="E4818" s="12" t="inlineStr"/>
      <c r="F4818" s="12" t="inlineStr">
        <is>
          <t>PCM: power control module</t>
        </is>
      </c>
      <c r="G4818" s="12" t="inlineStr">
        <is>
          <t>JB-SC-2 SCR / CO cata-DI01</t>
        </is>
      </c>
      <c r="H4818" s="12" t="inlineStr">
        <is>
          <t>SC-2 SCR / CO catalyst</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4403</v>
      </c>
      <c r="U4818" s="16" t="n">
        <v>53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I-I-0457</t>
        </is>
      </c>
      <c r="B4819" s="12" t="inlineStr">
        <is>
          <t>I</t>
        </is>
      </c>
      <c r="C4819" s="12" t="inlineStr">
        <is>
          <t>Modular / portable power</t>
        </is>
      </c>
      <c r="D4819" s="12" t="inlineStr">
        <is>
          <t>Analog instrument to JB JB-SC-2 lube-oil fin--AI01: 4 x 1 pr (field cables)</t>
        </is>
      </c>
      <c r="E4819" s="12" t="inlineStr"/>
      <c r="F4819" s="12" t="inlineStr">
        <is>
          <t>SC-2 lube-oil fin-fan cooler</t>
        </is>
      </c>
      <c r="G4819" s="12" t="inlineStr">
        <is>
          <t>JB-SC-2 lube-oil fin--AI01</t>
        </is>
      </c>
      <c r="H4819" s="12" t="inlineStr">
        <is>
          <t>SC-2 lube-oil fin-fan cooler</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4</v>
      </c>
      <c r="O4819" s="12" t="n">
        <v>1</v>
      </c>
      <c r="P4819" s="12" t="n"/>
      <c r="Q4819" s="12" t="n"/>
      <c r="R4819" s="12" t="n"/>
      <c r="S4819" s="12" t="inlineStr">
        <is>
          <t>Tray / conduit</t>
        </is>
      </c>
      <c r="T4819" s="16" t="n">
        <v>46</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I-I-0458</t>
        </is>
      </c>
      <c r="B4820" s="12" t="inlineStr">
        <is>
          <t>I</t>
        </is>
      </c>
      <c r="C4820" s="12" t="inlineStr">
        <is>
          <t>Modular / portable power</t>
        </is>
      </c>
      <c r="D4820" s="12" t="inlineStr">
        <is>
          <t>Home run JB-SC-2 lube-oil fin--AI01 to the control / marshalling room</t>
        </is>
      </c>
      <c r="E4820" s="12" t="inlineStr"/>
      <c r="F4820" s="12" t="inlineStr">
        <is>
          <t>PCM: power control module</t>
        </is>
      </c>
      <c r="G4820" s="12" t="inlineStr">
        <is>
          <t>JB-SC-2 lube-oil fin--AI01</t>
        </is>
      </c>
      <c r="H4820" s="12" t="inlineStr">
        <is>
          <t>SC-2 lube-oil fin-fan cooler</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4391</v>
      </c>
      <c r="U4820" s="16" t="n">
        <v>88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I-I-0459</t>
        </is>
      </c>
      <c r="B4821" s="12" t="inlineStr">
        <is>
          <t>I</t>
        </is>
      </c>
      <c r="C4821" s="12" t="inlineStr">
        <is>
          <t>Modular / portable power</t>
        </is>
      </c>
      <c r="D4821" s="12" t="inlineStr">
        <is>
          <t>Discrete device to JB JB-SC-2 lube-oil fin--DI01: 8 x 1 pr (field cables)</t>
        </is>
      </c>
      <c r="E4821" s="12" t="inlineStr"/>
      <c r="F4821" s="12" t="inlineStr">
        <is>
          <t>SC-2 lube-oil fin-fan cooler</t>
        </is>
      </c>
      <c r="G4821" s="12" t="inlineStr">
        <is>
          <t>JB-SC-2 lube-oil fin--DI01</t>
        </is>
      </c>
      <c r="H4821" s="12" t="inlineStr">
        <is>
          <t>SC-2 lube-oil fin-fan cooler</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8</v>
      </c>
      <c r="O4821" s="12" t="n">
        <v>1</v>
      </c>
      <c r="P4821" s="12" t="n"/>
      <c r="Q4821" s="12" t="n"/>
      <c r="R4821" s="12" t="n"/>
      <c r="S4821" s="12" t="inlineStr">
        <is>
          <t>Tray / conduit</t>
        </is>
      </c>
      <c r="T4821" s="16" t="n">
        <v>46</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I-I-0460</t>
        </is>
      </c>
      <c r="B4822" s="12" t="inlineStr">
        <is>
          <t>I</t>
        </is>
      </c>
      <c r="C4822" s="12" t="inlineStr">
        <is>
          <t>Modular / portable power</t>
        </is>
      </c>
      <c r="D4822" s="12" t="inlineStr">
        <is>
          <t>Home run JB-SC-2 lube-oil fin--DI01 to the control / marshalling room</t>
        </is>
      </c>
      <c r="E4822" s="12" t="inlineStr"/>
      <c r="F4822" s="12" t="inlineStr">
        <is>
          <t>PCM: power control module</t>
        </is>
      </c>
      <c r="G4822" s="12" t="inlineStr">
        <is>
          <t>JB-SC-2 lube-oil fin--DI01</t>
        </is>
      </c>
      <c r="H4822" s="12" t="inlineStr">
        <is>
          <t>SC-2 lube-oil fin-fan cooler</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4391</v>
      </c>
      <c r="U4822" s="16" t="n">
        <v>88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I-I-0461</t>
        </is>
      </c>
      <c r="B4823" s="12" t="inlineStr">
        <is>
          <t>I</t>
        </is>
      </c>
      <c r="C4823" s="12" t="inlineStr">
        <is>
          <t>Modular / portable power</t>
        </is>
      </c>
      <c r="D4823" s="12" t="inlineStr">
        <is>
          <t>Analog instrument to JB JB-SC-2-AI01: 20 x 1 pr (field cables)</t>
        </is>
      </c>
      <c r="E4823" s="12" t="inlineStr">
        <is>
          <t>SC-2</t>
        </is>
      </c>
      <c r="F4823" s="12" t="inlineStr">
        <is>
          <t>SC-2: aeroderivative simple-cycle unit (LM6000 class)</t>
        </is>
      </c>
      <c r="G4823" s="12" t="inlineStr">
        <is>
          <t>JB-SC-2-AI01</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I-I-0462</t>
        </is>
      </c>
      <c r="B4824" s="12" t="inlineStr">
        <is>
          <t>I</t>
        </is>
      </c>
      <c r="C4824" s="12" t="inlineStr">
        <is>
          <t>Modular / portable power</t>
        </is>
      </c>
      <c r="D4824" s="12" t="inlineStr">
        <is>
          <t>Home run JB-SC-2-AI01 to the control / marshalling room</t>
        </is>
      </c>
      <c r="E4824" s="12" t="inlineStr"/>
      <c r="F4824" s="12" t="inlineStr">
        <is>
          <t>PCM: power control module</t>
        </is>
      </c>
      <c r="G4824" s="12" t="inlineStr">
        <is>
          <t>JB-SC-2-AI01</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4503</v>
      </c>
      <c r="U4824" s="16" t="n">
        <v>33</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I-I-0463</t>
        </is>
      </c>
      <c r="B4825" s="12" t="inlineStr">
        <is>
          <t>I</t>
        </is>
      </c>
      <c r="C4825" s="12" t="inlineStr">
        <is>
          <t>Modular / portable power</t>
        </is>
      </c>
      <c r="D4825" s="12" t="inlineStr">
        <is>
          <t>Analog instrument to JB JB-SC-2-AI02: 20 x 1 pr (field cables)</t>
        </is>
      </c>
      <c r="E4825" s="12" t="inlineStr">
        <is>
          <t>SC-2</t>
        </is>
      </c>
      <c r="F4825" s="12" t="inlineStr">
        <is>
          <t>SC-2: aeroderivative simple-cycle unit (LM6000 class)</t>
        </is>
      </c>
      <c r="G4825" s="12" t="inlineStr">
        <is>
          <t>JB-SC-2-AI02</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I-I-0464</t>
        </is>
      </c>
      <c r="B4826" s="12" t="inlineStr">
        <is>
          <t>I</t>
        </is>
      </c>
      <c r="C4826" s="12" t="inlineStr">
        <is>
          <t>Modular / portable power</t>
        </is>
      </c>
      <c r="D4826" s="12" t="inlineStr">
        <is>
          <t>Home run JB-SC-2-AI02 to the control / marshalling room</t>
        </is>
      </c>
      <c r="E4826" s="12" t="inlineStr"/>
      <c r="F4826" s="12" t="inlineStr">
        <is>
          <t>PCM: power control module</t>
        </is>
      </c>
      <c r="G4826" s="12" t="inlineStr">
        <is>
          <t>JB-SC-2-AI02</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4503</v>
      </c>
      <c r="U4826" s="16" t="n">
        <v>33</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I-I-0465</t>
        </is>
      </c>
      <c r="B4827" s="12" t="inlineStr">
        <is>
          <t>I</t>
        </is>
      </c>
      <c r="C4827" s="12" t="inlineStr">
        <is>
          <t>Modular / portable power</t>
        </is>
      </c>
      <c r="D4827" s="12" t="inlineStr">
        <is>
          <t>Analog instrument to JB JB-SC-2-AI03: 20 x 1 pr (field cables)</t>
        </is>
      </c>
      <c r="E4827" s="12" t="inlineStr">
        <is>
          <t>SC-2</t>
        </is>
      </c>
      <c r="F4827" s="12" t="inlineStr">
        <is>
          <t>SC-2: aeroderivative simple-cycle unit (LM6000 class)</t>
        </is>
      </c>
      <c r="G4827" s="12" t="inlineStr">
        <is>
          <t>JB-SC-2-AI03</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I-I-0466</t>
        </is>
      </c>
      <c r="B4828" s="12" t="inlineStr">
        <is>
          <t>I</t>
        </is>
      </c>
      <c r="C4828" s="12" t="inlineStr">
        <is>
          <t>Modular / portable power</t>
        </is>
      </c>
      <c r="D4828" s="12" t="inlineStr">
        <is>
          <t>Home run JB-SC-2-AI03 to the control / marshalling room</t>
        </is>
      </c>
      <c r="E4828" s="12" t="inlineStr"/>
      <c r="F4828" s="12" t="inlineStr">
        <is>
          <t>PCM: power control module</t>
        </is>
      </c>
      <c r="G4828" s="12" t="inlineStr">
        <is>
          <t>JB-SC-2-AI03</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4503</v>
      </c>
      <c r="U4828" s="16" t="n">
        <v>33</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I-I-0467</t>
        </is>
      </c>
      <c r="B4829" s="12" t="inlineStr">
        <is>
          <t>I</t>
        </is>
      </c>
      <c r="C4829" s="12" t="inlineStr">
        <is>
          <t>Modular / portable power</t>
        </is>
      </c>
      <c r="D4829" s="12" t="inlineStr">
        <is>
          <t>Analog instrument to JB JB-SC-2-AI04: 20 x 1 pr (field cables)</t>
        </is>
      </c>
      <c r="E4829" s="12" t="inlineStr">
        <is>
          <t>SC-2</t>
        </is>
      </c>
      <c r="F4829" s="12" t="inlineStr">
        <is>
          <t>SC-2: aeroderivative simple-cycle unit (LM6000 class)</t>
        </is>
      </c>
      <c r="G4829" s="12" t="inlineStr">
        <is>
          <t>JB-SC-2-AI04</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I-I-0468</t>
        </is>
      </c>
      <c r="B4830" s="12" t="inlineStr">
        <is>
          <t>I</t>
        </is>
      </c>
      <c r="C4830" s="12" t="inlineStr">
        <is>
          <t>Modular / portable power</t>
        </is>
      </c>
      <c r="D4830" s="12" t="inlineStr">
        <is>
          <t>Home run JB-SC-2-AI04 to the control / marshalling room</t>
        </is>
      </c>
      <c r="E4830" s="12" t="inlineStr"/>
      <c r="F4830" s="12" t="inlineStr">
        <is>
          <t>PCM: power control module</t>
        </is>
      </c>
      <c r="G4830" s="12" t="inlineStr">
        <is>
          <t>JB-SC-2-AI04</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4503</v>
      </c>
      <c r="U4830" s="16" t="n">
        <v>33</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I-I-0469</t>
        </is>
      </c>
      <c r="B4831" s="12" t="inlineStr">
        <is>
          <t>I</t>
        </is>
      </c>
      <c r="C4831" s="12" t="inlineStr">
        <is>
          <t>Modular / portable power</t>
        </is>
      </c>
      <c r="D4831" s="12" t="inlineStr">
        <is>
          <t>Analog instrument to JB JB-SC-2-AI05: 20 x 1 pr (field cables)</t>
        </is>
      </c>
      <c r="E4831" s="12" t="inlineStr">
        <is>
          <t>SC-2</t>
        </is>
      </c>
      <c r="F4831" s="12" t="inlineStr">
        <is>
          <t>SC-2: aeroderivative simple-cycle unit (LM6000 class)</t>
        </is>
      </c>
      <c r="G4831" s="12" t="inlineStr">
        <is>
          <t>JB-SC-2-AI05</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I-I-0470</t>
        </is>
      </c>
      <c r="B4832" s="12" t="inlineStr">
        <is>
          <t>I</t>
        </is>
      </c>
      <c r="C4832" s="12" t="inlineStr">
        <is>
          <t>Modular / portable power</t>
        </is>
      </c>
      <c r="D4832" s="12" t="inlineStr">
        <is>
          <t>Home run JB-SC-2-AI05 to the control / marshalling room</t>
        </is>
      </c>
      <c r="E4832" s="12" t="inlineStr"/>
      <c r="F4832" s="12" t="inlineStr">
        <is>
          <t>PCM: power control module</t>
        </is>
      </c>
      <c r="G4832" s="12" t="inlineStr">
        <is>
          <t>JB-SC-2-AI05</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4503</v>
      </c>
      <c r="U4832" s="16" t="n">
        <v>33</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I-I-0471</t>
        </is>
      </c>
      <c r="B4833" s="12" t="inlineStr">
        <is>
          <t>I</t>
        </is>
      </c>
      <c r="C4833" s="12" t="inlineStr">
        <is>
          <t>Modular / portable power</t>
        </is>
      </c>
      <c r="D4833" s="12" t="inlineStr">
        <is>
          <t>Analog instrument to JB JB-SC-2-AI06: 20 x 1 pr (field cables)</t>
        </is>
      </c>
      <c r="E4833" s="12" t="inlineStr">
        <is>
          <t>SC-2</t>
        </is>
      </c>
      <c r="F4833" s="12" t="inlineStr">
        <is>
          <t>SC-2: aeroderivative simple-cycle unit (LM6000 class)</t>
        </is>
      </c>
      <c r="G4833" s="12" t="inlineStr">
        <is>
          <t>JB-SC-2-AI06</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I-I-0472</t>
        </is>
      </c>
      <c r="B4834" s="12" t="inlineStr">
        <is>
          <t>I</t>
        </is>
      </c>
      <c r="C4834" s="12" t="inlineStr">
        <is>
          <t>Modular / portable power</t>
        </is>
      </c>
      <c r="D4834" s="12" t="inlineStr">
        <is>
          <t>Home run JB-SC-2-AI06 to the control / marshalling room</t>
        </is>
      </c>
      <c r="E4834" s="12" t="inlineStr"/>
      <c r="F4834" s="12" t="inlineStr">
        <is>
          <t>PCM: power control module</t>
        </is>
      </c>
      <c r="G4834" s="12" t="inlineStr">
        <is>
          <t>JB-SC-2-AI06</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4503</v>
      </c>
      <c r="U4834" s="16" t="n">
        <v>33</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I-I-0473</t>
        </is>
      </c>
      <c r="B4835" s="12" t="inlineStr">
        <is>
          <t>I</t>
        </is>
      </c>
      <c r="C4835" s="12" t="inlineStr">
        <is>
          <t>Modular / portable power</t>
        </is>
      </c>
      <c r="D4835" s="12" t="inlineStr">
        <is>
          <t>Analog instrument to JB JB-SC-2-AI07: 20 x 1 pr (field cables)</t>
        </is>
      </c>
      <c r="E4835" s="12" t="inlineStr">
        <is>
          <t>SC-2</t>
        </is>
      </c>
      <c r="F4835" s="12" t="inlineStr">
        <is>
          <t>SC-2: aeroderivative simple-cycle unit (LM6000 class)</t>
        </is>
      </c>
      <c r="G4835" s="12" t="inlineStr">
        <is>
          <t>JB-SC-2-AI07</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I-I-0474</t>
        </is>
      </c>
      <c r="B4836" s="12" t="inlineStr">
        <is>
          <t>I</t>
        </is>
      </c>
      <c r="C4836" s="12" t="inlineStr">
        <is>
          <t>Modular / portable power</t>
        </is>
      </c>
      <c r="D4836" s="12" t="inlineStr">
        <is>
          <t>Home run JB-SC-2-AI07 to the control / marshalling room</t>
        </is>
      </c>
      <c r="E4836" s="12" t="inlineStr"/>
      <c r="F4836" s="12" t="inlineStr">
        <is>
          <t>PCM: power control module</t>
        </is>
      </c>
      <c r="G4836" s="12" t="inlineStr">
        <is>
          <t>JB-SC-2-AI07</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4503</v>
      </c>
      <c r="U4836" s="16" t="n">
        <v>33</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I-I-0475</t>
        </is>
      </c>
      <c r="B4837" s="12" t="inlineStr">
        <is>
          <t>I</t>
        </is>
      </c>
      <c r="C4837" s="12" t="inlineStr">
        <is>
          <t>Modular / portable power</t>
        </is>
      </c>
      <c r="D4837" s="12" t="inlineStr">
        <is>
          <t>Analog instrument to JB JB-SC-2-AI08: 10 x 1 pr (field cables)</t>
        </is>
      </c>
      <c r="E4837" s="12" t="inlineStr">
        <is>
          <t>SC-2</t>
        </is>
      </c>
      <c r="F4837" s="12" t="inlineStr">
        <is>
          <t>SC-2: aeroderivative simple-cycle unit (LM6000 class)</t>
        </is>
      </c>
      <c r="G4837" s="12" t="inlineStr">
        <is>
          <t>JB-SC-2-AI08</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10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I-I-0476</t>
        </is>
      </c>
      <c r="B4838" s="12" t="inlineStr">
        <is>
          <t>I</t>
        </is>
      </c>
      <c r="C4838" s="12" t="inlineStr">
        <is>
          <t>Modular / portable power</t>
        </is>
      </c>
      <c r="D4838" s="12" t="inlineStr">
        <is>
          <t>Home run JB-SC-2-AI08 to the control / marshalling room</t>
        </is>
      </c>
      <c r="E4838" s="12" t="inlineStr"/>
      <c r="F4838" s="12" t="inlineStr">
        <is>
          <t>PCM: power control module</t>
        </is>
      </c>
      <c r="G4838" s="12" t="inlineStr">
        <is>
          <t>JB-SC-2-AI08</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4503</v>
      </c>
      <c r="U4838" s="16" t="n">
        <v>33</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I-I-0477</t>
        </is>
      </c>
      <c r="B4839" s="12" t="inlineStr">
        <is>
          <t>I</t>
        </is>
      </c>
      <c r="C4839" s="12" t="inlineStr">
        <is>
          <t>Modular / portable power</t>
        </is>
      </c>
      <c r="D4839" s="12" t="inlineStr">
        <is>
          <t>Discrete device to JB JB-SC-2-DI01: 20 x 1 pr (field cables)</t>
        </is>
      </c>
      <c r="E4839" s="12" t="inlineStr">
        <is>
          <t>SC-2</t>
        </is>
      </c>
      <c r="F4839" s="12" t="inlineStr">
        <is>
          <t>SC-2: aeroderivative simple-cycle unit (LM6000 class)</t>
        </is>
      </c>
      <c r="G4839" s="12" t="inlineStr">
        <is>
          <t>JB-SC-2-DI01</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I-I-0478</t>
        </is>
      </c>
      <c r="B4840" s="12" t="inlineStr">
        <is>
          <t>I</t>
        </is>
      </c>
      <c r="C4840" s="12" t="inlineStr">
        <is>
          <t>Modular / portable power</t>
        </is>
      </c>
      <c r="D4840" s="12" t="inlineStr">
        <is>
          <t>Home run JB-SC-2-DI01 to the control / marshalling room</t>
        </is>
      </c>
      <c r="E4840" s="12" t="inlineStr"/>
      <c r="F4840" s="12" t="inlineStr">
        <is>
          <t>PCM: power control module</t>
        </is>
      </c>
      <c r="G4840" s="12" t="inlineStr">
        <is>
          <t>JB-SC-2-DI01</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4503</v>
      </c>
      <c r="U4840" s="16" t="n">
        <v>33</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I-I-0479</t>
        </is>
      </c>
      <c r="B4841" s="12" t="inlineStr">
        <is>
          <t>I</t>
        </is>
      </c>
      <c r="C4841" s="12" t="inlineStr">
        <is>
          <t>Modular / portable power</t>
        </is>
      </c>
      <c r="D4841" s="12" t="inlineStr">
        <is>
          <t>Discrete device to JB JB-SC-2-DI02: 20 x 1 pr (field cables)</t>
        </is>
      </c>
      <c r="E4841" s="12" t="inlineStr">
        <is>
          <t>SC-2</t>
        </is>
      </c>
      <c r="F4841" s="12" t="inlineStr">
        <is>
          <t>SC-2: aeroderivative simple-cycle unit (LM6000 class)</t>
        </is>
      </c>
      <c r="G4841" s="12" t="inlineStr">
        <is>
          <t>JB-SC-2-DI02</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I-I-0480</t>
        </is>
      </c>
      <c r="B4842" s="12" t="inlineStr">
        <is>
          <t>I</t>
        </is>
      </c>
      <c r="C4842" s="12" t="inlineStr">
        <is>
          <t>Modular / portable power</t>
        </is>
      </c>
      <c r="D4842" s="12" t="inlineStr">
        <is>
          <t>Home run JB-SC-2-DI02 to the control / marshalling room</t>
        </is>
      </c>
      <c r="E4842" s="12" t="inlineStr"/>
      <c r="F4842" s="12" t="inlineStr">
        <is>
          <t>PCM: power control module</t>
        </is>
      </c>
      <c r="G4842" s="12" t="inlineStr">
        <is>
          <t>JB-SC-2-DI02</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4503</v>
      </c>
      <c r="U4842" s="16" t="n">
        <v>33</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I-I-0481</t>
        </is>
      </c>
      <c r="B4843" s="12" t="inlineStr">
        <is>
          <t>I</t>
        </is>
      </c>
      <c r="C4843" s="12" t="inlineStr">
        <is>
          <t>Modular / portable power</t>
        </is>
      </c>
      <c r="D4843" s="12" t="inlineStr">
        <is>
          <t>Discrete device to JB JB-SC-2-DI03: 20 x 1 pr (field cables)</t>
        </is>
      </c>
      <c r="E4843" s="12" t="inlineStr">
        <is>
          <t>SC-2</t>
        </is>
      </c>
      <c r="F4843" s="12" t="inlineStr">
        <is>
          <t>SC-2: aeroderivative simple-cycle unit (LM6000 class)</t>
        </is>
      </c>
      <c r="G4843" s="12" t="inlineStr">
        <is>
          <t>JB-SC-2-DI03</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I-I-0482</t>
        </is>
      </c>
      <c r="B4844" s="12" t="inlineStr">
        <is>
          <t>I</t>
        </is>
      </c>
      <c r="C4844" s="12" t="inlineStr">
        <is>
          <t>Modular / portable power</t>
        </is>
      </c>
      <c r="D4844" s="12" t="inlineStr">
        <is>
          <t>Home run JB-SC-2-DI03 to the control / marshalling room</t>
        </is>
      </c>
      <c r="E4844" s="12" t="inlineStr"/>
      <c r="F4844" s="12" t="inlineStr">
        <is>
          <t>PCM: power control module</t>
        </is>
      </c>
      <c r="G4844" s="12" t="inlineStr">
        <is>
          <t>JB-SC-2-DI03</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4503</v>
      </c>
      <c r="U4844" s="16" t="n">
        <v>33</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I-I-0483</t>
        </is>
      </c>
      <c r="B4845" s="12" t="inlineStr">
        <is>
          <t>I</t>
        </is>
      </c>
      <c r="C4845" s="12" t="inlineStr">
        <is>
          <t>Modular / portable power</t>
        </is>
      </c>
      <c r="D4845" s="12" t="inlineStr">
        <is>
          <t>Discrete device to JB JB-SC-2-DI04: 20 x 1 pr (field cables)</t>
        </is>
      </c>
      <c r="E4845" s="12" t="inlineStr">
        <is>
          <t>SC-2</t>
        </is>
      </c>
      <c r="F4845" s="12" t="inlineStr">
        <is>
          <t>SC-2: aeroderivative simple-cycle unit (LM6000 class)</t>
        </is>
      </c>
      <c r="G4845" s="12" t="inlineStr">
        <is>
          <t>JB-SC-2-DI04</t>
        </is>
      </c>
      <c r="H4845" s="12" t="inlineStr">
        <is>
          <t>SC-2: aeroderivative simple-cycle unit (LM6000 class)</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I-I-0484</t>
        </is>
      </c>
      <c r="B4846" s="12" t="inlineStr">
        <is>
          <t>I</t>
        </is>
      </c>
      <c r="C4846" s="12" t="inlineStr">
        <is>
          <t>Modular / portable power</t>
        </is>
      </c>
      <c r="D4846" s="12" t="inlineStr">
        <is>
          <t>Home run JB-SC-2-DI04 to the control / marshalling room</t>
        </is>
      </c>
      <c r="E4846" s="12" t="inlineStr"/>
      <c r="F4846" s="12" t="inlineStr">
        <is>
          <t>PCM: power control module</t>
        </is>
      </c>
      <c r="G4846" s="12" t="inlineStr">
        <is>
          <t>JB-SC-2-DI04</t>
        </is>
      </c>
      <c r="H4846" s="12" t="inlineStr">
        <is>
          <t>SC-2: aeroderivative simple-cycle unit (LM6000 class)</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HV duct bank</t>
        </is>
      </c>
      <c r="T4846" s="16" t="n">
        <v>4503</v>
      </c>
      <c r="U4846" s="16" t="n">
        <v>33</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I-I-0485</t>
        </is>
      </c>
      <c r="B4847" s="12" t="inlineStr">
        <is>
          <t>I</t>
        </is>
      </c>
      <c r="C4847" s="12" t="inlineStr">
        <is>
          <t>Modular / portable power</t>
        </is>
      </c>
      <c r="D4847" s="12" t="inlineStr">
        <is>
          <t>Discrete device to JB JB-SC-2-DI05: 20 x 1 pr (field cables)</t>
        </is>
      </c>
      <c r="E4847" s="12" t="inlineStr">
        <is>
          <t>SC-2</t>
        </is>
      </c>
      <c r="F4847" s="12" t="inlineStr">
        <is>
          <t>SC-2: aeroderivative simple-cycle unit (LM6000 class)</t>
        </is>
      </c>
      <c r="G4847" s="12" t="inlineStr">
        <is>
          <t>JB-SC-2-DI05</t>
        </is>
      </c>
      <c r="H4847" s="12" t="inlineStr">
        <is>
          <t>SC-2: aeroderivative simple-cycle unit (LM6000 class)</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I-I-0486</t>
        </is>
      </c>
      <c r="B4848" s="12" t="inlineStr">
        <is>
          <t>I</t>
        </is>
      </c>
      <c r="C4848" s="12" t="inlineStr">
        <is>
          <t>Modular / portable power</t>
        </is>
      </c>
      <c r="D4848" s="12" t="inlineStr">
        <is>
          <t>Home run JB-SC-2-DI05 to the control / marshalling room</t>
        </is>
      </c>
      <c r="E4848" s="12" t="inlineStr"/>
      <c r="F4848" s="12" t="inlineStr">
        <is>
          <t>PCM: power control module</t>
        </is>
      </c>
      <c r="G4848" s="12" t="inlineStr">
        <is>
          <t>JB-SC-2-DI05</t>
        </is>
      </c>
      <c r="H4848" s="12" t="inlineStr">
        <is>
          <t>SC-2: aeroderivative simple-cycle unit (LM6000 class)</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HV duct bank</t>
        </is>
      </c>
      <c r="T4848" s="16" t="n">
        <v>4503</v>
      </c>
      <c r="U4848" s="16" t="n">
        <v>33</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I-I-0487</t>
        </is>
      </c>
      <c r="B4849" s="12" t="inlineStr">
        <is>
          <t>I</t>
        </is>
      </c>
      <c r="C4849" s="12" t="inlineStr">
        <is>
          <t>Modular / portable power</t>
        </is>
      </c>
      <c r="D4849" s="12" t="inlineStr">
        <is>
          <t>Thermocouple to TC JB JB-SC-2-TC01: 20 x 1 pr (field cables)</t>
        </is>
      </c>
      <c r="E4849" s="12" t="inlineStr">
        <is>
          <t>SC-2</t>
        </is>
      </c>
      <c r="F4849" s="12" t="inlineStr">
        <is>
          <t>SC-2: aeroderivative simple-cycle unit (LM6000 class)</t>
        </is>
      </c>
      <c r="G4849" s="12" t="inlineStr">
        <is>
          <t>JB-SC-2-TC01</t>
        </is>
      </c>
      <c r="H4849" s="12" t="inlineStr">
        <is>
          <t>SC-2: aeroderivative simple-cycle unit (LM6000 class)</t>
        </is>
      </c>
      <c r="I4849" s="12" t="inlineStr">
        <is>
          <t>Instrumentation</t>
        </is>
      </c>
      <c r="J4849" s="12" t="inlineStr">
        <is>
          <t>Thermocouple extension KX, #16 shielded pairs, PLTC</t>
        </is>
      </c>
      <c r="K4849" s="12" t="inlineStr">
        <is>
          <t>TCX|1 pr|16</t>
        </is>
      </c>
      <c r="L4849" s="12" t="inlineStr">
        <is>
          <t>1 pr</t>
        </is>
      </c>
      <c r="M4849" s="12" t="inlineStr">
        <is>
          <t>16</t>
        </is>
      </c>
      <c r="N4849" s="12" t="n">
        <v>20</v>
      </c>
      <c r="O4849" s="12" t="n">
        <v>1</v>
      </c>
      <c r="P4849" s="12" t="n"/>
      <c r="Q4849" s="12" t="n"/>
      <c r="R4849" s="12" t="n"/>
      <c r="S4849" s="12" t="inlineStr">
        <is>
          <t>Tray / conduit</t>
        </is>
      </c>
      <c r="T4849" s="16" t="n">
        <v>99</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I-I-0488</t>
        </is>
      </c>
      <c r="B4850" s="12" t="inlineStr">
        <is>
          <t>I</t>
        </is>
      </c>
      <c r="C4850" s="12" t="inlineStr">
        <is>
          <t>Modular / portable power</t>
        </is>
      </c>
      <c r="D4850" s="12" t="inlineStr">
        <is>
          <t>Home run JB-SC-2-TC01 to the control / marshalling room</t>
        </is>
      </c>
      <c r="E4850" s="12" t="inlineStr"/>
      <c r="F4850" s="12" t="inlineStr">
        <is>
          <t>PCM: power control module</t>
        </is>
      </c>
      <c r="G4850" s="12" t="inlineStr">
        <is>
          <t>JB-SC-2-TC01</t>
        </is>
      </c>
      <c r="H4850" s="12" t="inlineStr">
        <is>
          <t>SC-2: aeroderivative simple-cycle unit (LM6000 class)</t>
        </is>
      </c>
      <c r="I4850" s="12" t="inlineStr">
        <is>
          <t>Instrumentation</t>
        </is>
      </c>
      <c r="J4850" s="12" t="inlineStr">
        <is>
          <t>Thermocouple extension KX, #16 shielded pairs, PLTC</t>
        </is>
      </c>
      <c r="K4850" s="12" t="inlineStr">
        <is>
          <t>TCX|24 pr|16</t>
        </is>
      </c>
      <c r="L4850" s="12" t="inlineStr">
        <is>
          <t>24 pr</t>
        </is>
      </c>
      <c r="M4850" s="12" t="inlineStr">
        <is>
          <t>16</t>
        </is>
      </c>
      <c r="N4850" s="12" t="n">
        <v>1</v>
      </c>
      <c r="O4850" s="12" t="n">
        <v>1</v>
      </c>
      <c r="P4850" s="12" t="n"/>
      <c r="Q4850" s="12" t="n"/>
      <c r="R4850" s="12" t="n"/>
      <c r="S4850" s="12" t="inlineStr">
        <is>
          <t>HV duct bank</t>
        </is>
      </c>
      <c r="T4850" s="16" t="n">
        <v>4503</v>
      </c>
      <c r="U4850" s="16" t="n">
        <v>33</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I-I-0489</t>
        </is>
      </c>
      <c r="B4851" s="12" t="inlineStr">
        <is>
          <t>I</t>
        </is>
      </c>
      <c r="C4851" s="12" t="inlineStr">
        <is>
          <t>Modular / portable power</t>
        </is>
      </c>
      <c r="D4851" s="12" t="inlineStr">
        <is>
          <t>Thermocouple to TC JB JB-SC-2-TC02: 20 x 1 pr (field cables)</t>
        </is>
      </c>
      <c r="E4851" s="12" t="inlineStr">
        <is>
          <t>SC-2</t>
        </is>
      </c>
      <c r="F4851" s="12" t="inlineStr">
        <is>
          <t>SC-2: aeroderivative simple-cycle unit (LM6000 class)</t>
        </is>
      </c>
      <c r="G4851" s="12" t="inlineStr">
        <is>
          <t>JB-SC-2-TC02</t>
        </is>
      </c>
      <c r="H4851" s="12" t="inlineStr">
        <is>
          <t>SC-2: aeroderivative simple-cycle unit (LM6000 class)</t>
        </is>
      </c>
      <c r="I4851" s="12" t="inlineStr">
        <is>
          <t>Instrumentation</t>
        </is>
      </c>
      <c r="J4851" s="12" t="inlineStr">
        <is>
          <t>Thermocouple extension KX, #16 shielded pairs, PLTC</t>
        </is>
      </c>
      <c r="K4851" s="12" t="inlineStr">
        <is>
          <t>TCX|1 pr|16</t>
        </is>
      </c>
      <c r="L4851" s="12" t="inlineStr">
        <is>
          <t>1 pr</t>
        </is>
      </c>
      <c r="M4851" s="12" t="inlineStr">
        <is>
          <t>16</t>
        </is>
      </c>
      <c r="N4851" s="12" t="n">
        <v>20</v>
      </c>
      <c r="O4851" s="12" t="n">
        <v>1</v>
      </c>
      <c r="P4851" s="12" t="n"/>
      <c r="Q4851" s="12" t="n"/>
      <c r="R4851" s="12" t="n"/>
      <c r="S4851" s="12" t="inlineStr">
        <is>
          <t>Tray / conduit</t>
        </is>
      </c>
      <c r="T4851" s="16" t="n">
        <v>99</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I-I-0490</t>
        </is>
      </c>
      <c r="B4852" s="12" t="inlineStr">
        <is>
          <t>I</t>
        </is>
      </c>
      <c r="C4852" s="12" t="inlineStr">
        <is>
          <t>Modular / portable power</t>
        </is>
      </c>
      <c r="D4852" s="12" t="inlineStr">
        <is>
          <t>Home run JB-SC-2-TC02 to the control / marshalling room</t>
        </is>
      </c>
      <c r="E4852" s="12" t="inlineStr"/>
      <c r="F4852" s="12" t="inlineStr">
        <is>
          <t>PCM: power control module</t>
        </is>
      </c>
      <c r="G4852" s="12" t="inlineStr">
        <is>
          <t>JB-SC-2-TC02</t>
        </is>
      </c>
      <c r="H4852" s="12" t="inlineStr">
        <is>
          <t>SC-2: aeroderivative simple-cycle unit (LM6000 class)</t>
        </is>
      </c>
      <c r="I4852" s="12" t="inlineStr">
        <is>
          <t>Instrumentation</t>
        </is>
      </c>
      <c r="J4852" s="12" t="inlineStr">
        <is>
          <t>Thermocouple extension KX, #16 shielded pairs, PLTC</t>
        </is>
      </c>
      <c r="K4852" s="12" t="inlineStr">
        <is>
          <t>TCX|24 pr|16</t>
        </is>
      </c>
      <c r="L4852" s="12" t="inlineStr">
        <is>
          <t>24 pr</t>
        </is>
      </c>
      <c r="M4852" s="12" t="inlineStr">
        <is>
          <t>16</t>
        </is>
      </c>
      <c r="N4852" s="12" t="n">
        <v>1</v>
      </c>
      <c r="O4852" s="12" t="n">
        <v>1</v>
      </c>
      <c r="P4852" s="12" t="n"/>
      <c r="Q4852" s="12" t="n"/>
      <c r="R4852" s="12" t="n"/>
      <c r="S4852" s="12" t="inlineStr">
        <is>
          <t>HV duct bank</t>
        </is>
      </c>
      <c r="T4852" s="16" t="n">
        <v>4503</v>
      </c>
      <c r="U4852" s="16" t="n">
        <v>33</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I-I-0491</t>
        </is>
      </c>
      <c r="B4853" s="12" t="inlineStr">
        <is>
          <t>I</t>
        </is>
      </c>
      <c r="C4853" s="12" t="inlineStr">
        <is>
          <t>Modular / portable power</t>
        </is>
      </c>
      <c r="D4853" s="12" t="inlineStr">
        <is>
          <t>Analog instrument to JB JB-T-MOD 230 kV take--AI01: 8 x 1 pr (field cables)</t>
        </is>
      </c>
      <c r="E4853" s="12" t="inlineStr"/>
      <c r="F4853" s="12" t="inlineStr">
        <is>
          <t>T-MOD 230 kV take-off gantry with arresters</t>
        </is>
      </c>
      <c r="G4853" s="12" t="inlineStr">
        <is>
          <t>JB-T-MOD 230 kV take--AI01</t>
        </is>
      </c>
      <c r="H4853" s="12" t="inlineStr">
        <is>
          <t>T-MOD 230 kV take-off gantry with arresters</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88</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I-I-0492</t>
        </is>
      </c>
      <c r="B4854" s="12" t="inlineStr">
        <is>
          <t>I</t>
        </is>
      </c>
      <c r="C4854" s="12" t="inlineStr">
        <is>
          <t>Modular / portable power</t>
        </is>
      </c>
      <c r="D4854" s="12" t="inlineStr">
        <is>
          <t>Home run JB-T-MOD 230 kV take--AI01 to the control / marshalling room</t>
        </is>
      </c>
      <c r="E4854" s="12" t="inlineStr">
        <is>
          <t>PAD-EH</t>
        </is>
      </c>
      <c r="F4854" s="12" t="inlineStr">
        <is>
          <t>PAD-EH 13.8 kV switchgear e-house</t>
        </is>
      </c>
      <c r="G4854" s="12" t="inlineStr">
        <is>
          <t>JB-T-MOD 230 kV take--AI01</t>
        </is>
      </c>
      <c r="H4854" s="12" t="inlineStr">
        <is>
          <t>T-MOD 230 kV take-off gantry with arresters</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HV duct bank</t>
        </is>
      </c>
      <c r="T4854" s="16" t="n">
        <v>2394</v>
      </c>
      <c r="U4854" s="16" t="n">
        <v>127</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I-I-0493</t>
        </is>
      </c>
      <c r="B4855" s="12" t="inlineStr">
        <is>
          <t>I</t>
        </is>
      </c>
      <c r="C4855" s="12" t="inlineStr">
        <is>
          <t>Modular / portable power</t>
        </is>
      </c>
      <c r="D4855" s="12" t="inlineStr">
        <is>
          <t>Discrete device to JB JB-T-MOD 230 kV take--DI01: 16 x 1 pr (field cables)</t>
        </is>
      </c>
      <c r="E4855" s="12" t="inlineStr"/>
      <c r="F4855" s="12" t="inlineStr">
        <is>
          <t>T-MOD 230 kV take-off gantry with arresters</t>
        </is>
      </c>
      <c r="G4855" s="12" t="inlineStr">
        <is>
          <t>JB-T-MOD 230 kV take--DI01</t>
        </is>
      </c>
      <c r="H4855" s="12" t="inlineStr">
        <is>
          <t>T-MOD 230 kV take-off gantry with arresters</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88</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I-I-0494</t>
        </is>
      </c>
      <c r="B4856" s="12" t="inlineStr">
        <is>
          <t>I</t>
        </is>
      </c>
      <c r="C4856" s="12" t="inlineStr">
        <is>
          <t>Modular / portable power</t>
        </is>
      </c>
      <c r="D4856" s="12" t="inlineStr">
        <is>
          <t>Home run JB-T-MOD 230 kV take--DI01 to the control / marshalling room</t>
        </is>
      </c>
      <c r="E4856" s="12" t="inlineStr">
        <is>
          <t>PAD-EH</t>
        </is>
      </c>
      <c r="F4856" s="12" t="inlineStr">
        <is>
          <t>PAD-EH 13.8 kV switchgear e-house</t>
        </is>
      </c>
      <c r="G4856" s="12" t="inlineStr">
        <is>
          <t>JB-T-MOD 230 kV take--DI01</t>
        </is>
      </c>
      <c r="H4856" s="12" t="inlineStr">
        <is>
          <t>T-MOD 230 kV take-off gantry with arresters</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HV duct bank</t>
        </is>
      </c>
      <c r="T4856" s="16" t="n">
        <v>2394</v>
      </c>
      <c r="U4856" s="16" t="n">
        <v>127</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I-I-0495</t>
        </is>
      </c>
      <c r="B4857" s="12" t="inlineStr">
        <is>
          <t>I</t>
        </is>
      </c>
      <c r="C4857" s="12" t="inlineStr">
        <is>
          <t>Modular / portable power</t>
        </is>
      </c>
      <c r="D4857" s="12" t="inlineStr">
        <is>
          <t>Analog instrument to JB JB-T-MOD-1 / T-MOD-2 -AI01: 8 x 1 pr (field cables)</t>
        </is>
      </c>
      <c r="E4857" s="12" t="inlineStr"/>
      <c r="F4857" s="12" t="inlineStr">
        <is>
          <t>T-MOD-1 / T-MOD-2 firewall</t>
        </is>
      </c>
      <c r="G4857" s="12" t="inlineStr">
        <is>
          <t>JB-T-MOD-1 / T-MOD-2 -AI01</t>
        </is>
      </c>
      <c r="H4857" s="12" t="inlineStr">
        <is>
          <t>T-MOD-1 / T-MOD-2 firewall</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64</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I-I-0496</t>
        </is>
      </c>
      <c r="B4858" s="12" t="inlineStr">
        <is>
          <t>I</t>
        </is>
      </c>
      <c r="C4858" s="12" t="inlineStr">
        <is>
          <t>Modular / portable power</t>
        </is>
      </c>
      <c r="D4858" s="12" t="inlineStr">
        <is>
          <t>Home run JB-T-MOD-1 / T-MOD-2 -AI01 to the control / marshalling room</t>
        </is>
      </c>
      <c r="E4858" s="12" t="inlineStr"/>
      <c r="F4858" s="12" t="inlineStr">
        <is>
          <t>PCM: power control module</t>
        </is>
      </c>
      <c r="G4858" s="12" t="inlineStr">
        <is>
          <t>JB-T-MOD-1 / T-MOD-2 -AI01</t>
        </is>
      </c>
      <c r="H4858" s="12" t="inlineStr">
        <is>
          <t>T-MOD-1 / T-MOD-2 firewall</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385</v>
      </c>
      <c r="U4858" s="16" t="n">
        <v>160</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I-I-0497</t>
        </is>
      </c>
      <c r="B4859" s="12" t="inlineStr">
        <is>
          <t>I</t>
        </is>
      </c>
      <c r="C4859" s="12" t="inlineStr">
        <is>
          <t>Modular / portable power</t>
        </is>
      </c>
      <c r="D4859" s="12" t="inlineStr">
        <is>
          <t>Discrete device to JB JB-T-MOD-1 / T-MOD-2 -DI01: 16 x 1 pr (field cables)</t>
        </is>
      </c>
      <c r="E4859" s="12" t="inlineStr"/>
      <c r="F4859" s="12" t="inlineStr">
        <is>
          <t>T-MOD-1 / T-MOD-2 firewall</t>
        </is>
      </c>
      <c r="G4859" s="12" t="inlineStr">
        <is>
          <t>JB-T-MOD-1 / T-MOD-2 -DI01</t>
        </is>
      </c>
      <c r="H4859" s="12" t="inlineStr">
        <is>
          <t>T-MOD-1 / T-MOD-2 firewall</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64</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I-I-0498</t>
        </is>
      </c>
      <c r="B4860" s="12" t="inlineStr">
        <is>
          <t>I</t>
        </is>
      </c>
      <c r="C4860" s="12" t="inlineStr">
        <is>
          <t>Modular / portable power</t>
        </is>
      </c>
      <c r="D4860" s="12" t="inlineStr">
        <is>
          <t>Home run JB-T-MOD-1 / T-MOD-2 -DI01 to the control / marshalling room</t>
        </is>
      </c>
      <c r="E4860" s="12" t="inlineStr"/>
      <c r="F4860" s="12" t="inlineStr">
        <is>
          <t>PCM: power control module</t>
        </is>
      </c>
      <c r="G4860" s="12" t="inlineStr">
        <is>
          <t>JB-T-MOD-1 / T-MOD-2 -DI01</t>
        </is>
      </c>
      <c r="H4860" s="12" t="inlineStr">
        <is>
          <t>T-MOD-1 / T-MOD-2 firewall</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385</v>
      </c>
      <c r="U4860" s="16" t="n">
        <v>160</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I-I-0499</t>
        </is>
      </c>
      <c r="B4861" s="12" t="inlineStr">
        <is>
          <t>I</t>
        </is>
      </c>
      <c r="C4861" s="12" t="inlineStr">
        <is>
          <t>Modular / portable power</t>
        </is>
      </c>
      <c r="D4861" s="12" t="inlineStr">
        <is>
          <t>Analog instrument to JB JB-T-MOD-1-AI01: 8 x 1 pr (field cables)</t>
        </is>
      </c>
      <c r="E4861" s="12" t="inlineStr">
        <is>
          <t>T-MOD-1</t>
        </is>
      </c>
      <c r="F4861" s="12" t="inlineStr">
        <is>
          <t>T-MOD-1: 13.8/230 kV</t>
        </is>
      </c>
      <c r="G4861" s="12" t="inlineStr">
        <is>
          <t>JB-T-MOD-1-AI01</t>
        </is>
      </c>
      <c r="H4861" s="12" t="inlineStr">
        <is>
          <t>T-MOD-1: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I-I-0500</t>
        </is>
      </c>
      <c r="B4862" s="12" t="inlineStr">
        <is>
          <t>I</t>
        </is>
      </c>
      <c r="C4862" s="12" t="inlineStr">
        <is>
          <t>Modular / portable power</t>
        </is>
      </c>
      <c r="D4862" s="12" t="inlineStr">
        <is>
          <t>Home run JB-T-MOD-1-AI01 to the control / marshalling room</t>
        </is>
      </c>
      <c r="E4862" s="12" t="inlineStr"/>
      <c r="F4862" s="12" t="inlineStr">
        <is>
          <t>PCM: power control module</t>
        </is>
      </c>
      <c r="G4862" s="12" t="inlineStr">
        <is>
          <t>JB-T-MOD-1-AI01</t>
        </is>
      </c>
      <c r="H4862" s="12" t="inlineStr">
        <is>
          <t>T-MOD-1: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385</v>
      </c>
      <c r="U4862" s="16" t="n">
        <v>112</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I-I-0501</t>
        </is>
      </c>
      <c r="B4863" s="12" t="inlineStr">
        <is>
          <t>I</t>
        </is>
      </c>
      <c r="C4863" s="12" t="inlineStr">
        <is>
          <t>Modular / portable power</t>
        </is>
      </c>
      <c r="D4863" s="12" t="inlineStr">
        <is>
          <t>Discrete device to JB JB-T-MOD-1-DI01: 16 x 1 pr (field cables)</t>
        </is>
      </c>
      <c r="E4863" s="12" t="inlineStr">
        <is>
          <t>T-MOD-1</t>
        </is>
      </c>
      <c r="F4863" s="12" t="inlineStr">
        <is>
          <t>T-MOD-1: 13.8/230 kV</t>
        </is>
      </c>
      <c r="G4863" s="12" t="inlineStr">
        <is>
          <t>JB-T-MOD-1-DI01</t>
        </is>
      </c>
      <c r="H4863" s="12" t="inlineStr">
        <is>
          <t>T-MOD-1: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I-I-0502</t>
        </is>
      </c>
      <c r="B4864" s="12" t="inlineStr">
        <is>
          <t>I</t>
        </is>
      </c>
      <c r="C4864" s="12" t="inlineStr">
        <is>
          <t>Modular / portable power</t>
        </is>
      </c>
      <c r="D4864" s="12" t="inlineStr">
        <is>
          <t>Home run JB-T-MOD-1-DI01 to the control / marshalling room</t>
        </is>
      </c>
      <c r="E4864" s="12" t="inlineStr"/>
      <c r="F4864" s="12" t="inlineStr">
        <is>
          <t>PCM: power control module</t>
        </is>
      </c>
      <c r="G4864" s="12" t="inlineStr">
        <is>
          <t>JB-T-MOD-1-DI01</t>
        </is>
      </c>
      <c r="H4864" s="12" t="inlineStr">
        <is>
          <t>T-MOD-1: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385</v>
      </c>
      <c r="U4864" s="16" t="n">
        <v>112</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I-I-0503</t>
        </is>
      </c>
      <c r="B4865" s="12" t="inlineStr">
        <is>
          <t>I</t>
        </is>
      </c>
      <c r="C4865" s="12" t="inlineStr">
        <is>
          <t>Modular / portable power</t>
        </is>
      </c>
      <c r="D4865" s="12" t="inlineStr">
        <is>
          <t>Analog instrument to JB JB-T-MOD-2-AI01: 8 x 1 pr (field cables)</t>
        </is>
      </c>
      <c r="E4865" s="12" t="inlineStr">
        <is>
          <t>T-MOD-2</t>
        </is>
      </c>
      <c r="F4865" s="12" t="inlineStr">
        <is>
          <t>T-MOD-2: 13.8/230 kV</t>
        </is>
      </c>
      <c r="G4865" s="12" t="inlineStr">
        <is>
          <t>JB-T-MOD-2-AI01</t>
        </is>
      </c>
      <c r="H4865" s="12" t="inlineStr">
        <is>
          <t>T-MOD-2: 13.8/230 kV</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8</v>
      </c>
      <c r="O4865" s="12" t="n">
        <v>1</v>
      </c>
      <c r="P4865" s="12" t="n"/>
      <c r="Q4865" s="12" t="n"/>
      <c r="R4865" s="12" t="n"/>
      <c r="S4865" s="12" t="inlineStr">
        <is>
          <t>Tray / conduit</t>
        </is>
      </c>
      <c r="T4865" s="16" t="n">
        <v>77</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I-I-0504</t>
        </is>
      </c>
      <c r="B4866" s="12" t="inlineStr">
        <is>
          <t>I</t>
        </is>
      </c>
      <c r="C4866" s="12" t="inlineStr">
        <is>
          <t>Modular / portable power</t>
        </is>
      </c>
      <c r="D4866" s="12" t="inlineStr">
        <is>
          <t>Home run JB-T-MOD-2-AI01 to the control / marshalling room</t>
        </is>
      </c>
      <c r="E4866" s="12" t="inlineStr"/>
      <c r="F4866" s="12" t="inlineStr">
        <is>
          <t>PCM: power control module</t>
        </is>
      </c>
      <c r="G4866" s="12" t="inlineStr">
        <is>
          <t>JB-T-MOD-2-AI01</t>
        </is>
      </c>
      <c r="H4866" s="12" t="inlineStr">
        <is>
          <t>T-MOD-2: 13.8/230 kV</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6" t="n">
        <v>813</v>
      </c>
      <c r="U4866" s="16" t="n">
        <v>189</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I-I-0505</t>
        </is>
      </c>
      <c r="B4867" s="12" t="inlineStr">
        <is>
          <t>I</t>
        </is>
      </c>
      <c r="C4867" s="12" t="inlineStr">
        <is>
          <t>Modular / portable power</t>
        </is>
      </c>
      <c r="D4867" s="12" t="inlineStr">
        <is>
          <t>Discrete device to JB JB-T-MOD-2-DI01: 16 x 1 pr (field cables)</t>
        </is>
      </c>
      <c r="E4867" s="12" t="inlineStr">
        <is>
          <t>T-MOD-2</t>
        </is>
      </c>
      <c r="F4867" s="12" t="inlineStr">
        <is>
          <t>T-MOD-2: 13.8/230 kV</t>
        </is>
      </c>
      <c r="G4867" s="12" t="inlineStr">
        <is>
          <t>JB-T-MOD-2-DI01</t>
        </is>
      </c>
      <c r="H4867" s="12" t="inlineStr">
        <is>
          <t>T-MOD-2: 13.8/230 kV</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16</v>
      </c>
      <c r="O4867" s="12" t="n">
        <v>1</v>
      </c>
      <c r="P4867" s="12" t="n"/>
      <c r="Q4867" s="12" t="n"/>
      <c r="R4867" s="12" t="n"/>
      <c r="S4867" s="12" t="inlineStr">
        <is>
          <t>Tray / conduit</t>
        </is>
      </c>
      <c r="T4867" s="16" t="n">
        <v>77</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I-I-0506</t>
        </is>
      </c>
      <c r="B4868" s="12" t="inlineStr">
        <is>
          <t>I</t>
        </is>
      </c>
      <c r="C4868" s="12" t="inlineStr">
        <is>
          <t>Modular / portable power</t>
        </is>
      </c>
      <c r="D4868" s="12" t="inlineStr">
        <is>
          <t>Home run JB-T-MOD-2-DI01 to the control / marshalling room</t>
        </is>
      </c>
      <c r="E4868" s="12" t="inlineStr"/>
      <c r="F4868" s="12" t="inlineStr">
        <is>
          <t>PCM: power control module</t>
        </is>
      </c>
      <c r="G4868" s="12" t="inlineStr">
        <is>
          <t>JB-T-MOD-2-DI01</t>
        </is>
      </c>
      <c r="H4868" s="12" t="inlineStr">
        <is>
          <t>T-MOD-2: 13.8/230 kV</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6" t="n">
        <v>813</v>
      </c>
      <c r="U4868" s="16" t="n">
        <v>189</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I-I-0507</t>
        </is>
      </c>
      <c r="B4869" s="12" t="inlineStr">
        <is>
          <t>I</t>
        </is>
      </c>
      <c r="C4869" s="12" t="inlineStr">
        <is>
          <t>Modular / portable power</t>
        </is>
      </c>
      <c r="D4869" s="12" t="inlineStr">
        <is>
          <t>Analog instrument to JB JB-TM-1-AI01: 20 x 1 pr (field cables)</t>
        </is>
      </c>
      <c r="E4869" s="12" t="inlineStr">
        <is>
          <t>TM-1</t>
        </is>
      </c>
      <c r="F4869" s="12" t="inlineStr">
        <is>
          <t>TM-1: trailer-mounted aeroderivative GT (TM2500 class, ~35 MW)</t>
        </is>
      </c>
      <c r="G4869" s="12" t="inlineStr">
        <is>
          <t>JB-TM-1-AI01</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I-I-0508</t>
        </is>
      </c>
      <c r="B4870" s="12" t="inlineStr">
        <is>
          <t>I</t>
        </is>
      </c>
      <c r="C4870" s="12" t="inlineStr">
        <is>
          <t>Modular / portable power</t>
        </is>
      </c>
      <c r="D4870" s="12" t="inlineStr">
        <is>
          <t>Home run JB-TM-1-AI01 to the control / marshalling room</t>
        </is>
      </c>
      <c r="E4870" s="12" t="inlineStr">
        <is>
          <t>PAD-EH</t>
        </is>
      </c>
      <c r="F4870" s="12" t="inlineStr">
        <is>
          <t>PAD-EH 13.8 kV switchgear e-house</t>
        </is>
      </c>
      <c r="G4870" s="12" t="inlineStr">
        <is>
          <t>JB-TM-1-AI01</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375</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I-I-0509</t>
        </is>
      </c>
      <c r="B4871" s="12" t="inlineStr">
        <is>
          <t>I</t>
        </is>
      </c>
      <c r="C4871" s="12" t="inlineStr">
        <is>
          <t>Modular / portable power</t>
        </is>
      </c>
      <c r="D4871" s="12" t="inlineStr">
        <is>
          <t>Analog instrument to JB JB-TM-1-AI02: 20 x 1 pr (field cables)</t>
        </is>
      </c>
      <c r="E4871" s="12" t="inlineStr">
        <is>
          <t>TM-1</t>
        </is>
      </c>
      <c r="F4871" s="12" t="inlineStr">
        <is>
          <t>TM-1: trailer-mounted aeroderivative GT (TM2500 class, ~35 MW)</t>
        </is>
      </c>
      <c r="G4871" s="12" t="inlineStr">
        <is>
          <t>JB-TM-1-AI02</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I-I-0510</t>
        </is>
      </c>
      <c r="B4872" s="12" t="inlineStr">
        <is>
          <t>I</t>
        </is>
      </c>
      <c r="C4872" s="12" t="inlineStr">
        <is>
          <t>Modular / portable power</t>
        </is>
      </c>
      <c r="D4872" s="12" t="inlineStr">
        <is>
          <t>Home run JB-TM-1-AI02 to the control / marshalling room</t>
        </is>
      </c>
      <c r="E4872" s="12" t="inlineStr">
        <is>
          <t>PAD-EH</t>
        </is>
      </c>
      <c r="F4872" s="12" t="inlineStr">
        <is>
          <t>PAD-EH 13.8 kV switchgear e-house</t>
        </is>
      </c>
      <c r="G4872" s="12" t="inlineStr">
        <is>
          <t>JB-TM-1-AI02</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375</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I-I-0511</t>
        </is>
      </c>
      <c r="B4873" s="12" t="inlineStr">
        <is>
          <t>I</t>
        </is>
      </c>
      <c r="C4873" s="12" t="inlineStr">
        <is>
          <t>Modular / portable power</t>
        </is>
      </c>
      <c r="D4873" s="12" t="inlineStr">
        <is>
          <t>Analog instrument to JB JB-TM-1-AI03: 20 x 1 pr (field cables)</t>
        </is>
      </c>
      <c r="E4873" s="12" t="inlineStr">
        <is>
          <t>TM-1</t>
        </is>
      </c>
      <c r="F4873" s="12" t="inlineStr">
        <is>
          <t>TM-1: trailer-mounted aeroderivative GT (TM2500 class, ~35 MW)</t>
        </is>
      </c>
      <c r="G4873" s="12" t="inlineStr">
        <is>
          <t>JB-TM-1-AI03</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I-I-0512</t>
        </is>
      </c>
      <c r="B4874" s="12" t="inlineStr">
        <is>
          <t>I</t>
        </is>
      </c>
      <c r="C4874" s="12" t="inlineStr">
        <is>
          <t>Modular / portable power</t>
        </is>
      </c>
      <c r="D4874" s="12" t="inlineStr">
        <is>
          <t>Home run JB-TM-1-AI03 to the control / marshalling room</t>
        </is>
      </c>
      <c r="E4874" s="12" t="inlineStr">
        <is>
          <t>PAD-EH</t>
        </is>
      </c>
      <c r="F4874" s="12" t="inlineStr">
        <is>
          <t>PAD-EH 13.8 kV switchgear e-house</t>
        </is>
      </c>
      <c r="G4874" s="12" t="inlineStr">
        <is>
          <t>JB-TM-1-AI03</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375</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I-I-0513</t>
        </is>
      </c>
      <c r="B4875" s="12" t="inlineStr">
        <is>
          <t>I</t>
        </is>
      </c>
      <c r="C4875" s="12" t="inlineStr">
        <is>
          <t>Modular / portable power</t>
        </is>
      </c>
      <c r="D4875" s="12" t="inlineStr">
        <is>
          <t>Analog instrument to JB JB-TM-1-AI04: 20 x 1 pr (field cables)</t>
        </is>
      </c>
      <c r="E4875" s="12" t="inlineStr">
        <is>
          <t>TM-1</t>
        </is>
      </c>
      <c r="F4875" s="12" t="inlineStr">
        <is>
          <t>TM-1: trailer-mounted aeroderivative GT (TM2500 class, ~35 MW)</t>
        </is>
      </c>
      <c r="G4875" s="12" t="inlineStr">
        <is>
          <t>JB-TM-1-AI04</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I-I-0514</t>
        </is>
      </c>
      <c r="B4876" s="12" t="inlineStr">
        <is>
          <t>I</t>
        </is>
      </c>
      <c r="C4876" s="12" t="inlineStr">
        <is>
          <t>Modular / portable power</t>
        </is>
      </c>
      <c r="D4876" s="12" t="inlineStr">
        <is>
          <t>Home run JB-TM-1-AI04 to the control / marshalling room</t>
        </is>
      </c>
      <c r="E4876" s="12" t="inlineStr">
        <is>
          <t>PAD-EH</t>
        </is>
      </c>
      <c r="F4876" s="12" t="inlineStr">
        <is>
          <t>PAD-EH 13.8 kV switchgear e-house</t>
        </is>
      </c>
      <c r="G4876" s="12" t="inlineStr">
        <is>
          <t>JB-TM-1-AI04</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375</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I-I-0515</t>
        </is>
      </c>
      <c r="B4877" s="12" t="inlineStr">
        <is>
          <t>I</t>
        </is>
      </c>
      <c r="C4877" s="12" t="inlineStr">
        <is>
          <t>Modular / portable power</t>
        </is>
      </c>
      <c r="D4877" s="12" t="inlineStr">
        <is>
          <t>Analog instrument to JB JB-TM-1-AI05: 20 x 1 pr (field cables)</t>
        </is>
      </c>
      <c r="E4877" s="12" t="inlineStr">
        <is>
          <t>TM-1</t>
        </is>
      </c>
      <c r="F4877" s="12" t="inlineStr">
        <is>
          <t>TM-1: trailer-mounted aeroderivative GT (TM2500 class, ~35 MW)</t>
        </is>
      </c>
      <c r="G4877" s="12" t="inlineStr">
        <is>
          <t>JB-TM-1-AI05</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I-I-0516</t>
        </is>
      </c>
      <c r="B4878" s="12" t="inlineStr">
        <is>
          <t>I</t>
        </is>
      </c>
      <c r="C4878" s="12" t="inlineStr">
        <is>
          <t>Modular / portable power</t>
        </is>
      </c>
      <c r="D4878" s="12" t="inlineStr">
        <is>
          <t>Home run JB-TM-1-AI05 to the control / marshalling room</t>
        </is>
      </c>
      <c r="E4878" s="12" t="inlineStr">
        <is>
          <t>PAD-EH</t>
        </is>
      </c>
      <c r="F4878" s="12" t="inlineStr">
        <is>
          <t>PAD-EH 13.8 kV switchgear e-house</t>
        </is>
      </c>
      <c r="G4878" s="12" t="inlineStr">
        <is>
          <t>JB-TM-1-AI05</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375</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I-I-0517</t>
        </is>
      </c>
      <c r="B4879" s="12" t="inlineStr">
        <is>
          <t>I</t>
        </is>
      </c>
      <c r="C4879" s="12" t="inlineStr">
        <is>
          <t>Modular / portable power</t>
        </is>
      </c>
      <c r="D4879" s="12" t="inlineStr">
        <is>
          <t>Discrete device to JB JB-TM-1-DI01: 20 x 1 pr (field cables)</t>
        </is>
      </c>
      <c r="E4879" s="12" t="inlineStr">
        <is>
          <t>TM-1</t>
        </is>
      </c>
      <c r="F4879" s="12" t="inlineStr">
        <is>
          <t>TM-1: trailer-mounted aeroderivative GT (TM2500 class, ~35 MW)</t>
        </is>
      </c>
      <c r="G4879" s="12" t="inlineStr">
        <is>
          <t>JB-TM-1-DI01</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I-I-0518</t>
        </is>
      </c>
      <c r="B4880" s="12" t="inlineStr">
        <is>
          <t>I</t>
        </is>
      </c>
      <c r="C4880" s="12" t="inlineStr">
        <is>
          <t>Modular / portable power</t>
        </is>
      </c>
      <c r="D4880" s="12" t="inlineStr">
        <is>
          <t>Home run JB-TM-1-DI01 to the control / marshalling room</t>
        </is>
      </c>
      <c r="E4880" s="12" t="inlineStr">
        <is>
          <t>PAD-EH</t>
        </is>
      </c>
      <c r="F4880" s="12" t="inlineStr">
        <is>
          <t>PAD-EH 13.8 kV switchgear e-house</t>
        </is>
      </c>
      <c r="G4880" s="12" t="inlineStr">
        <is>
          <t>JB-TM-1-DI01</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375</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I-I-0519</t>
        </is>
      </c>
      <c r="B4881" s="12" t="inlineStr">
        <is>
          <t>I</t>
        </is>
      </c>
      <c r="C4881" s="12" t="inlineStr">
        <is>
          <t>Modular / portable power</t>
        </is>
      </c>
      <c r="D4881" s="12" t="inlineStr">
        <is>
          <t>Discrete device to JB JB-TM-1-DI02: 20 x 1 pr (field cables)</t>
        </is>
      </c>
      <c r="E4881" s="12" t="inlineStr">
        <is>
          <t>TM-1</t>
        </is>
      </c>
      <c r="F4881" s="12" t="inlineStr">
        <is>
          <t>TM-1: trailer-mounted aeroderivative GT (TM2500 class, ~35 MW)</t>
        </is>
      </c>
      <c r="G4881" s="12" t="inlineStr">
        <is>
          <t>JB-TM-1-DI02</t>
        </is>
      </c>
      <c r="H4881" s="12" t="inlineStr">
        <is>
          <t>TM-1: trailer-mounted aeroderivative GT (TM2500 class, ~35 MW)</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I-I-0520</t>
        </is>
      </c>
      <c r="B4882" s="12" t="inlineStr">
        <is>
          <t>I</t>
        </is>
      </c>
      <c r="C4882" s="12" t="inlineStr">
        <is>
          <t>Modular / portable power</t>
        </is>
      </c>
      <c r="D4882" s="12" t="inlineStr">
        <is>
          <t>Home run JB-TM-1-DI02 to the control / marshalling room</t>
        </is>
      </c>
      <c r="E4882" s="12" t="inlineStr">
        <is>
          <t>PAD-EH</t>
        </is>
      </c>
      <c r="F4882" s="12" t="inlineStr">
        <is>
          <t>PAD-EH 13.8 kV switchgear e-house</t>
        </is>
      </c>
      <c r="G4882" s="12" t="inlineStr">
        <is>
          <t>JB-TM-1-DI02</t>
        </is>
      </c>
      <c r="H4882" s="12" t="inlineStr">
        <is>
          <t>TM-1: trailer-mounted aeroderivative GT (TM2500 class, ~35 MW)</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Surface</t>
        </is>
      </c>
      <c r="T4882" s="16" t="n">
        <v>375</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I-I-0521</t>
        </is>
      </c>
      <c r="B4883" s="12" t="inlineStr">
        <is>
          <t>I</t>
        </is>
      </c>
      <c r="C4883" s="12" t="inlineStr">
        <is>
          <t>Modular / portable power</t>
        </is>
      </c>
      <c r="D4883" s="12" t="inlineStr">
        <is>
          <t>Discrete device to JB JB-TM-1-DI03: 20 x 1 pr (field cables)</t>
        </is>
      </c>
      <c r="E4883" s="12" t="inlineStr">
        <is>
          <t>TM-1</t>
        </is>
      </c>
      <c r="F4883" s="12" t="inlineStr">
        <is>
          <t>TM-1: trailer-mounted aeroderivative GT (TM2500 class, ~35 MW)</t>
        </is>
      </c>
      <c r="G4883" s="12" t="inlineStr">
        <is>
          <t>JB-TM-1-DI03</t>
        </is>
      </c>
      <c r="H4883" s="12" t="inlineStr">
        <is>
          <t>TM-1: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I-I-0522</t>
        </is>
      </c>
      <c r="B4884" s="12" t="inlineStr">
        <is>
          <t>I</t>
        </is>
      </c>
      <c r="C4884" s="12" t="inlineStr">
        <is>
          <t>Modular / portable power</t>
        </is>
      </c>
      <c r="D4884" s="12" t="inlineStr">
        <is>
          <t>Home run JB-TM-1-DI03 to the control / marshalling room</t>
        </is>
      </c>
      <c r="E4884" s="12" t="inlineStr">
        <is>
          <t>PAD-EH</t>
        </is>
      </c>
      <c r="F4884" s="12" t="inlineStr">
        <is>
          <t>PAD-EH 13.8 kV switchgear e-house</t>
        </is>
      </c>
      <c r="G4884" s="12" t="inlineStr">
        <is>
          <t>JB-TM-1-DI03</t>
        </is>
      </c>
      <c r="H4884" s="12" t="inlineStr">
        <is>
          <t>TM-1: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375</v>
      </c>
      <c r="U4884" s="16" t="n">
        <v>50</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I-I-0523</t>
        </is>
      </c>
      <c r="B4885" s="12" t="inlineStr">
        <is>
          <t>I</t>
        </is>
      </c>
      <c r="C4885" s="12" t="inlineStr">
        <is>
          <t>Modular / portable power</t>
        </is>
      </c>
      <c r="D4885" s="12" t="inlineStr">
        <is>
          <t>Thermocouple to TC JB JB-TM-1-TC01: 20 x 1 pr (field cables)</t>
        </is>
      </c>
      <c r="E4885" s="12" t="inlineStr">
        <is>
          <t>TM-1</t>
        </is>
      </c>
      <c r="F4885" s="12" t="inlineStr">
        <is>
          <t>TM-1: trailer-mounted aeroderivative GT (TM2500 class, ~35 MW)</t>
        </is>
      </c>
      <c r="G4885" s="12" t="inlineStr">
        <is>
          <t>JB-TM-1-TC01</t>
        </is>
      </c>
      <c r="H4885" s="12" t="inlineStr">
        <is>
          <t>TM-1: trailer-mounted aeroderivative GT (TM2500 class, ~35 MW)</t>
        </is>
      </c>
      <c r="I4885" s="12" t="inlineStr">
        <is>
          <t>Instrumentation</t>
        </is>
      </c>
      <c r="J4885" s="12" t="inlineStr">
        <is>
          <t>Thermocouple extension KX, #16 shielded pairs, PLTC</t>
        </is>
      </c>
      <c r="K4885" s="12" t="inlineStr">
        <is>
          <t>TCX|1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I-I-0524</t>
        </is>
      </c>
      <c r="B4886" s="12" t="inlineStr">
        <is>
          <t>I</t>
        </is>
      </c>
      <c r="C4886" s="12" t="inlineStr">
        <is>
          <t>Modular / portable power</t>
        </is>
      </c>
      <c r="D4886" s="12" t="inlineStr">
        <is>
          <t>Home run JB-TM-1-TC01 to the control / marshalling room</t>
        </is>
      </c>
      <c r="E4886" s="12" t="inlineStr">
        <is>
          <t>PAD-EH</t>
        </is>
      </c>
      <c r="F4886" s="12" t="inlineStr">
        <is>
          <t>PAD-EH 13.8 kV switchgear e-house</t>
        </is>
      </c>
      <c r="G4886" s="12" t="inlineStr">
        <is>
          <t>JB-TM-1-TC01</t>
        </is>
      </c>
      <c r="H4886" s="12" t="inlineStr">
        <is>
          <t>TM-1: trailer-mounted aeroderivative GT (TM2500 class, ~35 MW)</t>
        </is>
      </c>
      <c r="I4886" s="12" t="inlineStr">
        <is>
          <t>Instrumentation</t>
        </is>
      </c>
      <c r="J4886" s="12" t="inlineStr">
        <is>
          <t>Thermocouple extension KX, #16 shielded pairs, PLTC</t>
        </is>
      </c>
      <c r="K4886" s="12" t="inlineStr">
        <is>
          <t>TCX|24 pr|16</t>
        </is>
      </c>
      <c r="L4886" s="12" t="inlineStr">
        <is>
          <t>24 pr</t>
        </is>
      </c>
      <c r="M4886" s="12" t="inlineStr">
        <is>
          <t>16</t>
        </is>
      </c>
      <c r="N4886" s="12" t="n">
        <v>1</v>
      </c>
      <c r="O4886" s="12" t="n">
        <v>1</v>
      </c>
      <c r="P4886" s="12" t="n"/>
      <c r="Q4886" s="12" t="n"/>
      <c r="R4886" s="12" t="n"/>
      <c r="S4886" s="12" t="inlineStr">
        <is>
          <t>Surface</t>
        </is>
      </c>
      <c r="T4886" s="16" t="n">
        <v>375</v>
      </c>
      <c r="U4886" s="16" t="n">
        <v>50</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I-I-0525</t>
        </is>
      </c>
      <c r="B4887" s="12" t="inlineStr">
        <is>
          <t>I</t>
        </is>
      </c>
      <c r="C4887" s="12" t="inlineStr">
        <is>
          <t>Modular / portable power</t>
        </is>
      </c>
      <c r="D4887" s="12" t="inlineStr">
        <is>
          <t>Analog instrument to JB JB-TM-2-AI01: 20 x 1 pr (field cables)</t>
        </is>
      </c>
      <c r="E4887" s="12" t="inlineStr">
        <is>
          <t>TM-2</t>
        </is>
      </c>
      <c r="F4887" s="12" t="inlineStr">
        <is>
          <t>TM-2: trailer-mounted aeroderivative GT (TM2500 class, ~35 MW)</t>
        </is>
      </c>
      <c r="G4887" s="12" t="inlineStr">
        <is>
          <t>JB-TM-2-AI01</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I-I-0526</t>
        </is>
      </c>
      <c r="B4888" s="12" t="inlineStr">
        <is>
          <t>I</t>
        </is>
      </c>
      <c r="C4888" s="12" t="inlineStr">
        <is>
          <t>Modular / portable power</t>
        </is>
      </c>
      <c r="D4888" s="12" t="inlineStr">
        <is>
          <t>Home run JB-TM-2-AI01 to the control / marshalling room</t>
        </is>
      </c>
      <c r="E4888" s="12" t="inlineStr">
        <is>
          <t>PAD-EH</t>
        </is>
      </c>
      <c r="F4888" s="12" t="inlineStr">
        <is>
          <t>PAD-EH 13.8 kV switchgear e-house</t>
        </is>
      </c>
      <c r="G4888" s="12" t="inlineStr">
        <is>
          <t>JB-TM-2-AI01</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375</v>
      </c>
      <c r="U4888" s="16" t="n">
        <v>56</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I-I-0527</t>
        </is>
      </c>
      <c r="B4889" s="12" t="inlineStr">
        <is>
          <t>I</t>
        </is>
      </c>
      <c r="C4889" s="12" t="inlineStr">
        <is>
          <t>Modular / portable power</t>
        </is>
      </c>
      <c r="D4889" s="12" t="inlineStr">
        <is>
          <t>Analog instrument to JB JB-TM-2-AI02: 20 x 1 pr (field cables)</t>
        </is>
      </c>
      <c r="E4889" s="12" t="inlineStr">
        <is>
          <t>TM-2</t>
        </is>
      </c>
      <c r="F4889" s="12" t="inlineStr">
        <is>
          <t>TM-2: trailer-mounted aeroderivative GT (TM2500 class, ~35 MW)</t>
        </is>
      </c>
      <c r="G4889" s="12" t="inlineStr">
        <is>
          <t>JB-TM-2-AI02</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I-I-0528</t>
        </is>
      </c>
      <c r="B4890" s="12" t="inlineStr">
        <is>
          <t>I</t>
        </is>
      </c>
      <c r="C4890" s="12" t="inlineStr">
        <is>
          <t>Modular / portable power</t>
        </is>
      </c>
      <c r="D4890" s="12" t="inlineStr">
        <is>
          <t>Home run JB-TM-2-AI02 to the control / marshalling room</t>
        </is>
      </c>
      <c r="E4890" s="12" t="inlineStr">
        <is>
          <t>PAD-EH</t>
        </is>
      </c>
      <c r="F4890" s="12" t="inlineStr">
        <is>
          <t>PAD-EH 13.8 kV switchgear e-house</t>
        </is>
      </c>
      <c r="G4890" s="12" t="inlineStr">
        <is>
          <t>JB-TM-2-AI02</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375</v>
      </c>
      <c r="U4890" s="16" t="n">
        <v>56</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I-I-0529</t>
        </is>
      </c>
      <c r="B4891" s="12" t="inlineStr">
        <is>
          <t>I</t>
        </is>
      </c>
      <c r="C4891" s="12" t="inlineStr">
        <is>
          <t>Modular / portable power</t>
        </is>
      </c>
      <c r="D4891" s="12" t="inlineStr">
        <is>
          <t>Analog instrument to JB JB-TM-2-AI03: 20 x 1 pr (field cables)</t>
        </is>
      </c>
      <c r="E4891" s="12" t="inlineStr">
        <is>
          <t>TM-2</t>
        </is>
      </c>
      <c r="F4891" s="12" t="inlineStr">
        <is>
          <t>TM-2: trailer-mounted aeroderivative GT (TM2500 class, ~35 MW)</t>
        </is>
      </c>
      <c r="G4891" s="12" t="inlineStr">
        <is>
          <t>JB-TM-2-AI03</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I-I-0530</t>
        </is>
      </c>
      <c r="B4892" s="12" t="inlineStr">
        <is>
          <t>I</t>
        </is>
      </c>
      <c r="C4892" s="12" t="inlineStr">
        <is>
          <t>Modular / portable power</t>
        </is>
      </c>
      <c r="D4892" s="12" t="inlineStr">
        <is>
          <t>Home run JB-TM-2-AI03 to the control / marshalling room</t>
        </is>
      </c>
      <c r="E4892" s="12" t="inlineStr">
        <is>
          <t>PAD-EH</t>
        </is>
      </c>
      <c r="F4892" s="12" t="inlineStr">
        <is>
          <t>PAD-EH 13.8 kV switchgear e-house</t>
        </is>
      </c>
      <c r="G4892" s="12" t="inlineStr">
        <is>
          <t>JB-TM-2-AI03</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375</v>
      </c>
      <c r="U4892" s="16" t="n">
        <v>56</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I-I-0531</t>
        </is>
      </c>
      <c r="B4893" s="12" t="inlineStr">
        <is>
          <t>I</t>
        </is>
      </c>
      <c r="C4893" s="12" t="inlineStr">
        <is>
          <t>Modular / portable power</t>
        </is>
      </c>
      <c r="D4893" s="12" t="inlineStr">
        <is>
          <t>Analog instrument to JB JB-TM-2-AI04: 20 x 1 pr (field cables)</t>
        </is>
      </c>
      <c r="E4893" s="12" t="inlineStr">
        <is>
          <t>TM-2</t>
        </is>
      </c>
      <c r="F4893" s="12" t="inlineStr">
        <is>
          <t>TM-2: trailer-mounted aeroderivative GT (TM2500 class, ~35 MW)</t>
        </is>
      </c>
      <c r="G4893" s="12" t="inlineStr">
        <is>
          <t>JB-TM-2-AI04</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I-I-0532</t>
        </is>
      </c>
      <c r="B4894" s="12" t="inlineStr">
        <is>
          <t>I</t>
        </is>
      </c>
      <c r="C4894" s="12" t="inlineStr">
        <is>
          <t>Modular / portable power</t>
        </is>
      </c>
      <c r="D4894" s="12" t="inlineStr">
        <is>
          <t>Home run JB-TM-2-AI04 to the control / marshalling room</t>
        </is>
      </c>
      <c r="E4894" s="12" t="inlineStr">
        <is>
          <t>PAD-EH</t>
        </is>
      </c>
      <c r="F4894" s="12" t="inlineStr">
        <is>
          <t>PAD-EH 13.8 kV switchgear e-house</t>
        </is>
      </c>
      <c r="G4894" s="12" t="inlineStr">
        <is>
          <t>JB-TM-2-AI04</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375</v>
      </c>
      <c r="U4894" s="16" t="n">
        <v>56</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I-I-0533</t>
        </is>
      </c>
      <c r="B4895" s="12" t="inlineStr">
        <is>
          <t>I</t>
        </is>
      </c>
      <c r="C4895" s="12" t="inlineStr">
        <is>
          <t>Modular / portable power</t>
        </is>
      </c>
      <c r="D4895" s="12" t="inlineStr">
        <is>
          <t>Analog instrument to JB JB-TM-2-AI05: 20 x 1 pr (field cables)</t>
        </is>
      </c>
      <c r="E4895" s="12" t="inlineStr">
        <is>
          <t>TM-2</t>
        </is>
      </c>
      <c r="F4895" s="12" t="inlineStr">
        <is>
          <t>TM-2: trailer-mounted aeroderivative GT (TM2500 class, ~35 MW)</t>
        </is>
      </c>
      <c r="G4895" s="12" t="inlineStr">
        <is>
          <t>JB-TM-2-AI05</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I-I-0534</t>
        </is>
      </c>
      <c r="B4896" s="12" t="inlineStr">
        <is>
          <t>I</t>
        </is>
      </c>
      <c r="C4896" s="12" t="inlineStr">
        <is>
          <t>Modular / portable power</t>
        </is>
      </c>
      <c r="D4896" s="12" t="inlineStr">
        <is>
          <t>Home run JB-TM-2-AI05 to the control / marshalling room</t>
        </is>
      </c>
      <c r="E4896" s="12" t="inlineStr">
        <is>
          <t>PAD-EH</t>
        </is>
      </c>
      <c r="F4896" s="12" t="inlineStr">
        <is>
          <t>PAD-EH 13.8 kV switchgear e-house</t>
        </is>
      </c>
      <c r="G4896" s="12" t="inlineStr">
        <is>
          <t>JB-TM-2-AI05</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375</v>
      </c>
      <c r="U4896" s="16" t="n">
        <v>56</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I-I-0535</t>
        </is>
      </c>
      <c r="B4897" s="12" t="inlineStr">
        <is>
          <t>I</t>
        </is>
      </c>
      <c r="C4897" s="12" t="inlineStr">
        <is>
          <t>Modular / portable power</t>
        </is>
      </c>
      <c r="D4897" s="12" t="inlineStr">
        <is>
          <t>Discrete device to JB JB-TM-2-DI01: 20 x 1 pr (field cables)</t>
        </is>
      </c>
      <c r="E4897" s="12" t="inlineStr">
        <is>
          <t>TM-2</t>
        </is>
      </c>
      <c r="F4897" s="12" t="inlineStr">
        <is>
          <t>TM-2: trailer-mounted aeroderivative GT (TM2500 class, ~35 MW)</t>
        </is>
      </c>
      <c r="G4897" s="12" t="inlineStr">
        <is>
          <t>JB-TM-2-DI01</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I-I-0536</t>
        </is>
      </c>
      <c r="B4898" s="12" t="inlineStr">
        <is>
          <t>I</t>
        </is>
      </c>
      <c r="C4898" s="12" t="inlineStr">
        <is>
          <t>Modular / portable power</t>
        </is>
      </c>
      <c r="D4898" s="12" t="inlineStr">
        <is>
          <t>Home run JB-TM-2-DI01 to the control / marshalling room</t>
        </is>
      </c>
      <c r="E4898" s="12" t="inlineStr">
        <is>
          <t>PAD-EH</t>
        </is>
      </c>
      <c r="F4898" s="12" t="inlineStr">
        <is>
          <t>PAD-EH 13.8 kV switchgear e-house</t>
        </is>
      </c>
      <c r="G4898" s="12" t="inlineStr">
        <is>
          <t>JB-TM-2-DI01</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375</v>
      </c>
      <c r="U4898" s="16" t="n">
        <v>56</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I-I-0537</t>
        </is>
      </c>
      <c r="B4899" s="12" t="inlineStr">
        <is>
          <t>I</t>
        </is>
      </c>
      <c r="C4899" s="12" t="inlineStr">
        <is>
          <t>Modular / portable power</t>
        </is>
      </c>
      <c r="D4899" s="12" t="inlineStr">
        <is>
          <t>Discrete device to JB JB-TM-2-DI02: 20 x 1 pr (field cables)</t>
        </is>
      </c>
      <c r="E4899" s="12" t="inlineStr">
        <is>
          <t>TM-2</t>
        </is>
      </c>
      <c r="F4899" s="12" t="inlineStr">
        <is>
          <t>TM-2: trailer-mounted aeroderivative GT (TM2500 class, ~35 MW)</t>
        </is>
      </c>
      <c r="G4899" s="12" t="inlineStr">
        <is>
          <t>JB-TM-2-DI02</t>
        </is>
      </c>
      <c r="H4899" s="12" t="inlineStr">
        <is>
          <t>TM-2: trailer-mounted aeroderivative GT (TM2500 class, ~35 MW)</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I-I-0538</t>
        </is>
      </c>
      <c r="B4900" s="12" t="inlineStr">
        <is>
          <t>I</t>
        </is>
      </c>
      <c r="C4900" s="12" t="inlineStr">
        <is>
          <t>Modular / portable power</t>
        </is>
      </c>
      <c r="D4900" s="12" t="inlineStr">
        <is>
          <t>Home run JB-TM-2-DI02 to the control / marshalling room</t>
        </is>
      </c>
      <c r="E4900" s="12" t="inlineStr">
        <is>
          <t>PAD-EH</t>
        </is>
      </c>
      <c r="F4900" s="12" t="inlineStr">
        <is>
          <t>PAD-EH 13.8 kV switchgear e-house</t>
        </is>
      </c>
      <c r="G4900" s="12" t="inlineStr">
        <is>
          <t>JB-TM-2-DI02</t>
        </is>
      </c>
      <c r="H4900" s="12" t="inlineStr">
        <is>
          <t>TM-2: trailer-mounted aeroderivative GT (TM2500 class, ~35 MW)</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Surface</t>
        </is>
      </c>
      <c r="T4900" s="16" t="n">
        <v>375</v>
      </c>
      <c r="U4900" s="16" t="n">
        <v>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I-I-0539</t>
        </is>
      </c>
      <c r="B4901" s="12" t="inlineStr">
        <is>
          <t>I</t>
        </is>
      </c>
      <c r="C4901" s="12" t="inlineStr">
        <is>
          <t>Modular / portable power</t>
        </is>
      </c>
      <c r="D4901" s="12" t="inlineStr">
        <is>
          <t>Discrete device to JB JB-TM-2-DI03: 20 x 1 pr (field cables)</t>
        </is>
      </c>
      <c r="E4901" s="12" t="inlineStr">
        <is>
          <t>TM-2</t>
        </is>
      </c>
      <c r="F4901" s="12" t="inlineStr">
        <is>
          <t>TM-2: trailer-mounted aeroderivative GT (TM2500 class, ~35 MW)</t>
        </is>
      </c>
      <c r="G4901" s="12" t="inlineStr">
        <is>
          <t>JB-TM-2-DI03</t>
        </is>
      </c>
      <c r="H4901" s="12" t="inlineStr">
        <is>
          <t>TM-2: trailer-mounted aeroderivative GT (TM2500 class, ~35 MW)</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108</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I-I-0540</t>
        </is>
      </c>
      <c r="B4902" s="12" t="inlineStr">
        <is>
          <t>I</t>
        </is>
      </c>
      <c r="C4902" s="12" t="inlineStr">
        <is>
          <t>Modular / portable power</t>
        </is>
      </c>
      <c r="D4902" s="12" t="inlineStr">
        <is>
          <t>Home run JB-TM-2-DI03 to the control / marshalling room</t>
        </is>
      </c>
      <c r="E4902" s="12" t="inlineStr">
        <is>
          <t>PAD-EH</t>
        </is>
      </c>
      <c r="F4902" s="12" t="inlineStr">
        <is>
          <t>PAD-EH 13.8 kV switchgear e-house</t>
        </is>
      </c>
      <c r="G4902" s="12" t="inlineStr">
        <is>
          <t>JB-TM-2-DI03</t>
        </is>
      </c>
      <c r="H4902" s="12" t="inlineStr">
        <is>
          <t>TM-2: trailer-mounted aeroderivative GT (TM2500 class, ~35 MW)</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Surface</t>
        </is>
      </c>
      <c r="T4902" s="16" t="n">
        <v>375</v>
      </c>
      <c r="U4902" s="16" t="n">
        <v>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I-I-0541</t>
        </is>
      </c>
      <c r="B4903" s="12" t="inlineStr">
        <is>
          <t>I</t>
        </is>
      </c>
      <c r="C4903" s="12" t="inlineStr">
        <is>
          <t>Modular / portable power</t>
        </is>
      </c>
      <c r="D4903" s="12" t="inlineStr">
        <is>
          <t>Thermocouple to TC JB JB-TM-2-TC01: 20 x 1 pr (field cables)</t>
        </is>
      </c>
      <c r="E4903" s="12" t="inlineStr">
        <is>
          <t>TM-2</t>
        </is>
      </c>
      <c r="F4903" s="12" t="inlineStr">
        <is>
          <t>TM-2: trailer-mounted aeroderivative GT (TM2500 class, ~35 MW)</t>
        </is>
      </c>
      <c r="G4903" s="12" t="inlineStr">
        <is>
          <t>JB-TM-2-TC01</t>
        </is>
      </c>
      <c r="H4903" s="12" t="inlineStr">
        <is>
          <t>TM-2: trailer-mounted aeroderivative GT (TM2500 class, ~35 MW)</t>
        </is>
      </c>
      <c r="I4903" s="12" t="inlineStr">
        <is>
          <t>Instrumentation</t>
        </is>
      </c>
      <c r="J4903" s="12" t="inlineStr">
        <is>
          <t>Thermocouple extension KX, #16 shielded pairs, PLTC</t>
        </is>
      </c>
      <c r="K4903" s="12" t="inlineStr">
        <is>
          <t>TCX|1 pr|16</t>
        </is>
      </c>
      <c r="L4903" s="12" t="inlineStr">
        <is>
          <t>1 pr</t>
        </is>
      </c>
      <c r="M4903" s="12" t="inlineStr">
        <is>
          <t>16</t>
        </is>
      </c>
      <c r="N4903" s="12" t="n">
        <v>20</v>
      </c>
      <c r="O4903" s="12" t="n">
        <v>1</v>
      </c>
      <c r="P4903" s="12" t="n"/>
      <c r="Q4903" s="12" t="n"/>
      <c r="R4903" s="12" t="n"/>
      <c r="S4903" s="12" t="inlineStr">
        <is>
          <t>Tray / conduit</t>
        </is>
      </c>
      <c r="T4903" s="16" t="n">
        <v>108</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I-I-0542</t>
        </is>
      </c>
      <c r="B4904" s="12" t="inlineStr">
        <is>
          <t>I</t>
        </is>
      </c>
      <c r="C4904" s="12" t="inlineStr">
        <is>
          <t>Modular / portable power</t>
        </is>
      </c>
      <c r="D4904" s="12" t="inlineStr">
        <is>
          <t>Home run JB-TM-2-TC01 to the control / marshalling room</t>
        </is>
      </c>
      <c r="E4904" s="12" t="inlineStr">
        <is>
          <t>PAD-EH</t>
        </is>
      </c>
      <c r="F4904" s="12" t="inlineStr">
        <is>
          <t>PAD-EH 13.8 kV switchgear e-house</t>
        </is>
      </c>
      <c r="G4904" s="12" t="inlineStr">
        <is>
          <t>JB-TM-2-TC01</t>
        </is>
      </c>
      <c r="H4904" s="12" t="inlineStr">
        <is>
          <t>TM-2: trailer-mounted aeroderivative GT (TM2500 class, ~35 MW)</t>
        </is>
      </c>
      <c r="I4904" s="12" t="inlineStr">
        <is>
          <t>Instrumentation</t>
        </is>
      </c>
      <c r="J4904" s="12" t="inlineStr">
        <is>
          <t>Thermocouple extension KX, #16 shielded pairs, PLTC</t>
        </is>
      </c>
      <c r="K4904" s="12" t="inlineStr">
        <is>
          <t>TCX|24 pr|16</t>
        </is>
      </c>
      <c r="L4904" s="12" t="inlineStr">
        <is>
          <t>24 pr</t>
        </is>
      </c>
      <c r="M4904" s="12" t="inlineStr">
        <is>
          <t>16</t>
        </is>
      </c>
      <c r="N4904" s="12" t="n">
        <v>1</v>
      </c>
      <c r="O4904" s="12" t="n">
        <v>1</v>
      </c>
      <c r="P4904" s="12" t="n"/>
      <c r="Q4904" s="12" t="n"/>
      <c r="R4904" s="12" t="n"/>
      <c r="S4904" s="12" t="inlineStr">
        <is>
          <t>Surface</t>
        </is>
      </c>
      <c r="T4904" s="16" t="n">
        <v>375</v>
      </c>
      <c r="U4904" s="16" t="n">
        <v>56</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I-I-0543</t>
        </is>
      </c>
      <c r="B4905" s="12" t="inlineStr">
        <is>
          <t>I</t>
        </is>
      </c>
      <c r="C4905" s="12" t="inlineStr">
        <is>
          <t>Modular / portable power</t>
        </is>
      </c>
      <c r="D4905" s="12" t="inlineStr">
        <is>
          <t>Instrumentation</t>
        </is>
      </c>
      <c r="E4905" s="12" t="inlineStr"/>
      <c r="F4905" s="12" t="inlineStr">
        <is>
          <t>PCM: power control module</t>
        </is>
      </c>
      <c r="G4905" s="12" t="inlineStr"/>
      <c r="H4905" s="12" t="inlineStr">
        <is>
          <t>Water-injection skid</t>
        </is>
      </c>
      <c r="I4905" s="12" t="inlineStr">
        <is>
          <t>Instrumentation</t>
        </is>
      </c>
      <c r="J4905" s="12" t="inlineStr">
        <is>
          <t>Instrumentation PLTC / TC-ER 300 V, #18 twisted shielded pairs, overall shield</t>
        </is>
      </c>
      <c r="K4905" s="12" t="inlineStr">
        <is>
          <t>PLTC|4 pr|18</t>
        </is>
      </c>
      <c r="L4905" s="12" t="inlineStr">
        <is>
          <t>4 pr</t>
        </is>
      </c>
      <c r="M4905" s="12" t="inlineStr">
        <is>
          <t>18</t>
        </is>
      </c>
      <c r="N4905" s="12" t="n">
        <v>1</v>
      </c>
      <c r="O4905" s="12" t="n">
        <v>1</v>
      </c>
      <c r="P4905" s="12" t="n"/>
      <c r="Q4905" s="12" t="n"/>
      <c r="R4905" s="12" t="n"/>
      <c r="S4905" s="12" t="inlineStr">
        <is>
          <t>HV duct bank</t>
        </is>
      </c>
      <c r="T4905" s="16" t="n">
        <v>4324</v>
      </c>
      <c r="U4905" s="16" t="n">
        <v>82</v>
      </c>
      <c r="V4905" s="16">
        <f>ROUNDUP((T4905+U4905+2*'Read Me'!$B$13)*(1+'Read Me'!$B$12),-1)</f>
        <v/>
      </c>
      <c r="W4905" s="16">
        <f>V4905*N4905*O4905</f>
        <v/>
      </c>
      <c r="X4905" s="12">
        <f>IF(LEFT(I4905,2)="MV",2*N4905*IF(L4905="1/C",O4905,1),0)</f>
        <v/>
      </c>
      <c r="Y4905" s="12">
        <f>IF(OR(LEFT(K4905,4)="LVAX",LEFT(K4905,6)="MV15AX",LEFT(K4905,4)="CTAX",LEFT(K4905,2)="W|"),2*N4905*O4905,0)</f>
        <v/>
      </c>
      <c r="Z4905" s="12" t="inlineStr"/>
      <c r="AA4905" s="12">
        <f>N4905*O4905</f>
        <v/>
      </c>
    </row>
    <row r="4906">
      <c r="A4906" s="12" t="inlineStr">
        <is>
          <t>I-I-0544</t>
        </is>
      </c>
      <c r="B4906" s="12" t="inlineStr">
        <is>
          <t>I</t>
        </is>
      </c>
      <c r="C4906" s="12" t="inlineStr">
        <is>
          <t>Modular / portable power</t>
        </is>
      </c>
      <c r="D4906" s="12" t="inlineStr">
        <is>
          <t>Instrumentation</t>
        </is>
      </c>
      <c r="E4906" s="12" t="inlineStr"/>
      <c r="F4906" s="12" t="inlineStr">
        <is>
          <t>PCM: power control module</t>
        </is>
      </c>
      <c r="G4906" s="12" t="inlineStr"/>
      <c r="H4906" s="12" t="inlineStr">
        <is>
          <t>Water-injection skid</t>
        </is>
      </c>
      <c r="I4906" s="12" t="inlineStr">
        <is>
          <t>Instrumentation</t>
        </is>
      </c>
      <c r="J4906" s="12" t="inlineStr">
        <is>
          <t>Instrumentation PLTC / TC-ER 300 V, #18 twisted shielded pairs, overall shield</t>
        </is>
      </c>
      <c r="K4906" s="12" t="inlineStr">
        <is>
          <t>PLTC|12 pr|18</t>
        </is>
      </c>
      <c r="L4906" s="12" t="inlineStr">
        <is>
          <t>12 pr</t>
        </is>
      </c>
      <c r="M4906" s="12" t="inlineStr">
        <is>
          <t>18</t>
        </is>
      </c>
      <c r="N4906" s="12" t="n">
        <v>1</v>
      </c>
      <c r="O4906" s="12" t="n">
        <v>1</v>
      </c>
      <c r="P4906" s="12" t="n"/>
      <c r="Q4906" s="12" t="n"/>
      <c r="R4906" s="12" t="n"/>
      <c r="S4906" s="12" t="inlineStr">
        <is>
          <t>HV duct bank</t>
        </is>
      </c>
      <c r="T4906" s="16" t="n">
        <v>4324</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I-P-0001</t>
        </is>
      </c>
      <c r="B4907" s="12" t="inlineStr">
        <is>
          <t>I</t>
        </is>
      </c>
      <c r="C4907" s="12" t="inlineStr">
        <is>
          <t>Modular / portable power</t>
        </is>
      </c>
      <c r="D4907" s="12" t="inlineStr">
        <is>
          <t>LV power feeder</t>
        </is>
      </c>
      <c r="E4907" s="12" t="inlineStr"/>
      <c r="F4907" s="12" t="inlineStr">
        <is>
          <t>MOD-LV 480 V board + 480 V : 13.8 kV step-up</t>
        </is>
      </c>
      <c r="G4907" s="12" t="inlineStr"/>
      <c r="H4907" s="12" t="inlineStr">
        <is>
          <t>Aqueous ammonia (SC units)</t>
        </is>
      </c>
      <c r="I4907" s="12" t="inlineStr">
        <is>
          <t>LV 600 V</t>
        </is>
      </c>
      <c r="J4907" s="12" t="inlineStr">
        <is>
          <t>Type TC-ER 600 V 3/C Cu XHHW-2 + ground, PVC jacket</t>
        </is>
      </c>
      <c r="K4907" s="12" t="inlineStr">
        <is>
          <t>LV|3/C+G|1/0</t>
        </is>
      </c>
      <c r="L4907" s="12" t="inlineStr">
        <is>
          <t>3/C+G</t>
        </is>
      </c>
      <c r="M4907" s="12" t="inlineStr">
        <is>
          <t>1/0</t>
        </is>
      </c>
      <c r="N4907" s="12" t="n">
        <v>1</v>
      </c>
      <c r="O4907" s="12" t="n">
        <v>1</v>
      </c>
      <c r="P4907" s="12" t="n">
        <v>480</v>
      </c>
      <c r="Q4907" s="12" t="n">
        <v>10</v>
      </c>
      <c r="R4907" s="12" t="n">
        <v>14.2</v>
      </c>
      <c r="S4907" s="12" t="inlineStr">
        <is>
          <t>HV duct bank</t>
        </is>
      </c>
      <c r="T4907" s="16" t="n">
        <v>4261</v>
      </c>
      <c r="U4907" s="16" t="n">
        <v>33</v>
      </c>
      <c r="V4907" s="16">
        <f>ROUNDUP((T4907+U4907+2*'Read Me'!$B$13)*(1+'Read Me'!$B$12),-1)</f>
        <v/>
      </c>
      <c r="W4907" s="16">
        <f>V4907*N4907*O4907</f>
        <v/>
      </c>
      <c r="X4907" s="12">
        <f>IF(LEFT(I4907,2)="MV",2*N4907*IF(L4907="1/C",O4907,1),0)</f>
        <v/>
      </c>
      <c r="Y4907" s="12">
        <f>IF(OR(LEFT(K4907,4)="LVAX",LEFT(K4907,6)="MV15AX",LEFT(K4907,4)="CTAX",LEFT(K4907,2)="W|"),2*N4907*O4907,0)</f>
        <v/>
      </c>
      <c r="Z4907" s="12" t="inlineStr">
        <is>
          <t>VD 2.9 %</t>
        </is>
      </c>
      <c r="AA4907" s="12">
        <f>N4907*O4907</f>
        <v/>
      </c>
    </row>
    <row r="4908">
      <c r="A4908" s="12" t="inlineStr">
        <is>
          <t>I-P-0002</t>
        </is>
      </c>
      <c r="B4908" s="12" t="inlineStr">
        <is>
          <t>I</t>
        </is>
      </c>
      <c r="C4908" s="12" t="inlineStr">
        <is>
          <t>Modular / portable power</t>
        </is>
      </c>
      <c r="D4908" s="12" t="inlineStr">
        <is>
          <t>Black-start genset output</t>
        </is>
      </c>
      <c r="E4908" s="12" t="inlineStr"/>
      <c r="F4908" s="12" t="inlineStr">
        <is>
          <t>Black-start genset (proposed; requires study)</t>
        </is>
      </c>
      <c r="G4908" s="12" t="inlineStr"/>
      <c r="H4908" s="12" t="inlineStr">
        <is>
          <t>BS black-start switchgear</t>
        </is>
      </c>
      <c r="I4908" s="12" t="inlineStr">
        <is>
          <t>LV 600 V</t>
        </is>
      </c>
      <c r="J4908" s="12" t="inlineStr">
        <is>
          <t>Type TC-ER 600 V 3/C Cu XHHW-2 + ground, PVC jacket</t>
        </is>
      </c>
      <c r="K4908" s="12" t="inlineStr">
        <is>
          <t>LV|3/C+G|500</t>
        </is>
      </c>
      <c r="L4908" s="12" t="inlineStr">
        <is>
          <t>3/C+G</t>
        </is>
      </c>
      <c r="M4908" s="12" t="inlineStr">
        <is>
          <t>500 kcmil</t>
        </is>
      </c>
      <c r="N4908" s="12" t="n">
        <v>10</v>
      </c>
      <c r="O4908" s="12" t="n">
        <v>1</v>
      </c>
      <c r="P4908" s="12" t="n">
        <v>480</v>
      </c>
      <c r="Q4908" s="12" t="n">
        <v>2000</v>
      </c>
      <c r="R4908" s="12" t="n">
        <v>2532.3</v>
      </c>
      <c r="S4908" s="12" t="inlineStr">
        <is>
          <t>Tray</t>
        </is>
      </c>
      <c r="T4908" s="16" t="n">
        <v>0</v>
      </c>
      <c r="U4908" s="16" t="n">
        <v>41</v>
      </c>
      <c r="V4908" s="16">
        <f>ROUNDUP((T4908+U4908+2*'Read Me'!$B$13)*(1+'Read Me'!$B$12),-1)</f>
        <v/>
      </c>
      <c r="W4908" s="16">
        <f>V4908*N4908*O4908</f>
        <v/>
      </c>
      <c r="X4908" s="12">
        <f>IF(LEFT(I4908,2)="MV",2*N4908*IF(L4908="1/C",O4908,1),0)</f>
        <v/>
      </c>
      <c r="Y4908" s="12">
        <f>IF(OR(LEFT(K4908,4)="LVAX",LEFT(K4908,6)="MV15AX",LEFT(K4908,4)="CTAX",LEFT(K4908,2)="W|"),2*N4908*O4908,0)</f>
        <v/>
      </c>
      <c r="Z4908" s="12" t="inlineStr">
        <is>
          <t>VD 0.1 %</t>
        </is>
      </c>
      <c r="AA4908" s="12">
        <f>N4908*O4908</f>
        <v/>
      </c>
    </row>
    <row r="4909">
      <c r="A4909" s="12" t="inlineStr">
        <is>
          <t>I-P-0003</t>
        </is>
      </c>
      <c r="B4909" s="12" t="inlineStr">
        <is>
          <t>I</t>
        </is>
      </c>
      <c r="C4909" s="12" t="inlineStr">
        <is>
          <t>Modular / portable power</t>
        </is>
      </c>
      <c r="D4909" s="12" t="inlineStr">
        <is>
          <t>Black-start genset output</t>
        </is>
      </c>
      <c r="E4909" s="12" t="inlineStr"/>
      <c r="F4909" s="12" t="inlineStr">
        <is>
          <t>Black-start genset (proposed; requires study)</t>
        </is>
      </c>
      <c r="G4909" s="12" t="inlineStr"/>
      <c r="H4909" s="12" t="inlineStr">
        <is>
          <t>BS black-start switchgear</t>
        </is>
      </c>
      <c r="I4909" s="12" t="inlineStr">
        <is>
          <t>LV 600 V</t>
        </is>
      </c>
      <c r="J4909" s="12" t="inlineStr">
        <is>
          <t>Type TC-ER 600 V 3/C Cu XHHW-2 + ground, PVC jacket</t>
        </is>
      </c>
      <c r="K4909" s="12" t="inlineStr">
        <is>
          <t>LV|3/C+G|500</t>
        </is>
      </c>
      <c r="L4909" s="12" t="inlineStr">
        <is>
          <t>3/C+G</t>
        </is>
      </c>
      <c r="M4909" s="12" t="inlineStr">
        <is>
          <t>500 kcmil</t>
        </is>
      </c>
      <c r="N4909" s="12" t="n">
        <v>10</v>
      </c>
      <c r="O4909" s="12" t="n">
        <v>1</v>
      </c>
      <c r="P4909" s="12" t="n">
        <v>480</v>
      </c>
      <c r="Q4909" s="12" t="n">
        <v>2000</v>
      </c>
      <c r="R4909" s="12" t="n">
        <v>2532.3</v>
      </c>
      <c r="S4909" s="12" t="inlineStr">
        <is>
          <t>Tray</t>
        </is>
      </c>
      <c r="T4909" s="16" t="n">
        <v>0</v>
      </c>
      <c r="U4909" s="16" t="n">
        <v>49</v>
      </c>
      <c r="V4909" s="16">
        <f>ROUNDUP((T4909+U4909+2*'Read Me'!$B$13)*(1+'Read Me'!$B$12),-1)</f>
        <v/>
      </c>
      <c r="W4909" s="16">
        <f>V4909*N4909*O4909</f>
        <v/>
      </c>
      <c r="X4909" s="12">
        <f>IF(LEFT(I4909,2)="MV",2*N4909*IF(L4909="1/C",O4909,1),0)</f>
        <v/>
      </c>
      <c r="Y4909" s="12">
        <f>IF(OR(LEFT(K4909,4)="LVAX",LEFT(K4909,6)="MV15AX",LEFT(K4909,4)="CTAX",LEFT(K4909,2)="W|"),2*N4909*O4909,0)</f>
        <v/>
      </c>
      <c r="Z4909" s="12" t="inlineStr">
        <is>
          <t>VD 0.1 %</t>
        </is>
      </c>
      <c r="AA4909" s="12">
        <f>N4909*O4909</f>
        <v/>
      </c>
    </row>
    <row r="4910">
      <c r="A4910" s="12" t="inlineStr">
        <is>
          <t>I-P-0004</t>
        </is>
      </c>
      <c r="B4910" s="12" t="inlineStr">
        <is>
          <t>I</t>
        </is>
      </c>
      <c r="C4910" s="12" t="inlineStr">
        <is>
          <t>Modular / portable power</t>
        </is>
      </c>
      <c r="D4910" s="12" t="inlineStr">
        <is>
          <t>LV power feeder</t>
        </is>
      </c>
      <c r="E4910" s="12" t="inlineStr"/>
      <c r="F4910" s="12" t="inlineStr">
        <is>
          <t>PCM: power control module</t>
        </is>
      </c>
      <c r="G4910" s="12" t="inlineStr"/>
      <c r="H4910" s="12" t="inlineStr">
        <is>
          <t>BS black-start switchgear</t>
        </is>
      </c>
      <c r="I4910" s="12" t="inlineStr">
        <is>
          <t>LV 600 V</t>
        </is>
      </c>
      <c r="J4910" s="12" t="inlineStr">
        <is>
          <t>Type TC-ER 600 V 3/C Cu XHHW-2 + ground, PVC jacket</t>
        </is>
      </c>
      <c r="K4910" s="12" t="inlineStr">
        <is>
          <t>LV|3/C+G|6</t>
        </is>
      </c>
      <c r="L4910" s="12" t="inlineStr">
        <is>
          <t>3/C+G</t>
        </is>
      </c>
      <c r="M4910" s="12" t="inlineStr">
        <is>
          <t>6</t>
        </is>
      </c>
      <c r="N4910" s="12" t="n">
        <v>1</v>
      </c>
      <c r="O4910" s="12" t="n">
        <v>1</v>
      </c>
      <c r="P4910" s="12" t="n">
        <v>480</v>
      </c>
      <c r="Q4910" s="12" t="n">
        <v>15</v>
      </c>
      <c r="R4910" s="12" t="n">
        <v>21.2</v>
      </c>
      <c r="S4910" s="12" t="inlineStr">
        <is>
          <t>Duct bank</t>
        </is>
      </c>
      <c r="T4910" s="16" t="n">
        <v>550</v>
      </c>
      <c r="U4910" s="16" t="n">
        <v>77</v>
      </c>
      <c r="V4910" s="16">
        <f>ROUNDUP((T4910+U4910+2*'Read Me'!$B$13)*(1+'Read Me'!$B$12),-1)</f>
        <v/>
      </c>
      <c r="W4910" s="16">
        <f>V4910*N4910*O4910</f>
        <v/>
      </c>
      <c r="X4910" s="12">
        <f>IF(LEFT(I4910,2)="MV",2*N4910*IF(L4910="1/C",O4910,1),0)</f>
        <v/>
      </c>
      <c r="Y4910" s="12">
        <f>IF(OR(LEFT(K4910,4)="LVAX",LEFT(K4910,6)="MV15AX",LEFT(K4910,4)="CTAX",LEFT(K4910,2)="W|"),2*N4910*O4910,0)</f>
        <v/>
      </c>
      <c r="Z4910" s="12" t="inlineStr">
        <is>
          <t>VD 2.6 %</t>
        </is>
      </c>
      <c r="AA4910" s="12">
        <f>N4910*O4910</f>
        <v/>
      </c>
    </row>
    <row r="4911">
      <c r="A4911" s="12" t="inlineStr">
        <is>
          <t>I-P-0005</t>
        </is>
      </c>
      <c r="B4911" s="12" t="inlineStr">
        <is>
          <t>I</t>
        </is>
      </c>
      <c r="C4911" s="12" t="inlineStr">
        <is>
          <t>Modular / portable power</t>
        </is>
      </c>
      <c r="D4911" s="12" t="inlineStr">
        <is>
          <t>LV power feeder</t>
        </is>
      </c>
      <c r="E4911" s="12" t="inlineStr"/>
      <c r="F4911" s="12" t="inlineStr">
        <is>
          <t>PCM: power control module</t>
        </is>
      </c>
      <c r="G4911" s="12" t="inlineStr"/>
      <c r="H4911" s="12" t="inlineStr">
        <is>
          <t>CONDITIONAL: BESS black-start alternative</t>
        </is>
      </c>
      <c r="I4911" s="12" t="inlineStr">
        <is>
          <t>LV 600 V</t>
        </is>
      </c>
      <c r="J4911" s="12" t="inlineStr">
        <is>
          <t>Type TC-ER 600 V 3/C Cu XHHW-2 + ground, PVC jacket</t>
        </is>
      </c>
      <c r="K4911" s="12" t="inlineStr">
        <is>
          <t>LV|3/C+G|6</t>
        </is>
      </c>
      <c r="L4911" s="12" t="inlineStr">
        <is>
          <t>3/C+G</t>
        </is>
      </c>
      <c r="M4911" s="12" t="inlineStr">
        <is>
          <t>6</t>
        </is>
      </c>
      <c r="N4911" s="12" t="n">
        <v>1</v>
      </c>
      <c r="O4911" s="12" t="n">
        <v>1</v>
      </c>
      <c r="P4911" s="12" t="n">
        <v>480</v>
      </c>
      <c r="Q4911" s="12" t="n">
        <v>15</v>
      </c>
      <c r="R4911" s="12" t="n">
        <v>21.2</v>
      </c>
      <c r="S4911" s="12" t="inlineStr">
        <is>
          <t>Duct bank</t>
        </is>
      </c>
      <c r="T4911" s="16" t="n">
        <v>550</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2.4 %</t>
        </is>
      </c>
      <c r="AA4911" s="12">
        <f>N4911*O4911</f>
        <v/>
      </c>
    </row>
    <row r="4912">
      <c r="A4912" s="12" t="inlineStr">
        <is>
          <t>I-P-0006</t>
        </is>
      </c>
      <c r="B4912" s="12" t="inlineStr">
        <is>
          <t>I</t>
        </is>
      </c>
      <c r="C4912" s="12" t="inlineStr">
        <is>
          <t>Modular / portable power</t>
        </is>
      </c>
      <c r="D4912" s="12" t="inlineStr">
        <is>
          <t>LV power feeder</t>
        </is>
      </c>
      <c r="E4912" s="12" t="inlineStr"/>
      <c r="F4912" s="12" t="inlineStr">
        <is>
          <t>PCM: power control module</t>
        </is>
      </c>
      <c r="G4912" s="12" t="inlineStr"/>
      <c r="H4912" s="12" t="inlineStr">
        <is>
          <t>CONDITIONAL: SC-1 inlet chiller / evaporative cooler</t>
        </is>
      </c>
      <c r="I4912" s="12" t="inlineStr">
        <is>
          <t>LV 600 V</t>
        </is>
      </c>
      <c r="J4912" s="12" t="inlineStr">
        <is>
          <t>Type TC-ER 600 V 3/C Cu XHHW-2 + ground, PVC jacket</t>
        </is>
      </c>
      <c r="K4912" s="12" t="inlineStr">
        <is>
          <t>LV|3/C+G|350</t>
        </is>
      </c>
      <c r="L4912" s="12" t="inlineStr">
        <is>
          <t>3/C+G</t>
        </is>
      </c>
      <c r="M4912" s="12" t="inlineStr">
        <is>
          <t>350 kcmil</t>
        </is>
      </c>
      <c r="N4912" s="12" t="n">
        <v>3</v>
      </c>
      <c r="O4912" s="12" t="n">
        <v>1</v>
      </c>
      <c r="P4912" s="12" t="n">
        <v>480</v>
      </c>
      <c r="Q4912" s="12" t="n">
        <v>500</v>
      </c>
      <c r="R4912" s="12" t="n">
        <v>707.6</v>
      </c>
      <c r="S4912" s="12" t="inlineStr">
        <is>
          <t>Duct bank</t>
        </is>
      </c>
      <c r="T4912" s="16" t="n">
        <v>40</v>
      </c>
      <c r="U4912" s="16" t="n">
        <v>52</v>
      </c>
      <c r="V4912" s="16">
        <f>ROUNDUP((T4912+U4912+2*'Read Me'!$B$13)*(1+'Read Me'!$B$12),-1)</f>
        <v/>
      </c>
      <c r="W4912" s="16">
        <f>V4912*N4912*O4912</f>
        <v/>
      </c>
      <c r="X4912" s="12">
        <f>IF(LEFT(I4912,2)="MV",2*N4912*IF(L4912="1/C",O4912,1),0)</f>
        <v/>
      </c>
      <c r="Y4912" s="12">
        <f>IF(OR(LEFT(K4912,4)="LVAX",LEFT(K4912,6)="MV15AX",LEFT(K4912,4)="CTAX",LEFT(K4912,2)="W|"),2*N4912*O4912,0)</f>
        <v/>
      </c>
      <c r="Z4912" s="12" t="inlineStr">
        <is>
          <t>VD 0.3 %</t>
        </is>
      </c>
      <c r="AA4912" s="12">
        <f>N4912*O4912</f>
        <v/>
      </c>
    </row>
    <row r="4913">
      <c r="A4913" s="12" t="inlineStr">
        <is>
          <t>I-P-0007</t>
        </is>
      </c>
      <c r="B4913" s="12" t="inlineStr">
        <is>
          <t>I</t>
        </is>
      </c>
      <c r="C4913" s="12" t="inlineStr">
        <is>
          <t>Modular / portable power</t>
        </is>
      </c>
      <c r="D4913" s="12" t="inlineStr">
        <is>
          <t>LV power feeder</t>
        </is>
      </c>
      <c r="E4913" s="12" t="inlineStr"/>
      <c r="F4913" s="12" t="inlineStr">
        <is>
          <t>MOD-LV 480 V board + 480 V : 13.8 kV step-up</t>
        </is>
      </c>
      <c r="G4913" s="12" t="inlineStr"/>
      <c r="H4913" s="12" t="inlineStr">
        <is>
          <t>CONDITIONAL: SC-2 inlet chiller / evaporative cooler</t>
        </is>
      </c>
      <c r="I4913" s="12" t="inlineStr">
        <is>
          <t>LV 600 V</t>
        </is>
      </c>
      <c r="J4913" s="12" t="inlineStr">
        <is>
          <t>Type TC-ER 600 V 3/C Cu XHHW-2 + ground, PVC jacket</t>
        </is>
      </c>
      <c r="K4913" s="12" t="inlineStr">
        <is>
          <t>LV|3/C+G|500</t>
        </is>
      </c>
      <c r="L4913" s="12" t="inlineStr">
        <is>
          <t>3/C+G</t>
        </is>
      </c>
      <c r="M4913" s="12" t="inlineStr">
        <is>
          <t>500 kcmil</t>
        </is>
      </c>
      <c r="N4913" s="12" t="n">
        <v>12</v>
      </c>
      <c r="O4913" s="12" t="n">
        <v>1</v>
      </c>
      <c r="P4913" s="12" t="n">
        <v>480</v>
      </c>
      <c r="Q4913" s="12" t="n">
        <v>500</v>
      </c>
      <c r="R4913" s="12" t="n">
        <v>707.6</v>
      </c>
      <c r="S4913" s="12" t="inlineStr">
        <is>
          <t>HV duct bank</t>
        </is>
      </c>
      <c r="T4913" s="16" t="n">
        <v>4490</v>
      </c>
      <c r="U4913" s="16" t="n">
        <v>33</v>
      </c>
      <c r="V4913" s="16">
        <f>ROUNDUP((T4913+U4913+2*'Read Me'!$B$13)*(1+'Read Me'!$B$12),-1)</f>
        <v/>
      </c>
      <c r="W4913" s="16">
        <f>V4913*N4913*O4913</f>
        <v/>
      </c>
      <c r="X4913" s="12">
        <f>IF(LEFT(I4913,2)="MV",2*N4913*IF(L4913="1/C",O4913,1),0)</f>
        <v/>
      </c>
      <c r="Y4913" s="12">
        <f>IF(OR(LEFT(K4913,4)="LVAX",LEFT(K4913,6)="MV15AX",LEFT(K4913,4)="CTAX",LEFT(K4913,2)="W|"),2*N4913*O4913,0)</f>
        <v/>
      </c>
      <c r="Z4913" s="12" t="inlineStr">
        <is>
          <t>VD 2.7 %</t>
        </is>
      </c>
      <c r="AA4913" s="12">
        <f>N4913*O4913</f>
        <v/>
      </c>
    </row>
    <row r="4914">
      <c r="A4914" s="12" t="inlineStr">
        <is>
          <t>I-P-0008</t>
        </is>
      </c>
      <c r="B4914" s="12" t="inlineStr">
        <is>
          <t>I</t>
        </is>
      </c>
      <c r="C4914" s="12" t="inlineStr">
        <is>
          <t>Modular / portable power</t>
        </is>
      </c>
      <c r="D4914" s="12" t="inlineStr">
        <is>
          <t>LV panel / distribution feeder</t>
        </is>
      </c>
      <c r="E4914" s="12" t="inlineStr">
        <is>
          <t>PAD-LV</t>
        </is>
      </c>
      <c r="F4914" s="12" t="inlineStr">
        <is>
          <t>PAD-LV 480 V paralleling switchboard</t>
        </is>
      </c>
      <c r="G4914" s="12" t="inlineStr">
        <is>
          <t>CONT-EH</t>
        </is>
      </c>
      <c r="H4914" s="12" t="inlineStr">
        <is>
          <t>CONT paralleling switchgear e-house</t>
        </is>
      </c>
      <c r="I4914" s="12" t="inlineStr">
        <is>
          <t>LV 600 V</t>
        </is>
      </c>
      <c r="J4914" s="12" t="inlineStr">
        <is>
          <t>Type TC-ER 600 V 3/C Cu XHHW-2 + ground, PVC jacket</t>
        </is>
      </c>
      <c r="K4914" s="12" t="inlineStr">
        <is>
          <t>LV|3/C+G|6</t>
        </is>
      </c>
      <c r="L4914" s="12" t="inlineStr">
        <is>
          <t>3/C+G</t>
        </is>
      </c>
      <c r="M4914" s="12" t="inlineStr">
        <is>
          <t>6</t>
        </is>
      </c>
      <c r="N4914" s="12" t="n">
        <v>1</v>
      </c>
      <c r="O4914" s="12" t="n">
        <v>1</v>
      </c>
      <c r="P4914" s="12" t="n">
        <v>480</v>
      </c>
      <c r="Q4914" s="12" t="n">
        <v>30</v>
      </c>
      <c r="R4914" s="12" t="n">
        <v>42.5</v>
      </c>
      <c r="S4914" s="12" t="inlineStr">
        <is>
          <t>Conduit link</t>
        </is>
      </c>
      <c r="T4914" s="16" t="n">
        <v>95</v>
      </c>
      <c r="U4914" s="16" t="n">
        <v>55</v>
      </c>
      <c r="V4914" s="16">
        <f>ROUNDUP((T4914+U4914+2*'Read Me'!$B$13)*(1+'Read Me'!$B$12),-1)</f>
        <v/>
      </c>
      <c r="W4914" s="16">
        <f>V4914*N4914*O4914</f>
        <v/>
      </c>
      <c r="X4914" s="12">
        <f>IF(LEFT(I4914,2)="MV",2*N4914*IF(L4914="1/C",O4914,1),0)</f>
        <v/>
      </c>
      <c r="Y4914" s="12">
        <f>IF(OR(LEFT(K4914,4)="LVAX",LEFT(K4914,6)="MV15AX",LEFT(K4914,4)="CTAX",LEFT(K4914,2)="W|"),2*N4914*O4914,0)</f>
        <v/>
      </c>
      <c r="Z4914" s="12" t="inlineStr">
        <is>
          <t>VD 1.2 %</t>
        </is>
      </c>
      <c r="AA4914" s="12">
        <f>N4914*O4914</f>
        <v/>
      </c>
    </row>
    <row r="4915">
      <c r="A4915" s="12" t="inlineStr">
        <is>
          <t>I-P-0009</t>
        </is>
      </c>
      <c r="B4915" s="12" t="inlineStr">
        <is>
          <t>I</t>
        </is>
      </c>
      <c r="C4915" s="12" t="inlineStr">
        <is>
          <t>Modular / portable power</t>
        </is>
      </c>
      <c r="D4915" s="12" t="inlineStr">
        <is>
          <t>FC-5 SOFC output to inverter / AC cabinet</t>
        </is>
      </c>
      <c r="E4915" s="12" t="inlineStr">
        <is>
          <t>FC-5</t>
        </is>
      </c>
      <c r="F4915" s="12" t="inlineStr">
        <is>
          <t>FC-5: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103</v>
      </c>
      <c r="U4915" s="16" t="n">
        <v>48</v>
      </c>
      <c r="V4915" s="16">
        <f>ROUNDUP((T4915+U4915+2*'Read Me'!$B$13)*(1+'Read Me'!$B$12),-1)</f>
        <v/>
      </c>
      <c r="W4915" s="16">
        <f>V4915*N4915*O4915</f>
        <v/>
      </c>
      <c r="X4915" s="12">
        <f>IF(LEFT(I4915,2)="MV",2*N4915*IF(L4915="1/C",O4915,1),0)</f>
        <v/>
      </c>
      <c r="Y4915" s="12">
        <f>IF(OR(LEFT(K4915,4)="LVAX",LEFT(K4915,6)="MV15AX",LEFT(K4915,4)="CTAX",LEFT(K4915,2)="W|"),2*N4915*O4915,0)</f>
        <v/>
      </c>
      <c r="Z4915" s="12" t="inlineStr">
        <is>
          <t>VD 0.7 %</t>
        </is>
      </c>
      <c r="AA4915" s="12">
        <f>N4915*O4915</f>
        <v/>
      </c>
    </row>
    <row r="4916">
      <c r="A4916" s="12" t="inlineStr">
        <is>
          <t>I-P-0010</t>
        </is>
      </c>
      <c r="B4916" s="12" t="inlineStr">
        <is>
          <t>I</t>
        </is>
      </c>
      <c r="C4916" s="12" t="inlineStr">
        <is>
          <t>Modular / portable power</t>
        </is>
      </c>
      <c r="D4916" s="12" t="inlineStr">
        <is>
          <t>FC-6 SOFC output to inverter / AC cabinet</t>
        </is>
      </c>
      <c r="E4916" s="12" t="inlineStr">
        <is>
          <t>FC-6</t>
        </is>
      </c>
      <c r="F4916" s="12" t="inlineStr">
        <is>
          <t>FC-6: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89</v>
      </c>
      <c r="U4916" s="16" t="n">
        <v>48</v>
      </c>
      <c r="V4916" s="16">
        <f>ROUNDUP((T4916+U4916+2*'Read Me'!$B$13)*(1+'Read Me'!$B$12),-1)</f>
        <v/>
      </c>
      <c r="W4916" s="16">
        <f>V4916*N4916*O4916</f>
        <v/>
      </c>
      <c r="X4916" s="12">
        <f>IF(LEFT(I4916,2)="MV",2*N4916*IF(L4916="1/C",O4916,1),0)</f>
        <v/>
      </c>
      <c r="Y4916" s="12">
        <f>IF(OR(LEFT(K4916,4)="LVAX",LEFT(K4916,6)="MV15AX",LEFT(K4916,4)="CTAX",LEFT(K4916,2)="W|"),2*N4916*O4916,0)</f>
        <v/>
      </c>
      <c r="Z4916" s="12" t="inlineStr">
        <is>
          <t>VD 0.7 %</t>
        </is>
      </c>
      <c r="AA4916" s="12">
        <f>N4916*O4916</f>
        <v/>
      </c>
    </row>
    <row r="4917">
      <c r="A4917" s="12" t="inlineStr">
        <is>
          <t>I-P-0011</t>
        </is>
      </c>
      <c r="B4917" s="12" t="inlineStr">
        <is>
          <t>I</t>
        </is>
      </c>
      <c r="C4917" s="12" t="inlineStr">
        <is>
          <t>Modular / portable power</t>
        </is>
      </c>
      <c r="D4917" s="12" t="inlineStr">
        <is>
          <t>FC-7 SOFC output to inverter / AC cabinet</t>
        </is>
      </c>
      <c r="E4917" s="12" t="inlineStr">
        <is>
          <t>FC-7</t>
        </is>
      </c>
      <c r="F4917" s="12" t="inlineStr">
        <is>
          <t>FC-7: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75</v>
      </c>
      <c r="U4917" s="16" t="n">
        <v>48</v>
      </c>
      <c r="V4917" s="16">
        <f>ROUNDUP((T4917+U4917+2*'Read Me'!$B$13)*(1+'Read Me'!$B$12),-1)</f>
        <v/>
      </c>
      <c r="W4917" s="16">
        <f>V4917*N4917*O4917</f>
        <v/>
      </c>
      <c r="X4917" s="12">
        <f>IF(LEFT(I4917,2)="MV",2*N4917*IF(L4917="1/C",O4917,1),0)</f>
        <v/>
      </c>
      <c r="Y4917" s="12">
        <f>IF(OR(LEFT(K4917,4)="LVAX",LEFT(K4917,6)="MV15AX",LEFT(K4917,4)="CTAX",LEFT(K4917,2)="W|"),2*N4917*O4917,0)</f>
        <v/>
      </c>
      <c r="Z4917" s="12" t="inlineStr">
        <is>
          <t>VD 0.6 %</t>
        </is>
      </c>
      <c r="AA4917" s="12">
        <f>N4917*O4917</f>
        <v/>
      </c>
    </row>
    <row r="4918">
      <c r="A4918" s="12" t="inlineStr">
        <is>
          <t>I-P-0012</t>
        </is>
      </c>
      <c r="B4918" s="12" t="inlineStr">
        <is>
          <t>I</t>
        </is>
      </c>
      <c r="C4918" s="12" t="inlineStr">
        <is>
          <t>Modular / portable power</t>
        </is>
      </c>
      <c r="D4918" s="12" t="inlineStr">
        <is>
          <t>FC-8 SOFC output to inverter / AC cabinet</t>
        </is>
      </c>
      <c r="E4918" s="12" t="inlineStr">
        <is>
          <t>FC-8</t>
        </is>
      </c>
      <c r="F4918" s="12" t="inlineStr">
        <is>
          <t>FC-8: SOFC module (Bloom ES5 class, 200-300 kW)</t>
        </is>
      </c>
      <c r="G4918" s="12" t="inlineStr"/>
      <c r="H4918" s="12" t="inlineStr">
        <is>
          <t>FC-5..12 inverter / AC cabinet / desulfurizer</t>
        </is>
      </c>
      <c r="I4918" s="12" t="inlineStr">
        <is>
          <t>LV 600 V</t>
        </is>
      </c>
      <c r="J4918" s="12" t="inlineStr">
        <is>
          <t>Type TC-ER 600 V 3/C Cu XHHW-2 + ground, PVC jacket</t>
        </is>
      </c>
      <c r="K4918" s="12" t="inlineStr">
        <is>
          <t>LV|3/C+G|3/0</t>
        </is>
      </c>
      <c r="L4918" s="12" t="inlineStr">
        <is>
          <t>3/C+G</t>
        </is>
      </c>
      <c r="M4918" s="12" t="inlineStr">
        <is>
          <t>3/0</t>
        </is>
      </c>
      <c r="N4918" s="12" t="n">
        <v>2</v>
      </c>
      <c r="O4918" s="12" t="n">
        <v>1</v>
      </c>
      <c r="P4918" s="12" t="n">
        <v>480</v>
      </c>
      <c r="Q4918" s="12" t="n">
        <v>250</v>
      </c>
      <c r="R4918" s="12" t="n">
        <v>316.5</v>
      </c>
      <c r="S4918" s="12" t="inlineStr">
        <is>
          <t>Duct bank</t>
        </is>
      </c>
      <c r="T4918" s="16" t="n">
        <v>61</v>
      </c>
      <c r="U4918" s="16" t="n">
        <v>48</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I-P-0013</t>
        </is>
      </c>
      <c r="B4919" s="12" t="inlineStr">
        <is>
          <t>I</t>
        </is>
      </c>
      <c r="C4919" s="12" t="inlineStr">
        <is>
          <t>Modular / portable power</t>
        </is>
      </c>
      <c r="D4919" s="12" t="inlineStr">
        <is>
          <t>FC-9 SOFC output to inverter / AC cabinet</t>
        </is>
      </c>
      <c r="E4919" s="12" t="inlineStr">
        <is>
          <t>FC-9</t>
        </is>
      </c>
      <c r="F4919" s="12" t="inlineStr">
        <is>
          <t>FC-9: SOFC module (Bloom ES5 class, 200-300 kW)</t>
        </is>
      </c>
      <c r="G4919" s="12" t="inlineStr"/>
      <c r="H4919" s="12" t="inlineStr">
        <is>
          <t>FC-5..12 inverter / AC cabinet / desulfurizer</t>
        </is>
      </c>
      <c r="I4919" s="12" t="inlineStr">
        <is>
          <t>LV 600 V</t>
        </is>
      </c>
      <c r="J4919" s="12" t="inlineStr">
        <is>
          <t>Type TC-ER 600 V 3/C Cu XHHW-2 + ground, PVC jacket</t>
        </is>
      </c>
      <c r="K4919" s="12" t="inlineStr">
        <is>
          <t>LV|3/C+G|3/0</t>
        </is>
      </c>
      <c r="L4919" s="12" t="inlineStr">
        <is>
          <t>3/C+G</t>
        </is>
      </c>
      <c r="M4919" s="12" t="inlineStr">
        <is>
          <t>3/0</t>
        </is>
      </c>
      <c r="N4919" s="12" t="n">
        <v>2</v>
      </c>
      <c r="O4919" s="12" t="n">
        <v>1</v>
      </c>
      <c r="P4919" s="12" t="n">
        <v>480</v>
      </c>
      <c r="Q4919" s="12" t="n">
        <v>250</v>
      </c>
      <c r="R4919" s="12" t="n">
        <v>316.5</v>
      </c>
      <c r="S4919" s="12" t="inlineStr">
        <is>
          <t>Duct bank</t>
        </is>
      </c>
      <c r="T4919" s="16" t="n">
        <v>47</v>
      </c>
      <c r="U4919" s="16" t="n">
        <v>48</v>
      </c>
      <c r="V4919" s="16">
        <f>ROUNDUP((T4919+U4919+2*'Read Me'!$B$13)*(1+'Read Me'!$B$12),-1)</f>
        <v/>
      </c>
      <c r="W4919" s="16">
        <f>V4919*N4919*O4919</f>
        <v/>
      </c>
      <c r="X4919" s="12">
        <f>IF(LEFT(I4919,2)="MV",2*N4919*IF(L4919="1/C",O4919,1),0)</f>
        <v/>
      </c>
      <c r="Y4919" s="12">
        <f>IF(OR(LEFT(K4919,4)="LVAX",LEFT(K4919,6)="MV15AX",LEFT(K4919,4)="CTAX",LEFT(K4919,2)="W|"),2*N4919*O4919,0)</f>
        <v/>
      </c>
      <c r="Z4919" s="12" t="inlineStr">
        <is>
          <t>VD 0.5 %</t>
        </is>
      </c>
      <c r="AA4919" s="12">
        <f>N4919*O4919</f>
        <v/>
      </c>
    </row>
    <row r="4920">
      <c r="A4920" s="12" t="inlineStr">
        <is>
          <t>I-P-0014</t>
        </is>
      </c>
      <c r="B4920" s="12" t="inlineStr">
        <is>
          <t>I</t>
        </is>
      </c>
      <c r="C4920" s="12" t="inlineStr">
        <is>
          <t>Modular / portable power</t>
        </is>
      </c>
      <c r="D4920" s="12" t="inlineStr">
        <is>
          <t>FC-10 SOFC output to inverter / AC cabinet</t>
        </is>
      </c>
      <c r="E4920" s="12" t="inlineStr">
        <is>
          <t>FC-10</t>
        </is>
      </c>
      <c r="F4920" s="12" t="inlineStr">
        <is>
          <t>FC-10: SOFC module (Bloom ES5 class, 200-300 kW)</t>
        </is>
      </c>
      <c r="G4920" s="12" t="inlineStr"/>
      <c r="H4920" s="12" t="inlineStr">
        <is>
          <t>FC-5..12 inverter / AC cabinet / desulfurizer</t>
        </is>
      </c>
      <c r="I4920" s="12" t="inlineStr">
        <is>
          <t>LV 600 V</t>
        </is>
      </c>
      <c r="J4920" s="12" t="inlineStr">
        <is>
          <t>Type TC-ER 600 V 3/C Cu XHHW-2 + ground, PVC jacket</t>
        </is>
      </c>
      <c r="K4920" s="12" t="inlineStr">
        <is>
          <t>LV|3/C+G|3/0</t>
        </is>
      </c>
      <c r="L4920" s="12" t="inlineStr">
        <is>
          <t>3/C+G</t>
        </is>
      </c>
      <c r="M4920" s="12" t="inlineStr">
        <is>
          <t>3/0</t>
        </is>
      </c>
      <c r="N4920" s="12" t="n">
        <v>2</v>
      </c>
      <c r="O4920" s="12" t="n">
        <v>1</v>
      </c>
      <c r="P4920" s="12" t="n">
        <v>480</v>
      </c>
      <c r="Q4920" s="12" t="n">
        <v>250</v>
      </c>
      <c r="R4920" s="12" t="n">
        <v>316.5</v>
      </c>
      <c r="S4920" s="12" t="inlineStr">
        <is>
          <t>Duct bank</t>
        </is>
      </c>
      <c r="T4920" s="16" t="n">
        <v>33</v>
      </c>
      <c r="U4920" s="16" t="n">
        <v>48</v>
      </c>
      <c r="V4920" s="16">
        <f>ROUNDUP((T4920+U4920+2*'Read Me'!$B$13)*(1+'Read Me'!$B$12),-1)</f>
        <v/>
      </c>
      <c r="W4920" s="16">
        <f>V4920*N4920*O4920</f>
        <v/>
      </c>
      <c r="X4920" s="12">
        <f>IF(LEFT(I4920,2)="MV",2*N4920*IF(L4920="1/C",O4920,1),0)</f>
        <v/>
      </c>
      <c r="Y4920" s="12">
        <f>IF(OR(LEFT(K4920,4)="LVAX",LEFT(K4920,6)="MV15AX",LEFT(K4920,4)="CTAX",LEFT(K4920,2)="W|"),2*N4920*O4920,0)</f>
        <v/>
      </c>
      <c r="Z4920" s="12" t="inlineStr">
        <is>
          <t>VD 0.4 %</t>
        </is>
      </c>
      <c r="AA4920" s="12">
        <f>N4920*O4920</f>
        <v/>
      </c>
    </row>
    <row r="4921">
      <c r="A4921" s="12" t="inlineStr">
        <is>
          <t>I-P-0015</t>
        </is>
      </c>
      <c r="B4921" s="12" t="inlineStr">
        <is>
          <t>I</t>
        </is>
      </c>
      <c r="C4921" s="12" t="inlineStr">
        <is>
          <t>Modular / portable power</t>
        </is>
      </c>
      <c r="D4921" s="12" t="inlineStr">
        <is>
          <t>FC-11 SOFC output to inverter / AC cabinet</t>
        </is>
      </c>
      <c r="E4921" s="12" t="inlineStr">
        <is>
          <t>FC-11</t>
        </is>
      </c>
      <c r="F4921" s="12" t="inlineStr">
        <is>
          <t>FC-11: SOFC module (Bloom ES5 class, 200-300 kW)</t>
        </is>
      </c>
      <c r="G4921" s="12" t="inlineStr"/>
      <c r="H4921" s="12" t="inlineStr">
        <is>
          <t>FC-5..12 inverter / AC cabinet / desulfurizer</t>
        </is>
      </c>
      <c r="I4921" s="12" t="inlineStr">
        <is>
          <t>LV 600 V</t>
        </is>
      </c>
      <c r="J4921" s="12" t="inlineStr">
        <is>
          <t>Type TC-ER 600 V 3/C Cu XHHW-2 + ground, PVC jacket</t>
        </is>
      </c>
      <c r="K4921" s="12" t="inlineStr">
        <is>
          <t>LV|3/C+G|3/0</t>
        </is>
      </c>
      <c r="L4921" s="12" t="inlineStr">
        <is>
          <t>3/C+G</t>
        </is>
      </c>
      <c r="M4921" s="12" t="inlineStr">
        <is>
          <t>3/0</t>
        </is>
      </c>
      <c r="N4921" s="12" t="n">
        <v>2</v>
      </c>
      <c r="O4921" s="12" t="n">
        <v>1</v>
      </c>
      <c r="P4921" s="12" t="n">
        <v>480</v>
      </c>
      <c r="Q4921" s="12" t="n">
        <v>250</v>
      </c>
      <c r="R4921" s="12" t="n">
        <v>316.5</v>
      </c>
      <c r="S4921" s="12" t="inlineStr">
        <is>
          <t>Tray</t>
        </is>
      </c>
      <c r="T4921" s="16" t="n">
        <v>9</v>
      </c>
      <c r="U4921" s="16" t="n">
        <v>48</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I-P-0016</t>
        </is>
      </c>
      <c r="B4922" s="12" t="inlineStr">
        <is>
          <t>I</t>
        </is>
      </c>
      <c r="C4922" s="12" t="inlineStr">
        <is>
          <t>Modular / portable power</t>
        </is>
      </c>
      <c r="D4922" s="12" t="inlineStr">
        <is>
          <t>FC-12 SOFC output to inverter / AC cabinet</t>
        </is>
      </c>
      <c r="E4922" s="12" t="inlineStr">
        <is>
          <t>FC-12</t>
        </is>
      </c>
      <c r="F4922" s="12" t="inlineStr">
        <is>
          <t>FC-12: SOFC module (Bloom ES5 class, 200-300 kW)</t>
        </is>
      </c>
      <c r="G4922" s="12" t="inlineStr"/>
      <c r="H4922" s="12" t="inlineStr">
        <is>
          <t>FC-5..12 inverter / AC cabinet / desulfurizer</t>
        </is>
      </c>
      <c r="I4922" s="12" t="inlineStr">
        <is>
          <t>LV 600 V</t>
        </is>
      </c>
      <c r="J4922" s="12" t="inlineStr">
        <is>
          <t>Type TC-ER 600 V 3/C Cu XHHW-2 + ground, PVC jacket</t>
        </is>
      </c>
      <c r="K4922" s="12" t="inlineStr">
        <is>
          <t>LV|3/C+G|3/0</t>
        </is>
      </c>
      <c r="L4922" s="12" t="inlineStr">
        <is>
          <t>3/C+G</t>
        </is>
      </c>
      <c r="M4922" s="12" t="inlineStr">
        <is>
          <t>3/0</t>
        </is>
      </c>
      <c r="N4922" s="12" t="n">
        <v>2</v>
      </c>
      <c r="O4922" s="12" t="n">
        <v>1</v>
      </c>
      <c r="P4922" s="12" t="n">
        <v>480</v>
      </c>
      <c r="Q4922" s="12" t="n">
        <v>250</v>
      </c>
      <c r="R4922" s="12" t="n">
        <v>316.5</v>
      </c>
      <c r="S4922" s="12" t="inlineStr">
        <is>
          <t>Tray</t>
        </is>
      </c>
      <c r="T4922" s="16" t="n">
        <v>0</v>
      </c>
      <c r="U4922" s="16" t="n">
        <v>48</v>
      </c>
      <c r="V4922" s="16">
        <f>ROUNDUP((T4922+U4922+2*'Read Me'!$B$13)*(1+'Read Me'!$B$12),-1)</f>
        <v/>
      </c>
      <c r="W4922" s="16">
        <f>V4922*N4922*O4922</f>
        <v/>
      </c>
      <c r="X4922" s="12">
        <f>IF(LEFT(I4922,2)="MV",2*N4922*IF(L4922="1/C",O4922,1),0)</f>
        <v/>
      </c>
      <c r="Y4922" s="12">
        <f>IF(OR(LEFT(K4922,4)="LVAX",LEFT(K4922,6)="MV15AX",LEFT(K4922,4)="CTAX",LEFT(K4922,2)="W|"),2*N4922*O4922,0)</f>
        <v/>
      </c>
      <c r="Z4922" s="12" t="inlineStr">
        <is>
          <t>VD 0.2 %</t>
        </is>
      </c>
      <c r="AA4922" s="12">
        <f>N4922*O4922</f>
        <v/>
      </c>
    </row>
    <row r="4923">
      <c r="A4923" s="12" t="inlineStr">
        <is>
          <t>I-P-0017</t>
        </is>
      </c>
      <c r="B4923" s="12" t="inlineStr">
        <is>
          <t>I</t>
        </is>
      </c>
      <c r="C4923" s="12" t="inlineStr">
        <is>
          <t>Modular / portable power</t>
        </is>
      </c>
      <c r="D4923" s="12" t="inlineStr">
        <is>
          <t>FC-1 SOFC output to inverter / AC cabinet</t>
        </is>
      </c>
      <c r="E4923" s="12" t="inlineStr"/>
      <c r="F4923" s="12" t="inlineStr">
        <is>
          <t>FC-1: SOFC module (Bloom ES5 class, 200-300 kW)</t>
        </is>
      </c>
      <c r="G4923" s="12" t="inlineStr"/>
      <c r="H4923" s="12" t="inlineStr">
        <is>
          <t>Fuel-cell inverter / AC cabinet / desulfurizer</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2</v>
      </c>
      <c r="O4923" s="12" t="n">
        <v>1</v>
      </c>
      <c r="P4923" s="12" t="n">
        <v>480</v>
      </c>
      <c r="Q4923" s="12" t="n">
        <v>250</v>
      </c>
      <c r="R4923" s="12" t="n">
        <v>316.5</v>
      </c>
      <c r="S4923" s="12" t="inlineStr">
        <is>
          <t>Tray</t>
        </is>
      </c>
      <c r="T4923" s="16" t="n">
        <v>62</v>
      </c>
      <c r="U4923" s="16" t="n">
        <v>32</v>
      </c>
      <c r="V4923" s="16">
        <f>ROUNDUP((T4923+U4923+2*'Read Me'!$B$13)*(1+'Read Me'!$B$12),-1)</f>
        <v/>
      </c>
      <c r="W4923" s="16">
        <f>V4923*N4923*O4923</f>
        <v/>
      </c>
      <c r="X4923" s="12">
        <f>IF(LEFT(I4923,2)="MV",2*N4923*IF(L4923="1/C",O4923,1),0)</f>
        <v/>
      </c>
      <c r="Y4923" s="12">
        <f>IF(OR(LEFT(K4923,4)="LVAX",LEFT(K4923,6)="MV15AX",LEFT(K4923,4)="CTAX",LEFT(K4923,2)="W|"),2*N4923*O4923,0)</f>
        <v/>
      </c>
      <c r="Z4923" s="12" t="inlineStr">
        <is>
          <t>VD 0.5 %</t>
        </is>
      </c>
      <c r="AA4923" s="12">
        <f>N4923*O4923</f>
        <v/>
      </c>
    </row>
    <row r="4924">
      <c r="A4924" s="12" t="inlineStr">
        <is>
          <t>I-P-0018</t>
        </is>
      </c>
      <c r="B4924" s="12" t="inlineStr">
        <is>
          <t>I</t>
        </is>
      </c>
      <c r="C4924" s="12" t="inlineStr">
        <is>
          <t>Modular / portable power</t>
        </is>
      </c>
      <c r="D4924" s="12" t="inlineStr">
        <is>
          <t>FC-2 SOFC output to inverter / AC cabinet</t>
        </is>
      </c>
      <c r="E4924" s="12" t="inlineStr"/>
      <c r="F4924" s="12" t="inlineStr">
        <is>
          <t>FC-2: SOFC module (Bloom ES5 class, 200-300 kW)</t>
        </is>
      </c>
      <c r="G4924" s="12" t="inlineStr"/>
      <c r="H4924" s="12" t="inlineStr">
        <is>
          <t>Fuel-cell inverter / AC cabinet / desulfurizer</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2</v>
      </c>
      <c r="O4924" s="12" t="n">
        <v>1</v>
      </c>
      <c r="P4924" s="12" t="n">
        <v>480</v>
      </c>
      <c r="Q4924" s="12" t="n">
        <v>250</v>
      </c>
      <c r="R4924" s="12" t="n">
        <v>316.5</v>
      </c>
      <c r="S4924" s="12" t="inlineStr">
        <is>
          <t>Tray</t>
        </is>
      </c>
      <c r="T4924" s="16" t="n">
        <v>39</v>
      </c>
      <c r="U4924" s="16" t="n">
        <v>41</v>
      </c>
      <c r="V4924" s="16">
        <f>ROUNDUP((T4924+U4924+2*'Read Me'!$B$13)*(1+'Read Me'!$B$12),-1)</f>
        <v/>
      </c>
      <c r="W4924" s="16">
        <f>V4924*N4924*O4924</f>
        <v/>
      </c>
      <c r="X4924" s="12">
        <f>IF(LEFT(I4924,2)="MV",2*N4924*IF(L4924="1/C",O4924,1),0)</f>
        <v/>
      </c>
      <c r="Y4924" s="12">
        <f>IF(OR(LEFT(K4924,4)="LVAX",LEFT(K4924,6)="MV15AX",LEFT(K4924,4)="CTAX",LEFT(K4924,2)="W|"),2*N4924*O4924,0)</f>
        <v/>
      </c>
      <c r="Z4924" s="12" t="inlineStr">
        <is>
          <t>VD 0.4 %</t>
        </is>
      </c>
      <c r="AA4924" s="12">
        <f>N4924*O4924</f>
        <v/>
      </c>
    </row>
    <row r="4925">
      <c r="A4925" s="12" t="inlineStr">
        <is>
          <t>I-P-0019</t>
        </is>
      </c>
      <c r="B4925" s="12" t="inlineStr">
        <is>
          <t>I</t>
        </is>
      </c>
      <c r="C4925" s="12" t="inlineStr">
        <is>
          <t>Modular / portable power</t>
        </is>
      </c>
      <c r="D4925" s="12" t="inlineStr">
        <is>
          <t>FC-3 SOFC output to inverter / AC cabinet</t>
        </is>
      </c>
      <c r="E4925" s="12" t="inlineStr"/>
      <c r="F4925" s="12" t="inlineStr">
        <is>
          <t>FC-3: SOFC module (Bloom ES5 class, 200-300 kW)</t>
        </is>
      </c>
      <c r="G4925" s="12" t="inlineStr"/>
      <c r="H4925" s="12" t="inlineStr">
        <is>
          <t>Fuel-cell inverter / AC cabinet / desulfurizer</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2</v>
      </c>
      <c r="O4925" s="12" t="n">
        <v>1</v>
      </c>
      <c r="P4925" s="12" t="n">
        <v>480</v>
      </c>
      <c r="Q4925" s="12" t="n">
        <v>250</v>
      </c>
      <c r="R4925" s="12" t="n">
        <v>316.5</v>
      </c>
      <c r="S4925" s="12" t="inlineStr">
        <is>
          <t>Tray</t>
        </is>
      </c>
      <c r="T4925" s="16" t="n">
        <v>11</v>
      </c>
      <c r="U4925" s="16" t="n">
        <v>55</v>
      </c>
      <c r="V4925" s="16">
        <f>ROUNDUP((T4925+U4925+2*'Read Me'!$B$13)*(1+'Read Me'!$B$12),-1)</f>
        <v/>
      </c>
      <c r="W4925" s="16">
        <f>V4925*N4925*O4925</f>
        <v/>
      </c>
      <c r="X4925" s="12">
        <f>IF(LEFT(I4925,2)="MV",2*N4925*IF(L4925="1/C",O4925,1),0)</f>
        <v/>
      </c>
      <c r="Y4925" s="12">
        <f>IF(OR(LEFT(K4925,4)="LVAX",LEFT(K4925,6)="MV15AX",LEFT(K4925,4)="CTAX",LEFT(K4925,2)="W|"),2*N4925*O4925,0)</f>
        <v/>
      </c>
      <c r="Z4925" s="12" t="inlineStr">
        <is>
          <t>VD 0.3 %</t>
        </is>
      </c>
      <c r="AA4925" s="12">
        <f>N4925*O4925</f>
        <v/>
      </c>
    </row>
    <row r="4926">
      <c r="A4926" s="12" t="inlineStr">
        <is>
          <t>I-P-0020</t>
        </is>
      </c>
      <c r="B4926" s="12" t="inlineStr">
        <is>
          <t>I</t>
        </is>
      </c>
      <c r="C4926" s="12" t="inlineStr">
        <is>
          <t>Modular / portable power</t>
        </is>
      </c>
      <c r="D4926" s="12" t="inlineStr">
        <is>
          <t>FC-4 SOFC output to inverter / AC cabinet</t>
        </is>
      </c>
      <c r="E4926" s="12" t="inlineStr"/>
      <c r="F4926" s="12" t="inlineStr">
        <is>
          <t>FC-4: SOFC module (Bloom ES5 class, 200-300 kW)</t>
        </is>
      </c>
      <c r="G4926" s="12" t="inlineStr"/>
      <c r="H4926" s="12" t="inlineStr">
        <is>
          <t>Fuel-cell inverter / AC cabinet / desulfurizer</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2</v>
      </c>
      <c r="O4926" s="12" t="n">
        <v>1</v>
      </c>
      <c r="P4926" s="12" t="n">
        <v>480</v>
      </c>
      <c r="Q4926" s="12" t="n">
        <v>250</v>
      </c>
      <c r="R4926" s="12" t="n">
        <v>316.5</v>
      </c>
      <c r="S4926" s="12" t="inlineStr">
        <is>
          <t>Tray</t>
        </is>
      </c>
      <c r="T4926" s="16" t="n">
        <v>0</v>
      </c>
      <c r="U4926" s="16" t="n">
        <v>52</v>
      </c>
      <c r="V4926" s="16">
        <f>ROUNDUP((T4926+U4926+2*'Read Me'!$B$13)*(1+'Read Me'!$B$12),-1)</f>
        <v/>
      </c>
      <c r="W4926" s="16">
        <f>V4926*N4926*O4926</f>
        <v/>
      </c>
      <c r="X4926" s="12">
        <f>IF(LEFT(I4926,2)="MV",2*N4926*IF(L4926="1/C",O4926,1),0)</f>
        <v/>
      </c>
      <c r="Y4926" s="12">
        <f>IF(OR(LEFT(K4926,4)="LVAX",LEFT(K4926,6)="MV15AX",LEFT(K4926,4)="CTAX",LEFT(K4926,2)="W|"),2*N4926*O4926,0)</f>
        <v/>
      </c>
      <c r="Z4926" s="12" t="inlineStr">
        <is>
          <t>VD 0.3 %</t>
        </is>
      </c>
      <c r="AA4926" s="12">
        <f>N4926*O4926</f>
        <v/>
      </c>
    </row>
    <row r="4927">
      <c r="A4927" s="12" t="inlineStr">
        <is>
          <t>I-P-0021</t>
        </is>
      </c>
      <c r="B4927" s="12" t="inlineStr">
        <is>
          <t>I</t>
        </is>
      </c>
      <c r="C4927" s="12" t="inlineStr">
        <is>
          <t>Modular / portable power</t>
        </is>
      </c>
      <c r="D4927" s="12" t="inlineStr">
        <is>
          <t>Motor 1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4395</v>
      </c>
      <c r="U4927" s="16" t="n">
        <v>33</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I-P-0022</t>
        </is>
      </c>
      <c r="B4928" s="12" t="inlineStr">
        <is>
          <t>I</t>
        </is>
      </c>
      <c r="C4928" s="12" t="inlineStr">
        <is>
          <t>Modular / portable power</t>
        </is>
      </c>
      <c r="D4928" s="12" t="inlineStr">
        <is>
          <t>Motor 2 of 6, 15 kW</t>
        </is>
      </c>
      <c r="E4928" s="12" t="inlineStr"/>
      <c r="F4928" s="12" t="inlineStr">
        <is>
          <t>MOD-LV 480 V board + 480 V : 13.8 kV step-up</t>
        </is>
      </c>
      <c r="G4928" s="12" t="inlineStr"/>
      <c r="H4928" s="12" t="inlineStr">
        <is>
          <t>Fuel-gas compressors 3 x 100% electric</t>
        </is>
      </c>
      <c r="I4928" s="12" t="inlineStr">
        <is>
          <t>LV 600 V</t>
        </is>
      </c>
      <c r="J4928" s="12" t="inlineStr">
        <is>
          <t>ARMOR-X MC-HL 600 V 3/C Cu XHHW-2 + ground, CWA, black PVC (Class I Div 2)</t>
        </is>
      </c>
      <c r="K4928" s="12" t="inlineStr">
        <is>
          <t>LVAX|3/C+G|3/0</t>
        </is>
      </c>
      <c r="L4928" s="12" t="inlineStr">
        <is>
          <t>3/C+G</t>
        </is>
      </c>
      <c r="M4928" s="12" t="inlineStr">
        <is>
          <t>3/0</t>
        </is>
      </c>
      <c r="N4928" s="12" t="n">
        <v>1</v>
      </c>
      <c r="O4928" s="12" t="n">
        <v>1</v>
      </c>
      <c r="P4928" s="12" t="n">
        <v>480</v>
      </c>
      <c r="Q4928" s="12" t="n">
        <v>15</v>
      </c>
      <c r="R4928" s="12" t="n">
        <v>21.2</v>
      </c>
      <c r="S4928" s="12" t="inlineStr">
        <is>
          <t>HV duct bank</t>
        </is>
      </c>
      <c r="T4928" s="16" t="n">
        <v>4395</v>
      </c>
      <c r="U4928" s="16" t="n">
        <v>33</v>
      </c>
      <c r="V4928" s="16">
        <f>ROUNDUP((T4928+U4928+2*'Read Me'!$B$13)*(1+'Read Me'!$B$12),-1)</f>
        <v/>
      </c>
      <c r="W4928" s="16">
        <f>V4928*N4928*O4928</f>
        <v/>
      </c>
      <c r="X4928" s="12">
        <f>IF(LEFT(I4928,2)="MV",2*N4928*IF(L4928="1/C",O4928,1),0)</f>
        <v/>
      </c>
      <c r="Y4928" s="12">
        <f>IF(OR(LEFT(K4928,4)="LVAX",LEFT(K4928,6)="MV15AX",LEFT(K4928,4)="CTAX",LEFT(K4928,2)="W|"),2*N4928*O4928,0)</f>
        <v/>
      </c>
      <c r="Z4928" s="12" t="inlineStr">
        <is>
          <t>VD 2.9 %</t>
        </is>
      </c>
      <c r="AA4928" s="12">
        <f>N4928*O4928</f>
        <v/>
      </c>
    </row>
    <row r="4929">
      <c r="A4929" s="12" t="inlineStr">
        <is>
          <t>I-P-0023</t>
        </is>
      </c>
      <c r="B4929" s="12" t="inlineStr">
        <is>
          <t>I</t>
        </is>
      </c>
      <c r="C4929" s="12" t="inlineStr">
        <is>
          <t>Modular / portable power</t>
        </is>
      </c>
      <c r="D4929" s="12" t="inlineStr">
        <is>
          <t>Motor 3 of 6, 15 kW</t>
        </is>
      </c>
      <c r="E4929" s="12" t="inlineStr"/>
      <c r="F4929" s="12" t="inlineStr">
        <is>
          <t>MOD-LV 480 V board + 480 V : 13.8 kV step-up</t>
        </is>
      </c>
      <c r="G4929" s="12" t="inlineStr"/>
      <c r="H4929" s="12" t="inlineStr">
        <is>
          <t>Fuel-gas compressors 3 x 100% electric</t>
        </is>
      </c>
      <c r="I4929" s="12" t="inlineStr">
        <is>
          <t>LV 600 V</t>
        </is>
      </c>
      <c r="J4929" s="12" t="inlineStr">
        <is>
          <t>ARMOR-X MC-HL 600 V 3/C Cu XHHW-2 + ground, CWA, black PVC (Class I Div 2)</t>
        </is>
      </c>
      <c r="K4929" s="12" t="inlineStr">
        <is>
          <t>LVAX|3/C+G|3/0</t>
        </is>
      </c>
      <c r="L4929" s="12" t="inlineStr">
        <is>
          <t>3/C+G</t>
        </is>
      </c>
      <c r="M4929" s="12" t="inlineStr">
        <is>
          <t>3/0</t>
        </is>
      </c>
      <c r="N4929" s="12" t="n">
        <v>1</v>
      </c>
      <c r="O4929" s="12" t="n">
        <v>1</v>
      </c>
      <c r="P4929" s="12" t="n">
        <v>480</v>
      </c>
      <c r="Q4929" s="12" t="n">
        <v>15</v>
      </c>
      <c r="R4929" s="12" t="n">
        <v>21.2</v>
      </c>
      <c r="S4929" s="12" t="inlineStr">
        <is>
          <t>HV duct bank</t>
        </is>
      </c>
      <c r="T4929" s="16" t="n">
        <v>4395</v>
      </c>
      <c r="U4929" s="16" t="n">
        <v>33</v>
      </c>
      <c r="V4929" s="16">
        <f>ROUNDUP((T4929+U4929+2*'Read Me'!$B$13)*(1+'Read Me'!$B$12),-1)</f>
        <v/>
      </c>
      <c r="W4929" s="16">
        <f>V4929*N4929*O4929</f>
        <v/>
      </c>
      <c r="X4929" s="12">
        <f>IF(LEFT(I4929,2)="MV",2*N4929*IF(L4929="1/C",O4929,1),0)</f>
        <v/>
      </c>
      <c r="Y4929" s="12">
        <f>IF(OR(LEFT(K4929,4)="LVAX",LEFT(K4929,6)="MV15AX",LEFT(K4929,4)="CTAX",LEFT(K4929,2)="W|"),2*N4929*O4929,0)</f>
        <v/>
      </c>
      <c r="Z4929" s="12" t="inlineStr">
        <is>
          <t>VD 2.9 %</t>
        </is>
      </c>
      <c r="AA4929" s="12">
        <f>N4929*O4929</f>
        <v/>
      </c>
    </row>
    <row r="4930">
      <c r="A4930" s="12" t="inlineStr">
        <is>
          <t>I-P-0024</t>
        </is>
      </c>
      <c r="B4930" s="12" t="inlineStr">
        <is>
          <t>I</t>
        </is>
      </c>
      <c r="C4930" s="12" t="inlineStr">
        <is>
          <t>Modular / portable power</t>
        </is>
      </c>
      <c r="D4930" s="12" t="inlineStr">
        <is>
          <t>Motor 4 of 6, 15 kW</t>
        </is>
      </c>
      <c r="E4930" s="12" t="inlineStr"/>
      <c r="F4930" s="12" t="inlineStr">
        <is>
          <t>MOD-LV 480 V board + 480 V : 13.8 kV step-up</t>
        </is>
      </c>
      <c r="G4930" s="12" t="inlineStr"/>
      <c r="H4930" s="12" t="inlineStr">
        <is>
          <t>Fuel-gas compressors 3 x 100% electric</t>
        </is>
      </c>
      <c r="I4930" s="12" t="inlineStr">
        <is>
          <t>LV 600 V</t>
        </is>
      </c>
      <c r="J4930" s="12" t="inlineStr">
        <is>
          <t>ARMOR-X MC-HL 600 V 3/C Cu XHHW-2 + ground, CWA, black PVC (Class I Div 2)</t>
        </is>
      </c>
      <c r="K4930" s="12" t="inlineStr">
        <is>
          <t>LVAX|3/C+G|3/0</t>
        </is>
      </c>
      <c r="L4930" s="12" t="inlineStr">
        <is>
          <t>3/C+G</t>
        </is>
      </c>
      <c r="M4930" s="12" t="inlineStr">
        <is>
          <t>3/0</t>
        </is>
      </c>
      <c r="N4930" s="12" t="n">
        <v>1</v>
      </c>
      <c r="O4930" s="12" t="n">
        <v>1</v>
      </c>
      <c r="P4930" s="12" t="n">
        <v>480</v>
      </c>
      <c r="Q4930" s="12" t="n">
        <v>15</v>
      </c>
      <c r="R4930" s="12" t="n">
        <v>21.2</v>
      </c>
      <c r="S4930" s="12" t="inlineStr">
        <is>
          <t>HV duct bank</t>
        </is>
      </c>
      <c r="T4930" s="16" t="n">
        <v>4395</v>
      </c>
      <c r="U4930" s="16" t="n">
        <v>33</v>
      </c>
      <c r="V4930" s="16">
        <f>ROUNDUP((T4930+U4930+2*'Read Me'!$B$13)*(1+'Read Me'!$B$12),-1)</f>
        <v/>
      </c>
      <c r="W4930" s="16">
        <f>V4930*N4930*O4930</f>
        <v/>
      </c>
      <c r="X4930" s="12">
        <f>IF(LEFT(I4930,2)="MV",2*N4930*IF(L4930="1/C",O4930,1),0)</f>
        <v/>
      </c>
      <c r="Y4930" s="12">
        <f>IF(OR(LEFT(K4930,4)="LVAX",LEFT(K4930,6)="MV15AX",LEFT(K4930,4)="CTAX",LEFT(K4930,2)="W|"),2*N4930*O4930,0)</f>
        <v/>
      </c>
      <c r="Z4930" s="12" t="inlineStr">
        <is>
          <t>VD 2.9 %</t>
        </is>
      </c>
      <c r="AA4930" s="12">
        <f>N4930*O4930</f>
        <v/>
      </c>
    </row>
    <row r="4931">
      <c r="A4931" s="12" t="inlineStr">
        <is>
          <t>I-P-0025</t>
        </is>
      </c>
      <c r="B4931" s="12" t="inlineStr">
        <is>
          <t>I</t>
        </is>
      </c>
      <c r="C4931" s="12" t="inlineStr">
        <is>
          <t>Modular / portable power</t>
        </is>
      </c>
      <c r="D4931" s="12" t="inlineStr">
        <is>
          <t>Motor 5 of 6, 15 kW</t>
        </is>
      </c>
      <c r="E4931" s="12" t="inlineStr"/>
      <c r="F4931" s="12" t="inlineStr">
        <is>
          <t>MOD-LV 480 V board + 480 V : 13.8 kV step-up</t>
        </is>
      </c>
      <c r="G4931" s="12" t="inlineStr"/>
      <c r="H4931" s="12" t="inlineStr">
        <is>
          <t>Fuel-gas compressors 3 x 100% electric</t>
        </is>
      </c>
      <c r="I4931" s="12" t="inlineStr">
        <is>
          <t>LV 600 V</t>
        </is>
      </c>
      <c r="J4931" s="12" t="inlineStr">
        <is>
          <t>ARMOR-X MC-HL 600 V 3/C Cu XHHW-2 + ground, CWA, black PVC (Class I Div 2)</t>
        </is>
      </c>
      <c r="K4931" s="12" t="inlineStr">
        <is>
          <t>LVAX|3/C+G|3/0</t>
        </is>
      </c>
      <c r="L4931" s="12" t="inlineStr">
        <is>
          <t>3/C+G</t>
        </is>
      </c>
      <c r="M4931" s="12" t="inlineStr">
        <is>
          <t>3/0</t>
        </is>
      </c>
      <c r="N4931" s="12" t="n">
        <v>1</v>
      </c>
      <c r="O4931" s="12" t="n">
        <v>1</v>
      </c>
      <c r="P4931" s="12" t="n">
        <v>480</v>
      </c>
      <c r="Q4931" s="12" t="n">
        <v>15</v>
      </c>
      <c r="R4931" s="12" t="n">
        <v>21.2</v>
      </c>
      <c r="S4931" s="12" t="inlineStr">
        <is>
          <t>HV duct bank</t>
        </is>
      </c>
      <c r="T4931" s="16" t="n">
        <v>4395</v>
      </c>
      <c r="U4931" s="16" t="n">
        <v>33</v>
      </c>
      <c r="V4931" s="16">
        <f>ROUNDUP((T4931+U4931+2*'Read Me'!$B$13)*(1+'Read Me'!$B$12),-1)</f>
        <v/>
      </c>
      <c r="W4931" s="16">
        <f>V4931*N4931*O4931</f>
        <v/>
      </c>
      <c r="X4931" s="12">
        <f>IF(LEFT(I4931,2)="MV",2*N4931*IF(L4931="1/C",O4931,1),0)</f>
        <v/>
      </c>
      <c r="Y4931" s="12">
        <f>IF(OR(LEFT(K4931,4)="LVAX",LEFT(K4931,6)="MV15AX",LEFT(K4931,4)="CTAX",LEFT(K4931,2)="W|"),2*N4931*O4931,0)</f>
        <v/>
      </c>
      <c r="Z4931" s="12" t="inlineStr">
        <is>
          <t>VD 2.9 %</t>
        </is>
      </c>
      <c r="AA4931" s="12">
        <f>N4931*O4931</f>
        <v/>
      </c>
    </row>
    <row r="4932">
      <c r="A4932" s="12" t="inlineStr">
        <is>
          <t>I-P-0026</t>
        </is>
      </c>
      <c r="B4932" s="12" t="inlineStr">
        <is>
          <t>I</t>
        </is>
      </c>
      <c r="C4932" s="12" t="inlineStr">
        <is>
          <t>Modular / portable power</t>
        </is>
      </c>
      <c r="D4932" s="12" t="inlineStr">
        <is>
          <t>Motor 6 of 6, 15 kW</t>
        </is>
      </c>
      <c r="E4932" s="12" t="inlineStr"/>
      <c r="F4932" s="12" t="inlineStr">
        <is>
          <t>MOD-LV 480 V board + 480 V : 13.8 kV step-up</t>
        </is>
      </c>
      <c r="G4932" s="12" t="inlineStr"/>
      <c r="H4932" s="12" t="inlineStr">
        <is>
          <t>Fuel-gas compressors 3 x 100% electric</t>
        </is>
      </c>
      <c r="I4932" s="12" t="inlineStr">
        <is>
          <t>LV 600 V</t>
        </is>
      </c>
      <c r="J4932" s="12" t="inlineStr">
        <is>
          <t>ARMOR-X MC-HL 600 V 3/C Cu XHHW-2 + ground, CWA, black PVC (Class I Div 2)</t>
        </is>
      </c>
      <c r="K4932" s="12" t="inlineStr">
        <is>
          <t>LVAX|3/C+G|3/0</t>
        </is>
      </c>
      <c r="L4932" s="12" t="inlineStr">
        <is>
          <t>3/C+G</t>
        </is>
      </c>
      <c r="M4932" s="12" t="inlineStr">
        <is>
          <t>3/0</t>
        </is>
      </c>
      <c r="N4932" s="12" t="n">
        <v>1</v>
      </c>
      <c r="O4932" s="12" t="n">
        <v>1</v>
      </c>
      <c r="P4932" s="12" t="n">
        <v>480</v>
      </c>
      <c r="Q4932" s="12" t="n">
        <v>15</v>
      </c>
      <c r="R4932" s="12" t="n">
        <v>21.2</v>
      </c>
      <c r="S4932" s="12" t="inlineStr">
        <is>
          <t>HV duct bank</t>
        </is>
      </c>
      <c r="T4932" s="16" t="n">
        <v>4395</v>
      </c>
      <c r="U4932" s="16" t="n">
        <v>33</v>
      </c>
      <c r="V4932" s="16">
        <f>ROUNDUP((T4932+U4932+2*'Read Me'!$B$13)*(1+'Read Me'!$B$12),-1)</f>
        <v/>
      </c>
      <c r="W4932" s="16">
        <f>V4932*N4932*O4932</f>
        <v/>
      </c>
      <c r="X4932" s="12">
        <f>IF(LEFT(I4932,2)="MV",2*N4932*IF(L4932="1/C",O4932,1),0)</f>
        <v/>
      </c>
      <c r="Y4932" s="12">
        <f>IF(OR(LEFT(K4932,4)="LVAX",LEFT(K4932,6)="MV15AX",LEFT(K4932,4)="CTAX",LEFT(K4932,2)="W|"),2*N4932*O4932,0)</f>
        <v/>
      </c>
      <c r="Z4932" s="12" t="inlineStr">
        <is>
          <t>VD 2.9 %</t>
        </is>
      </c>
      <c r="AA4932" s="12">
        <f>N4932*O4932</f>
        <v/>
      </c>
    </row>
    <row r="4933">
      <c r="A4933" s="12" t="inlineStr">
        <is>
          <t>I-P-0027</t>
        </is>
      </c>
      <c r="B4933" s="12" t="inlineStr">
        <is>
          <t>I</t>
        </is>
      </c>
      <c r="C4933" s="12" t="inlineStr">
        <is>
          <t>Modular / portable power</t>
        </is>
      </c>
      <c r="D4933" s="12" t="inlineStr">
        <is>
          <t>LV power feeder</t>
        </is>
      </c>
      <c r="E4933" s="12" t="inlineStr"/>
      <c r="F4933" s="12" t="inlineStr">
        <is>
          <t>PCM: power control module</t>
        </is>
      </c>
      <c r="G4933" s="12" t="inlineStr"/>
      <c r="H4933" s="12" t="inlineStr">
        <is>
          <t>Gas conditioning skid</t>
        </is>
      </c>
      <c r="I4933" s="12" t="inlineStr">
        <is>
          <t>LV 600 V</t>
        </is>
      </c>
      <c r="J4933" s="12" t="inlineStr">
        <is>
          <t>ARMOR-X MC-HL 600 V 3/C Cu XHHW-2 + ground, CWA, black PVC (Class I Div 2)</t>
        </is>
      </c>
      <c r="K4933" s="12" t="inlineStr">
        <is>
          <t>LVAX|3/C+G|6</t>
        </is>
      </c>
      <c r="L4933" s="12" t="inlineStr">
        <is>
          <t>3/C+G</t>
        </is>
      </c>
      <c r="M4933" s="12" t="inlineStr">
        <is>
          <t>6</t>
        </is>
      </c>
      <c r="N4933" s="12" t="n">
        <v>1</v>
      </c>
      <c r="O4933" s="12" t="n">
        <v>1</v>
      </c>
      <c r="P4933" s="12" t="n">
        <v>480</v>
      </c>
      <c r="Q4933" s="12" t="n">
        <v>30</v>
      </c>
      <c r="R4933" s="12" t="n">
        <v>42.5</v>
      </c>
      <c r="S4933" s="12" t="inlineStr">
        <is>
          <t>Tray</t>
        </is>
      </c>
      <c r="T4933" s="16" t="n">
        <v>32</v>
      </c>
      <c r="U4933" s="16" t="n">
        <v>94</v>
      </c>
      <c r="V4933" s="16">
        <f>ROUNDUP((T4933+U4933+2*'Read Me'!$B$13)*(1+'Read Me'!$B$12),-1)</f>
        <v/>
      </c>
      <c r="W4933" s="16">
        <f>V4933*N4933*O4933</f>
        <v/>
      </c>
      <c r="X4933" s="12">
        <f>IF(LEFT(I4933,2)="MV",2*N4933*IF(L4933="1/C",O4933,1),0)</f>
        <v/>
      </c>
      <c r="Y4933" s="12">
        <f>IF(OR(LEFT(K4933,4)="LVAX",LEFT(K4933,6)="MV15AX",LEFT(K4933,4)="CTAX",LEFT(K4933,2)="W|"),2*N4933*O4933,0)</f>
        <v/>
      </c>
      <c r="Z4933" s="12" t="inlineStr">
        <is>
          <t>VD 1.0 %</t>
        </is>
      </c>
      <c r="AA4933" s="12">
        <f>N4933*O4933</f>
        <v/>
      </c>
    </row>
    <row r="4934">
      <c r="A4934" s="12" t="inlineStr">
        <is>
          <t>I-P-0028</t>
        </is>
      </c>
      <c r="B4934" s="12" t="inlineStr">
        <is>
          <t>I</t>
        </is>
      </c>
      <c r="C4934" s="12" t="inlineStr">
        <is>
          <t>Modular / portable power</t>
        </is>
      </c>
      <c r="D4934" s="12" t="inlineStr">
        <is>
          <t>LV panel / distribution feeder</t>
        </is>
      </c>
      <c r="E4934" s="12" t="inlineStr"/>
      <c r="F4934" s="12" t="inlineStr">
        <is>
          <t>PCM: power control module</t>
        </is>
      </c>
      <c r="G4934" s="12" t="inlineStr"/>
      <c r="H4934" s="12" t="inlineStr">
        <is>
          <t>Lube oil / starting air / oily water building</t>
        </is>
      </c>
      <c r="I4934" s="12" t="inlineStr">
        <is>
          <t>LV 600 V</t>
        </is>
      </c>
      <c r="J4934" s="12" t="inlineStr">
        <is>
          <t>Type TC-ER 600 V 3/C Cu XHHW-2 + ground, PVC jacket</t>
        </is>
      </c>
      <c r="K4934" s="12" t="inlineStr">
        <is>
          <t>LV|3/C+G|1/0</t>
        </is>
      </c>
      <c r="L4934" s="12" t="inlineStr">
        <is>
          <t>3/C+G</t>
        </is>
      </c>
      <c r="M4934" s="12" t="inlineStr">
        <is>
          <t>1/0</t>
        </is>
      </c>
      <c r="N4934" s="12" t="n">
        <v>1</v>
      </c>
      <c r="O4934" s="12" t="n">
        <v>1</v>
      </c>
      <c r="P4934" s="12" t="n">
        <v>480</v>
      </c>
      <c r="Q4934" s="12" t="n">
        <v>79</v>
      </c>
      <c r="R4934" s="12" t="n">
        <v>111.8</v>
      </c>
      <c r="S4934" s="12" t="inlineStr">
        <is>
          <t>Tray</t>
        </is>
      </c>
      <c r="T4934" s="16" t="n">
        <v>32</v>
      </c>
      <c r="U4934" s="16" t="n">
        <v>164</v>
      </c>
      <c r="V4934" s="16">
        <f>ROUNDUP((T4934+U4934+2*'Read Me'!$B$13)*(1+'Read Me'!$B$12),-1)</f>
        <v/>
      </c>
      <c r="W4934" s="16">
        <f>V4934*N4934*O4934</f>
        <v/>
      </c>
      <c r="X4934" s="12">
        <f>IF(LEFT(I4934,2)="MV",2*N4934*IF(L4934="1/C",O4934,1),0)</f>
        <v/>
      </c>
      <c r="Y4934" s="12">
        <f>IF(OR(LEFT(K4934,4)="LVAX",LEFT(K4934,6)="MV15AX",LEFT(K4934,4)="CTAX",LEFT(K4934,2)="W|"),2*N4934*O4934,0)</f>
        <v/>
      </c>
      <c r="Z4934" s="12" t="inlineStr">
        <is>
          <t>VD 1.1 %</t>
        </is>
      </c>
      <c r="AA4934" s="12">
        <f>N4934*O4934</f>
        <v/>
      </c>
    </row>
    <row r="4935">
      <c r="A4935" s="12" t="inlineStr">
        <is>
          <t>I-P-0029</t>
        </is>
      </c>
      <c r="B4935" s="12" t="inlineStr">
        <is>
          <t>I</t>
        </is>
      </c>
      <c r="C4935" s="12" t="inlineStr">
        <is>
          <t>Modular / portable power</t>
        </is>
      </c>
      <c r="D4935" s="12" t="inlineStr">
        <is>
          <t>LV panel / distribution feeder</t>
        </is>
      </c>
      <c r="E4935" s="12" t="inlineStr"/>
      <c r="F4935" s="12" t="inlineStr">
        <is>
          <t>MOD-LV 480 V board + 480 V : 13.8 kV step-up</t>
        </is>
      </c>
      <c r="G4935" s="12" t="inlineStr">
        <is>
          <t>MOD-EH</t>
        </is>
      </c>
      <c r="H4935" s="12" t="inlineStr">
        <is>
          <t>MOD-EH: 13.8 kV modular collector e-house</t>
        </is>
      </c>
      <c r="I4935" s="12" t="inlineStr">
        <is>
          <t>LV 600 V</t>
        </is>
      </c>
      <c r="J4935" s="12" t="inlineStr">
        <is>
          <t>Type TC-ER 600 V 3/C Cu XHHW-2 + ground, PVC jacket</t>
        </is>
      </c>
      <c r="K4935" s="12" t="inlineStr">
        <is>
          <t>LV|3/C+G|4</t>
        </is>
      </c>
      <c r="L4935" s="12" t="inlineStr">
        <is>
          <t>3/C+G</t>
        </is>
      </c>
      <c r="M4935" s="12" t="inlineStr">
        <is>
          <t>4</t>
        </is>
      </c>
      <c r="N4935" s="12" t="n">
        <v>1</v>
      </c>
      <c r="O4935" s="12" t="n">
        <v>1</v>
      </c>
      <c r="P4935" s="12" t="n">
        <v>480</v>
      </c>
      <c r="Q4935" s="12" t="n">
        <v>30</v>
      </c>
      <c r="R4935" s="12" t="n">
        <v>42.5</v>
      </c>
      <c r="S4935" s="12" t="inlineStr">
        <is>
          <t>Duct bank</t>
        </is>
      </c>
      <c r="T4935" s="16" t="n">
        <v>346</v>
      </c>
      <c r="U4935" s="16" t="n">
        <v>32</v>
      </c>
      <c r="V4935" s="16">
        <f>ROUNDUP((T4935+U4935+2*'Read Me'!$B$13)*(1+'Read Me'!$B$12),-1)</f>
        <v/>
      </c>
      <c r="W4935" s="16">
        <f>V4935*N4935*O4935</f>
        <v/>
      </c>
      <c r="X4935" s="12">
        <f>IF(LEFT(I4935,2)="MV",2*N4935*IF(L4935="1/C",O4935,1),0)</f>
        <v/>
      </c>
      <c r="Y4935" s="12">
        <f>IF(OR(LEFT(K4935,4)="LVAX",LEFT(K4935,6)="MV15AX",LEFT(K4935,4)="CTAX",LEFT(K4935,2)="W|"),2*N4935*O4935,0)</f>
        <v/>
      </c>
      <c r="Z4935" s="12" t="inlineStr">
        <is>
          <t>VD 2.0 %</t>
        </is>
      </c>
      <c r="AA4935" s="12">
        <f>N4935*O4935</f>
        <v/>
      </c>
    </row>
    <row r="4936">
      <c r="A4936" s="12" t="inlineStr">
        <is>
          <t>I-P-0030</t>
        </is>
      </c>
      <c r="B4936" s="12" t="inlineStr">
        <is>
          <t>I</t>
        </is>
      </c>
      <c r="C4936" s="12" t="inlineStr">
        <is>
          <t>Modular / portable power</t>
        </is>
      </c>
      <c r="D4936" s="12" t="inlineStr">
        <is>
          <t>Fuel-cell AC cabinet to MOD-LV</t>
        </is>
      </c>
      <c r="E4936" s="12" t="inlineStr"/>
      <c r="F4936" s="12" t="inlineStr">
        <is>
          <t>Fuel-cell inverter / AC cabinet / desulfurizer</t>
        </is>
      </c>
      <c r="G4936" s="12" t="inlineStr"/>
      <c r="H4936" s="12" t="inlineStr">
        <is>
          <t>MOD-LV 480 V board + 480 V : 13.8 kV step-up</t>
        </is>
      </c>
      <c r="I4936" s="12" t="inlineStr">
        <is>
          <t>LV 600 V</t>
        </is>
      </c>
      <c r="J4936" s="12" t="inlineStr">
        <is>
          <t>Type TC-ER 600 V 3/C Cu XHHW-2 + ground, PVC jacket</t>
        </is>
      </c>
      <c r="K4936" s="12" t="inlineStr">
        <is>
          <t>LV|3/C+G|350</t>
        </is>
      </c>
      <c r="L4936" s="12" t="inlineStr">
        <is>
          <t>3/C+G</t>
        </is>
      </c>
      <c r="M4936" s="12" t="inlineStr">
        <is>
          <t>350 kcmil</t>
        </is>
      </c>
      <c r="N4936" s="12" t="n">
        <v>6</v>
      </c>
      <c r="O4936" s="12" t="n">
        <v>1</v>
      </c>
      <c r="P4936" s="12" t="n">
        <v>480</v>
      </c>
      <c r="Q4936" s="12" t="n">
        <v>1000</v>
      </c>
      <c r="R4936" s="12" t="n">
        <v>1266.2</v>
      </c>
      <c r="S4936" s="12" t="inlineStr">
        <is>
          <t>Duct bank</t>
        </is>
      </c>
      <c r="T4936" s="16" t="n">
        <v>237</v>
      </c>
      <c r="U4936" s="16" t="n">
        <v>32</v>
      </c>
      <c r="V4936" s="16">
        <f>ROUNDUP((T4936+U4936+2*'Read Me'!$B$13)*(1+'Read Me'!$B$12),-1)</f>
        <v/>
      </c>
      <c r="W4936" s="16">
        <f>V4936*N4936*O4936</f>
        <v/>
      </c>
      <c r="X4936" s="12">
        <f>IF(LEFT(I4936,2)="MV",2*N4936*IF(L4936="1/C",O4936,1),0)</f>
        <v/>
      </c>
      <c r="Y4936" s="12">
        <f>IF(OR(LEFT(K4936,4)="LVAX",LEFT(K4936,6)="MV15AX",LEFT(K4936,4)="CTAX",LEFT(K4936,2)="W|"),2*N4936*O4936,0)</f>
        <v/>
      </c>
      <c r="Z4936" s="12" t="inlineStr">
        <is>
          <t>VD 0.8 %</t>
        </is>
      </c>
      <c r="AA4936" s="12">
        <f>N4936*O4936</f>
        <v/>
      </c>
    </row>
    <row r="4937">
      <c r="A4937" s="12" t="inlineStr">
        <is>
          <t>I-P-0031</t>
        </is>
      </c>
      <c r="B4937" s="12" t="inlineStr">
        <is>
          <t>I</t>
        </is>
      </c>
      <c r="C4937" s="12" t="inlineStr">
        <is>
          <t>Modular / portable power</t>
        </is>
      </c>
      <c r="D4937" s="12" t="inlineStr">
        <is>
          <t>Fuel-cell AC cabinet to MOD-LV</t>
        </is>
      </c>
      <c r="E4937" s="12" t="inlineStr"/>
      <c r="F4937" s="12" t="inlineStr">
        <is>
          <t>FC-5..12 inverter / AC cabinet / desulfurizer</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2000</v>
      </c>
      <c r="R4937" s="12" t="n">
        <v>2532.3</v>
      </c>
      <c r="S4937" s="12" t="inlineStr">
        <is>
          <t>HV duct bank</t>
        </is>
      </c>
      <c r="T4937" s="16" t="n">
        <v>2557</v>
      </c>
      <c r="U4937" s="16" t="n">
        <v>31</v>
      </c>
      <c r="V4937" s="16">
        <f>ROUNDUP((T4937+U4937+2*'Read Me'!$B$13)*(1+'Read Me'!$B$12),-1)</f>
        <v/>
      </c>
      <c r="W4937" s="16">
        <f>V4937*N4937*O4937</f>
        <v/>
      </c>
      <c r="X4937" s="12">
        <f>IF(LEFT(I4937,2)="MV",2*N4937*IF(L4937="1/C",O4937,1),0)</f>
        <v/>
      </c>
      <c r="Y4937" s="12">
        <f>IF(OR(LEFT(K4937,4)="LVAX",LEFT(K4937,6)="MV15AX",LEFT(K4937,4)="CTAX",LEFT(K4937,2)="W|"),2*N4937*O4937,0)</f>
        <v/>
      </c>
      <c r="Z4937" s="12" t="inlineStr"/>
      <c r="AA4937" s="12">
        <f>N4937*O4937</f>
        <v/>
      </c>
    </row>
    <row r="4938">
      <c r="A4938" s="12" t="inlineStr">
        <is>
          <t>I-P-0032</t>
        </is>
      </c>
      <c r="B4938" s="12" t="inlineStr">
        <is>
          <t>I</t>
        </is>
      </c>
      <c r="C4938" s="12" t="inlineStr">
        <is>
          <t>Modular / portable power</t>
        </is>
      </c>
      <c r="D4938" s="12" t="inlineStr">
        <is>
          <t>MT-1 microturbine output</t>
        </is>
      </c>
      <c r="E4938" s="12" t="inlineStr"/>
      <c r="F4938" s="12" t="inlineStr">
        <is>
          <t>MT-1: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LV|3/C+G|350</t>
        </is>
      </c>
      <c r="L4938" s="12" t="inlineStr">
        <is>
          <t>3/C+G</t>
        </is>
      </c>
      <c r="M4938" s="12" t="inlineStr">
        <is>
          <t>350 kcmil</t>
        </is>
      </c>
      <c r="N4938" s="12" t="n">
        <v>6</v>
      </c>
      <c r="O4938" s="12" t="n">
        <v>1</v>
      </c>
      <c r="P4938" s="12" t="n">
        <v>480</v>
      </c>
      <c r="Q4938" s="12" t="n">
        <v>1000</v>
      </c>
      <c r="R4938" s="12" t="n">
        <v>1266.2</v>
      </c>
      <c r="S4938" s="12" t="inlineStr">
        <is>
          <t>Duct bank</t>
        </is>
      </c>
      <c r="T4938" s="16" t="n">
        <v>106</v>
      </c>
      <c r="U4938" s="16" t="n">
        <v>32</v>
      </c>
      <c r="V4938" s="16">
        <f>ROUNDUP((T4938+U4938+2*'Read Me'!$B$13)*(1+'Read Me'!$B$12),-1)</f>
        <v/>
      </c>
      <c r="W4938" s="16">
        <f>V4938*N4938*O4938</f>
        <v/>
      </c>
      <c r="X4938" s="12">
        <f>IF(LEFT(I4938,2)="MV",2*N4938*IF(L4938="1/C",O4938,1),0)</f>
        <v/>
      </c>
      <c r="Y4938" s="12">
        <f>IF(OR(LEFT(K4938,4)="LVAX",LEFT(K4938,6)="MV15AX",LEFT(K4938,4)="CTAX",LEFT(K4938,2)="W|"),2*N4938*O4938,0)</f>
        <v/>
      </c>
      <c r="Z4938" s="12" t="inlineStr">
        <is>
          <t>VD 0.4 %</t>
        </is>
      </c>
      <c r="AA4938" s="12">
        <f>N4938*O4938</f>
        <v/>
      </c>
    </row>
    <row r="4939">
      <c r="A4939" s="12" t="inlineStr">
        <is>
          <t>I-P-0033</t>
        </is>
      </c>
      <c r="B4939" s="12" t="inlineStr">
        <is>
          <t>I</t>
        </is>
      </c>
      <c r="C4939" s="12" t="inlineStr">
        <is>
          <t>Modular / portable power</t>
        </is>
      </c>
      <c r="D4939" s="12" t="inlineStr">
        <is>
          <t>MT-2 microturbine output</t>
        </is>
      </c>
      <c r="E4939" s="12" t="inlineStr"/>
      <c r="F4939" s="12" t="inlineStr">
        <is>
          <t>MT-2: microturbine 1 MW (Capstone C1000 class)</t>
        </is>
      </c>
      <c r="G4939" s="12" t="inlineStr"/>
      <c r="H4939" s="12" t="inlineStr">
        <is>
          <t>MOD-LV 480 V board + 480 V : 13.8 kV step-up</t>
        </is>
      </c>
      <c r="I4939" s="12" t="inlineStr">
        <is>
          <t>LV 600 V</t>
        </is>
      </c>
      <c r="J4939" s="12" t="inlineStr">
        <is>
          <t>Type TC-ER 600 V 3/C Cu XHHW-2 + ground, PVC jacket</t>
        </is>
      </c>
      <c r="K4939" s="12" t="inlineStr">
        <is>
          <t>LV|3/C+G|350</t>
        </is>
      </c>
      <c r="L4939" s="12" t="inlineStr">
        <is>
          <t>3/C+G</t>
        </is>
      </c>
      <c r="M4939" s="12" t="inlineStr">
        <is>
          <t>350 kcmil</t>
        </is>
      </c>
      <c r="N4939" s="12" t="n">
        <v>6</v>
      </c>
      <c r="O4939" s="12" t="n">
        <v>1</v>
      </c>
      <c r="P4939" s="12" t="n">
        <v>480</v>
      </c>
      <c r="Q4939" s="12" t="n">
        <v>1000</v>
      </c>
      <c r="R4939" s="12" t="n">
        <v>1266.2</v>
      </c>
      <c r="S4939" s="12" t="inlineStr">
        <is>
          <t>Duct bank</t>
        </is>
      </c>
      <c r="T4939" s="16" t="n">
        <v>114</v>
      </c>
      <c r="U4939" s="16" t="n">
        <v>38</v>
      </c>
      <c r="V4939" s="16">
        <f>ROUNDUP((T4939+U4939+2*'Read Me'!$B$13)*(1+'Read Me'!$B$12),-1)</f>
        <v/>
      </c>
      <c r="W4939" s="16">
        <f>V4939*N4939*O4939</f>
        <v/>
      </c>
      <c r="X4939" s="12">
        <f>IF(LEFT(I4939,2)="MV",2*N4939*IF(L4939="1/C",O4939,1),0)</f>
        <v/>
      </c>
      <c r="Y4939" s="12">
        <f>IF(OR(LEFT(K4939,4)="LVAX",LEFT(K4939,6)="MV15AX",LEFT(K4939,4)="CTAX",LEFT(K4939,2)="W|"),2*N4939*O4939,0)</f>
        <v/>
      </c>
      <c r="Z4939" s="12" t="inlineStr">
        <is>
          <t>VD 0.5 %</t>
        </is>
      </c>
      <c r="AA4939" s="12">
        <f>N4939*O4939</f>
        <v/>
      </c>
    </row>
    <row r="4940">
      <c r="A4940" s="12" t="inlineStr">
        <is>
          <t>I-P-0034</t>
        </is>
      </c>
      <c r="B4940" s="12" t="inlineStr">
        <is>
          <t>I</t>
        </is>
      </c>
      <c r="C4940" s="12" t="inlineStr">
        <is>
          <t>Modular / portable power</t>
        </is>
      </c>
      <c r="D4940" s="12" t="inlineStr">
        <is>
          <t>MT-3 microturbine output</t>
        </is>
      </c>
      <c r="E4940" s="12" t="inlineStr"/>
      <c r="F4940" s="12" t="inlineStr">
        <is>
          <t>MT-3: microturbine 1 MW (Capstone C1000 class)</t>
        </is>
      </c>
      <c r="G4940" s="12" t="inlineStr"/>
      <c r="H4940" s="12" t="inlineStr">
        <is>
          <t>MOD-LV 480 V board + 480 V : 13.8 kV step-up</t>
        </is>
      </c>
      <c r="I4940" s="12" t="inlineStr">
        <is>
          <t>LV 600 V</t>
        </is>
      </c>
      <c r="J4940" s="12" t="inlineStr">
        <is>
          <t>Type TC-ER 600 V 3/C Cu XHHW-2 + ground, PVC jacket</t>
        </is>
      </c>
      <c r="K4940" s="12" t="inlineStr">
        <is>
          <t>LV|3/C+G|350</t>
        </is>
      </c>
      <c r="L4940" s="12" t="inlineStr">
        <is>
          <t>3/C+G</t>
        </is>
      </c>
      <c r="M4940" s="12" t="inlineStr">
        <is>
          <t>350 kcmil</t>
        </is>
      </c>
      <c r="N4940" s="12" t="n">
        <v>6</v>
      </c>
      <c r="O4940" s="12" t="n">
        <v>1</v>
      </c>
      <c r="P4940" s="12" t="n">
        <v>480</v>
      </c>
      <c r="Q4940" s="12" t="n">
        <v>1000</v>
      </c>
      <c r="R4940" s="12" t="n">
        <v>1266.2</v>
      </c>
      <c r="S4940" s="12" t="inlineStr">
        <is>
          <t>Duct bank</t>
        </is>
      </c>
      <c r="T4940" s="16" t="n">
        <v>121</v>
      </c>
      <c r="U4940" s="16" t="n">
        <v>45</v>
      </c>
      <c r="V4940" s="16">
        <f>ROUNDUP((T4940+U4940+2*'Read Me'!$B$13)*(1+'Read Me'!$B$12),-1)</f>
        <v/>
      </c>
      <c r="W4940" s="16">
        <f>V4940*N4940*O4940</f>
        <v/>
      </c>
      <c r="X4940" s="12">
        <f>IF(LEFT(I4940,2)="MV",2*N4940*IF(L4940="1/C",O4940,1),0)</f>
        <v/>
      </c>
      <c r="Y4940" s="12">
        <f>IF(OR(LEFT(K4940,4)="LVAX",LEFT(K4940,6)="MV15AX",LEFT(K4940,4)="CTAX",LEFT(K4940,2)="W|"),2*N4940*O4940,0)</f>
        <v/>
      </c>
      <c r="Z4940" s="12" t="inlineStr">
        <is>
          <t>VD 0.5 %</t>
        </is>
      </c>
      <c r="AA4940" s="12">
        <f>N4940*O4940</f>
        <v/>
      </c>
    </row>
    <row r="4941">
      <c r="A4941" s="12" t="inlineStr">
        <is>
          <t>I-P-0035</t>
        </is>
      </c>
      <c r="B4941" s="12" t="inlineStr">
        <is>
          <t>I</t>
        </is>
      </c>
      <c r="C4941" s="12" t="inlineStr">
        <is>
          <t>Modular / portable power</t>
        </is>
      </c>
      <c r="D4941" s="12" t="inlineStr">
        <is>
          <t>MT-4 microturbine output</t>
        </is>
      </c>
      <c r="E4941" s="12" t="inlineStr">
        <is>
          <t>MT-4</t>
        </is>
      </c>
      <c r="F4941" s="12" t="inlineStr">
        <is>
          <t>MT-4: microturbine 1 MW (Capstone C1000 class)</t>
        </is>
      </c>
      <c r="G4941" s="12" t="inlineStr"/>
      <c r="H4941" s="12" t="inlineStr">
        <is>
          <t>MOD-LV 480 V board + 480 V : 13.8 kV step-up</t>
        </is>
      </c>
      <c r="I4941" s="12" t="inlineStr">
        <is>
          <t>LV 600 V</t>
        </is>
      </c>
      <c r="J4941" s="12" t="inlineStr">
        <is>
          <t>Type TC-ER 600 V 3/C Cu XHHW-2 + ground, PVC jacket</t>
        </is>
      </c>
      <c r="K4941" s="12" t="inlineStr">
        <is>
          <t>LV|3/C+G|500</t>
        </is>
      </c>
      <c r="L4941" s="12" t="inlineStr">
        <is>
          <t>3/C+G</t>
        </is>
      </c>
      <c r="M4941" s="12" t="inlineStr">
        <is>
          <t>500 kcmil</t>
        </is>
      </c>
      <c r="N4941" s="12" t="n">
        <v>12</v>
      </c>
      <c r="O4941" s="12" t="n">
        <v>1</v>
      </c>
      <c r="P4941" s="12" t="n">
        <v>480</v>
      </c>
      <c r="Q4941" s="12" t="n">
        <v>1000</v>
      </c>
      <c r="R4941" s="12" t="n">
        <v>1266.2</v>
      </c>
      <c r="S4941" s="12" t="inlineStr">
        <is>
          <t>HV duct bank</t>
        </is>
      </c>
      <c r="T4941" s="16" t="n">
        <v>2598</v>
      </c>
      <c r="U4941" s="16" t="n">
        <v>41</v>
      </c>
      <c r="V4941" s="16">
        <f>ROUNDUP((T4941+U4941+2*'Read Me'!$B$13)*(1+'Read Me'!$B$12),-1)</f>
        <v/>
      </c>
      <c r="W4941" s="16">
        <f>V4941*N4941*O4941</f>
        <v/>
      </c>
      <c r="X4941" s="12">
        <f>IF(LEFT(I4941,2)="MV",2*N4941*IF(L4941="1/C",O4941,1),0)</f>
        <v/>
      </c>
      <c r="Y4941" s="12">
        <f>IF(OR(LEFT(K4941,4)="LVAX",LEFT(K4941,6)="MV15AX",LEFT(K4941,4)="CTAX",LEFT(K4941,2)="W|"),2*N4941*O4941,0)</f>
        <v/>
      </c>
      <c r="Z4941" s="12" t="inlineStr">
        <is>
          <t>VD 2.9 %</t>
        </is>
      </c>
      <c r="AA4941" s="12">
        <f>N4941*O4941</f>
        <v/>
      </c>
    </row>
    <row r="4942">
      <c r="A4942" s="12" t="inlineStr">
        <is>
          <t>I-P-0036</t>
        </is>
      </c>
      <c r="B4942" s="12" t="inlineStr">
        <is>
          <t>I</t>
        </is>
      </c>
      <c r="C4942" s="12" t="inlineStr">
        <is>
          <t>Modular / portable power</t>
        </is>
      </c>
      <c r="D4942" s="12" t="inlineStr">
        <is>
          <t>MT-5 microturbine output</t>
        </is>
      </c>
      <c r="E4942" s="12" t="inlineStr">
        <is>
          <t>MT-5</t>
        </is>
      </c>
      <c r="F4942" s="12" t="inlineStr">
        <is>
          <t>MT-5: microturbine 1 MW (Capstone C1000 class)</t>
        </is>
      </c>
      <c r="G4942" s="12" t="inlineStr"/>
      <c r="H4942" s="12" t="inlineStr">
        <is>
          <t>MOD-LV 480 V board + 480 V : 13.8 kV step-up</t>
        </is>
      </c>
      <c r="I4942" s="12" t="inlineStr">
        <is>
          <t>LV 600 V</t>
        </is>
      </c>
      <c r="J4942" s="12" t="inlineStr">
        <is>
          <t>Type TC-ER 600 V 3/C Cu XHHW-2 + ground, PVC jacket</t>
        </is>
      </c>
      <c r="K4942" s="12" t="inlineStr">
        <is>
          <t>LV|3/C+G|500</t>
        </is>
      </c>
      <c r="L4942" s="12" t="inlineStr">
        <is>
          <t>3/C+G</t>
        </is>
      </c>
      <c r="M4942" s="12" t="inlineStr">
        <is>
          <t>500 kcmil</t>
        </is>
      </c>
      <c r="N4942" s="12" t="n">
        <v>12</v>
      </c>
      <c r="O4942" s="12" t="n">
        <v>1</v>
      </c>
      <c r="P4942" s="12" t="n">
        <v>480</v>
      </c>
      <c r="Q4942" s="12" t="n">
        <v>1000</v>
      </c>
      <c r="R4942" s="12" t="n">
        <v>1266.2</v>
      </c>
      <c r="S4942" s="12" t="inlineStr">
        <is>
          <t>HV duct bank</t>
        </is>
      </c>
      <c r="T4942" s="16" t="n">
        <v>2625</v>
      </c>
      <c r="U4942" s="16" t="n">
        <v>31</v>
      </c>
      <c r="V4942" s="16">
        <f>ROUNDUP((T4942+U4942+2*'Read Me'!$B$13)*(1+'Read Me'!$B$12),-1)</f>
        <v/>
      </c>
      <c r="W4942" s="16">
        <f>V4942*N4942*O4942</f>
        <v/>
      </c>
      <c r="X4942" s="12">
        <f>IF(LEFT(I4942,2)="MV",2*N4942*IF(L4942="1/C",O4942,1),0)</f>
        <v/>
      </c>
      <c r="Y4942" s="12">
        <f>IF(OR(LEFT(K4942,4)="LVAX",LEFT(K4942,6)="MV15AX",LEFT(K4942,4)="CTAX",LEFT(K4942,2)="W|"),2*N4942*O4942,0)</f>
        <v/>
      </c>
      <c r="Z4942" s="12" t="inlineStr">
        <is>
          <t>VD 2.9 %</t>
        </is>
      </c>
      <c r="AA4942" s="12">
        <f>N4942*O4942</f>
        <v/>
      </c>
    </row>
    <row r="4943">
      <c r="A4943" s="12" t="inlineStr">
        <is>
          <t>I-P-0037</t>
        </is>
      </c>
      <c r="B4943" s="12" t="inlineStr">
        <is>
          <t>I</t>
        </is>
      </c>
      <c r="C4943" s="12" t="inlineStr">
        <is>
          <t>Modular / portable power</t>
        </is>
      </c>
      <c r="D4943" s="12" t="inlineStr">
        <is>
          <t>MT-6 microturbine output</t>
        </is>
      </c>
      <c r="E4943" s="12" t="inlineStr">
        <is>
          <t>MT-6</t>
        </is>
      </c>
      <c r="F4943" s="12" t="inlineStr">
        <is>
          <t>MT-6: microturbine 1 MW (Capstone C1000 class)</t>
        </is>
      </c>
      <c r="G4943" s="12" t="inlineStr"/>
      <c r="H4943" s="12" t="inlineStr">
        <is>
          <t>MOD-LV 480 V board + 480 V : 13.8 kV step-up</t>
        </is>
      </c>
      <c r="I4943" s="12" t="inlineStr">
        <is>
          <t>LV 600 V</t>
        </is>
      </c>
      <c r="J4943" s="12" t="inlineStr">
        <is>
          <t>Type TC-ER 600 V 3/C Cu XHHW-2 + ground, PVC jacket</t>
        </is>
      </c>
      <c r="K4943" s="12" t="inlineStr">
        <is>
          <t>LV|3/C+G|500</t>
        </is>
      </c>
      <c r="L4943" s="12" t="inlineStr">
        <is>
          <t>3/C+G</t>
        </is>
      </c>
      <c r="M4943" s="12" t="inlineStr">
        <is>
          <t>500 kcmil</t>
        </is>
      </c>
      <c r="N4943" s="12" t="n">
        <v>12</v>
      </c>
      <c r="O4943" s="12" t="n">
        <v>1</v>
      </c>
      <c r="P4943" s="12" t="n">
        <v>480</v>
      </c>
      <c r="Q4943" s="12" t="n">
        <v>1000</v>
      </c>
      <c r="R4943" s="12" t="n">
        <v>1266.2</v>
      </c>
      <c r="S4943" s="12" t="inlineStr">
        <is>
          <t>HV duct bank</t>
        </is>
      </c>
      <c r="T4943" s="16" t="n">
        <v>2670</v>
      </c>
      <c r="U4943" s="16" t="n">
        <v>41</v>
      </c>
      <c r="V4943" s="16">
        <f>ROUNDUP((T4943+U4943+2*'Read Me'!$B$13)*(1+'Read Me'!$B$12),-1)</f>
        <v/>
      </c>
      <c r="W4943" s="16">
        <f>V4943*N4943*O4943</f>
        <v/>
      </c>
      <c r="X4943" s="12">
        <f>IF(LEFT(I4943,2)="MV",2*N4943*IF(L4943="1/C",O4943,1),0)</f>
        <v/>
      </c>
      <c r="Y4943" s="12">
        <f>IF(OR(LEFT(K4943,4)="LVAX",LEFT(K4943,6)="MV15AX",LEFT(K4943,4)="CTAX",LEFT(K4943,2)="W|"),2*N4943*O4943,0)</f>
        <v/>
      </c>
      <c r="Z4943" s="12" t="inlineStr">
        <is>
          <t>VD 2.9 %</t>
        </is>
      </c>
      <c r="AA4943" s="12">
        <f>N4943*O4943</f>
        <v/>
      </c>
    </row>
    <row r="4944">
      <c r="A4944" s="12" t="inlineStr">
        <is>
          <t>I-P-0038</t>
        </is>
      </c>
      <c r="B4944" s="12" t="inlineStr">
        <is>
          <t>I</t>
        </is>
      </c>
      <c r="C4944" s="12" t="inlineStr">
        <is>
          <t>Modular / portable power</t>
        </is>
      </c>
      <c r="D4944" s="12" t="inlineStr">
        <is>
          <t>PAD-LV to PAD-TX</t>
        </is>
      </c>
      <c r="E4944" s="12" t="inlineStr">
        <is>
          <t>PAD-LV</t>
        </is>
      </c>
      <c r="F4944" s="12" t="inlineStr">
        <is>
          <t>PAD-LV 480 V paralleling switchboard</t>
        </is>
      </c>
      <c r="G4944" s="12" t="inlineStr">
        <is>
          <t>PAD-TX</t>
        </is>
      </c>
      <c r="H4944" s="12" t="inlineStr">
        <is>
          <t>PAD-TX 480 V : 13.8 kV</t>
        </is>
      </c>
      <c r="I4944" s="12" t="inlineStr">
        <is>
          <t>LV 600 V</t>
        </is>
      </c>
      <c r="J4944" s="12" t="inlineStr">
        <is>
          <t>XHHW-2 600 V 1/C Cu (feeder sets in tray / duct)</t>
        </is>
      </c>
      <c r="K4944" s="12" t="inlineStr">
        <is>
          <t>LV1C|1/C|500</t>
        </is>
      </c>
      <c r="L4944" s="12" t="inlineStr">
        <is>
          <t>1/C</t>
        </is>
      </c>
      <c r="M4944" s="12" t="inlineStr">
        <is>
          <t>500 kcmil</t>
        </is>
      </c>
      <c r="N4944" s="12" t="n">
        <v>12</v>
      </c>
      <c r="O4944" s="12" t="n">
        <v>4</v>
      </c>
      <c r="P4944" s="12" t="n">
        <v>480</v>
      </c>
      <c r="Q4944" s="12" t="n">
        <v>3000</v>
      </c>
      <c r="R4944" s="12" t="n">
        <v>3600</v>
      </c>
      <c r="S4944" s="12" t="inlineStr">
        <is>
          <t>Conduit link</t>
        </is>
      </c>
      <c r="T4944" s="16" t="n">
        <v>49</v>
      </c>
      <c r="U4944" s="16" t="n">
        <v>27</v>
      </c>
      <c r="V4944" s="16">
        <f>ROUNDUP((T4944+U4944+2*'Read Me'!$B$13)*(1+'Read Me'!$B$12),-1)</f>
        <v/>
      </c>
      <c r="W4944" s="16">
        <f>V4944*N4944*O4944</f>
        <v/>
      </c>
      <c r="X4944" s="12">
        <f>IF(LEFT(I4944,2)="MV",2*N4944*IF(L4944="1/C",O4944,1),0)</f>
        <v/>
      </c>
      <c r="Y4944" s="12">
        <f>IF(OR(LEFT(K4944,4)="LVAX",LEFT(K4944,6)="MV15AX",LEFT(K4944,4)="CTAX",LEFT(K4944,2)="W|"),2*N4944*O4944,0)</f>
        <v/>
      </c>
      <c r="Z4944" s="12" t="inlineStr">
        <is>
          <t>12 sets of 4 x 1/C (or bus duct)</t>
        </is>
      </c>
      <c r="AA4944" s="12">
        <f>N4944*O4944</f>
        <v/>
      </c>
    </row>
    <row r="4945">
      <c r="A4945" s="12" t="inlineStr">
        <is>
          <t>I-P-0039</t>
        </is>
      </c>
      <c r="B4945" s="12" t="inlineStr">
        <is>
          <t>I</t>
        </is>
      </c>
      <c r="C4945" s="12" t="inlineStr">
        <is>
          <t>Modular / portable power</t>
        </is>
      </c>
      <c r="D4945" s="12" t="inlineStr">
        <is>
          <t>LV panel / distribution feeder</t>
        </is>
      </c>
      <c r="E4945" s="12" t="inlineStr"/>
      <c r="F4945" s="12" t="inlineStr">
        <is>
          <t>PCM: power control module</t>
        </is>
      </c>
      <c r="G4945" s="12" t="inlineStr"/>
      <c r="H4945" s="12" t="inlineStr">
        <is>
          <t>PCM: power control module</t>
        </is>
      </c>
      <c r="I4945" s="12" t="inlineStr">
        <is>
          <t>LV 600 V</t>
        </is>
      </c>
      <c r="J4945" s="12" t="inlineStr">
        <is>
          <t>Type TC-ER 600 V 3/C Cu XHHW-2 + ground, PVC jacket</t>
        </is>
      </c>
      <c r="K4945" s="12" t="inlineStr">
        <is>
          <t>LV|3/C+G|4</t>
        </is>
      </c>
      <c r="L4945" s="12" t="inlineStr">
        <is>
          <t>3/C+G</t>
        </is>
      </c>
      <c r="M4945" s="12" t="inlineStr">
        <is>
          <t>4</t>
        </is>
      </c>
      <c r="N4945" s="12" t="n">
        <v>1</v>
      </c>
      <c r="O4945" s="12" t="n">
        <v>1</v>
      </c>
      <c r="P4945" s="12" t="n">
        <v>480</v>
      </c>
      <c r="Q4945" s="12" t="n">
        <v>38</v>
      </c>
      <c r="R4945" s="12" t="n">
        <v>53.8</v>
      </c>
      <c r="S4945" s="12" t="inlineStr">
        <is>
          <t>Tray</t>
        </is>
      </c>
      <c r="T4945" s="16" t="n">
        <v>0</v>
      </c>
      <c r="U4945" s="16" t="n">
        <v>32</v>
      </c>
      <c r="V4945" s="16">
        <f>ROUNDUP((T4945+U4945+2*'Read Me'!$B$13)*(1+'Read Me'!$B$12),-1)</f>
        <v/>
      </c>
      <c r="W4945" s="16">
        <f>V4945*N4945*O4945</f>
        <v/>
      </c>
      <c r="X4945" s="12">
        <f>IF(LEFT(I4945,2)="MV",2*N4945*IF(L4945="1/C",O4945,1),0)</f>
        <v/>
      </c>
      <c r="Y4945" s="12">
        <f>IF(OR(LEFT(K4945,4)="LVAX",LEFT(K4945,6)="MV15AX",LEFT(K4945,4)="CTAX",LEFT(K4945,2)="W|"),2*N4945*O4945,0)</f>
        <v/>
      </c>
      <c r="Z4945" s="12" t="inlineStr">
        <is>
          <t>VD 0.2 %</t>
        </is>
      </c>
      <c r="AA4945" s="12">
        <f>N4945*O4945</f>
        <v/>
      </c>
    </row>
    <row r="4946">
      <c r="A4946" s="12" t="inlineStr">
        <is>
          <t>I-P-0040</t>
        </is>
      </c>
      <c r="B4946" s="12" t="inlineStr">
        <is>
          <t>I</t>
        </is>
      </c>
      <c r="C4946" s="12" t="inlineStr">
        <is>
          <t>Modular / portable power</t>
        </is>
      </c>
      <c r="D4946" s="12" t="inlineStr">
        <is>
          <t>Motor 1 of 1, 15 kW</t>
        </is>
      </c>
      <c r="E4946" s="12" t="inlineStr"/>
      <c r="F4946" s="12" t="inlineStr">
        <is>
          <t>PCM: power control module</t>
        </is>
      </c>
      <c r="G4946" s="12" t="inlineStr"/>
      <c r="H4946" s="12" t="inlineStr">
        <is>
          <t>RICE 1 SCR + oxidation catalyst and stack</t>
        </is>
      </c>
      <c r="I4946" s="12" t="inlineStr">
        <is>
          <t>LV 600 V</t>
        </is>
      </c>
      <c r="J4946" s="12" t="inlineStr">
        <is>
          <t>Type TC-ER 600 V 3/C Cu XHHW-2 + ground, PVC jacket</t>
        </is>
      </c>
      <c r="K4946" s="12" t="inlineStr">
        <is>
          <t>LV|3/C+G|6</t>
        </is>
      </c>
      <c r="L4946" s="12" t="inlineStr">
        <is>
          <t>3/C+G</t>
        </is>
      </c>
      <c r="M4946" s="12" t="inlineStr">
        <is>
          <t>6</t>
        </is>
      </c>
      <c r="N4946" s="12" t="n">
        <v>1</v>
      </c>
      <c r="O4946" s="12" t="n">
        <v>1</v>
      </c>
      <c r="P4946" s="12" t="n">
        <v>480</v>
      </c>
      <c r="Q4946" s="12" t="n">
        <v>15</v>
      </c>
      <c r="R4946" s="12" t="n">
        <v>21.2</v>
      </c>
      <c r="S4946" s="12" t="inlineStr">
        <is>
          <t>Duct bank</t>
        </is>
      </c>
      <c r="T4946" s="16" t="n">
        <v>470</v>
      </c>
      <c r="U4946" s="16" t="n">
        <v>160</v>
      </c>
      <c r="V4946" s="16">
        <f>ROUNDUP((T4946+U4946+2*'Read Me'!$B$13)*(1+'Read Me'!$B$12),-1)</f>
        <v/>
      </c>
      <c r="W4946" s="16">
        <f>V4946*N4946*O4946</f>
        <v/>
      </c>
      <c r="X4946" s="12">
        <f>IF(LEFT(I4946,2)="MV",2*N4946*IF(L4946="1/C",O4946,1),0)</f>
        <v/>
      </c>
      <c r="Y4946" s="12">
        <f>IF(OR(LEFT(K4946,4)="LVAX",LEFT(K4946,6)="MV15AX",LEFT(K4946,4)="CTAX",LEFT(K4946,2)="W|"),2*N4946*O4946,0)</f>
        <v/>
      </c>
      <c r="Z4946" s="12" t="inlineStr">
        <is>
          <t>VD 2.6 %</t>
        </is>
      </c>
      <c r="AA4946" s="12">
        <f>N4946*O4946</f>
        <v/>
      </c>
    </row>
    <row r="4947">
      <c r="A4947" s="12" t="inlineStr">
        <is>
          <t>I-P-0041</t>
        </is>
      </c>
      <c r="B4947" s="12" t="inlineStr">
        <is>
          <t>I</t>
        </is>
      </c>
      <c r="C4947" s="12" t="inlineStr">
        <is>
          <t>Modular / portable power</t>
        </is>
      </c>
      <c r="D4947" s="12" t="inlineStr">
        <is>
          <t>Area / platform lighting circuit 1 (6 fixtures)</t>
        </is>
      </c>
      <c r="E4947" s="12" t="inlineStr"/>
      <c r="F4947" s="12" t="inlineStr">
        <is>
          <t>PCM: power control module</t>
        </is>
      </c>
      <c r="G4947" s="12" t="inlineStr"/>
      <c r="H4947" s="12" t="inlineStr">
        <is>
          <t>RICE 1 SCR + oxidation catalyst and stack</t>
        </is>
      </c>
      <c r="I4947" s="12" t="inlineStr">
        <is>
          <t>LV 600 V</t>
        </is>
      </c>
      <c r="J4947" s="12" t="inlineStr">
        <is>
          <t>Type TC-ER 600 V 3/C Cu XHHW-2 + ground, PVC jacket</t>
        </is>
      </c>
      <c r="K4947" s="12" t="inlineStr">
        <is>
          <t>LV|3/C+G|10</t>
        </is>
      </c>
      <c r="L4947" s="12" t="inlineStr">
        <is>
          <t>3/C+G</t>
        </is>
      </c>
      <c r="M4947" s="12" t="inlineStr">
        <is>
          <t>10</t>
        </is>
      </c>
      <c r="N4947" s="12" t="n">
        <v>1</v>
      </c>
      <c r="O4947" s="12" t="n">
        <v>1</v>
      </c>
      <c r="P4947" s="12" t="n">
        <v>480</v>
      </c>
      <c r="Q4947" s="12" t="n">
        <v>3</v>
      </c>
      <c r="R4947" s="12" t="n">
        <v>5</v>
      </c>
      <c r="S4947" s="12" t="inlineStr">
        <is>
          <t>Duct bank</t>
        </is>
      </c>
      <c r="T4947" s="16" t="n">
        <v>770</v>
      </c>
      <c r="U4947" s="16" t="n">
        <v>160</v>
      </c>
      <c r="V4947" s="16">
        <f>ROUNDUP((T4947+U4947+2*'Read Me'!$B$13)*(1+'Read Me'!$B$12),-1)</f>
        <v/>
      </c>
      <c r="W4947" s="16">
        <f>V4947*N4947*O4947</f>
        <v/>
      </c>
      <c r="X4947" s="12">
        <f>IF(LEFT(I4947,2)="MV",2*N4947*IF(L4947="1/C",O4947,1),0)</f>
        <v/>
      </c>
      <c r="Y4947" s="12">
        <f>IF(OR(LEFT(K4947,4)="LVAX",LEFT(K4947,6)="MV15AX",LEFT(K4947,4)="CTAX",LEFT(K4947,2)="W|"),2*N4947*O4947,0)</f>
        <v/>
      </c>
      <c r="Z4947" s="12" t="inlineStr">
        <is>
          <t>fixture-to-fixture run included</t>
        </is>
      </c>
      <c r="AA4947" s="12">
        <f>N4947*O4947</f>
        <v/>
      </c>
    </row>
    <row r="4948">
      <c r="A4948" s="12" t="inlineStr">
        <is>
          <t>I-P-0042</t>
        </is>
      </c>
      <c r="B4948" s="12" t="inlineStr">
        <is>
          <t>I</t>
        </is>
      </c>
      <c r="C4948" s="12" t="inlineStr">
        <is>
          <t>Modular / portable power</t>
        </is>
      </c>
      <c r="D4948" s="12" t="inlineStr">
        <is>
          <t>Motor 1 of 5, 30 kW (VFD output)</t>
        </is>
      </c>
      <c r="E4948" s="12" t="inlineStr"/>
      <c r="F4948" s="12" t="inlineStr">
        <is>
          <t>PCM: power control module</t>
        </is>
      </c>
      <c r="G4948" s="12" t="inlineStr"/>
      <c r="H4948" s="12" t="inlineStr">
        <is>
          <t>RICE 1 radiators (5)</t>
        </is>
      </c>
      <c r="I4948" s="12" t="inlineStr">
        <is>
          <t>LV 600 V</t>
        </is>
      </c>
      <c r="J4948" s="12" t="inlineStr">
        <is>
          <t>VFD cable 600 V 3/C Cu XHHW-2, 3 symmetrical grounds, overall Cu tape shield, TC-ER</t>
        </is>
      </c>
      <c r="K4948" s="12" t="inlineStr">
        <is>
          <t>VFD|3/C+3G|1</t>
        </is>
      </c>
      <c r="L4948" s="12" t="inlineStr">
        <is>
          <t>3/C+3G</t>
        </is>
      </c>
      <c r="M4948" s="12" t="inlineStr">
        <is>
          <t>1</t>
        </is>
      </c>
      <c r="N4948" s="12" t="n">
        <v>1</v>
      </c>
      <c r="O4948" s="12" t="n">
        <v>1</v>
      </c>
      <c r="P4948" s="12" t="n">
        <v>480</v>
      </c>
      <c r="Q4948" s="12" t="n">
        <v>30</v>
      </c>
      <c r="R4948" s="12" t="n">
        <v>42</v>
      </c>
      <c r="S4948" s="12" t="inlineStr">
        <is>
          <t>Duct bank</t>
        </is>
      </c>
      <c r="T4948" s="16" t="n">
        <v>825</v>
      </c>
      <c r="U4948" s="16" t="n">
        <v>139</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I-P-0043</t>
        </is>
      </c>
      <c r="B4949" s="12" t="inlineStr">
        <is>
          <t>I</t>
        </is>
      </c>
      <c r="C4949" s="12" t="inlineStr">
        <is>
          <t>Modular / portable power</t>
        </is>
      </c>
      <c r="D4949" s="12" t="inlineStr">
        <is>
          <t>Motor 2 of 5, 30 kW (VFD output)</t>
        </is>
      </c>
      <c r="E4949" s="12" t="inlineStr"/>
      <c r="F4949" s="12" t="inlineStr">
        <is>
          <t>PCM: power control module</t>
        </is>
      </c>
      <c r="G4949" s="12" t="inlineStr"/>
      <c r="H4949" s="12" t="inlineStr">
        <is>
          <t>RICE 1 radiators (5)</t>
        </is>
      </c>
      <c r="I4949" s="12" t="inlineStr">
        <is>
          <t>LV 600 V</t>
        </is>
      </c>
      <c r="J4949" s="12" t="inlineStr">
        <is>
          <t>VFD cable 600 V 3/C Cu XHHW-2, 3 symmetrical grounds, overall Cu tape shield, TC-ER</t>
        </is>
      </c>
      <c r="K4949" s="12" t="inlineStr">
        <is>
          <t>VFD|3/C+3G|1</t>
        </is>
      </c>
      <c r="L4949" s="12" t="inlineStr">
        <is>
          <t>3/C+3G</t>
        </is>
      </c>
      <c r="M4949" s="12" t="inlineStr">
        <is>
          <t>1</t>
        </is>
      </c>
      <c r="N4949" s="12" t="n">
        <v>1</v>
      </c>
      <c r="O4949" s="12" t="n">
        <v>1</v>
      </c>
      <c r="P4949" s="12" t="n">
        <v>480</v>
      </c>
      <c r="Q4949" s="12" t="n">
        <v>30</v>
      </c>
      <c r="R4949" s="12" t="n">
        <v>42</v>
      </c>
      <c r="S4949" s="12" t="inlineStr">
        <is>
          <t>Duct bank</t>
        </is>
      </c>
      <c r="T4949" s="16" t="n">
        <v>825</v>
      </c>
      <c r="U4949" s="16" t="n">
        <v>139</v>
      </c>
      <c r="V4949" s="16">
        <f>ROUNDUP((T4949+U4949+2*'Read Me'!$B$13)*(1+'Read Me'!$B$12),-1)</f>
        <v/>
      </c>
      <c r="W4949" s="16">
        <f>V4949*N4949*O4949</f>
        <v/>
      </c>
      <c r="X4949" s="12">
        <f>IF(LEFT(I4949,2)="MV",2*N4949*IF(L4949="1/C",O4949,1),0)</f>
        <v/>
      </c>
      <c r="Y4949" s="12">
        <f>IF(OR(LEFT(K4949,4)="LVAX",LEFT(K4949,6)="MV15AX",LEFT(K4949,4)="CTAX",LEFT(K4949,2)="W|"),2*N4949*O4949,0)</f>
        <v/>
      </c>
      <c r="Z4949" s="12" t="inlineStr">
        <is>
          <t>VD 2.5 %</t>
        </is>
      </c>
      <c r="AA4949" s="12">
        <f>N4949*O4949</f>
        <v/>
      </c>
    </row>
    <row r="4950">
      <c r="A4950" s="12" t="inlineStr">
        <is>
          <t>I-P-0044</t>
        </is>
      </c>
      <c r="B4950" s="12" t="inlineStr">
        <is>
          <t>I</t>
        </is>
      </c>
      <c r="C4950" s="12" t="inlineStr">
        <is>
          <t>Modular / portable power</t>
        </is>
      </c>
      <c r="D4950" s="12" t="inlineStr">
        <is>
          <t>Motor 3 of 5, 30 kW (VFD output)</t>
        </is>
      </c>
      <c r="E4950" s="12" t="inlineStr"/>
      <c r="F4950" s="12" t="inlineStr">
        <is>
          <t>PCM: power control module</t>
        </is>
      </c>
      <c r="G4950" s="12" t="inlineStr"/>
      <c r="H4950" s="12" t="inlineStr">
        <is>
          <t>RICE 1 radiators (5)</t>
        </is>
      </c>
      <c r="I4950" s="12" t="inlineStr">
        <is>
          <t>LV 600 V</t>
        </is>
      </c>
      <c r="J4950" s="12" t="inlineStr">
        <is>
          <t>VFD cable 600 V 3/C Cu XHHW-2, 3 symmetrical grounds, overall Cu tape shield, TC-ER</t>
        </is>
      </c>
      <c r="K4950" s="12" t="inlineStr">
        <is>
          <t>VFD|3/C+3G|1</t>
        </is>
      </c>
      <c r="L4950" s="12" t="inlineStr">
        <is>
          <t>3/C+3G</t>
        </is>
      </c>
      <c r="M4950" s="12" t="inlineStr">
        <is>
          <t>1</t>
        </is>
      </c>
      <c r="N4950" s="12" t="n">
        <v>1</v>
      </c>
      <c r="O4950" s="12" t="n">
        <v>1</v>
      </c>
      <c r="P4950" s="12" t="n">
        <v>480</v>
      </c>
      <c r="Q4950" s="12" t="n">
        <v>30</v>
      </c>
      <c r="R4950" s="12" t="n">
        <v>42</v>
      </c>
      <c r="S4950" s="12" t="inlineStr">
        <is>
          <t>Duct bank</t>
        </is>
      </c>
      <c r="T4950" s="16" t="n">
        <v>825</v>
      </c>
      <c r="U4950" s="16" t="n">
        <v>139</v>
      </c>
      <c r="V4950" s="16">
        <f>ROUNDUP((T4950+U4950+2*'Read Me'!$B$13)*(1+'Read Me'!$B$12),-1)</f>
        <v/>
      </c>
      <c r="W4950" s="16">
        <f>V4950*N4950*O4950</f>
        <v/>
      </c>
      <c r="X4950" s="12">
        <f>IF(LEFT(I4950,2)="MV",2*N4950*IF(L4950="1/C",O4950,1),0)</f>
        <v/>
      </c>
      <c r="Y4950" s="12">
        <f>IF(OR(LEFT(K4950,4)="LVAX",LEFT(K4950,6)="MV15AX",LEFT(K4950,4)="CTAX",LEFT(K4950,2)="W|"),2*N4950*O4950,0)</f>
        <v/>
      </c>
      <c r="Z4950" s="12" t="inlineStr">
        <is>
          <t>VD 2.5 %</t>
        </is>
      </c>
      <c r="AA4950" s="12">
        <f>N4950*O4950</f>
        <v/>
      </c>
    </row>
    <row r="4951">
      <c r="A4951" s="12" t="inlineStr">
        <is>
          <t>I-P-0045</t>
        </is>
      </c>
      <c r="B4951" s="12" t="inlineStr">
        <is>
          <t>I</t>
        </is>
      </c>
      <c r="C4951" s="12" t="inlineStr">
        <is>
          <t>Modular / portable power</t>
        </is>
      </c>
      <c r="D4951" s="12" t="inlineStr">
        <is>
          <t>Motor 4 of 5, 30 kW (VFD output)</t>
        </is>
      </c>
      <c r="E4951" s="12" t="inlineStr"/>
      <c r="F4951" s="12" t="inlineStr">
        <is>
          <t>PCM: power control module</t>
        </is>
      </c>
      <c r="G4951" s="12" t="inlineStr"/>
      <c r="H4951" s="12" t="inlineStr">
        <is>
          <t>RICE 1 radiators (5)</t>
        </is>
      </c>
      <c r="I4951" s="12" t="inlineStr">
        <is>
          <t>LV 600 V</t>
        </is>
      </c>
      <c r="J4951" s="12" t="inlineStr">
        <is>
          <t>VFD cable 600 V 3/C Cu XHHW-2, 3 symmetrical grounds, overall Cu tape shield, TC-ER</t>
        </is>
      </c>
      <c r="K4951" s="12" t="inlineStr">
        <is>
          <t>VFD|3/C+3G|1</t>
        </is>
      </c>
      <c r="L4951" s="12" t="inlineStr">
        <is>
          <t>3/C+3G</t>
        </is>
      </c>
      <c r="M4951" s="12" t="inlineStr">
        <is>
          <t>1</t>
        </is>
      </c>
      <c r="N4951" s="12" t="n">
        <v>1</v>
      </c>
      <c r="O4951" s="12" t="n">
        <v>1</v>
      </c>
      <c r="P4951" s="12" t="n">
        <v>480</v>
      </c>
      <c r="Q4951" s="12" t="n">
        <v>30</v>
      </c>
      <c r="R4951" s="12" t="n">
        <v>42</v>
      </c>
      <c r="S4951" s="12" t="inlineStr">
        <is>
          <t>Duct bank</t>
        </is>
      </c>
      <c r="T4951" s="16" t="n">
        <v>825</v>
      </c>
      <c r="U4951" s="16" t="n">
        <v>139</v>
      </c>
      <c r="V4951" s="16">
        <f>ROUNDUP((T4951+U4951+2*'Read Me'!$B$13)*(1+'Read Me'!$B$12),-1)</f>
        <v/>
      </c>
      <c r="W4951" s="16">
        <f>V4951*N4951*O4951</f>
        <v/>
      </c>
      <c r="X4951" s="12">
        <f>IF(LEFT(I4951,2)="MV",2*N4951*IF(L4951="1/C",O4951,1),0)</f>
        <v/>
      </c>
      <c r="Y4951" s="12">
        <f>IF(OR(LEFT(K4951,4)="LVAX",LEFT(K4951,6)="MV15AX",LEFT(K4951,4)="CTAX",LEFT(K4951,2)="W|"),2*N4951*O4951,0)</f>
        <v/>
      </c>
      <c r="Z4951" s="12" t="inlineStr">
        <is>
          <t>VD 2.5 %</t>
        </is>
      </c>
      <c r="AA4951" s="12">
        <f>N4951*O4951</f>
        <v/>
      </c>
    </row>
    <row r="4952">
      <c r="A4952" s="12" t="inlineStr">
        <is>
          <t>I-P-0046</t>
        </is>
      </c>
      <c r="B4952" s="12" t="inlineStr">
        <is>
          <t>I</t>
        </is>
      </c>
      <c r="C4952" s="12" t="inlineStr">
        <is>
          <t>Modular / portable power</t>
        </is>
      </c>
      <c r="D4952" s="12" t="inlineStr">
        <is>
          <t>Motor 5 of 5, 30 kW (VFD output)</t>
        </is>
      </c>
      <c r="E4952" s="12" t="inlineStr"/>
      <c r="F4952" s="12" t="inlineStr">
        <is>
          <t>PCM: power control module</t>
        </is>
      </c>
      <c r="G4952" s="12" t="inlineStr"/>
      <c r="H4952" s="12" t="inlineStr">
        <is>
          <t>RICE 1 radiators (5)</t>
        </is>
      </c>
      <c r="I4952" s="12" t="inlineStr">
        <is>
          <t>LV 600 V</t>
        </is>
      </c>
      <c r="J4952" s="12" t="inlineStr">
        <is>
          <t>VFD cable 600 V 3/C Cu XHHW-2, 3 symmetrical grounds, overall Cu tape shield, TC-ER</t>
        </is>
      </c>
      <c r="K4952" s="12" t="inlineStr">
        <is>
          <t>VFD|3/C+3G|1</t>
        </is>
      </c>
      <c r="L4952" s="12" t="inlineStr">
        <is>
          <t>3/C+3G</t>
        </is>
      </c>
      <c r="M4952" s="12" t="inlineStr">
        <is>
          <t>1</t>
        </is>
      </c>
      <c r="N4952" s="12" t="n">
        <v>1</v>
      </c>
      <c r="O4952" s="12" t="n">
        <v>1</v>
      </c>
      <c r="P4952" s="12" t="n">
        <v>480</v>
      </c>
      <c r="Q4952" s="12" t="n">
        <v>30</v>
      </c>
      <c r="R4952" s="12" t="n">
        <v>42</v>
      </c>
      <c r="S4952" s="12" t="inlineStr">
        <is>
          <t>Duct bank</t>
        </is>
      </c>
      <c r="T4952" s="16" t="n">
        <v>825</v>
      </c>
      <c r="U4952" s="16" t="n">
        <v>139</v>
      </c>
      <c r="V4952" s="16">
        <f>ROUNDUP((T4952+U4952+2*'Read Me'!$B$13)*(1+'Read Me'!$B$12),-1)</f>
        <v/>
      </c>
      <c r="W4952" s="16">
        <f>V4952*N4952*O4952</f>
        <v/>
      </c>
      <c r="X4952" s="12">
        <f>IF(LEFT(I4952,2)="MV",2*N4952*IF(L4952="1/C",O4952,1),0)</f>
        <v/>
      </c>
      <c r="Y4952" s="12">
        <f>IF(OR(LEFT(K4952,4)="LVAX",LEFT(K4952,6)="MV15AX",LEFT(K4952,4)="CTAX",LEFT(K4952,2)="W|"),2*N4952*O4952,0)</f>
        <v/>
      </c>
      <c r="Z4952" s="12" t="inlineStr">
        <is>
          <t>VD 2.5 %</t>
        </is>
      </c>
      <c r="AA4952" s="12">
        <f>N4952*O4952</f>
        <v/>
      </c>
    </row>
    <row r="4953">
      <c r="A4953" s="12" t="inlineStr">
        <is>
          <t>I-P-0047</t>
        </is>
      </c>
      <c r="B4953" s="12" t="inlineStr">
        <is>
          <t>I</t>
        </is>
      </c>
      <c r="C4953" s="12" t="inlineStr">
        <is>
          <t>Modular / portable power</t>
        </is>
      </c>
      <c r="D4953" s="12" t="inlineStr">
        <is>
          <t>Motor 1 of 1, 15 kW</t>
        </is>
      </c>
      <c r="E4953" s="12" t="inlineStr"/>
      <c r="F4953" s="12" t="inlineStr">
        <is>
          <t>PCM: power control module</t>
        </is>
      </c>
      <c r="G4953" s="12" t="inlineStr"/>
      <c r="H4953" s="12" t="inlineStr">
        <is>
          <t>RICE 2 SCR + oxidation catalyst and stack</t>
        </is>
      </c>
      <c r="I4953" s="12" t="inlineStr">
        <is>
          <t>LV 600 V</t>
        </is>
      </c>
      <c r="J4953" s="12" t="inlineStr">
        <is>
          <t>Type TC-ER 600 V 3/C Cu XHHW-2 + ground, PVC jacket</t>
        </is>
      </c>
      <c r="K4953" s="12" t="inlineStr">
        <is>
          <t>LV|3/C+G|6</t>
        </is>
      </c>
      <c r="L4953" s="12" t="inlineStr">
        <is>
          <t>3/C+G</t>
        </is>
      </c>
      <c r="M4953" s="12" t="inlineStr">
        <is>
          <t>6</t>
        </is>
      </c>
      <c r="N4953" s="12" t="n">
        <v>1</v>
      </c>
      <c r="O4953" s="12" t="n">
        <v>1</v>
      </c>
      <c r="P4953" s="12" t="n">
        <v>480</v>
      </c>
      <c r="Q4953" s="12" t="n">
        <v>15</v>
      </c>
      <c r="R4953" s="12" t="n">
        <v>21.2</v>
      </c>
      <c r="S4953" s="12" t="inlineStr">
        <is>
          <t>Duct bank</t>
        </is>
      </c>
      <c r="T4953" s="16" t="n">
        <v>470</v>
      </c>
      <c r="U4953" s="16" t="n">
        <v>132</v>
      </c>
      <c r="V4953" s="16">
        <f>ROUNDUP((T4953+U4953+2*'Read Me'!$B$13)*(1+'Read Me'!$B$12),-1)</f>
        <v/>
      </c>
      <c r="W4953" s="16">
        <f>V4953*N4953*O4953</f>
        <v/>
      </c>
      <c r="X4953" s="12">
        <f>IF(LEFT(I4953,2)="MV",2*N4953*IF(L4953="1/C",O4953,1),0)</f>
        <v/>
      </c>
      <c r="Y4953" s="12">
        <f>IF(OR(LEFT(K4953,4)="LVAX",LEFT(K4953,6)="MV15AX",LEFT(K4953,4)="CTAX",LEFT(K4953,2)="W|"),2*N4953*O4953,0)</f>
        <v/>
      </c>
      <c r="Z4953" s="12" t="inlineStr">
        <is>
          <t>VD 2.5 %</t>
        </is>
      </c>
      <c r="AA4953" s="12">
        <f>N4953*O4953</f>
        <v/>
      </c>
    </row>
    <row r="4954">
      <c r="A4954" s="12" t="inlineStr">
        <is>
          <t>I-P-0048</t>
        </is>
      </c>
      <c r="B4954" s="12" t="inlineStr">
        <is>
          <t>I</t>
        </is>
      </c>
      <c r="C4954" s="12" t="inlineStr">
        <is>
          <t>Modular / portable power</t>
        </is>
      </c>
      <c r="D4954" s="12" t="inlineStr">
        <is>
          <t>Area / platform lighting circuit 1 (6 fixtures)</t>
        </is>
      </c>
      <c r="E4954" s="12" t="inlineStr"/>
      <c r="F4954" s="12" t="inlineStr">
        <is>
          <t>PCM: power control module</t>
        </is>
      </c>
      <c r="G4954" s="12" t="inlineStr"/>
      <c r="H4954" s="12" t="inlineStr">
        <is>
          <t>RICE 2 SCR + oxidation catalyst and stack</t>
        </is>
      </c>
      <c r="I4954" s="12" t="inlineStr">
        <is>
          <t>LV 600 V</t>
        </is>
      </c>
      <c r="J4954" s="12" t="inlineStr">
        <is>
          <t>Type TC-ER 600 V 3/C Cu XHHW-2 + ground, PVC jacket</t>
        </is>
      </c>
      <c r="K4954" s="12" t="inlineStr">
        <is>
          <t>LV|3/C+G|10</t>
        </is>
      </c>
      <c r="L4954" s="12" t="inlineStr">
        <is>
          <t>3/C+G</t>
        </is>
      </c>
      <c r="M4954" s="12" t="inlineStr">
        <is>
          <t>10</t>
        </is>
      </c>
      <c r="N4954" s="12" t="n">
        <v>1</v>
      </c>
      <c r="O4954" s="12" t="n">
        <v>1</v>
      </c>
      <c r="P4954" s="12" t="n">
        <v>480</v>
      </c>
      <c r="Q4954" s="12" t="n">
        <v>3</v>
      </c>
      <c r="R4954" s="12" t="n">
        <v>5</v>
      </c>
      <c r="S4954" s="12" t="inlineStr">
        <is>
          <t>Duct bank</t>
        </is>
      </c>
      <c r="T4954" s="16" t="n">
        <v>770</v>
      </c>
      <c r="U4954" s="16" t="n">
        <v>132</v>
      </c>
      <c r="V4954" s="16">
        <f>ROUNDUP((T4954+U4954+2*'Read Me'!$B$13)*(1+'Read Me'!$B$12),-1)</f>
        <v/>
      </c>
      <c r="W4954" s="16">
        <f>V4954*N4954*O4954</f>
        <v/>
      </c>
      <c r="X4954" s="12">
        <f>IF(LEFT(I4954,2)="MV",2*N4954*IF(L4954="1/C",O4954,1),0)</f>
        <v/>
      </c>
      <c r="Y4954" s="12">
        <f>IF(OR(LEFT(K4954,4)="LVAX",LEFT(K4954,6)="MV15AX",LEFT(K4954,4)="CTAX",LEFT(K4954,2)="W|"),2*N4954*O4954,0)</f>
        <v/>
      </c>
      <c r="Z4954" s="12" t="inlineStr">
        <is>
          <t>fixture-to-fixture run included</t>
        </is>
      </c>
      <c r="AA4954" s="12">
        <f>N4954*O4954</f>
        <v/>
      </c>
    </row>
    <row r="4955">
      <c r="A4955" s="12" t="inlineStr">
        <is>
          <t>I-P-0049</t>
        </is>
      </c>
      <c r="B4955" s="12" t="inlineStr">
        <is>
          <t>I</t>
        </is>
      </c>
      <c r="C4955" s="12" t="inlineStr">
        <is>
          <t>Modular / portable power</t>
        </is>
      </c>
      <c r="D4955" s="12" t="inlineStr">
        <is>
          <t>Motor 1 of 5, 30 kW (VFD output)</t>
        </is>
      </c>
      <c r="E4955" s="12" t="inlineStr"/>
      <c r="F4955" s="12" t="inlineStr">
        <is>
          <t>PCM: power control module</t>
        </is>
      </c>
      <c r="G4955" s="12" t="inlineStr"/>
      <c r="H4955" s="12" t="inlineStr">
        <is>
          <t>RICE 2 radiators (5)</t>
        </is>
      </c>
      <c r="I4955" s="12" t="inlineStr">
        <is>
          <t>LV 600 V</t>
        </is>
      </c>
      <c r="J4955" s="12" t="inlineStr">
        <is>
          <t>VFD cable 600 V 3/C Cu XHHW-2, 3 symmetrical grounds, overall Cu tape shield, TC-ER</t>
        </is>
      </c>
      <c r="K4955" s="12" t="inlineStr">
        <is>
          <t>VFD|3/C+3G|2</t>
        </is>
      </c>
      <c r="L4955" s="12" t="inlineStr">
        <is>
          <t>3/C+3G</t>
        </is>
      </c>
      <c r="M4955" s="12" t="inlineStr">
        <is>
          <t>2</t>
        </is>
      </c>
      <c r="N4955" s="12" t="n">
        <v>1</v>
      </c>
      <c r="O4955" s="12" t="n">
        <v>1</v>
      </c>
      <c r="P4955" s="12" t="n">
        <v>480</v>
      </c>
      <c r="Q4955" s="12" t="n">
        <v>30</v>
      </c>
      <c r="R4955" s="12" t="n">
        <v>42</v>
      </c>
      <c r="S4955" s="12" t="inlineStr">
        <is>
          <t>Duct bank</t>
        </is>
      </c>
      <c r="T4955" s="16" t="n">
        <v>630</v>
      </c>
      <c r="U4955" s="16" t="n">
        <v>192</v>
      </c>
      <c r="V4955" s="16">
        <f>ROUNDUP((T4955+U4955+2*'Read Me'!$B$13)*(1+'Read Me'!$B$12),-1)</f>
        <v/>
      </c>
      <c r="W4955" s="16">
        <f>V4955*N4955*O4955</f>
        <v/>
      </c>
      <c r="X4955" s="12">
        <f>IF(LEFT(I4955,2)="MV",2*N4955*IF(L4955="1/C",O4955,1),0)</f>
        <v/>
      </c>
      <c r="Y4955" s="12">
        <f>IF(OR(LEFT(K4955,4)="LVAX",LEFT(K4955,6)="MV15AX",LEFT(K4955,4)="CTAX",LEFT(K4955,2)="W|"),2*N4955*O4955,0)</f>
        <v/>
      </c>
      <c r="Z4955" s="12" t="inlineStr">
        <is>
          <t>VD 2.7 %</t>
        </is>
      </c>
      <c r="AA4955" s="12">
        <f>N4955*O4955</f>
        <v/>
      </c>
    </row>
    <row r="4956">
      <c r="A4956" s="12" t="inlineStr">
        <is>
          <t>I-P-0050</t>
        </is>
      </c>
      <c r="B4956" s="12" t="inlineStr">
        <is>
          <t>I</t>
        </is>
      </c>
      <c r="C4956" s="12" t="inlineStr">
        <is>
          <t>Modular / portable power</t>
        </is>
      </c>
      <c r="D4956" s="12" t="inlineStr">
        <is>
          <t>Motor 2 of 5, 30 kW (VFD output)</t>
        </is>
      </c>
      <c r="E4956" s="12" t="inlineStr"/>
      <c r="F4956" s="12" t="inlineStr">
        <is>
          <t>PCM: power control module</t>
        </is>
      </c>
      <c r="G4956" s="12" t="inlineStr"/>
      <c r="H4956" s="12" t="inlineStr">
        <is>
          <t>RICE 2 radiators (5)</t>
        </is>
      </c>
      <c r="I4956" s="12" t="inlineStr">
        <is>
          <t>LV 600 V</t>
        </is>
      </c>
      <c r="J4956" s="12" t="inlineStr">
        <is>
          <t>VFD cable 600 V 3/C Cu XHHW-2, 3 symmetrical grounds, overall Cu tape shield, TC-ER</t>
        </is>
      </c>
      <c r="K4956" s="12" t="inlineStr">
        <is>
          <t>VFD|3/C+3G|2</t>
        </is>
      </c>
      <c r="L4956" s="12" t="inlineStr">
        <is>
          <t>3/C+3G</t>
        </is>
      </c>
      <c r="M4956" s="12" t="inlineStr">
        <is>
          <t>2</t>
        </is>
      </c>
      <c r="N4956" s="12" t="n">
        <v>1</v>
      </c>
      <c r="O4956" s="12" t="n">
        <v>1</v>
      </c>
      <c r="P4956" s="12" t="n">
        <v>480</v>
      </c>
      <c r="Q4956" s="12" t="n">
        <v>30</v>
      </c>
      <c r="R4956" s="12" t="n">
        <v>42</v>
      </c>
      <c r="S4956" s="12" t="inlineStr">
        <is>
          <t>Duct bank</t>
        </is>
      </c>
      <c r="T4956" s="16" t="n">
        <v>630</v>
      </c>
      <c r="U4956" s="16" t="n">
        <v>192</v>
      </c>
      <c r="V4956" s="16">
        <f>ROUNDUP((T4956+U4956+2*'Read Me'!$B$13)*(1+'Read Me'!$B$12),-1)</f>
        <v/>
      </c>
      <c r="W4956" s="16">
        <f>V4956*N4956*O4956</f>
        <v/>
      </c>
      <c r="X4956" s="12">
        <f>IF(LEFT(I4956,2)="MV",2*N4956*IF(L4956="1/C",O4956,1),0)</f>
        <v/>
      </c>
      <c r="Y4956" s="12">
        <f>IF(OR(LEFT(K4956,4)="LVAX",LEFT(K4956,6)="MV15AX",LEFT(K4956,4)="CTAX",LEFT(K4956,2)="W|"),2*N4956*O4956,0)</f>
        <v/>
      </c>
      <c r="Z4956" s="12" t="inlineStr">
        <is>
          <t>VD 2.7 %</t>
        </is>
      </c>
      <c r="AA4956" s="12">
        <f>N4956*O4956</f>
        <v/>
      </c>
    </row>
    <row r="4957">
      <c r="A4957" s="12" t="inlineStr">
        <is>
          <t>I-P-0051</t>
        </is>
      </c>
      <c r="B4957" s="12" t="inlineStr">
        <is>
          <t>I</t>
        </is>
      </c>
      <c r="C4957" s="12" t="inlineStr">
        <is>
          <t>Modular / portable power</t>
        </is>
      </c>
      <c r="D4957" s="12" t="inlineStr">
        <is>
          <t>Motor 3 of 5, 30 kW (VFD output)</t>
        </is>
      </c>
      <c r="E4957" s="12" t="inlineStr"/>
      <c r="F4957" s="12" t="inlineStr">
        <is>
          <t>PCM: power control module</t>
        </is>
      </c>
      <c r="G4957" s="12" t="inlineStr"/>
      <c r="H4957" s="12" t="inlineStr">
        <is>
          <t>RICE 2 radiators (5)</t>
        </is>
      </c>
      <c r="I4957" s="12" t="inlineStr">
        <is>
          <t>LV 600 V</t>
        </is>
      </c>
      <c r="J4957" s="12" t="inlineStr">
        <is>
          <t>VFD cable 600 V 3/C Cu XHHW-2, 3 symmetrical grounds, overall Cu tape shield, TC-ER</t>
        </is>
      </c>
      <c r="K4957" s="12" t="inlineStr">
        <is>
          <t>VFD|3/C+3G|2</t>
        </is>
      </c>
      <c r="L4957" s="12" t="inlineStr">
        <is>
          <t>3/C+3G</t>
        </is>
      </c>
      <c r="M4957" s="12" t="inlineStr">
        <is>
          <t>2</t>
        </is>
      </c>
      <c r="N4957" s="12" t="n">
        <v>1</v>
      </c>
      <c r="O4957" s="12" t="n">
        <v>1</v>
      </c>
      <c r="P4957" s="12" t="n">
        <v>480</v>
      </c>
      <c r="Q4957" s="12" t="n">
        <v>30</v>
      </c>
      <c r="R4957" s="12" t="n">
        <v>42</v>
      </c>
      <c r="S4957" s="12" t="inlineStr">
        <is>
          <t>Duct bank</t>
        </is>
      </c>
      <c r="T4957" s="16" t="n">
        <v>630</v>
      </c>
      <c r="U4957" s="16" t="n">
        <v>192</v>
      </c>
      <c r="V4957" s="16">
        <f>ROUNDUP((T4957+U4957+2*'Read Me'!$B$13)*(1+'Read Me'!$B$12),-1)</f>
        <v/>
      </c>
      <c r="W4957" s="16">
        <f>V4957*N4957*O4957</f>
        <v/>
      </c>
      <c r="X4957" s="12">
        <f>IF(LEFT(I4957,2)="MV",2*N4957*IF(L4957="1/C",O4957,1),0)</f>
        <v/>
      </c>
      <c r="Y4957" s="12">
        <f>IF(OR(LEFT(K4957,4)="LVAX",LEFT(K4957,6)="MV15AX",LEFT(K4957,4)="CTAX",LEFT(K4957,2)="W|"),2*N4957*O4957,0)</f>
        <v/>
      </c>
      <c r="Z4957" s="12" t="inlineStr">
        <is>
          <t>VD 2.7 %</t>
        </is>
      </c>
      <c r="AA4957" s="12">
        <f>N4957*O4957</f>
        <v/>
      </c>
    </row>
    <row r="4958">
      <c r="A4958" s="12" t="inlineStr">
        <is>
          <t>I-P-0052</t>
        </is>
      </c>
      <c r="B4958" s="12" t="inlineStr">
        <is>
          <t>I</t>
        </is>
      </c>
      <c r="C4958" s="12" t="inlineStr">
        <is>
          <t>Modular / portable power</t>
        </is>
      </c>
      <c r="D4958" s="12" t="inlineStr">
        <is>
          <t>Motor 4 of 5, 30 kW (VFD output)</t>
        </is>
      </c>
      <c r="E4958" s="12" t="inlineStr"/>
      <c r="F4958" s="12" t="inlineStr">
        <is>
          <t>PCM: power control module</t>
        </is>
      </c>
      <c r="G4958" s="12" t="inlineStr"/>
      <c r="H4958" s="12" t="inlineStr">
        <is>
          <t>RICE 2 radiators (5)</t>
        </is>
      </c>
      <c r="I4958" s="12" t="inlineStr">
        <is>
          <t>LV 600 V</t>
        </is>
      </c>
      <c r="J4958" s="12" t="inlineStr">
        <is>
          <t>VFD cable 600 V 3/C Cu XHHW-2, 3 symmetrical grounds, overall Cu tape shield, TC-ER</t>
        </is>
      </c>
      <c r="K4958" s="12" t="inlineStr">
        <is>
          <t>VFD|3/C+3G|2</t>
        </is>
      </c>
      <c r="L4958" s="12" t="inlineStr">
        <is>
          <t>3/C+3G</t>
        </is>
      </c>
      <c r="M4958" s="12" t="inlineStr">
        <is>
          <t>2</t>
        </is>
      </c>
      <c r="N4958" s="12" t="n">
        <v>1</v>
      </c>
      <c r="O4958" s="12" t="n">
        <v>1</v>
      </c>
      <c r="P4958" s="12" t="n">
        <v>480</v>
      </c>
      <c r="Q4958" s="12" t="n">
        <v>30</v>
      </c>
      <c r="R4958" s="12" t="n">
        <v>42</v>
      </c>
      <c r="S4958" s="12" t="inlineStr">
        <is>
          <t>Duct bank</t>
        </is>
      </c>
      <c r="T4958" s="16" t="n">
        <v>630</v>
      </c>
      <c r="U4958" s="16" t="n">
        <v>192</v>
      </c>
      <c r="V4958" s="16">
        <f>ROUNDUP((T4958+U4958+2*'Read Me'!$B$13)*(1+'Read Me'!$B$12),-1)</f>
        <v/>
      </c>
      <c r="W4958" s="16">
        <f>V4958*N4958*O4958</f>
        <v/>
      </c>
      <c r="X4958" s="12">
        <f>IF(LEFT(I4958,2)="MV",2*N4958*IF(L4958="1/C",O4958,1),0)</f>
        <v/>
      </c>
      <c r="Y4958" s="12">
        <f>IF(OR(LEFT(K4958,4)="LVAX",LEFT(K4958,6)="MV15AX",LEFT(K4958,4)="CTAX",LEFT(K4958,2)="W|"),2*N4958*O4958,0)</f>
        <v/>
      </c>
      <c r="Z4958" s="12" t="inlineStr">
        <is>
          <t>VD 2.7 %</t>
        </is>
      </c>
      <c r="AA4958" s="12">
        <f>N4958*O4958</f>
        <v/>
      </c>
    </row>
    <row r="4959">
      <c r="A4959" s="12" t="inlineStr">
        <is>
          <t>I-P-0053</t>
        </is>
      </c>
      <c r="B4959" s="12" t="inlineStr">
        <is>
          <t>I</t>
        </is>
      </c>
      <c r="C4959" s="12" t="inlineStr">
        <is>
          <t>Modular / portable power</t>
        </is>
      </c>
      <c r="D4959" s="12" t="inlineStr">
        <is>
          <t>Motor 5 of 5, 30 kW (VFD output)</t>
        </is>
      </c>
      <c r="E4959" s="12" t="inlineStr"/>
      <c r="F4959" s="12" t="inlineStr">
        <is>
          <t>PCM: power control module</t>
        </is>
      </c>
      <c r="G4959" s="12" t="inlineStr"/>
      <c r="H4959" s="12" t="inlineStr">
        <is>
          <t>RICE 2 radiators (5)</t>
        </is>
      </c>
      <c r="I4959" s="12" t="inlineStr">
        <is>
          <t>LV 600 V</t>
        </is>
      </c>
      <c r="J4959" s="12" t="inlineStr">
        <is>
          <t>VFD cable 600 V 3/C Cu XHHW-2, 3 symmetrical grounds, overall Cu tape shield, TC-ER</t>
        </is>
      </c>
      <c r="K4959" s="12" t="inlineStr">
        <is>
          <t>VFD|3/C+3G|2</t>
        </is>
      </c>
      <c r="L4959" s="12" t="inlineStr">
        <is>
          <t>3/C+3G</t>
        </is>
      </c>
      <c r="M4959" s="12" t="inlineStr">
        <is>
          <t>2</t>
        </is>
      </c>
      <c r="N4959" s="12" t="n">
        <v>1</v>
      </c>
      <c r="O4959" s="12" t="n">
        <v>1</v>
      </c>
      <c r="P4959" s="12" t="n">
        <v>480</v>
      </c>
      <c r="Q4959" s="12" t="n">
        <v>30</v>
      </c>
      <c r="R4959" s="12" t="n">
        <v>42</v>
      </c>
      <c r="S4959" s="12" t="inlineStr">
        <is>
          <t>Duct bank</t>
        </is>
      </c>
      <c r="T4959" s="16" t="n">
        <v>630</v>
      </c>
      <c r="U4959" s="16" t="n">
        <v>192</v>
      </c>
      <c r="V4959" s="16">
        <f>ROUNDUP((T4959+U4959+2*'Read Me'!$B$13)*(1+'Read Me'!$B$12),-1)</f>
        <v/>
      </c>
      <c r="W4959" s="16">
        <f>V4959*N4959*O4959</f>
        <v/>
      </c>
      <c r="X4959" s="12">
        <f>IF(LEFT(I4959,2)="MV",2*N4959*IF(L4959="1/C",O4959,1),0)</f>
        <v/>
      </c>
      <c r="Y4959" s="12">
        <f>IF(OR(LEFT(K4959,4)="LVAX",LEFT(K4959,6)="MV15AX",LEFT(K4959,4)="CTAX",LEFT(K4959,2)="W|"),2*N4959*O4959,0)</f>
        <v/>
      </c>
      <c r="Z4959" s="12" t="inlineStr">
        <is>
          <t>VD 2.7 %</t>
        </is>
      </c>
      <c r="AA4959" s="12">
        <f>N4959*O4959</f>
        <v/>
      </c>
    </row>
    <row r="4960">
      <c r="A4960" s="12" t="inlineStr">
        <is>
          <t>I-P-0054</t>
        </is>
      </c>
      <c r="B4960" s="12" t="inlineStr">
        <is>
          <t>I</t>
        </is>
      </c>
      <c r="C4960" s="12" t="inlineStr">
        <is>
          <t>Modular / portable power</t>
        </is>
      </c>
      <c r="D4960" s="12" t="inlineStr">
        <is>
          <t>Motor 1 of 1, 15 kW</t>
        </is>
      </c>
      <c r="E4960" s="12" t="inlineStr"/>
      <c r="F4960" s="12" t="inlineStr">
        <is>
          <t>PCM: power control module</t>
        </is>
      </c>
      <c r="G4960" s="12" t="inlineStr"/>
      <c r="H4960" s="12" t="inlineStr">
        <is>
          <t>RICE 3 SCR + oxidation catalyst and stack</t>
        </is>
      </c>
      <c r="I4960" s="12" t="inlineStr">
        <is>
          <t>LV 600 V</t>
        </is>
      </c>
      <c r="J4960" s="12" t="inlineStr">
        <is>
          <t>Type TC-ER 600 V 3/C Cu XHHW-2 + ground, PVC jacket</t>
        </is>
      </c>
      <c r="K4960" s="12" t="inlineStr">
        <is>
          <t>LV|3/C+G|6</t>
        </is>
      </c>
      <c r="L4960" s="12" t="inlineStr">
        <is>
          <t>3/C+G</t>
        </is>
      </c>
      <c r="M4960" s="12" t="inlineStr">
        <is>
          <t>6</t>
        </is>
      </c>
      <c r="N4960" s="12" t="n">
        <v>1</v>
      </c>
      <c r="O4960" s="12" t="n">
        <v>1</v>
      </c>
      <c r="P4960" s="12" t="n">
        <v>480</v>
      </c>
      <c r="Q4960" s="12" t="n">
        <v>15</v>
      </c>
      <c r="R4960" s="12" t="n">
        <v>21.2</v>
      </c>
      <c r="S4960" s="12" t="inlineStr">
        <is>
          <t>Duct bank</t>
        </is>
      </c>
      <c r="T4960" s="16" t="n">
        <v>470</v>
      </c>
      <c r="U4960" s="16" t="n">
        <v>104</v>
      </c>
      <c r="V4960" s="16">
        <f>ROUNDUP((T4960+U4960+2*'Read Me'!$B$13)*(1+'Read Me'!$B$12),-1)</f>
        <v/>
      </c>
      <c r="W4960" s="16">
        <f>V4960*N4960*O4960</f>
        <v/>
      </c>
      <c r="X4960" s="12">
        <f>IF(LEFT(I4960,2)="MV",2*N4960*IF(L4960="1/C",O4960,1),0)</f>
        <v/>
      </c>
      <c r="Y4960" s="12">
        <f>IF(OR(LEFT(K4960,4)="LVAX",LEFT(K4960,6)="MV15AX",LEFT(K4960,4)="CTAX",LEFT(K4960,2)="W|"),2*N4960*O4960,0)</f>
        <v/>
      </c>
      <c r="Z4960" s="12" t="inlineStr">
        <is>
          <t>VD 2.4 %</t>
        </is>
      </c>
      <c r="AA4960" s="12">
        <f>N4960*O4960</f>
        <v/>
      </c>
    </row>
    <row r="4961">
      <c r="A4961" s="12" t="inlineStr">
        <is>
          <t>I-P-0055</t>
        </is>
      </c>
      <c r="B4961" s="12" t="inlineStr">
        <is>
          <t>I</t>
        </is>
      </c>
      <c r="C4961" s="12" t="inlineStr">
        <is>
          <t>Modular / portable power</t>
        </is>
      </c>
      <c r="D4961" s="12" t="inlineStr">
        <is>
          <t>Area / platform lighting circuit 1 (6 fixtures)</t>
        </is>
      </c>
      <c r="E4961" s="12" t="inlineStr"/>
      <c r="F4961" s="12" t="inlineStr">
        <is>
          <t>PCM: power control module</t>
        </is>
      </c>
      <c r="G4961" s="12" t="inlineStr"/>
      <c r="H4961" s="12" t="inlineStr">
        <is>
          <t>RICE 3 SCR + oxidation catalyst and stack</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3</v>
      </c>
      <c r="R4961" s="12" t="n">
        <v>5</v>
      </c>
      <c r="S4961" s="12" t="inlineStr">
        <is>
          <t>Duct bank</t>
        </is>
      </c>
      <c r="T4961" s="16" t="n">
        <v>770</v>
      </c>
      <c r="U4961" s="16" t="n">
        <v>104</v>
      </c>
      <c r="V4961" s="16">
        <f>ROUNDUP((T4961+U4961+2*'Read Me'!$B$13)*(1+'Read Me'!$B$12),-1)</f>
        <v/>
      </c>
      <c r="W4961" s="16">
        <f>V4961*N4961*O4961</f>
        <v/>
      </c>
      <c r="X4961" s="12">
        <f>IF(LEFT(I4961,2)="MV",2*N4961*IF(L4961="1/C",O4961,1),0)</f>
        <v/>
      </c>
      <c r="Y4961" s="12">
        <f>IF(OR(LEFT(K4961,4)="LVAX",LEFT(K4961,6)="MV15AX",LEFT(K4961,4)="CTAX",LEFT(K4961,2)="W|"),2*N4961*O4961,0)</f>
        <v/>
      </c>
      <c r="Z4961" s="12" t="inlineStr">
        <is>
          <t>fixture-to-fixture run included</t>
        </is>
      </c>
      <c r="AA4961" s="12">
        <f>N4961*O4961</f>
        <v/>
      </c>
    </row>
    <row r="4962">
      <c r="A4962" s="12" t="inlineStr">
        <is>
          <t>I-P-0056</t>
        </is>
      </c>
      <c r="B4962" s="12" t="inlineStr">
        <is>
          <t>I</t>
        </is>
      </c>
      <c r="C4962" s="12" t="inlineStr">
        <is>
          <t>Modular / portable power</t>
        </is>
      </c>
      <c r="D4962" s="12" t="inlineStr">
        <is>
          <t>Motor 1 of 5, 30 kW (VFD output)</t>
        </is>
      </c>
      <c r="E4962" s="12" t="inlineStr"/>
      <c r="F4962" s="12" t="inlineStr">
        <is>
          <t>PCM: power control module</t>
        </is>
      </c>
      <c r="G4962" s="12" t="inlineStr"/>
      <c r="H4962" s="12" t="inlineStr">
        <is>
          <t>RICE 3 radiators (5)</t>
        </is>
      </c>
      <c r="I4962" s="12" t="inlineStr">
        <is>
          <t>LV 600 V</t>
        </is>
      </c>
      <c r="J4962" s="12" t="inlineStr">
        <is>
          <t>VFD cable 600 V 3/C Cu XHHW-2, 3 symmetrical grounds, overall Cu tape shield, TC-ER</t>
        </is>
      </c>
      <c r="K4962" s="12" t="inlineStr">
        <is>
          <t>VFD|3/C+3G|6</t>
        </is>
      </c>
      <c r="L4962" s="12" t="inlineStr">
        <is>
          <t>3/C+3G</t>
        </is>
      </c>
      <c r="M4962" s="12" t="inlineStr">
        <is>
          <t>6</t>
        </is>
      </c>
      <c r="N4962" s="12" t="n">
        <v>1</v>
      </c>
      <c r="O4962" s="12" t="n">
        <v>1</v>
      </c>
      <c r="P4962" s="12" t="n">
        <v>480</v>
      </c>
      <c r="Q4962" s="12" t="n">
        <v>30</v>
      </c>
      <c r="R4962" s="12" t="n">
        <v>42</v>
      </c>
      <c r="S4962" s="12" t="inlineStr">
        <is>
          <t>Tray</t>
        </is>
      </c>
      <c r="T4962" s="16" t="n">
        <v>112</v>
      </c>
      <c r="U4962" s="16" t="n">
        <v>232</v>
      </c>
      <c r="V4962" s="16">
        <f>ROUNDUP((T4962+U4962+2*'Read Me'!$B$13)*(1+'Read Me'!$B$12),-1)</f>
        <v/>
      </c>
      <c r="W4962" s="16">
        <f>V4962*N4962*O4962</f>
        <v/>
      </c>
      <c r="X4962" s="12">
        <f>IF(LEFT(I4962,2)="MV",2*N4962*IF(L4962="1/C",O4962,1),0)</f>
        <v/>
      </c>
      <c r="Y4962" s="12">
        <f>IF(OR(LEFT(K4962,4)="LVAX",LEFT(K4962,6)="MV15AX",LEFT(K4962,4)="CTAX",LEFT(K4962,2)="W|"),2*N4962*O4962,0)</f>
        <v/>
      </c>
      <c r="Z4962" s="12" t="inlineStr">
        <is>
          <t>VD 2.8 %</t>
        </is>
      </c>
      <c r="AA4962" s="12">
        <f>N4962*O4962</f>
        <v/>
      </c>
    </row>
    <row r="4963">
      <c r="A4963" s="12" t="inlineStr">
        <is>
          <t>I-P-0057</t>
        </is>
      </c>
      <c r="B4963" s="12" t="inlineStr">
        <is>
          <t>I</t>
        </is>
      </c>
      <c r="C4963" s="12" t="inlineStr">
        <is>
          <t>Modular / portable power</t>
        </is>
      </c>
      <c r="D4963" s="12" t="inlineStr">
        <is>
          <t>Motor 2 of 5, 30 kW (VFD output)</t>
        </is>
      </c>
      <c r="E4963" s="12" t="inlineStr"/>
      <c r="F4963" s="12" t="inlineStr">
        <is>
          <t>PCM: power control module</t>
        </is>
      </c>
      <c r="G4963" s="12" t="inlineStr"/>
      <c r="H4963" s="12" t="inlineStr">
        <is>
          <t>RICE 3 radiators (5)</t>
        </is>
      </c>
      <c r="I4963" s="12" t="inlineStr">
        <is>
          <t>LV 600 V</t>
        </is>
      </c>
      <c r="J4963" s="12" t="inlineStr">
        <is>
          <t>VFD cable 600 V 3/C Cu XHHW-2, 3 symmetrical grounds, overall Cu tape shield, TC-ER</t>
        </is>
      </c>
      <c r="K4963" s="12" t="inlineStr">
        <is>
          <t>VFD|3/C+3G|6</t>
        </is>
      </c>
      <c r="L4963" s="12" t="inlineStr">
        <is>
          <t>3/C+3G</t>
        </is>
      </c>
      <c r="M4963" s="12" t="inlineStr">
        <is>
          <t>6</t>
        </is>
      </c>
      <c r="N4963" s="12" t="n">
        <v>1</v>
      </c>
      <c r="O4963" s="12" t="n">
        <v>1</v>
      </c>
      <c r="P4963" s="12" t="n">
        <v>480</v>
      </c>
      <c r="Q4963" s="12" t="n">
        <v>30</v>
      </c>
      <c r="R4963" s="12" t="n">
        <v>42</v>
      </c>
      <c r="S4963" s="12" t="inlineStr">
        <is>
          <t>Tray</t>
        </is>
      </c>
      <c r="T4963" s="16" t="n">
        <v>112</v>
      </c>
      <c r="U4963" s="16" t="n">
        <v>232</v>
      </c>
      <c r="V4963" s="16">
        <f>ROUNDUP((T4963+U4963+2*'Read Me'!$B$13)*(1+'Read Me'!$B$12),-1)</f>
        <v/>
      </c>
      <c r="W4963" s="16">
        <f>V4963*N4963*O4963</f>
        <v/>
      </c>
      <c r="X4963" s="12">
        <f>IF(LEFT(I4963,2)="MV",2*N4963*IF(L4963="1/C",O4963,1),0)</f>
        <v/>
      </c>
      <c r="Y4963" s="12">
        <f>IF(OR(LEFT(K4963,4)="LVAX",LEFT(K4963,6)="MV15AX",LEFT(K4963,4)="CTAX",LEFT(K4963,2)="W|"),2*N4963*O4963,0)</f>
        <v/>
      </c>
      <c r="Z4963" s="12" t="inlineStr">
        <is>
          <t>VD 2.8 %</t>
        </is>
      </c>
      <c r="AA4963" s="12">
        <f>N4963*O4963</f>
        <v/>
      </c>
    </row>
    <row r="4964">
      <c r="A4964" s="12" t="inlineStr">
        <is>
          <t>I-P-0058</t>
        </is>
      </c>
      <c r="B4964" s="12" t="inlineStr">
        <is>
          <t>I</t>
        </is>
      </c>
      <c r="C4964" s="12" t="inlineStr">
        <is>
          <t>Modular / portable power</t>
        </is>
      </c>
      <c r="D4964" s="12" t="inlineStr">
        <is>
          <t>Motor 3 of 5, 30 kW (VFD output)</t>
        </is>
      </c>
      <c r="E4964" s="12" t="inlineStr"/>
      <c r="F4964" s="12" t="inlineStr">
        <is>
          <t>PCM: power control module</t>
        </is>
      </c>
      <c r="G4964" s="12" t="inlineStr"/>
      <c r="H4964" s="12" t="inlineStr">
        <is>
          <t>RICE 3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112</v>
      </c>
      <c r="U4964" s="16" t="n">
        <v>232</v>
      </c>
      <c r="V4964" s="16">
        <f>ROUNDUP((T4964+U4964+2*'Read Me'!$B$13)*(1+'Read Me'!$B$12),-1)</f>
        <v/>
      </c>
      <c r="W4964" s="16">
        <f>V4964*N4964*O4964</f>
        <v/>
      </c>
      <c r="X4964" s="12">
        <f>IF(LEFT(I4964,2)="MV",2*N4964*IF(L4964="1/C",O4964,1),0)</f>
        <v/>
      </c>
      <c r="Y4964" s="12">
        <f>IF(OR(LEFT(K4964,4)="LVAX",LEFT(K4964,6)="MV15AX",LEFT(K4964,4)="CTAX",LEFT(K4964,2)="W|"),2*N4964*O4964,0)</f>
        <v/>
      </c>
      <c r="Z4964" s="12" t="inlineStr">
        <is>
          <t>VD 2.8 %</t>
        </is>
      </c>
      <c r="AA4964" s="12">
        <f>N4964*O4964</f>
        <v/>
      </c>
    </row>
    <row r="4965">
      <c r="A4965" s="12" t="inlineStr">
        <is>
          <t>I-P-0059</t>
        </is>
      </c>
      <c r="B4965" s="12" t="inlineStr">
        <is>
          <t>I</t>
        </is>
      </c>
      <c r="C4965" s="12" t="inlineStr">
        <is>
          <t>Modular / portable power</t>
        </is>
      </c>
      <c r="D4965" s="12" t="inlineStr">
        <is>
          <t>Motor 4 of 5, 30 kW (VFD output)</t>
        </is>
      </c>
      <c r="E4965" s="12" t="inlineStr"/>
      <c r="F4965" s="12" t="inlineStr">
        <is>
          <t>PCM: power control module</t>
        </is>
      </c>
      <c r="G4965" s="12" t="inlineStr"/>
      <c r="H4965" s="12" t="inlineStr">
        <is>
          <t>RICE 3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112</v>
      </c>
      <c r="U4965" s="16" t="n">
        <v>232</v>
      </c>
      <c r="V4965" s="16">
        <f>ROUNDUP((T4965+U4965+2*'Read Me'!$B$13)*(1+'Read Me'!$B$12),-1)</f>
        <v/>
      </c>
      <c r="W4965" s="16">
        <f>V4965*N4965*O4965</f>
        <v/>
      </c>
      <c r="X4965" s="12">
        <f>IF(LEFT(I4965,2)="MV",2*N4965*IF(L4965="1/C",O4965,1),0)</f>
        <v/>
      </c>
      <c r="Y4965" s="12">
        <f>IF(OR(LEFT(K4965,4)="LVAX",LEFT(K4965,6)="MV15AX",LEFT(K4965,4)="CTAX",LEFT(K4965,2)="W|"),2*N4965*O4965,0)</f>
        <v/>
      </c>
      <c r="Z4965" s="12" t="inlineStr">
        <is>
          <t>VD 2.8 %</t>
        </is>
      </c>
      <c r="AA4965" s="12">
        <f>N4965*O4965</f>
        <v/>
      </c>
    </row>
    <row r="4966">
      <c r="A4966" s="12" t="inlineStr">
        <is>
          <t>I-P-0060</t>
        </is>
      </c>
      <c r="B4966" s="12" t="inlineStr">
        <is>
          <t>I</t>
        </is>
      </c>
      <c r="C4966" s="12" t="inlineStr">
        <is>
          <t>Modular / portable power</t>
        </is>
      </c>
      <c r="D4966" s="12" t="inlineStr">
        <is>
          <t>Motor 5 of 5, 30 kW (VFD output)</t>
        </is>
      </c>
      <c r="E4966" s="12" t="inlineStr"/>
      <c r="F4966" s="12" t="inlineStr">
        <is>
          <t>PCM: power control module</t>
        </is>
      </c>
      <c r="G4966" s="12" t="inlineStr"/>
      <c r="H4966" s="12" t="inlineStr">
        <is>
          <t>RICE 3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112</v>
      </c>
      <c r="U4966" s="16" t="n">
        <v>232</v>
      </c>
      <c r="V4966" s="16">
        <f>ROUNDUP((T4966+U4966+2*'Read Me'!$B$13)*(1+'Read Me'!$B$12),-1)</f>
        <v/>
      </c>
      <c r="W4966" s="16">
        <f>V4966*N4966*O4966</f>
        <v/>
      </c>
      <c r="X4966" s="12">
        <f>IF(LEFT(I4966,2)="MV",2*N4966*IF(L4966="1/C",O4966,1),0)</f>
        <v/>
      </c>
      <c r="Y4966" s="12">
        <f>IF(OR(LEFT(K4966,4)="LVAX",LEFT(K4966,6)="MV15AX",LEFT(K4966,4)="CTAX",LEFT(K4966,2)="W|"),2*N4966*O4966,0)</f>
        <v/>
      </c>
      <c r="Z4966" s="12" t="inlineStr">
        <is>
          <t>VD 2.8 %</t>
        </is>
      </c>
      <c r="AA4966" s="12">
        <f>N4966*O4966</f>
        <v/>
      </c>
    </row>
    <row r="4967">
      <c r="A4967" s="12" t="inlineStr">
        <is>
          <t>I-P-0061</t>
        </is>
      </c>
      <c r="B4967" s="12" t="inlineStr">
        <is>
          <t>I</t>
        </is>
      </c>
      <c r="C4967" s="12" t="inlineStr">
        <is>
          <t>Modular / portable power</t>
        </is>
      </c>
      <c r="D4967" s="12" t="inlineStr">
        <is>
          <t>Motor 1 of 1, 15 kW</t>
        </is>
      </c>
      <c r="E4967" s="12" t="inlineStr"/>
      <c r="F4967" s="12" t="inlineStr">
        <is>
          <t>PCM: power control module</t>
        </is>
      </c>
      <c r="G4967" s="12" t="inlineStr"/>
      <c r="H4967" s="12" t="inlineStr">
        <is>
          <t>RICE 4 SCR + oxidation catalyst and stack</t>
        </is>
      </c>
      <c r="I4967" s="12" t="inlineStr">
        <is>
          <t>LV 600 V</t>
        </is>
      </c>
      <c r="J4967" s="12" t="inlineStr">
        <is>
          <t>Type TC-ER 600 V 3/C Cu XHHW-2 + ground, PVC jacket</t>
        </is>
      </c>
      <c r="K4967" s="12" t="inlineStr">
        <is>
          <t>LV|3/C+G|6</t>
        </is>
      </c>
      <c r="L4967" s="12" t="inlineStr">
        <is>
          <t>3/C+G</t>
        </is>
      </c>
      <c r="M4967" s="12" t="inlineStr">
        <is>
          <t>6</t>
        </is>
      </c>
      <c r="N4967" s="12" t="n">
        <v>1</v>
      </c>
      <c r="O4967" s="12" t="n">
        <v>1</v>
      </c>
      <c r="P4967" s="12" t="n">
        <v>480</v>
      </c>
      <c r="Q4967" s="12" t="n">
        <v>15</v>
      </c>
      <c r="R4967" s="12" t="n">
        <v>21.2</v>
      </c>
      <c r="S4967" s="12" t="inlineStr">
        <is>
          <t>Duct bank</t>
        </is>
      </c>
      <c r="T4967" s="16" t="n">
        <v>470</v>
      </c>
      <c r="U4967" s="16" t="n">
        <v>76</v>
      </c>
      <c r="V4967" s="16">
        <f>ROUNDUP((T4967+U4967+2*'Read Me'!$B$13)*(1+'Read Me'!$B$12),-1)</f>
        <v/>
      </c>
      <c r="W4967" s="16">
        <f>V4967*N4967*O4967</f>
        <v/>
      </c>
      <c r="X4967" s="12">
        <f>IF(LEFT(I4967,2)="MV",2*N4967*IF(L4967="1/C",O4967,1),0)</f>
        <v/>
      </c>
      <c r="Y4967" s="12">
        <f>IF(OR(LEFT(K4967,4)="LVAX",LEFT(K4967,6)="MV15AX",LEFT(K4967,4)="CTAX",LEFT(K4967,2)="W|"),2*N4967*O4967,0)</f>
        <v/>
      </c>
      <c r="Z4967" s="12" t="inlineStr">
        <is>
          <t>VD 2.3 %</t>
        </is>
      </c>
      <c r="AA4967" s="12">
        <f>N4967*O4967</f>
        <v/>
      </c>
    </row>
    <row r="4968">
      <c r="A4968" s="12" t="inlineStr">
        <is>
          <t>I-P-0062</t>
        </is>
      </c>
      <c r="B4968" s="12" t="inlineStr">
        <is>
          <t>I</t>
        </is>
      </c>
      <c r="C4968" s="12" t="inlineStr">
        <is>
          <t>Modular / portable power</t>
        </is>
      </c>
      <c r="D4968" s="12" t="inlineStr">
        <is>
          <t>Area / platform lighting circuit 1 (6 fixtures)</t>
        </is>
      </c>
      <c r="E4968" s="12" t="inlineStr"/>
      <c r="F4968" s="12" t="inlineStr">
        <is>
          <t>PCM: power control module</t>
        </is>
      </c>
      <c r="G4968" s="12" t="inlineStr"/>
      <c r="H4968" s="12" t="inlineStr">
        <is>
          <t>RICE 4 SCR + oxidation catalyst and stack</t>
        </is>
      </c>
      <c r="I4968" s="12" t="inlineStr">
        <is>
          <t>LV 600 V</t>
        </is>
      </c>
      <c r="J4968" s="12" t="inlineStr">
        <is>
          <t>Type TC-ER 600 V 3/C Cu XHHW-2 + ground, PVC jacket</t>
        </is>
      </c>
      <c r="K4968" s="12" t="inlineStr">
        <is>
          <t>LV|3/C+G|10</t>
        </is>
      </c>
      <c r="L4968" s="12" t="inlineStr">
        <is>
          <t>3/C+G</t>
        </is>
      </c>
      <c r="M4968" s="12" t="inlineStr">
        <is>
          <t>10</t>
        </is>
      </c>
      <c r="N4968" s="12" t="n">
        <v>1</v>
      </c>
      <c r="O4968" s="12" t="n">
        <v>1</v>
      </c>
      <c r="P4968" s="12" t="n">
        <v>480</v>
      </c>
      <c r="Q4968" s="12" t="n">
        <v>3</v>
      </c>
      <c r="R4968" s="12" t="n">
        <v>5</v>
      </c>
      <c r="S4968" s="12" t="inlineStr">
        <is>
          <t>Duct bank</t>
        </is>
      </c>
      <c r="T4968" s="16" t="n">
        <v>770</v>
      </c>
      <c r="U4968" s="16" t="n">
        <v>76</v>
      </c>
      <c r="V4968" s="16">
        <f>ROUNDUP((T4968+U4968+2*'Read Me'!$B$13)*(1+'Read Me'!$B$12),-1)</f>
        <v/>
      </c>
      <c r="W4968" s="16">
        <f>V4968*N4968*O4968</f>
        <v/>
      </c>
      <c r="X4968" s="12">
        <f>IF(LEFT(I4968,2)="MV",2*N4968*IF(L4968="1/C",O4968,1),0)</f>
        <v/>
      </c>
      <c r="Y4968" s="12">
        <f>IF(OR(LEFT(K4968,4)="LVAX",LEFT(K4968,6)="MV15AX",LEFT(K4968,4)="CTAX",LEFT(K4968,2)="W|"),2*N4968*O4968,0)</f>
        <v/>
      </c>
      <c r="Z4968" s="12" t="inlineStr">
        <is>
          <t>fixture-to-fixture run included</t>
        </is>
      </c>
      <c r="AA4968" s="12">
        <f>N4968*O4968</f>
        <v/>
      </c>
    </row>
    <row r="4969">
      <c r="A4969" s="12" t="inlineStr">
        <is>
          <t>I-P-0063</t>
        </is>
      </c>
      <c r="B4969" s="12" t="inlineStr">
        <is>
          <t>I</t>
        </is>
      </c>
      <c r="C4969" s="12" t="inlineStr">
        <is>
          <t>Modular / portable power</t>
        </is>
      </c>
      <c r="D4969" s="12" t="inlineStr">
        <is>
          <t>Motor 1 of 5, 30 kW (VFD output)</t>
        </is>
      </c>
      <c r="E4969" s="12" t="inlineStr"/>
      <c r="F4969" s="12" t="inlineStr">
        <is>
          <t>PCM: power control module</t>
        </is>
      </c>
      <c r="G4969" s="12" t="inlineStr"/>
      <c r="H4969" s="12" t="inlineStr">
        <is>
          <t>RICE 4 radiators (5)</t>
        </is>
      </c>
      <c r="I4969" s="12" t="inlineStr">
        <is>
          <t>LV 600 V</t>
        </is>
      </c>
      <c r="J4969" s="12" t="inlineStr">
        <is>
          <t>VFD cable 600 V 3/C Cu XHHW-2, 3 symmetrical grounds, overall Cu tape shield, TC-ER</t>
        </is>
      </c>
      <c r="K4969" s="12" t="inlineStr">
        <is>
          <t>VFD|3/C+3G|6</t>
        </is>
      </c>
      <c r="L4969" s="12" t="inlineStr">
        <is>
          <t>3/C+3G</t>
        </is>
      </c>
      <c r="M4969" s="12" t="inlineStr">
        <is>
          <t>6</t>
        </is>
      </c>
      <c r="N4969" s="12" t="n">
        <v>1</v>
      </c>
      <c r="O4969" s="12" t="n">
        <v>1</v>
      </c>
      <c r="P4969" s="12" t="n">
        <v>480</v>
      </c>
      <c r="Q4969" s="12" t="n">
        <v>30</v>
      </c>
      <c r="R4969" s="12" t="n">
        <v>42</v>
      </c>
      <c r="S4969" s="12" t="inlineStr">
        <is>
          <t>Tray</t>
        </is>
      </c>
      <c r="T4969" s="16" t="n">
        <v>80</v>
      </c>
      <c r="U4969" s="16" t="n">
        <v>206</v>
      </c>
      <c r="V4969" s="16">
        <f>ROUNDUP((T4969+U4969+2*'Read Me'!$B$13)*(1+'Read Me'!$B$12),-1)</f>
        <v/>
      </c>
      <c r="W4969" s="16">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I-P-0064</t>
        </is>
      </c>
      <c r="B4970" s="12" t="inlineStr">
        <is>
          <t>I</t>
        </is>
      </c>
      <c r="C4970" s="12" t="inlineStr">
        <is>
          <t>Modular / portable power</t>
        </is>
      </c>
      <c r="D4970" s="12" t="inlineStr">
        <is>
          <t>Motor 2 of 5, 30 kW (VFD output)</t>
        </is>
      </c>
      <c r="E4970" s="12" t="inlineStr"/>
      <c r="F4970" s="12" t="inlineStr">
        <is>
          <t>PCM: power control module</t>
        </is>
      </c>
      <c r="G4970" s="12" t="inlineStr"/>
      <c r="H4970" s="12" t="inlineStr">
        <is>
          <t>RICE 4 radiators (5)</t>
        </is>
      </c>
      <c r="I4970" s="12" t="inlineStr">
        <is>
          <t>LV 600 V</t>
        </is>
      </c>
      <c r="J4970" s="12" t="inlineStr">
        <is>
          <t>VFD cable 600 V 3/C Cu XHHW-2, 3 symmetrical grounds, overall Cu tape shield, TC-ER</t>
        </is>
      </c>
      <c r="K4970" s="12" t="inlineStr">
        <is>
          <t>VFD|3/C+3G|6</t>
        </is>
      </c>
      <c r="L4970" s="12" t="inlineStr">
        <is>
          <t>3/C+3G</t>
        </is>
      </c>
      <c r="M4970" s="12" t="inlineStr">
        <is>
          <t>6</t>
        </is>
      </c>
      <c r="N4970" s="12" t="n">
        <v>1</v>
      </c>
      <c r="O4970" s="12" t="n">
        <v>1</v>
      </c>
      <c r="P4970" s="12" t="n">
        <v>480</v>
      </c>
      <c r="Q4970" s="12" t="n">
        <v>30</v>
      </c>
      <c r="R4970" s="12" t="n">
        <v>42</v>
      </c>
      <c r="S4970" s="12" t="inlineStr">
        <is>
          <t>Tray</t>
        </is>
      </c>
      <c r="T4970" s="16" t="n">
        <v>80</v>
      </c>
      <c r="U4970" s="16" t="n">
        <v>206</v>
      </c>
      <c r="V4970" s="16">
        <f>ROUNDUP((T4970+U4970+2*'Read Me'!$B$13)*(1+'Read Me'!$B$12),-1)</f>
        <v/>
      </c>
      <c r="W4970" s="16">
        <f>V4970*N4970*O4970</f>
        <v/>
      </c>
      <c r="X4970" s="12">
        <f>IF(LEFT(I4970,2)="MV",2*N4970*IF(L4970="1/C",O4970,1),0)</f>
        <v/>
      </c>
      <c r="Y4970" s="12">
        <f>IF(OR(LEFT(K4970,4)="LVAX",LEFT(K4970,6)="MV15AX",LEFT(K4970,4)="CTAX",LEFT(K4970,2)="W|"),2*N4970*O4970,0)</f>
        <v/>
      </c>
      <c r="Z4970" s="12" t="inlineStr">
        <is>
          <t>VD 2.4 %</t>
        </is>
      </c>
      <c r="AA4970" s="12">
        <f>N4970*O4970</f>
        <v/>
      </c>
    </row>
    <row r="4971">
      <c r="A4971" s="12" t="inlineStr">
        <is>
          <t>I-P-0065</t>
        </is>
      </c>
      <c r="B4971" s="12" t="inlineStr">
        <is>
          <t>I</t>
        </is>
      </c>
      <c r="C4971" s="12" t="inlineStr">
        <is>
          <t>Modular / portable power</t>
        </is>
      </c>
      <c r="D4971" s="12" t="inlineStr">
        <is>
          <t>Motor 3 of 5, 30 kW (VFD output)</t>
        </is>
      </c>
      <c r="E4971" s="12" t="inlineStr"/>
      <c r="F4971" s="12" t="inlineStr">
        <is>
          <t>PCM: power control module</t>
        </is>
      </c>
      <c r="G4971" s="12" t="inlineStr"/>
      <c r="H4971" s="12" t="inlineStr">
        <is>
          <t>RICE 4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206</v>
      </c>
      <c r="V4971" s="16">
        <f>ROUNDUP((T4971+U4971+2*'Read Me'!$B$13)*(1+'Read Me'!$B$12),-1)</f>
        <v/>
      </c>
      <c r="W4971" s="16">
        <f>V4971*N4971*O4971</f>
        <v/>
      </c>
      <c r="X4971" s="12">
        <f>IF(LEFT(I4971,2)="MV",2*N4971*IF(L4971="1/C",O4971,1),0)</f>
        <v/>
      </c>
      <c r="Y4971" s="12">
        <f>IF(OR(LEFT(K4971,4)="LVAX",LEFT(K4971,6)="MV15AX",LEFT(K4971,4)="CTAX",LEFT(K4971,2)="W|"),2*N4971*O4971,0)</f>
        <v/>
      </c>
      <c r="Z4971" s="12" t="inlineStr">
        <is>
          <t>VD 2.4 %</t>
        </is>
      </c>
      <c r="AA4971" s="12">
        <f>N4971*O4971</f>
        <v/>
      </c>
    </row>
    <row r="4972">
      <c r="A4972" s="12" t="inlineStr">
        <is>
          <t>I-P-0066</t>
        </is>
      </c>
      <c r="B4972" s="12" t="inlineStr">
        <is>
          <t>I</t>
        </is>
      </c>
      <c r="C4972" s="12" t="inlineStr">
        <is>
          <t>Modular / portable power</t>
        </is>
      </c>
      <c r="D4972" s="12" t="inlineStr">
        <is>
          <t>Motor 4 of 5, 30 kW (VFD output)</t>
        </is>
      </c>
      <c r="E4972" s="12" t="inlineStr"/>
      <c r="F4972" s="12" t="inlineStr">
        <is>
          <t>PCM: power control module</t>
        </is>
      </c>
      <c r="G4972" s="12" t="inlineStr"/>
      <c r="H4972" s="12" t="inlineStr">
        <is>
          <t>RICE 4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206</v>
      </c>
      <c r="V4972" s="16">
        <f>ROUNDUP((T4972+U4972+2*'Read Me'!$B$13)*(1+'Read Me'!$B$12),-1)</f>
        <v/>
      </c>
      <c r="W4972" s="16">
        <f>V4972*N4972*O4972</f>
        <v/>
      </c>
      <c r="X4972" s="12">
        <f>IF(LEFT(I4972,2)="MV",2*N4972*IF(L4972="1/C",O4972,1),0)</f>
        <v/>
      </c>
      <c r="Y4972" s="12">
        <f>IF(OR(LEFT(K4972,4)="LVAX",LEFT(K4972,6)="MV15AX",LEFT(K4972,4)="CTAX",LEFT(K4972,2)="W|"),2*N4972*O4972,0)</f>
        <v/>
      </c>
      <c r="Z4972" s="12" t="inlineStr">
        <is>
          <t>VD 2.4 %</t>
        </is>
      </c>
      <c r="AA4972" s="12">
        <f>N4972*O4972</f>
        <v/>
      </c>
    </row>
    <row r="4973">
      <c r="A4973" s="12" t="inlineStr">
        <is>
          <t>I-P-0067</t>
        </is>
      </c>
      <c r="B4973" s="12" t="inlineStr">
        <is>
          <t>I</t>
        </is>
      </c>
      <c r="C4973" s="12" t="inlineStr">
        <is>
          <t>Modular / portable power</t>
        </is>
      </c>
      <c r="D4973" s="12" t="inlineStr">
        <is>
          <t>Motor 5 of 5, 30 kW (VFD output)</t>
        </is>
      </c>
      <c r="E4973" s="12" t="inlineStr"/>
      <c r="F4973" s="12" t="inlineStr">
        <is>
          <t>PCM: power control module</t>
        </is>
      </c>
      <c r="G4973" s="12" t="inlineStr"/>
      <c r="H4973" s="12" t="inlineStr">
        <is>
          <t>RICE 4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206</v>
      </c>
      <c r="V4973" s="16">
        <f>ROUNDUP((T4973+U4973+2*'Read Me'!$B$13)*(1+'Read Me'!$B$12),-1)</f>
        <v/>
      </c>
      <c r="W4973" s="16">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I-P-0068</t>
        </is>
      </c>
      <c r="B4974" s="12" t="inlineStr">
        <is>
          <t>I</t>
        </is>
      </c>
      <c r="C4974" s="12" t="inlineStr">
        <is>
          <t>Modular / portable power</t>
        </is>
      </c>
      <c r="D4974" s="12" t="inlineStr">
        <is>
          <t>Motor 1 of 1, 15 kW</t>
        </is>
      </c>
      <c r="E4974" s="12" t="inlineStr"/>
      <c r="F4974" s="12" t="inlineStr">
        <is>
          <t>PCM: power control module</t>
        </is>
      </c>
      <c r="G4974" s="12" t="inlineStr"/>
      <c r="H4974" s="12" t="inlineStr">
        <is>
          <t>RICE 5 SCR + oxidation catalyst and stack</t>
        </is>
      </c>
      <c r="I4974" s="12" t="inlineStr">
        <is>
          <t>LV 600 V</t>
        </is>
      </c>
      <c r="J4974" s="12" t="inlineStr">
        <is>
          <t>Type TC-ER 600 V 3/C Cu XHHW-2 + ground, PVC jacket</t>
        </is>
      </c>
      <c r="K4974" s="12" t="inlineStr">
        <is>
          <t>LV|3/C+G|6</t>
        </is>
      </c>
      <c r="L4974" s="12" t="inlineStr">
        <is>
          <t>3/C+G</t>
        </is>
      </c>
      <c r="M4974" s="12" t="inlineStr">
        <is>
          <t>6</t>
        </is>
      </c>
      <c r="N4974" s="12" t="n">
        <v>1</v>
      </c>
      <c r="O4974" s="12" t="n">
        <v>1</v>
      </c>
      <c r="P4974" s="12" t="n">
        <v>480</v>
      </c>
      <c r="Q4974" s="12" t="n">
        <v>15</v>
      </c>
      <c r="R4974" s="12" t="n">
        <v>21.2</v>
      </c>
      <c r="S4974" s="12" t="inlineStr">
        <is>
          <t>Duct bank</t>
        </is>
      </c>
      <c r="T4974" s="16" t="n">
        <v>322</v>
      </c>
      <c r="U4974" s="16" t="n">
        <v>196</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I-P-0069</t>
        </is>
      </c>
      <c r="B4975" s="12" t="inlineStr">
        <is>
          <t>I</t>
        </is>
      </c>
      <c r="C4975" s="12" t="inlineStr">
        <is>
          <t>Modular / portable power</t>
        </is>
      </c>
      <c r="D4975" s="12" t="inlineStr">
        <is>
          <t>Area / platform lighting circuit 1 (6 fixtures)</t>
        </is>
      </c>
      <c r="E4975" s="12" t="inlineStr"/>
      <c r="F4975" s="12" t="inlineStr">
        <is>
          <t>PCM: power control module</t>
        </is>
      </c>
      <c r="G4975" s="12" t="inlineStr"/>
      <c r="H4975" s="12" t="inlineStr">
        <is>
          <t>RICE 5 SCR + oxidation catalyst and stack</t>
        </is>
      </c>
      <c r="I4975" s="12" t="inlineStr">
        <is>
          <t>LV 600 V</t>
        </is>
      </c>
      <c r="J4975" s="12" t="inlineStr">
        <is>
          <t>Type TC-ER 600 V 3/C Cu XHHW-2 + ground, PVC jacket</t>
        </is>
      </c>
      <c r="K4975" s="12" t="inlineStr">
        <is>
          <t>LV|3/C+G|10</t>
        </is>
      </c>
      <c r="L4975" s="12" t="inlineStr">
        <is>
          <t>3/C+G</t>
        </is>
      </c>
      <c r="M4975" s="12" t="inlineStr">
        <is>
          <t>10</t>
        </is>
      </c>
      <c r="N4975" s="12" t="n">
        <v>1</v>
      </c>
      <c r="O4975" s="12" t="n">
        <v>1</v>
      </c>
      <c r="P4975" s="12" t="n">
        <v>480</v>
      </c>
      <c r="Q4975" s="12" t="n">
        <v>3</v>
      </c>
      <c r="R4975" s="12" t="n">
        <v>5</v>
      </c>
      <c r="S4975" s="12" t="inlineStr">
        <is>
          <t>Duct bank</t>
        </is>
      </c>
      <c r="T4975" s="16" t="n">
        <v>622</v>
      </c>
      <c r="U4975" s="16" t="n">
        <v>196</v>
      </c>
      <c r="V4975" s="16">
        <f>ROUNDUP((T4975+U4975+2*'Read Me'!$B$13)*(1+'Read Me'!$B$12),-1)</f>
        <v/>
      </c>
      <c r="W4975" s="16">
        <f>V4975*N4975*O4975</f>
        <v/>
      </c>
      <c r="X4975" s="12">
        <f>IF(LEFT(I4975,2)="MV",2*N4975*IF(L4975="1/C",O4975,1),0)</f>
        <v/>
      </c>
      <c r="Y4975" s="12">
        <f>IF(OR(LEFT(K4975,4)="LVAX",LEFT(K4975,6)="MV15AX",LEFT(K4975,4)="CTAX",LEFT(K4975,2)="W|"),2*N4975*O4975,0)</f>
        <v/>
      </c>
      <c r="Z4975" s="12" t="inlineStr">
        <is>
          <t>fixture-to-fixture run included</t>
        </is>
      </c>
      <c r="AA4975" s="12">
        <f>N4975*O4975</f>
        <v/>
      </c>
    </row>
    <row r="4976">
      <c r="A4976" s="12" t="inlineStr">
        <is>
          <t>I-P-0070</t>
        </is>
      </c>
      <c r="B4976" s="12" t="inlineStr">
        <is>
          <t>I</t>
        </is>
      </c>
      <c r="C4976" s="12" t="inlineStr">
        <is>
          <t>Modular / portable power</t>
        </is>
      </c>
      <c r="D4976" s="12" t="inlineStr">
        <is>
          <t>Motor 1 of 5, 30 kW (VFD output)</t>
        </is>
      </c>
      <c r="E4976" s="12" t="inlineStr"/>
      <c r="F4976" s="12" t="inlineStr">
        <is>
          <t>PCM: power control module</t>
        </is>
      </c>
      <c r="G4976" s="12" t="inlineStr"/>
      <c r="H4976" s="12" t="inlineStr">
        <is>
          <t>RICE 5 radiators (5)</t>
        </is>
      </c>
      <c r="I4976" s="12" t="inlineStr">
        <is>
          <t>LV 600 V</t>
        </is>
      </c>
      <c r="J4976" s="12" t="inlineStr">
        <is>
          <t>VFD cable 600 V 3/C Cu XHHW-2, 3 symmetrical grounds, overall Cu tape shield, TC-ER</t>
        </is>
      </c>
      <c r="K4976" s="12" t="inlineStr">
        <is>
          <t>VFD|3/C+3G|6</t>
        </is>
      </c>
      <c r="L4976" s="12" t="inlineStr">
        <is>
          <t>3/C+3G</t>
        </is>
      </c>
      <c r="M4976" s="12" t="inlineStr">
        <is>
          <t>6</t>
        </is>
      </c>
      <c r="N4976" s="12" t="n">
        <v>1</v>
      </c>
      <c r="O4976" s="12" t="n">
        <v>1</v>
      </c>
      <c r="P4976" s="12" t="n">
        <v>480</v>
      </c>
      <c r="Q4976" s="12" t="n">
        <v>30</v>
      </c>
      <c r="R4976" s="12" t="n">
        <v>42</v>
      </c>
      <c r="S4976" s="12" t="inlineStr">
        <is>
          <t>Tray</t>
        </is>
      </c>
      <c r="T4976" s="16" t="n">
        <v>80</v>
      </c>
      <c r="U4976" s="16" t="n">
        <v>178</v>
      </c>
      <c r="V4976" s="16">
        <f>ROUNDUP((T4976+U4976+2*'Read Me'!$B$13)*(1+'Read Me'!$B$12),-1)</f>
        <v/>
      </c>
      <c r="W4976" s="16">
        <f>V4976*N4976*O4976</f>
        <v/>
      </c>
      <c r="X4976" s="12">
        <f>IF(LEFT(I4976,2)="MV",2*N4976*IF(L4976="1/C",O4976,1),0)</f>
        <v/>
      </c>
      <c r="Y4976" s="12">
        <f>IF(OR(LEFT(K4976,4)="LVAX",LEFT(K4976,6)="MV15AX",LEFT(K4976,4)="CTAX",LEFT(K4976,2)="W|"),2*N4976*O4976,0)</f>
        <v/>
      </c>
      <c r="Z4976" s="12" t="inlineStr">
        <is>
          <t>VD 2.1 %</t>
        </is>
      </c>
      <c r="AA4976" s="12">
        <f>N4976*O4976</f>
        <v/>
      </c>
    </row>
    <row r="4977">
      <c r="A4977" s="12" t="inlineStr">
        <is>
          <t>I-P-0071</t>
        </is>
      </c>
      <c r="B4977" s="12" t="inlineStr">
        <is>
          <t>I</t>
        </is>
      </c>
      <c r="C4977" s="12" t="inlineStr">
        <is>
          <t>Modular / portable power</t>
        </is>
      </c>
      <c r="D4977" s="12" t="inlineStr">
        <is>
          <t>Motor 2 of 5, 30 kW (VFD output)</t>
        </is>
      </c>
      <c r="E4977" s="12" t="inlineStr"/>
      <c r="F4977" s="12" t="inlineStr">
        <is>
          <t>PCM: power control module</t>
        </is>
      </c>
      <c r="G4977" s="12" t="inlineStr"/>
      <c r="H4977" s="12" t="inlineStr">
        <is>
          <t>RICE 5 radiators (5)</t>
        </is>
      </c>
      <c r="I4977" s="12" t="inlineStr">
        <is>
          <t>LV 600 V</t>
        </is>
      </c>
      <c r="J4977" s="12" t="inlineStr">
        <is>
          <t>VFD cable 600 V 3/C Cu XHHW-2, 3 symmetrical grounds, overall Cu tape shield, TC-ER</t>
        </is>
      </c>
      <c r="K4977" s="12" t="inlineStr">
        <is>
          <t>VFD|3/C+3G|6</t>
        </is>
      </c>
      <c r="L4977" s="12" t="inlineStr">
        <is>
          <t>3/C+3G</t>
        </is>
      </c>
      <c r="M4977" s="12" t="inlineStr">
        <is>
          <t>6</t>
        </is>
      </c>
      <c r="N4977" s="12" t="n">
        <v>1</v>
      </c>
      <c r="O4977" s="12" t="n">
        <v>1</v>
      </c>
      <c r="P4977" s="12" t="n">
        <v>480</v>
      </c>
      <c r="Q4977" s="12" t="n">
        <v>30</v>
      </c>
      <c r="R4977" s="12" t="n">
        <v>42</v>
      </c>
      <c r="S4977" s="12" t="inlineStr">
        <is>
          <t>Tray</t>
        </is>
      </c>
      <c r="T4977" s="16" t="n">
        <v>80</v>
      </c>
      <c r="U4977" s="16" t="n">
        <v>178</v>
      </c>
      <c r="V4977" s="16">
        <f>ROUNDUP((T4977+U4977+2*'Read Me'!$B$13)*(1+'Read Me'!$B$12),-1)</f>
        <v/>
      </c>
      <c r="W4977" s="16">
        <f>V4977*N4977*O4977</f>
        <v/>
      </c>
      <c r="X4977" s="12">
        <f>IF(LEFT(I4977,2)="MV",2*N4977*IF(L4977="1/C",O4977,1),0)</f>
        <v/>
      </c>
      <c r="Y4977" s="12">
        <f>IF(OR(LEFT(K4977,4)="LVAX",LEFT(K4977,6)="MV15AX",LEFT(K4977,4)="CTAX",LEFT(K4977,2)="W|"),2*N4977*O4977,0)</f>
        <v/>
      </c>
      <c r="Z4977" s="12" t="inlineStr">
        <is>
          <t>VD 2.1 %</t>
        </is>
      </c>
      <c r="AA4977" s="12">
        <f>N4977*O4977</f>
        <v/>
      </c>
    </row>
    <row r="4978">
      <c r="A4978" s="12" t="inlineStr">
        <is>
          <t>I-P-0072</t>
        </is>
      </c>
      <c r="B4978" s="12" t="inlineStr">
        <is>
          <t>I</t>
        </is>
      </c>
      <c r="C4978" s="12" t="inlineStr">
        <is>
          <t>Modular / portable power</t>
        </is>
      </c>
      <c r="D4978" s="12" t="inlineStr">
        <is>
          <t>Motor 3 of 5, 30 kW (VFD output)</t>
        </is>
      </c>
      <c r="E4978" s="12" t="inlineStr"/>
      <c r="F4978" s="12" t="inlineStr">
        <is>
          <t>PCM: power control module</t>
        </is>
      </c>
      <c r="G4978" s="12" t="inlineStr"/>
      <c r="H4978" s="12" t="inlineStr">
        <is>
          <t>RICE 5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178</v>
      </c>
      <c r="V4978" s="16">
        <f>ROUNDUP((T4978+U4978+2*'Read Me'!$B$13)*(1+'Read Me'!$B$12),-1)</f>
        <v/>
      </c>
      <c r="W4978" s="16">
        <f>V4978*N4978*O4978</f>
        <v/>
      </c>
      <c r="X4978" s="12">
        <f>IF(LEFT(I4978,2)="MV",2*N4978*IF(L4978="1/C",O4978,1),0)</f>
        <v/>
      </c>
      <c r="Y4978" s="12">
        <f>IF(OR(LEFT(K4978,4)="LVAX",LEFT(K4978,6)="MV15AX",LEFT(K4978,4)="CTAX",LEFT(K4978,2)="W|"),2*N4978*O4978,0)</f>
        <v/>
      </c>
      <c r="Z4978" s="12" t="inlineStr">
        <is>
          <t>VD 2.1 %</t>
        </is>
      </c>
      <c r="AA4978" s="12">
        <f>N4978*O4978</f>
        <v/>
      </c>
    </row>
    <row r="4979">
      <c r="A4979" s="12" t="inlineStr">
        <is>
          <t>I-P-0073</t>
        </is>
      </c>
      <c r="B4979" s="12" t="inlineStr">
        <is>
          <t>I</t>
        </is>
      </c>
      <c r="C4979" s="12" t="inlineStr">
        <is>
          <t>Modular / portable power</t>
        </is>
      </c>
      <c r="D4979" s="12" t="inlineStr">
        <is>
          <t>Motor 4 of 5, 30 kW (VFD output)</t>
        </is>
      </c>
      <c r="E4979" s="12" t="inlineStr"/>
      <c r="F4979" s="12" t="inlineStr">
        <is>
          <t>PCM: power control module</t>
        </is>
      </c>
      <c r="G4979" s="12" t="inlineStr"/>
      <c r="H4979" s="12" t="inlineStr">
        <is>
          <t>RICE 5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178</v>
      </c>
      <c r="V4979" s="16">
        <f>ROUNDUP((T4979+U4979+2*'Read Me'!$B$13)*(1+'Read Me'!$B$12),-1)</f>
        <v/>
      </c>
      <c r="W4979" s="16">
        <f>V4979*N4979*O4979</f>
        <v/>
      </c>
      <c r="X4979" s="12">
        <f>IF(LEFT(I4979,2)="MV",2*N4979*IF(L4979="1/C",O4979,1),0)</f>
        <v/>
      </c>
      <c r="Y4979" s="12">
        <f>IF(OR(LEFT(K4979,4)="LVAX",LEFT(K4979,6)="MV15AX",LEFT(K4979,4)="CTAX",LEFT(K4979,2)="W|"),2*N4979*O4979,0)</f>
        <v/>
      </c>
      <c r="Z4979" s="12" t="inlineStr">
        <is>
          <t>VD 2.1 %</t>
        </is>
      </c>
      <c r="AA4979" s="12">
        <f>N4979*O4979</f>
        <v/>
      </c>
    </row>
    <row r="4980">
      <c r="A4980" s="12" t="inlineStr">
        <is>
          <t>I-P-0074</t>
        </is>
      </c>
      <c r="B4980" s="12" t="inlineStr">
        <is>
          <t>I</t>
        </is>
      </c>
      <c r="C4980" s="12" t="inlineStr">
        <is>
          <t>Modular / portable power</t>
        </is>
      </c>
      <c r="D4980" s="12" t="inlineStr">
        <is>
          <t>Motor 5 of 5, 30 kW (VFD output)</t>
        </is>
      </c>
      <c r="E4980" s="12" t="inlineStr"/>
      <c r="F4980" s="12" t="inlineStr">
        <is>
          <t>PCM: power control module</t>
        </is>
      </c>
      <c r="G4980" s="12" t="inlineStr"/>
      <c r="H4980" s="12" t="inlineStr">
        <is>
          <t>RICE 5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178</v>
      </c>
      <c r="V4980" s="16">
        <f>ROUNDUP((T4980+U4980+2*'Read Me'!$B$13)*(1+'Read Me'!$B$12),-1)</f>
        <v/>
      </c>
      <c r="W4980" s="16">
        <f>V4980*N4980*O4980</f>
        <v/>
      </c>
      <c r="X4980" s="12">
        <f>IF(LEFT(I4980,2)="MV",2*N4980*IF(L4980="1/C",O4980,1),0)</f>
        <v/>
      </c>
      <c r="Y4980" s="12">
        <f>IF(OR(LEFT(K4980,4)="LVAX",LEFT(K4980,6)="MV15AX",LEFT(K4980,4)="CTAX",LEFT(K4980,2)="W|"),2*N4980*O4980,0)</f>
        <v/>
      </c>
      <c r="Z4980" s="12" t="inlineStr">
        <is>
          <t>VD 2.1 %</t>
        </is>
      </c>
      <c r="AA4980" s="12">
        <f>N4980*O4980</f>
        <v/>
      </c>
    </row>
    <row r="4981">
      <c r="A4981" s="12" t="inlineStr">
        <is>
          <t>I-P-0075</t>
        </is>
      </c>
      <c r="B4981" s="12" t="inlineStr">
        <is>
          <t>I</t>
        </is>
      </c>
      <c r="C4981" s="12" t="inlineStr">
        <is>
          <t>Modular / portable power</t>
        </is>
      </c>
      <c r="D4981" s="12" t="inlineStr">
        <is>
          <t>Motor 1 of 1, 15 kW</t>
        </is>
      </c>
      <c r="E4981" s="12" t="inlineStr"/>
      <c r="F4981" s="12" t="inlineStr">
        <is>
          <t>PCM: power control module</t>
        </is>
      </c>
      <c r="G4981" s="12" t="inlineStr"/>
      <c r="H4981" s="12" t="inlineStr">
        <is>
          <t>RICE 6 SCR + oxidation catalyst and stack</t>
        </is>
      </c>
      <c r="I4981" s="12" t="inlineStr">
        <is>
          <t>LV 600 V</t>
        </is>
      </c>
      <c r="J4981" s="12" t="inlineStr">
        <is>
          <t>Type TC-ER 600 V 3/C Cu XHHW-2 + ground, PVC jacket</t>
        </is>
      </c>
      <c r="K4981" s="12" t="inlineStr">
        <is>
          <t>LV|3/C+G|6</t>
        </is>
      </c>
      <c r="L4981" s="12" t="inlineStr">
        <is>
          <t>3/C+G</t>
        </is>
      </c>
      <c r="M4981" s="12" t="inlineStr">
        <is>
          <t>6</t>
        </is>
      </c>
      <c r="N4981" s="12" t="n">
        <v>1</v>
      </c>
      <c r="O4981" s="12" t="n">
        <v>1</v>
      </c>
      <c r="P4981" s="12" t="n">
        <v>480</v>
      </c>
      <c r="Q4981" s="12" t="n">
        <v>15</v>
      </c>
      <c r="R4981" s="12" t="n">
        <v>21.2</v>
      </c>
      <c r="S4981" s="12" t="inlineStr">
        <is>
          <t>Duct bank</t>
        </is>
      </c>
      <c r="T4981" s="16" t="n">
        <v>322</v>
      </c>
      <c r="U4981" s="16" t="n">
        <v>168</v>
      </c>
      <c r="V4981" s="16">
        <f>ROUNDUP((T4981+U4981+2*'Read Me'!$B$13)*(1+'Read Me'!$B$12),-1)</f>
        <v/>
      </c>
      <c r="W4981" s="16">
        <f>V4981*N4981*O4981</f>
        <v/>
      </c>
      <c r="X4981" s="12">
        <f>IF(LEFT(I4981,2)="MV",2*N4981*IF(L4981="1/C",O4981,1),0)</f>
        <v/>
      </c>
      <c r="Y4981" s="12">
        <f>IF(OR(LEFT(K4981,4)="LVAX",LEFT(K4981,6)="MV15AX",LEFT(K4981,4)="CTAX",LEFT(K4981,2)="W|"),2*N4981*O4981,0)</f>
        <v/>
      </c>
      <c r="Z4981" s="12" t="inlineStr">
        <is>
          <t>VD 2.0 %</t>
        </is>
      </c>
      <c r="AA4981" s="12">
        <f>N4981*O4981</f>
        <v/>
      </c>
    </row>
    <row r="4982">
      <c r="A4982" s="12" t="inlineStr">
        <is>
          <t>I-P-0076</t>
        </is>
      </c>
      <c r="B4982" s="12" t="inlineStr">
        <is>
          <t>I</t>
        </is>
      </c>
      <c r="C4982" s="12" t="inlineStr">
        <is>
          <t>Modular / portable power</t>
        </is>
      </c>
      <c r="D4982" s="12" t="inlineStr">
        <is>
          <t>Area / platform lighting circuit 1 (6 fixtures)</t>
        </is>
      </c>
      <c r="E4982" s="12" t="inlineStr"/>
      <c r="F4982" s="12" t="inlineStr">
        <is>
          <t>PCM: power control module</t>
        </is>
      </c>
      <c r="G4982" s="12" t="inlineStr"/>
      <c r="H4982" s="12" t="inlineStr">
        <is>
          <t>RICE 6 SCR + oxidation catalyst and stack</t>
        </is>
      </c>
      <c r="I4982" s="12" t="inlineStr">
        <is>
          <t>LV 600 V</t>
        </is>
      </c>
      <c r="J4982" s="12" t="inlineStr">
        <is>
          <t>Type TC-ER 600 V 3/C Cu XHHW-2 + ground, PVC jacket</t>
        </is>
      </c>
      <c r="K4982" s="12" t="inlineStr">
        <is>
          <t>LV|3/C+G|10</t>
        </is>
      </c>
      <c r="L4982" s="12" t="inlineStr">
        <is>
          <t>3/C+G</t>
        </is>
      </c>
      <c r="M4982" s="12" t="inlineStr">
        <is>
          <t>10</t>
        </is>
      </c>
      <c r="N4982" s="12" t="n">
        <v>1</v>
      </c>
      <c r="O4982" s="12" t="n">
        <v>1</v>
      </c>
      <c r="P4982" s="12" t="n">
        <v>480</v>
      </c>
      <c r="Q4982" s="12" t="n">
        <v>3</v>
      </c>
      <c r="R4982" s="12" t="n">
        <v>5</v>
      </c>
      <c r="S4982" s="12" t="inlineStr">
        <is>
          <t>Duct bank</t>
        </is>
      </c>
      <c r="T4982" s="16" t="n">
        <v>622</v>
      </c>
      <c r="U4982" s="16" t="n">
        <v>168</v>
      </c>
      <c r="V4982" s="16">
        <f>ROUNDUP((T4982+U4982+2*'Read Me'!$B$13)*(1+'Read Me'!$B$12),-1)</f>
        <v/>
      </c>
      <c r="W4982" s="16">
        <f>V4982*N4982*O4982</f>
        <v/>
      </c>
      <c r="X4982" s="12">
        <f>IF(LEFT(I4982,2)="MV",2*N4982*IF(L4982="1/C",O4982,1),0)</f>
        <v/>
      </c>
      <c r="Y4982" s="12">
        <f>IF(OR(LEFT(K4982,4)="LVAX",LEFT(K4982,6)="MV15AX",LEFT(K4982,4)="CTAX",LEFT(K4982,2)="W|"),2*N4982*O4982,0)</f>
        <v/>
      </c>
      <c r="Z4982" s="12" t="inlineStr">
        <is>
          <t>fixture-to-fixture run included</t>
        </is>
      </c>
      <c r="AA4982" s="12">
        <f>N4982*O4982</f>
        <v/>
      </c>
    </row>
    <row r="4983">
      <c r="A4983" s="12" t="inlineStr">
        <is>
          <t>I-P-0077</t>
        </is>
      </c>
      <c r="B4983" s="12" t="inlineStr">
        <is>
          <t>I</t>
        </is>
      </c>
      <c r="C4983" s="12" t="inlineStr">
        <is>
          <t>Modular / portable power</t>
        </is>
      </c>
      <c r="D4983" s="12" t="inlineStr">
        <is>
          <t>Motor 1 of 5, 30 kW (VFD output)</t>
        </is>
      </c>
      <c r="E4983" s="12" t="inlineStr"/>
      <c r="F4983" s="12" t="inlineStr">
        <is>
          <t>PCM: power control module</t>
        </is>
      </c>
      <c r="G4983" s="12" t="inlineStr"/>
      <c r="H4983" s="12" t="inlineStr">
        <is>
          <t>RICE 6 radiators (5)</t>
        </is>
      </c>
      <c r="I4983" s="12" t="inlineStr">
        <is>
          <t>LV 600 V</t>
        </is>
      </c>
      <c r="J4983" s="12" t="inlineStr">
        <is>
          <t>VFD cable 600 V 3/C Cu XHHW-2, 3 symmetrical grounds, overall Cu tape shield, TC-ER</t>
        </is>
      </c>
      <c r="K4983" s="12" t="inlineStr">
        <is>
          <t>VFD|3/C+3G|6</t>
        </is>
      </c>
      <c r="L4983" s="12" t="inlineStr">
        <is>
          <t>3/C+3G</t>
        </is>
      </c>
      <c r="M4983" s="12" t="inlineStr">
        <is>
          <t>6</t>
        </is>
      </c>
      <c r="N4983" s="12" t="n">
        <v>1</v>
      </c>
      <c r="O4983" s="12" t="n">
        <v>1</v>
      </c>
      <c r="P4983" s="12" t="n">
        <v>480</v>
      </c>
      <c r="Q4983" s="12" t="n">
        <v>30</v>
      </c>
      <c r="R4983" s="12" t="n">
        <v>42</v>
      </c>
      <c r="S4983" s="12" t="inlineStr">
        <is>
          <t>Tray</t>
        </is>
      </c>
      <c r="T4983" s="16" t="n">
        <v>80</v>
      </c>
      <c r="U4983" s="16" t="n">
        <v>150</v>
      </c>
      <c r="V4983" s="16">
        <f>ROUNDUP((T4983+U4983+2*'Read Me'!$B$13)*(1+'Read Me'!$B$12),-1)</f>
        <v/>
      </c>
      <c r="W4983" s="16">
        <f>V4983*N4983*O4983</f>
        <v/>
      </c>
      <c r="X4983" s="12">
        <f>IF(LEFT(I4983,2)="MV",2*N4983*IF(L4983="1/C",O4983,1),0)</f>
        <v/>
      </c>
      <c r="Y4983" s="12">
        <f>IF(OR(LEFT(K4983,4)="LVAX",LEFT(K4983,6)="MV15AX",LEFT(K4983,4)="CTAX",LEFT(K4983,2)="W|"),2*N4983*O4983,0)</f>
        <v/>
      </c>
      <c r="Z4983" s="12" t="inlineStr">
        <is>
          <t>VD 1.9 %</t>
        </is>
      </c>
      <c r="AA4983" s="12">
        <f>N4983*O4983</f>
        <v/>
      </c>
    </row>
    <row r="4984">
      <c r="A4984" s="12" t="inlineStr">
        <is>
          <t>I-P-0078</t>
        </is>
      </c>
      <c r="B4984" s="12" t="inlineStr">
        <is>
          <t>I</t>
        </is>
      </c>
      <c r="C4984" s="12" t="inlineStr">
        <is>
          <t>Modular / portable power</t>
        </is>
      </c>
      <c r="D4984" s="12" t="inlineStr">
        <is>
          <t>Motor 2 of 5, 30 kW (VFD output)</t>
        </is>
      </c>
      <c r="E4984" s="12" t="inlineStr"/>
      <c r="F4984" s="12" t="inlineStr">
        <is>
          <t>PCM: power control module</t>
        </is>
      </c>
      <c r="G4984" s="12" t="inlineStr"/>
      <c r="H4984" s="12" t="inlineStr">
        <is>
          <t>RICE 6 radiators (5)</t>
        </is>
      </c>
      <c r="I4984" s="12" t="inlineStr">
        <is>
          <t>LV 600 V</t>
        </is>
      </c>
      <c r="J4984" s="12" t="inlineStr">
        <is>
          <t>VFD cable 600 V 3/C Cu XHHW-2, 3 symmetrical grounds, overall Cu tape shield, TC-ER</t>
        </is>
      </c>
      <c r="K4984" s="12" t="inlineStr">
        <is>
          <t>VFD|3/C+3G|6</t>
        </is>
      </c>
      <c r="L4984" s="12" t="inlineStr">
        <is>
          <t>3/C+3G</t>
        </is>
      </c>
      <c r="M4984" s="12" t="inlineStr">
        <is>
          <t>6</t>
        </is>
      </c>
      <c r="N4984" s="12" t="n">
        <v>1</v>
      </c>
      <c r="O4984" s="12" t="n">
        <v>1</v>
      </c>
      <c r="P4984" s="12" t="n">
        <v>480</v>
      </c>
      <c r="Q4984" s="12" t="n">
        <v>30</v>
      </c>
      <c r="R4984" s="12" t="n">
        <v>42</v>
      </c>
      <c r="S4984" s="12" t="inlineStr">
        <is>
          <t>Tray</t>
        </is>
      </c>
      <c r="T4984" s="16" t="n">
        <v>80</v>
      </c>
      <c r="U4984" s="16" t="n">
        <v>150</v>
      </c>
      <c r="V4984" s="16">
        <f>ROUNDUP((T4984+U4984+2*'Read Me'!$B$13)*(1+'Read Me'!$B$12),-1)</f>
        <v/>
      </c>
      <c r="W4984" s="16">
        <f>V4984*N4984*O4984</f>
        <v/>
      </c>
      <c r="X4984" s="12">
        <f>IF(LEFT(I4984,2)="MV",2*N4984*IF(L4984="1/C",O4984,1),0)</f>
        <v/>
      </c>
      <c r="Y4984" s="12">
        <f>IF(OR(LEFT(K4984,4)="LVAX",LEFT(K4984,6)="MV15AX",LEFT(K4984,4)="CTAX",LEFT(K4984,2)="W|"),2*N4984*O4984,0)</f>
        <v/>
      </c>
      <c r="Z4984" s="12" t="inlineStr">
        <is>
          <t>VD 1.9 %</t>
        </is>
      </c>
      <c r="AA4984" s="12">
        <f>N4984*O4984</f>
        <v/>
      </c>
    </row>
    <row r="4985">
      <c r="A4985" s="12" t="inlineStr">
        <is>
          <t>I-P-0079</t>
        </is>
      </c>
      <c r="B4985" s="12" t="inlineStr">
        <is>
          <t>I</t>
        </is>
      </c>
      <c r="C4985" s="12" t="inlineStr">
        <is>
          <t>Modular / portable power</t>
        </is>
      </c>
      <c r="D4985" s="12" t="inlineStr">
        <is>
          <t>Motor 3 of 5, 30 kW (VFD output)</t>
        </is>
      </c>
      <c r="E4985" s="12" t="inlineStr"/>
      <c r="F4985" s="12" t="inlineStr">
        <is>
          <t>PCM: power control module</t>
        </is>
      </c>
      <c r="G4985" s="12" t="inlineStr"/>
      <c r="H4985" s="12" t="inlineStr">
        <is>
          <t>RICE 6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150</v>
      </c>
      <c r="V4985" s="16">
        <f>ROUNDUP((T4985+U4985+2*'Read Me'!$B$13)*(1+'Read Me'!$B$12),-1)</f>
        <v/>
      </c>
      <c r="W4985" s="16">
        <f>V4985*N4985*O4985</f>
        <v/>
      </c>
      <c r="X4985" s="12">
        <f>IF(LEFT(I4985,2)="MV",2*N4985*IF(L4985="1/C",O4985,1),0)</f>
        <v/>
      </c>
      <c r="Y4985" s="12">
        <f>IF(OR(LEFT(K4985,4)="LVAX",LEFT(K4985,6)="MV15AX",LEFT(K4985,4)="CTAX",LEFT(K4985,2)="W|"),2*N4985*O4985,0)</f>
        <v/>
      </c>
      <c r="Z4985" s="12" t="inlineStr">
        <is>
          <t>VD 1.9 %</t>
        </is>
      </c>
      <c r="AA4985" s="12">
        <f>N4985*O4985</f>
        <v/>
      </c>
    </row>
    <row r="4986">
      <c r="A4986" s="12" t="inlineStr">
        <is>
          <t>I-P-0080</t>
        </is>
      </c>
      <c r="B4986" s="12" t="inlineStr">
        <is>
          <t>I</t>
        </is>
      </c>
      <c r="C4986" s="12" t="inlineStr">
        <is>
          <t>Modular / portable power</t>
        </is>
      </c>
      <c r="D4986" s="12" t="inlineStr">
        <is>
          <t>Motor 4 of 5, 30 kW (VFD output)</t>
        </is>
      </c>
      <c r="E4986" s="12" t="inlineStr"/>
      <c r="F4986" s="12" t="inlineStr">
        <is>
          <t>PCM: power control module</t>
        </is>
      </c>
      <c r="G4986" s="12" t="inlineStr"/>
      <c r="H4986" s="12" t="inlineStr">
        <is>
          <t>RICE 6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150</v>
      </c>
      <c r="V4986" s="16">
        <f>ROUNDUP((T4986+U4986+2*'Read Me'!$B$13)*(1+'Read Me'!$B$12),-1)</f>
        <v/>
      </c>
      <c r="W4986" s="16">
        <f>V4986*N4986*O4986</f>
        <v/>
      </c>
      <c r="X4986" s="12">
        <f>IF(LEFT(I4986,2)="MV",2*N4986*IF(L4986="1/C",O4986,1),0)</f>
        <v/>
      </c>
      <c r="Y4986" s="12">
        <f>IF(OR(LEFT(K4986,4)="LVAX",LEFT(K4986,6)="MV15AX",LEFT(K4986,4)="CTAX",LEFT(K4986,2)="W|"),2*N4986*O4986,0)</f>
        <v/>
      </c>
      <c r="Z4986" s="12" t="inlineStr">
        <is>
          <t>VD 1.9 %</t>
        </is>
      </c>
      <c r="AA4986" s="12">
        <f>N4986*O4986</f>
        <v/>
      </c>
    </row>
    <row r="4987">
      <c r="A4987" s="12" t="inlineStr">
        <is>
          <t>I-P-0081</t>
        </is>
      </c>
      <c r="B4987" s="12" t="inlineStr">
        <is>
          <t>I</t>
        </is>
      </c>
      <c r="C4987" s="12" t="inlineStr">
        <is>
          <t>Modular / portable power</t>
        </is>
      </c>
      <c r="D4987" s="12" t="inlineStr">
        <is>
          <t>Motor 5 of 5, 30 kW (VFD output)</t>
        </is>
      </c>
      <c r="E4987" s="12" t="inlineStr"/>
      <c r="F4987" s="12" t="inlineStr">
        <is>
          <t>PCM: power control module</t>
        </is>
      </c>
      <c r="G4987" s="12" t="inlineStr"/>
      <c r="H4987" s="12" t="inlineStr">
        <is>
          <t>RICE 6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150</v>
      </c>
      <c r="V4987" s="16">
        <f>ROUNDUP((T4987+U4987+2*'Read Me'!$B$13)*(1+'Read Me'!$B$12),-1)</f>
        <v/>
      </c>
      <c r="W4987" s="16">
        <f>V4987*N4987*O4987</f>
        <v/>
      </c>
      <c r="X4987" s="12">
        <f>IF(LEFT(I4987,2)="MV",2*N4987*IF(L4987="1/C",O4987,1),0)</f>
        <v/>
      </c>
      <c r="Y4987" s="12">
        <f>IF(OR(LEFT(K4987,4)="LVAX",LEFT(K4987,6)="MV15AX",LEFT(K4987,4)="CTAX",LEFT(K4987,2)="W|"),2*N4987*O4987,0)</f>
        <v/>
      </c>
      <c r="Z4987" s="12" t="inlineStr">
        <is>
          <t>VD 1.9 %</t>
        </is>
      </c>
      <c r="AA4987" s="12">
        <f>N4987*O4987</f>
        <v/>
      </c>
    </row>
    <row r="4988">
      <c r="A4988" s="12" t="inlineStr">
        <is>
          <t>I-P-0082</t>
        </is>
      </c>
      <c r="B4988" s="12" t="inlineStr">
        <is>
          <t>I</t>
        </is>
      </c>
      <c r="C4988" s="12" t="inlineStr">
        <is>
          <t>Modular / portable power</t>
        </is>
      </c>
      <c r="D4988" s="12" t="inlineStr">
        <is>
          <t>Motor 1 of 1, 15 kW</t>
        </is>
      </c>
      <c r="E4988" s="12" t="inlineStr"/>
      <c r="F4988" s="12" t="inlineStr">
        <is>
          <t>PCM: power control module</t>
        </is>
      </c>
      <c r="G4988" s="12" t="inlineStr"/>
      <c r="H4988" s="12" t="inlineStr">
        <is>
          <t>RICE 7 SCR + oxidation catalyst and stack</t>
        </is>
      </c>
      <c r="I4988" s="12" t="inlineStr">
        <is>
          <t>LV 600 V</t>
        </is>
      </c>
      <c r="J4988" s="12" t="inlineStr">
        <is>
          <t>Type TC-ER 600 V 3/C Cu XHHW-2 + ground, PVC jacket</t>
        </is>
      </c>
      <c r="K4988" s="12" t="inlineStr">
        <is>
          <t>LV|3/C+G|8</t>
        </is>
      </c>
      <c r="L4988" s="12" t="inlineStr">
        <is>
          <t>3/C+G</t>
        </is>
      </c>
      <c r="M4988" s="12" t="inlineStr">
        <is>
          <t>8</t>
        </is>
      </c>
      <c r="N4988" s="12" t="n">
        <v>1</v>
      </c>
      <c r="O4988" s="12" t="n">
        <v>1</v>
      </c>
      <c r="P4988" s="12" t="n">
        <v>480</v>
      </c>
      <c r="Q4988" s="12" t="n">
        <v>15</v>
      </c>
      <c r="R4988" s="12" t="n">
        <v>21.2</v>
      </c>
      <c r="S4988" s="12" t="inlineStr">
        <is>
          <t>Duct bank</t>
        </is>
      </c>
      <c r="T4988" s="16" t="n">
        <v>322</v>
      </c>
      <c r="U4988" s="16" t="n">
        <v>140</v>
      </c>
      <c r="V4988" s="16">
        <f>ROUNDUP((T4988+U4988+2*'Read Me'!$B$13)*(1+'Read Me'!$B$12),-1)</f>
        <v/>
      </c>
      <c r="W4988" s="16">
        <f>V4988*N4988*O4988</f>
        <v/>
      </c>
      <c r="X4988" s="12">
        <f>IF(LEFT(I4988,2)="MV",2*N4988*IF(L4988="1/C",O4988,1),0)</f>
        <v/>
      </c>
      <c r="Y4988" s="12">
        <f>IF(OR(LEFT(K4988,4)="LVAX",LEFT(K4988,6)="MV15AX",LEFT(K4988,4)="CTAX",LEFT(K4988,2)="W|"),2*N4988*O4988,0)</f>
        <v/>
      </c>
      <c r="Z4988" s="12" t="inlineStr">
        <is>
          <t>VD 3.0 %</t>
        </is>
      </c>
      <c r="AA4988" s="12">
        <f>N4988*O4988</f>
        <v/>
      </c>
    </row>
    <row r="4989">
      <c r="A4989" s="12" t="inlineStr">
        <is>
          <t>I-P-0083</t>
        </is>
      </c>
      <c r="B4989" s="12" t="inlineStr">
        <is>
          <t>I</t>
        </is>
      </c>
      <c r="C4989" s="12" t="inlineStr">
        <is>
          <t>Modular / portable power</t>
        </is>
      </c>
      <c r="D4989" s="12" t="inlineStr">
        <is>
          <t>Area / platform lighting circuit 1 (6 fixtures)</t>
        </is>
      </c>
      <c r="E4989" s="12" t="inlineStr"/>
      <c r="F4989" s="12" t="inlineStr">
        <is>
          <t>PCM: power control module</t>
        </is>
      </c>
      <c r="G4989" s="12" t="inlineStr"/>
      <c r="H4989" s="12" t="inlineStr">
        <is>
          <t>RICE 7 SCR + oxidation catalyst and stack</t>
        </is>
      </c>
      <c r="I4989" s="12" t="inlineStr">
        <is>
          <t>LV 600 V</t>
        </is>
      </c>
      <c r="J4989" s="12" t="inlineStr">
        <is>
          <t>Type TC-ER 600 V 3/C Cu XHHW-2 + ground, PVC jacket</t>
        </is>
      </c>
      <c r="K4989" s="12" t="inlineStr">
        <is>
          <t>LV|3/C+G|10</t>
        </is>
      </c>
      <c r="L4989" s="12" t="inlineStr">
        <is>
          <t>3/C+G</t>
        </is>
      </c>
      <c r="M4989" s="12" t="inlineStr">
        <is>
          <t>10</t>
        </is>
      </c>
      <c r="N4989" s="12" t="n">
        <v>1</v>
      </c>
      <c r="O4989" s="12" t="n">
        <v>1</v>
      </c>
      <c r="P4989" s="12" t="n">
        <v>480</v>
      </c>
      <c r="Q4989" s="12" t="n">
        <v>3</v>
      </c>
      <c r="R4989" s="12" t="n">
        <v>5</v>
      </c>
      <c r="S4989" s="12" t="inlineStr">
        <is>
          <t>Duct bank</t>
        </is>
      </c>
      <c r="T4989" s="16" t="n">
        <v>622</v>
      </c>
      <c r="U4989" s="16" t="n">
        <v>140</v>
      </c>
      <c r="V4989" s="16">
        <f>ROUNDUP((T4989+U4989+2*'Read Me'!$B$13)*(1+'Read Me'!$B$12),-1)</f>
        <v/>
      </c>
      <c r="W4989" s="16">
        <f>V4989*N4989*O4989</f>
        <v/>
      </c>
      <c r="X4989" s="12">
        <f>IF(LEFT(I4989,2)="MV",2*N4989*IF(L4989="1/C",O4989,1),0)</f>
        <v/>
      </c>
      <c r="Y4989" s="12">
        <f>IF(OR(LEFT(K4989,4)="LVAX",LEFT(K4989,6)="MV15AX",LEFT(K4989,4)="CTAX",LEFT(K4989,2)="W|"),2*N4989*O4989,0)</f>
        <v/>
      </c>
      <c r="Z4989" s="12" t="inlineStr">
        <is>
          <t>fixture-to-fixture run included</t>
        </is>
      </c>
      <c r="AA4989" s="12">
        <f>N4989*O4989</f>
        <v/>
      </c>
    </row>
    <row r="4990">
      <c r="A4990" s="12" t="inlineStr">
        <is>
          <t>I-P-0084</t>
        </is>
      </c>
      <c r="B4990" s="12" t="inlineStr">
        <is>
          <t>I</t>
        </is>
      </c>
      <c r="C4990" s="12" t="inlineStr">
        <is>
          <t>Modular / portable power</t>
        </is>
      </c>
      <c r="D4990" s="12" t="inlineStr">
        <is>
          <t>Motor 1 of 5, 30 kW (VFD output)</t>
        </is>
      </c>
      <c r="E4990" s="12" t="inlineStr"/>
      <c r="F4990" s="12" t="inlineStr">
        <is>
          <t>PCM: power control module</t>
        </is>
      </c>
      <c r="G4990" s="12" t="inlineStr"/>
      <c r="H4990" s="12" t="inlineStr">
        <is>
          <t>RICE 7 radiators (5)</t>
        </is>
      </c>
      <c r="I4990" s="12" t="inlineStr">
        <is>
          <t>LV 600 V</t>
        </is>
      </c>
      <c r="J4990" s="12" t="inlineStr">
        <is>
          <t>VFD cable 600 V 3/C Cu XHHW-2, 3 symmetrical grounds, overall Cu tape shield, TC-ER</t>
        </is>
      </c>
      <c r="K4990" s="12" t="inlineStr">
        <is>
          <t>VFD|3/C+3G|6</t>
        </is>
      </c>
      <c r="L4990" s="12" t="inlineStr">
        <is>
          <t>3/C+3G</t>
        </is>
      </c>
      <c r="M4990" s="12" t="inlineStr">
        <is>
          <t>6</t>
        </is>
      </c>
      <c r="N4990" s="12" t="n">
        <v>1</v>
      </c>
      <c r="O4990" s="12" t="n">
        <v>1</v>
      </c>
      <c r="P4990" s="12" t="n">
        <v>480</v>
      </c>
      <c r="Q4990" s="12" t="n">
        <v>30</v>
      </c>
      <c r="R4990" s="12" t="n">
        <v>42</v>
      </c>
      <c r="S4990" s="12" t="inlineStr">
        <is>
          <t>Tray</t>
        </is>
      </c>
      <c r="T4990" s="16" t="n">
        <v>80</v>
      </c>
      <c r="U4990" s="16" t="n">
        <v>122</v>
      </c>
      <c r="V4990" s="16">
        <f>ROUNDUP((T4990+U4990+2*'Read Me'!$B$13)*(1+'Read Me'!$B$12),-1)</f>
        <v/>
      </c>
      <c r="W4990" s="16">
        <f>V4990*N4990*O4990</f>
        <v/>
      </c>
      <c r="X4990" s="12">
        <f>IF(LEFT(I4990,2)="MV",2*N4990*IF(L4990="1/C",O4990,1),0)</f>
        <v/>
      </c>
      <c r="Y4990" s="12">
        <f>IF(OR(LEFT(K4990,4)="LVAX",LEFT(K4990,6)="MV15AX",LEFT(K4990,4)="CTAX",LEFT(K4990,2)="W|"),2*N4990*O4990,0)</f>
        <v/>
      </c>
      <c r="Z4990" s="12" t="inlineStr">
        <is>
          <t>VD 1.7 %</t>
        </is>
      </c>
      <c r="AA4990" s="12">
        <f>N4990*O4990</f>
        <v/>
      </c>
    </row>
    <row r="4991">
      <c r="A4991" s="12" t="inlineStr">
        <is>
          <t>I-P-0085</t>
        </is>
      </c>
      <c r="B4991" s="12" t="inlineStr">
        <is>
          <t>I</t>
        </is>
      </c>
      <c r="C4991" s="12" t="inlineStr">
        <is>
          <t>Modular / portable power</t>
        </is>
      </c>
      <c r="D4991" s="12" t="inlineStr">
        <is>
          <t>Motor 2 of 5, 30 kW (VFD output)</t>
        </is>
      </c>
      <c r="E4991" s="12" t="inlineStr"/>
      <c r="F4991" s="12" t="inlineStr">
        <is>
          <t>PCM: power control module</t>
        </is>
      </c>
      <c r="G4991" s="12" t="inlineStr"/>
      <c r="H4991" s="12" t="inlineStr">
        <is>
          <t>RICE 7 radiators (5)</t>
        </is>
      </c>
      <c r="I4991" s="12" t="inlineStr">
        <is>
          <t>LV 600 V</t>
        </is>
      </c>
      <c r="J4991" s="12" t="inlineStr">
        <is>
          <t>VFD cable 600 V 3/C Cu XHHW-2, 3 symmetrical grounds, overall Cu tape shield, TC-ER</t>
        </is>
      </c>
      <c r="K4991" s="12" t="inlineStr">
        <is>
          <t>VFD|3/C+3G|6</t>
        </is>
      </c>
      <c r="L4991" s="12" t="inlineStr">
        <is>
          <t>3/C+3G</t>
        </is>
      </c>
      <c r="M4991" s="12" t="inlineStr">
        <is>
          <t>6</t>
        </is>
      </c>
      <c r="N4991" s="12" t="n">
        <v>1</v>
      </c>
      <c r="O4991" s="12" t="n">
        <v>1</v>
      </c>
      <c r="P4991" s="12" t="n">
        <v>480</v>
      </c>
      <c r="Q4991" s="12" t="n">
        <v>30</v>
      </c>
      <c r="R4991" s="12" t="n">
        <v>42</v>
      </c>
      <c r="S4991" s="12" t="inlineStr">
        <is>
          <t>Tray</t>
        </is>
      </c>
      <c r="T4991" s="16" t="n">
        <v>80</v>
      </c>
      <c r="U4991" s="16" t="n">
        <v>122</v>
      </c>
      <c r="V4991" s="16">
        <f>ROUNDUP((T4991+U4991+2*'Read Me'!$B$13)*(1+'Read Me'!$B$12),-1)</f>
        <v/>
      </c>
      <c r="W4991" s="16">
        <f>V4991*N4991*O4991</f>
        <v/>
      </c>
      <c r="X4991" s="12">
        <f>IF(LEFT(I4991,2)="MV",2*N4991*IF(L4991="1/C",O4991,1),0)</f>
        <v/>
      </c>
      <c r="Y4991" s="12">
        <f>IF(OR(LEFT(K4991,4)="LVAX",LEFT(K4991,6)="MV15AX",LEFT(K4991,4)="CTAX",LEFT(K4991,2)="W|"),2*N4991*O4991,0)</f>
        <v/>
      </c>
      <c r="Z4991" s="12" t="inlineStr">
        <is>
          <t>VD 1.7 %</t>
        </is>
      </c>
      <c r="AA4991" s="12">
        <f>N4991*O4991</f>
        <v/>
      </c>
    </row>
    <row r="4992">
      <c r="A4992" s="12" t="inlineStr">
        <is>
          <t>I-P-0086</t>
        </is>
      </c>
      <c r="B4992" s="12" t="inlineStr">
        <is>
          <t>I</t>
        </is>
      </c>
      <c r="C4992" s="12" t="inlineStr">
        <is>
          <t>Modular / portable power</t>
        </is>
      </c>
      <c r="D4992" s="12" t="inlineStr">
        <is>
          <t>Motor 3 of 5, 30 kW (VFD output)</t>
        </is>
      </c>
      <c r="E4992" s="12" t="inlineStr"/>
      <c r="F4992" s="12" t="inlineStr">
        <is>
          <t>PCM: power control module</t>
        </is>
      </c>
      <c r="G4992" s="12" t="inlineStr"/>
      <c r="H4992" s="12" t="inlineStr">
        <is>
          <t>RICE 7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122</v>
      </c>
      <c r="V4992" s="16">
        <f>ROUNDUP((T4992+U4992+2*'Read Me'!$B$13)*(1+'Read Me'!$B$12),-1)</f>
        <v/>
      </c>
      <c r="W4992" s="16">
        <f>V4992*N4992*O4992</f>
        <v/>
      </c>
      <c r="X4992" s="12">
        <f>IF(LEFT(I4992,2)="MV",2*N4992*IF(L4992="1/C",O4992,1),0)</f>
        <v/>
      </c>
      <c r="Y4992" s="12">
        <f>IF(OR(LEFT(K4992,4)="LVAX",LEFT(K4992,6)="MV15AX",LEFT(K4992,4)="CTAX",LEFT(K4992,2)="W|"),2*N4992*O4992,0)</f>
        <v/>
      </c>
      <c r="Z4992" s="12" t="inlineStr">
        <is>
          <t>VD 1.7 %</t>
        </is>
      </c>
      <c r="AA4992" s="12">
        <f>N4992*O4992</f>
        <v/>
      </c>
    </row>
    <row r="4993">
      <c r="A4993" s="12" t="inlineStr">
        <is>
          <t>I-P-0087</t>
        </is>
      </c>
      <c r="B4993" s="12" t="inlineStr">
        <is>
          <t>I</t>
        </is>
      </c>
      <c r="C4993" s="12" t="inlineStr">
        <is>
          <t>Modular / portable power</t>
        </is>
      </c>
      <c r="D4993" s="12" t="inlineStr">
        <is>
          <t>Motor 4 of 5, 30 kW (VFD output)</t>
        </is>
      </c>
      <c r="E4993" s="12" t="inlineStr"/>
      <c r="F4993" s="12" t="inlineStr">
        <is>
          <t>PCM: power control module</t>
        </is>
      </c>
      <c r="G4993" s="12" t="inlineStr"/>
      <c r="H4993" s="12" t="inlineStr">
        <is>
          <t>RICE 7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122</v>
      </c>
      <c r="V4993" s="16">
        <f>ROUNDUP((T4993+U4993+2*'Read Me'!$B$13)*(1+'Read Me'!$B$12),-1)</f>
        <v/>
      </c>
      <c r="W4993" s="16">
        <f>V4993*N4993*O4993</f>
        <v/>
      </c>
      <c r="X4993" s="12">
        <f>IF(LEFT(I4993,2)="MV",2*N4993*IF(L4993="1/C",O4993,1),0)</f>
        <v/>
      </c>
      <c r="Y4993" s="12">
        <f>IF(OR(LEFT(K4993,4)="LVAX",LEFT(K4993,6)="MV15AX",LEFT(K4993,4)="CTAX",LEFT(K4993,2)="W|"),2*N4993*O4993,0)</f>
        <v/>
      </c>
      <c r="Z4993" s="12" t="inlineStr">
        <is>
          <t>VD 1.7 %</t>
        </is>
      </c>
      <c r="AA4993" s="12">
        <f>N4993*O4993</f>
        <v/>
      </c>
    </row>
    <row r="4994">
      <c r="A4994" s="12" t="inlineStr">
        <is>
          <t>I-P-0088</t>
        </is>
      </c>
      <c r="B4994" s="12" t="inlineStr">
        <is>
          <t>I</t>
        </is>
      </c>
      <c r="C4994" s="12" t="inlineStr">
        <is>
          <t>Modular / portable power</t>
        </is>
      </c>
      <c r="D4994" s="12" t="inlineStr">
        <is>
          <t>Motor 5 of 5, 30 kW (VFD output)</t>
        </is>
      </c>
      <c r="E4994" s="12" t="inlineStr"/>
      <c r="F4994" s="12" t="inlineStr">
        <is>
          <t>PCM: power control module</t>
        </is>
      </c>
      <c r="G4994" s="12" t="inlineStr"/>
      <c r="H4994" s="12" t="inlineStr">
        <is>
          <t>RICE 7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122</v>
      </c>
      <c r="V4994" s="16">
        <f>ROUNDUP((T4994+U4994+2*'Read Me'!$B$13)*(1+'Read Me'!$B$12),-1)</f>
        <v/>
      </c>
      <c r="W4994" s="16">
        <f>V4994*N4994*O4994</f>
        <v/>
      </c>
      <c r="X4994" s="12">
        <f>IF(LEFT(I4994,2)="MV",2*N4994*IF(L4994="1/C",O4994,1),0)</f>
        <v/>
      </c>
      <c r="Y4994" s="12">
        <f>IF(OR(LEFT(K4994,4)="LVAX",LEFT(K4994,6)="MV15AX",LEFT(K4994,4)="CTAX",LEFT(K4994,2)="W|"),2*N4994*O4994,0)</f>
        <v/>
      </c>
      <c r="Z4994" s="12" t="inlineStr">
        <is>
          <t>VD 1.7 %</t>
        </is>
      </c>
      <c r="AA4994" s="12">
        <f>N4994*O4994</f>
        <v/>
      </c>
    </row>
    <row r="4995">
      <c r="A4995" s="12" t="inlineStr">
        <is>
          <t>I-P-0089</t>
        </is>
      </c>
      <c r="B4995" s="12" t="inlineStr">
        <is>
          <t>I</t>
        </is>
      </c>
      <c r="C4995" s="12" t="inlineStr">
        <is>
          <t>Modular / portable power</t>
        </is>
      </c>
      <c r="D4995" s="12" t="inlineStr">
        <is>
          <t>Motor 1 of 1, 15 kW</t>
        </is>
      </c>
      <c r="E4995" s="12" t="inlineStr"/>
      <c r="F4995" s="12" t="inlineStr">
        <is>
          <t>PCM: power control module</t>
        </is>
      </c>
      <c r="G4995" s="12" t="inlineStr"/>
      <c r="H4995" s="12" t="inlineStr">
        <is>
          <t>RICE 8 SCR + oxidation catalyst and stack</t>
        </is>
      </c>
      <c r="I4995" s="12" t="inlineStr">
        <is>
          <t>LV 600 V</t>
        </is>
      </c>
      <c r="J4995" s="12" t="inlineStr">
        <is>
          <t>Type TC-ER 600 V 3/C Cu XHHW-2 + ground, PVC jacket</t>
        </is>
      </c>
      <c r="K4995" s="12" t="inlineStr">
        <is>
          <t>LV|3/C+G|8</t>
        </is>
      </c>
      <c r="L4995" s="12" t="inlineStr">
        <is>
          <t>3/C+G</t>
        </is>
      </c>
      <c r="M4995" s="12" t="inlineStr">
        <is>
          <t>8</t>
        </is>
      </c>
      <c r="N4995" s="12" t="n">
        <v>1</v>
      </c>
      <c r="O4995" s="12" t="n">
        <v>1</v>
      </c>
      <c r="P4995" s="12" t="n">
        <v>480</v>
      </c>
      <c r="Q4995" s="12" t="n">
        <v>15</v>
      </c>
      <c r="R4995" s="12" t="n">
        <v>21.2</v>
      </c>
      <c r="S4995" s="12" t="inlineStr">
        <is>
          <t>Duct bank</t>
        </is>
      </c>
      <c r="T4995" s="16" t="n">
        <v>322</v>
      </c>
      <c r="U4995" s="16" t="n">
        <v>112</v>
      </c>
      <c r="V4995" s="16">
        <f>ROUNDUP((T4995+U4995+2*'Read Me'!$B$13)*(1+'Read Me'!$B$12),-1)</f>
        <v/>
      </c>
      <c r="W4995" s="16">
        <f>V4995*N4995*O4995</f>
        <v/>
      </c>
      <c r="X4995" s="12">
        <f>IF(LEFT(I4995,2)="MV",2*N4995*IF(L4995="1/C",O4995,1),0)</f>
        <v/>
      </c>
      <c r="Y4995" s="12">
        <f>IF(OR(LEFT(K4995,4)="LVAX",LEFT(K4995,6)="MV15AX",LEFT(K4995,4)="CTAX",LEFT(K4995,2)="W|"),2*N4995*O4995,0)</f>
        <v/>
      </c>
      <c r="Z4995" s="12" t="inlineStr">
        <is>
          <t>VD 2.8 %</t>
        </is>
      </c>
      <c r="AA4995" s="12">
        <f>N4995*O4995</f>
        <v/>
      </c>
    </row>
    <row r="4996">
      <c r="A4996" s="12" t="inlineStr">
        <is>
          <t>I-P-0090</t>
        </is>
      </c>
      <c r="B4996" s="12" t="inlineStr">
        <is>
          <t>I</t>
        </is>
      </c>
      <c r="C4996" s="12" t="inlineStr">
        <is>
          <t>Modular / portable power</t>
        </is>
      </c>
      <c r="D4996" s="12" t="inlineStr">
        <is>
          <t>Area / platform lighting circuit 1 (6 fixtures)</t>
        </is>
      </c>
      <c r="E4996" s="12" t="inlineStr"/>
      <c r="F4996" s="12" t="inlineStr">
        <is>
          <t>PCM: power control module</t>
        </is>
      </c>
      <c r="G4996" s="12" t="inlineStr"/>
      <c r="H4996" s="12" t="inlineStr">
        <is>
          <t>RICE 8 SCR + oxidation catalyst and stack</t>
        </is>
      </c>
      <c r="I4996" s="12" t="inlineStr">
        <is>
          <t>LV 600 V</t>
        </is>
      </c>
      <c r="J4996" s="12" t="inlineStr">
        <is>
          <t>Type TC-ER 600 V 3/C Cu XHHW-2 + ground, PVC jacket</t>
        </is>
      </c>
      <c r="K4996" s="12" t="inlineStr">
        <is>
          <t>LV|3/C+G|10</t>
        </is>
      </c>
      <c r="L4996" s="12" t="inlineStr">
        <is>
          <t>3/C+G</t>
        </is>
      </c>
      <c r="M4996" s="12" t="inlineStr">
        <is>
          <t>10</t>
        </is>
      </c>
      <c r="N4996" s="12" t="n">
        <v>1</v>
      </c>
      <c r="O4996" s="12" t="n">
        <v>1</v>
      </c>
      <c r="P4996" s="12" t="n">
        <v>480</v>
      </c>
      <c r="Q4996" s="12" t="n">
        <v>3</v>
      </c>
      <c r="R4996" s="12" t="n">
        <v>5</v>
      </c>
      <c r="S4996" s="12" t="inlineStr">
        <is>
          <t>Duct bank</t>
        </is>
      </c>
      <c r="T4996" s="16" t="n">
        <v>622</v>
      </c>
      <c r="U4996" s="16" t="n">
        <v>112</v>
      </c>
      <c r="V4996" s="16">
        <f>ROUNDUP((T4996+U4996+2*'Read Me'!$B$13)*(1+'Read Me'!$B$12),-1)</f>
        <v/>
      </c>
      <c r="W4996" s="16">
        <f>V4996*N4996*O4996</f>
        <v/>
      </c>
      <c r="X4996" s="12">
        <f>IF(LEFT(I4996,2)="MV",2*N4996*IF(L4996="1/C",O4996,1),0)</f>
        <v/>
      </c>
      <c r="Y4996" s="12">
        <f>IF(OR(LEFT(K4996,4)="LVAX",LEFT(K4996,6)="MV15AX",LEFT(K4996,4)="CTAX",LEFT(K4996,2)="W|"),2*N4996*O4996,0)</f>
        <v/>
      </c>
      <c r="Z4996" s="12" t="inlineStr">
        <is>
          <t>fixture-to-fixture run included</t>
        </is>
      </c>
      <c r="AA4996" s="12">
        <f>N4996*O4996</f>
        <v/>
      </c>
    </row>
    <row r="4997">
      <c r="A4997" s="12" t="inlineStr">
        <is>
          <t>I-P-0091</t>
        </is>
      </c>
      <c r="B4997" s="12" t="inlineStr">
        <is>
          <t>I</t>
        </is>
      </c>
      <c r="C4997" s="12" t="inlineStr">
        <is>
          <t>Modular / portable power</t>
        </is>
      </c>
      <c r="D4997" s="12" t="inlineStr">
        <is>
          <t>Motor 1 of 5, 30 kW (VFD output)</t>
        </is>
      </c>
      <c r="E4997" s="12" t="inlineStr"/>
      <c r="F4997" s="12" t="inlineStr">
        <is>
          <t>PCM: power control module</t>
        </is>
      </c>
      <c r="G4997" s="12" t="inlineStr"/>
      <c r="H4997" s="12" t="inlineStr">
        <is>
          <t>RICE 8 radiators (5)</t>
        </is>
      </c>
      <c r="I4997" s="12" t="inlineStr">
        <is>
          <t>LV 600 V</t>
        </is>
      </c>
      <c r="J4997" s="12" t="inlineStr">
        <is>
          <t>VFD cable 600 V 3/C Cu XHHW-2, 3 symmetrical grounds, overall Cu tape shield, TC-ER</t>
        </is>
      </c>
      <c r="K4997" s="12" t="inlineStr">
        <is>
          <t>VFD|3/C+3G|6</t>
        </is>
      </c>
      <c r="L4997" s="12" t="inlineStr">
        <is>
          <t>3/C+3G</t>
        </is>
      </c>
      <c r="M4997" s="12" t="inlineStr">
        <is>
          <t>6</t>
        </is>
      </c>
      <c r="N4997" s="12" t="n">
        <v>1</v>
      </c>
      <c r="O4997" s="12" t="n">
        <v>1</v>
      </c>
      <c r="P4997" s="12" t="n">
        <v>480</v>
      </c>
      <c r="Q4997" s="12" t="n">
        <v>30</v>
      </c>
      <c r="R4997" s="12" t="n">
        <v>42</v>
      </c>
      <c r="S4997" s="12" t="inlineStr">
        <is>
          <t>Tray</t>
        </is>
      </c>
      <c r="T4997" s="16" t="n">
        <v>80</v>
      </c>
      <c r="U4997" s="16" t="n">
        <v>94</v>
      </c>
      <c r="V4997" s="16">
        <f>ROUNDUP((T4997+U4997+2*'Read Me'!$B$13)*(1+'Read Me'!$B$12),-1)</f>
        <v/>
      </c>
      <c r="W4997" s="16">
        <f>V4997*N4997*O4997</f>
        <v/>
      </c>
      <c r="X4997" s="12">
        <f>IF(LEFT(I4997,2)="MV",2*N4997*IF(L4997="1/C",O4997,1),0)</f>
        <v/>
      </c>
      <c r="Y4997" s="12">
        <f>IF(OR(LEFT(K4997,4)="LVAX",LEFT(K4997,6)="MV15AX",LEFT(K4997,4)="CTAX",LEFT(K4997,2)="W|"),2*N4997*O4997,0)</f>
        <v/>
      </c>
      <c r="Z4997" s="12" t="inlineStr">
        <is>
          <t>VD 1.4 %</t>
        </is>
      </c>
      <c r="AA4997" s="12">
        <f>N4997*O4997</f>
        <v/>
      </c>
    </row>
    <row r="4998">
      <c r="A4998" s="12" t="inlineStr">
        <is>
          <t>I-P-0092</t>
        </is>
      </c>
      <c r="B4998" s="12" t="inlineStr">
        <is>
          <t>I</t>
        </is>
      </c>
      <c r="C4998" s="12" t="inlineStr">
        <is>
          <t>Modular / portable power</t>
        </is>
      </c>
      <c r="D4998" s="12" t="inlineStr">
        <is>
          <t>Motor 2 of 5, 30 kW (VFD output)</t>
        </is>
      </c>
      <c r="E4998" s="12" t="inlineStr"/>
      <c r="F4998" s="12" t="inlineStr">
        <is>
          <t>PCM: power control module</t>
        </is>
      </c>
      <c r="G4998" s="12" t="inlineStr"/>
      <c r="H4998" s="12" t="inlineStr">
        <is>
          <t>RICE 8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6" t="n">
        <v>80</v>
      </c>
      <c r="U4998" s="16" t="n">
        <v>94</v>
      </c>
      <c r="V4998" s="16">
        <f>ROUNDUP((T4998+U4998+2*'Read Me'!$B$13)*(1+'Read Me'!$B$12),-1)</f>
        <v/>
      </c>
      <c r="W4998" s="16">
        <f>V4998*N4998*O4998</f>
        <v/>
      </c>
      <c r="X4998" s="12">
        <f>IF(LEFT(I4998,2)="MV",2*N4998*IF(L4998="1/C",O4998,1),0)</f>
        <v/>
      </c>
      <c r="Y4998" s="12">
        <f>IF(OR(LEFT(K4998,4)="LVAX",LEFT(K4998,6)="MV15AX",LEFT(K4998,4)="CTAX",LEFT(K4998,2)="W|"),2*N4998*O4998,0)</f>
        <v/>
      </c>
      <c r="Z4998" s="12" t="inlineStr">
        <is>
          <t>VD 1.4 %</t>
        </is>
      </c>
      <c r="AA4998" s="12">
        <f>N4998*O4998</f>
        <v/>
      </c>
    </row>
    <row r="4999">
      <c r="A4999" s="12" t="inlineStr">
        <is>
          <t>I-P-0093</t>
        </is>
      </c>
      <c r="B4999" s="12" t="inlineStr">
        <is>
          <t>I</t>
        </is>
      </c>
      <c r="C4999" s="12" t="inlineStr">
        <is>
          <t>Modular / portable power</t>
        </is>
      </c>
      <c r="D4999" s="12" t="inlineStr">
        <is>
          <t>Motor 3 of 5, 30 kW (VFD output)</t>
        </is>
      </c>
      <c r="E4999" s="12" t="inlineStr"/>
      <c r="F4999" s="12" t="inlineStr">
        <is>
          <t>PCM: power control module</t>
        </is>
      </c>
      <c r="G4999" s="12" t="inlineStr"/>
      <c r="H4999" s="12" t="inlineStr">
        <is>
          <t>RICE 8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6" t="n">
        <v>80</v>
      </c>
      <c r="U4999" s="16" t="n">
        <v>94</v>
      </c>
      <c r="V4999" s="16">
        <f>ROUNDUP((T4999+U4999+2*'Read Me'!$B$13)*(1+'Read Me'!$B$12),-1)</f>
        <v/>
      </c>
      <c r="W4999" s="16">
        <f>V4999*N4999*O4999</f>
        <v/>
      </c>
      <c r="X4999" s="12">
        <f>IF(LEFT(I4999,2)="MV",2*N4999*IF(L4999="1/C",O4999,1),0)</f>
        <v/>
      </c>
      <c r="Y4999" s="12">
        <f>IF(OR(LEFT(K4999,4)="LVAX",LEFT(K4999,6)="MV15AX",LEFT(K4999,4)="CTAX",LEFT(K4999,2)="W|"),2*N4999*O4999,0)</f>
        <v/>
      </c>
      <c r="Z4999" s="12" t="inlineStr">
        <is>
          <t>VD 1.4 %</t>
        </is>
      </c>
      <c r="AA4999" s="12">
        <f>N4999*O4999</f>
        <v/>
      </c>
    </row>
    <row r="5000">
      <c r="A5000" s="12" t="inlineStr">
        <is>
          <t>I-P-0094</t>
        </is>
      </c>
      <c r="B5000" s="12" t="inlineStr">
        <is>
          <t>I</t>
        </is>
      </c>
      <c r="C5000" s="12" t="inlineStr">
        <is>
          <t>Modular / portable power</t>
        </is>
      </c>
      <c r="D5000" s="12" t="inlineStr">
        <is>
          <t>Motor 4 of 5, 30 kW (VFD output)</t>
        </is>
      </c>
      <c r="E5000" s="12" t="inlineStr"/>
      <c r="F5000" s="12" t="inlineStr">
        <is>
          <t>PCM: power control module</t>
        </is>
      </c>
      <c r="G5000" s="12" t="inlineStr"/>
      <c r="H5000" s="12" t="inlineStr">
        <is>
          <t>RICE 8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6" t="n">
        <v>80</v>
      </c>
      <c r="U5000" s="16" t="n">
        <v>94</v>
      </c>
      <c r="V5000" s="16">
        <f>ROUNDUP((T5000+U5000+2*'Read Me'!$B$13)*(1+'Read Me'!$B$12),-1)</f>
        <v/>
      </c>
      <c r="W5000" s="16">
        <f>V5000*N5000*O5000</f>
        <v/>
      </c>
      <c r="X5000" s="12">
        <f>IF(LEFT(I5000,2)="MV",2*N5000*IF(L5000="1/C",O5000,1),0)</f>
        <v/>
      </c>
      <c r="Y5000" s="12">
        <f>IF(OR(LEFT(K5000,4)="LVAX",LEFT(K5000,6)="MV15AX",LEFT(K5000,4)="CTAX",LEFT(K5000,2)="W|"),2*N5000*O5000,0)</f>
        <v/>
      </c>
      <c r="Z5000" s="12" t="inlineStr">
        <is>
          <t>VD 1.4 %</t>
        </is>
      </c>
      <c r="AA5000" s="12">
        <f>N5000*O5000</f>
        <v/>
      </c>
    </row>
    <row r="5001">
      <c r="A5001" s="12" t="inlineStr">
        <is>
          <t>I-P-0095</t>
        </is>
      </c>
      <c r="B5001" s="12" t="inlineStr">
        <is>
          <t>I</t>
        </is>
      </c>
      <c r="C5001" s="12" t="inlineStr">
        <is>
          <t>Modular / portable power</t>
        </is>
      </c>
      <c r="D5001" s="12" t="inlineStr">
        <is>
          <t>Motor 5 of 5, 30 kW (VFD output)</t>
        </is>
      </c>
      <c r="E5001" s="12" t="inlineStr"/>
      <c r="F5001" s="12" t="inlineStr">
        <is>
          <t>PCM: power control module</t>
        </is>
      </c>
      <c r="G5001" s="12" t="inlineStr"/>
      <c r="H5001" s="12" t="inlineStr">
        <is>
          <t>RICE 8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6" t="n">
        <v>80</v>
      </c>
      <c r="U5001" s="16" t="n">
        <v>94</v>
      </c>
      <c r="V5001" s="16">
        <f>ROUNDUP((T5001+U5001+2*'Read Me'!$B$13)*(1+'Read Me'!$B$12),-1)</f>
        <v/>
      </c>
      <c r="W5001" s="16">
        <f>V5001*N5001*O5001</f>
        <v/>
      </c>
      <c r="X5001" s="12">
        <f>IF(LEFT(I5001,2)="MV",2*N5001*IF(L5001="1/C",O5001,1),0)</f>
        <v/>
      </c>
      <c r="Y5001" s="12">
        <f>IF(OR(LEFT(K5001,4)="LVAX",LEFT(K5001,6)="MV15AX",LEFT(K5001,4)="CTAX",LEFT(K5001,2)="W|"),2*N5001*O5001,0)</f>
        <v/>
      </c>
      <c r="Z5001" s="12" t="inlineStr">
        <is>
          <t>VD 1.4 %</t>
        </is>
      </c>
      <c r="AA5001" s="12">
        <f>N5001*O5001</f>
        <v/>
      </c>
    </row>
    <row r="5002">
      <c r="A5002" s="12" t="inlineStr">
        <is>
          <t>I-P-0096</t>
        </is>
      </c>
      <c r="B5002" s="12" t="inlineStr">
        <is>
          <t>I</t>
        </is>
      </c>
      <c r="C5002" s="12" t="inlineStr">
        <is>
          <t>Modular / portable power</t>
        </is>
      </c>
      <c r="D5002" s="12" t="inlineStr">
        <is>
          <t>LV panel / distribution feeder</t>
        </is>
      </c>
      <c r="E5002" s="12" t="inlineStr"/>
      <c r="F5002" s="12" t="inlineStr">
        <is>
          <t>PCM: power control module</t>
        </is>
      </c>
      <c r="G5002" s="12" t="inlineStr"/>
      <c r="H5002" s="12" t="inlineStr">
        <is>
          <t>RICE CEMS</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30</v>
      </c>
      <c r="R5002" s="12" t="n">
        <v>42.5</v>
      </c>
      <c r="S5002" s="12" t="inlineStr">
        <is>
          <t>Duct bank</t>
        </is>
      </c>
      <c r="T5002" s="16" t="n">
        <v>260</v>
      </c>
      <c r="U5002" s="16" t="n">
        <v>131</v>
      </c>
      <c r="V5002" s="16">
        <f>ROUNDUP((T5002+U5002+2*'Read Me'!$B$13)*(1+'Read Me'!$B$12),-1)</f>
        <v/>
      </c>
      <c r="W5002" s="16">
        <f>V5002*N5002*O5002</f>
        <v/>
      </c>
      <c r="X5002" s="12">
        <f>IF(LEFT(I5002,2)="MV",2*N5002*IF(L5002="1/C",O5002,1),0)</f>
        <v/>
      </c>
      <c r="Y5002" s="12">
        <f>IF(OR(LEFT(K5002,4)="LVAX",LEFT(K5002,6)="MV15AX",LEFT(K5002,4)="CTAX",LEFT(K5002,2)="W|"),2*N5002*O5002,0)</f>
        <v/>
      </c>
      <c r="Z5002" s="12" t="inlineStr">
        <is>
          <t>VD 2.0 %</t>
        </is>
      </c>
      <c r="AA5002" s="12">
        <f>N5002*O5002</f>
        <v/>
      </c>
    </row>
    <row r="5003">
      <c r="A5003" s="12" t="inlineStr">
        <is>
          <t>I-P-0097</t>
        </is>
      </c>
      <c r="B5003" s="12" t="inlineStr">
        <is>
          <t>I</t>
        </is>
      </c>
      <c r="C5003" s="12" t="inlineStr">
        <is>
          <t>Modular / portable power</t>
        </is>
      </c>
      <c r="D5003" s="12" t="inlineStr">
        <is>
          <t>LV power feeder</t>
        </is>
      </c>
      <c r="E5003" s="12" t="inlineStr"/>
      <c r="F5003" s="12" t="inlineStr">
        <is>
          <t>PCM: power control module</t>
        </is>
      </c>
      <c r="G5003" s="12" t="inlineStr">
        <is>
          <t>RICE</t>
        </is>
      </c>
      <c r="H5003" s="12" t="inlineStr">
        <is>
          <t>RICE engine hall (8 engines)</t>
        </is>
      </c>
      <c r="I5003" s="12" t="inlineStr">
        <is>
          <t>LV 600 V</t>
        </is>
      </c>
      <c r="J5003" s="12" t="inlineStr">
        <is>
          <t>Type TC-ER 600 V 3/C Cu XHHW-2 + ground, PVC jacket</t>
        </is>
      </c>
      <c r="K5003" s="12" t="inlineStr">
        <is>
          <t>LV|3/C+G|8</t>
        </is>
      </c>
      <c r="L5003" s="12" t="inlineStr">
        <is>
          <t>3/C+G</t>
        </is>
      </c>
      <c r="M5003" s="12" t="inlineStr">
        <is>
          <t>8</t>
        </is>
      </c>
      <c r="N5003" s="12" t="n">
        <v>1</v>
      </c>
      <c r="O5003" s="12" t="n">
        <v>1</v>
      </c>
      <c r="P5003" s="12" t="n">
        <v>480</v>
      </c>
      <c r="Q5003" s="12" t="n">
        <v>15</v>
      </c>
      <c r="R5003" s="12" t="n">
        <v>21.2</v>
      </c>
      <c r="S5003" s="12" t="inlineStr">
        <is>
          <t>Duct bank</t>
        </is>
      </c>
      <c r="T5003" s="16" t="n">
        <v>367</v>
      </c>
      <c r="U5003" s="16" t="n">
        <v>95</v>
      </c>
      <c r="V5003" s="16">
        <f>ROUNDUP((T5003+U5003+2*'Read Me'!$B$13)*(1+'Read Me'!$B$12),-1)</f>
        <v/>
      </c>
      <c r="W5003" s="16">
        <f>V5003*N5003*O5003</f>
        <v/>
      </c>
      <c r="X5003" s="12">
        <f>IF(LEFT(I5003,2)="MV",2*N5003*IF(L5003="1/C",O5003,1),0)</f>
        <v/>
      </c>
      <c r="Y5003" s="12">
        <f>IF(OR(LEFT(K5003,4)="LVAX",LEFT(K5003,6)="MV15AX",LEFT(K5003,4)="CTAX",LEFT(K5003,2)="W|"),2*N5003*O5003,0)</f>
        <v/>
      </c>
      <c r="Z5003" s="12" t="inlineStr">
        <is>
          <t>VD 3.0 %</t>
        </is>
      </c>
      <c r="AA5003" s="12">
        <f>N5003*O5003</f>
        <v/>
      </c>
    </row>
    <row r="5004">
      <c r="A5004" s="12" t="inlineStr">
        <is>
          <t>I-P-0098</t>
        </is>
      </c>
      <c r="B5004" s="12" t="inlineStr">
        <is>
          <t>I</t>
        </is>
      </c>
      <c r="C5004" s="12" t="inlineStr">
        <is>
          <t>Modular / portable power</t>
        </is>
      </c>
      <c r="D5004" s="12" t="inlineStr">
        <is>
          <t>Motor 1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I-P-0099</t>
        </is>
      </c>
      <c r="B5005" s="12" t="inlineStr">
        <is>
          <t>I</t>
        </is>
      </c>
      <c r="C5005" s="12" t="inlineStr">
        <is>
          <t>Modular / portable power</t>
        </is>
      </c>
      <c r="D5005" s="12" t="inlineStr">
        <is>
          <t>Motor 2 of 6, 22 kW</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2.6 %</t>
        </is>
      </c>
      <c r="AA5005" s="12">
        <f>N5005*O5005</f>
        <v/>
      </c>
    </row>
    <row r="5006">
      <c r="A5006" s="12" t="inlineStr">
        <is>
          <t>I-P-0100</t>
        </is>
      </c>
      <c r="B5006" s="12" t="inlineStr">
        <is>
          <t>I</t>
        </is>
      </c>
      <c r="C5006" s="12" t="inlineStr">
        <is>
          <t>Modular / portable power</t>
        </is>
      </c>
      <c r="D5006" s="12" t="inlineStr">
        <is>
          <t>Motor 3 of 6, 22 kW</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LV|3/C+G|4</t>
        </is>
      </c>
      <c r="L5006" s="12" t="inlineStr">
        <is>
          <t>3/C+G</t>
        </is>
      </c>
      <c r="M5006" s="12" t="inlineStr">
        <is>
          <t>4</t>
        </is>
      </c>
      <c r="N5006" s="12" t="n">
        <v>1</v>
      </c>
      <c r="O5006" s="12" t="n">
        <v>1</v>
      </c>
      <c r="P5006" s="12" t="n">
        <v>480</v>
      </c>
      <c r="Q5006" s="12" t="n">
        <v>22</v>
      </c>
      <c r="R5006" s="12" t="n">
        <v>31.1</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2.6 %</t>
        </is>
      </c>
      <c r="AA5006" s="12">
        <f>N5006*O5006</f>
        <v/>
      </c>
    </row>
    <row r="5007">
      <c r="A5007" s="12" t="inlineStr">
        <is>
          <t>I-P-0101</t>
        </is>
      </c>
      <c r="B5007" s="12" t="inlineStr">
        <is>
          <t>I</t>
        </is>
      </c>
      <c r="C5007" s="12" t="inlineStr">
        <is>
          <t>Modular / portable power</t>
        </is>
      </c>
      <c r="D5007" s="12" t="inlineStr">
        <is>
          <t>Motor 4 of 6, 22 kW</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LV|3/C+G|4</t>
        </is>
      </c>
      <c r="L5007" s="12" t="inlineStr">
        <is>
          <t>3/C+G</t>
        </is>
      </c>
      <c r="M5007" s="12" t="inlineStr">
        <is>
          <t>4</t>
        </is>
      </c>
      <c r="N5007" s="12" t="n">
        <v>1</v>
      </c>
      <c r="O5007" s="12" t="n">
        <v>1</v>
      </c>
      <c r="P5007" s="12" t="n">
        <v>480</v>
      </c>
      <c r="Q5007" s="12" t="n">
        <v>22</v>
      </c>
      <c r="R5007" s="12" t="n">
        <v>31.1</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2.6 %</t>
        </is>
      </c>
      <c r="AA5007" s="12">
        <f>N5007*O5007</f>
        <v/>
      </c>
    </row>
    <row r="5008">
      <c r="A5008" s="12" t="inlineStr">
        <is>
          <t>I-P-0102</t>
        </is>
      </c>
      <c r="B5008" s="12" t="inlineStr">
        <is>
          <t>I</t>
        </is>
      </c>
      <c r="C5008" s="12" t="inlineStr">
        <is>
          <t>Modular / portable power</t>
        </is>
      </c>
      <c r="D5008" s="12" t="inlineStr">
        <is>
          <t>Motor 5 of 6, 22 kW</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LV|3/C+G|4</t>
        </is>
      </c>
      <c r="L5008" s="12" t="inlineStr">
        <is>
          <t>3/C+G</t>
        </is>
      </c>
      <c r="M5008" s="12" t="inlineStr">
        <is>
          <t>4</t>
        </is>
      </c>
      <c r="N5008" s="12" t="n">
        <v>1</v>
      </c>
      <c r="O5008" s="12" t="n">
        <v>1</v>
      </c>
      <c r="P5008" s="12" t="n">
        <v>480</v>
      </c>
      <c r="Q5008" s="12" t="n">
        <v>22</v>
      </c>
      <c r="R5008" s="12" t="n">
        <v>31.1</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2.6 %</t>
        </is>
      </c>
      <c r="AA5008" s="12">
        <f>N5008*O5008</f>
        <v/>
      </c>
    </row>
    <row r="5009">
      <c r="A5009" s="12" t="inlineStr">
        <is>
          <t>I-P-0103</t>
        </is>
      </c>
      <c r="B5009" s="12" t="inlineStr">
        <is>
          <t>I</t>
        </is>
      </c>
      <c r="C5009" s="12" t="inlineStr">
        <is>
          <t>Modular / portable power</t>
        </is>
      </c>
      <c r="D5009" s="12" t="inlineStr">
        <is>
          <t>Motor 6 of 6, 22 kW</t>
        </is>
      </c>
      <c r="E5009" s="12" t="inlineStr"/>
      <c r="F5009" s="12" t="inlineStr">
        <is>
          <t>PCM: power control module</t>
        </is>
      </c>
      <c r="G5009" s="12" t="inlineStr">
        <is>
          <t>RICE-1</t>
        </is>
      </c>
      <c r="H5009" s="12" t="inlineStr">
        <is>
          <t>RICE engine-generator 1</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137</v>
      </c>
      <c r="V5009" s="16">
        <f>ROUNDUP((T5009+U5009+2*'Read Me'!$B$13)*(1+'Read Me'!$B$12),-1)</f>
        <v/>
      </c>
      <c r="W5009" s="16">
        <f>V5009*N5009*O5009</f>
        <v/>
      </c>
      <c r="X5009" s="12">
        <f>IF(LEFT(I5009,2)="MV",2*N5009*IF(L5009="1/C",O5009,1),0)</f>
        <v/>
      </c>
      <c r="Y5009" s="12">
        <f>IF(OR(LEFT(K5009,4)="LVAX",LEFT(K5009,6)="MV15AX",LEFT(K5009,4)="CTAX",LEFT(K5009,2)="W|"),2*N5009*O5009,0)</f>
        <v/>
      </c>
      <c r="Z5009" s="12" t="inlineStr">
        <is>
          <t>VD 2.6 %</t>
        </is>
      </c>
      <c r="AA5009" s="12">
        <f>N5009*O5009</f>
        <v/>
      </c>
    </row>
    <row r="5010">
      <c r="A5010" s="12" t="inlineStr">
        <is>
          <t>I-P-0104</t>
        </is>
      </c>
      <c r="B5010" s="12" t="inlineStr">
        <is>
          <t>I</t>
        </is>
      </c>
      <c r="C5010" s="12" t="inlineStr">
        <is>
          <t>Modular / portable power</t>
        </is>
      </c>
      <c r="D5010" s="12" t="inlineStr">
        <is>
          <t>480 V welding receptacle 1</t>
        </is>
      </c>
      <c r="E5010" s="12" t="inlineStr"/>
      <c r="F5010" s="12" t="inlineStr">
        <is>
          <t>PCM: power control module</t>
        </is>
      </c>
      <c r="G5010" s="12" t="inlineStr">
        <is>
          <t>RICE-1</t>
        </is>
      </c>
      <c r="H5010" s="12" t="inlineStr">
        <is>
          <t>RICE engine-generator 1</t>
        </is>
      </c>
      <c r="I5010" s="12" t="inlineStr">
        <is>
          <t>LV 600 V</t>
        </is>
      </c>
      <c r="J5010" s="12" t="inlineStr">
        <is>
          <t>Type TC-ER 600 V 3/C Cu XHHW-2 + ground, PVC jacket</t>
        </is>
      </c>
      <c r="K5010" s="12" t="inlineStr">
        <is>
          <t>LV|3/C+G|1/0</t>
        </is>
      </c>
      <c r="L5010" s="12" t="inlineStr">
        <is>
          <t>3/C+G</t>
        </is>
      </c>
      <c r="M5010" s="12" t="inlineStr">
        <is>
          <t>1/0</t>
        </is>
      </c>
      <c r="N5010" s="12" t="n">
        <v>1</v>
      </c>
      <c r="O5010" s="12" t="n">
        <v>1</v>
      </c>
      <c r="P5010" s="12" t="n">
        <v>480</v>
      </c>
      <c r="Q5010" s="12" t="n">
        <v>60</v>
      </c>
      <c r="R5010" s="12" t="n">
        <v>76</v>
      </c>
      <c r="S5010" s="12" t="inlineStr">
        <is>
          <t>Duct bank</t>
        </is>
      </c>
      <c r="T5010" s="16" t="n">
        <v>550</v>
      </c>
      <c r="U5010" s="16" t="n">
        <v>137</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I-P-0105</t>
        </is>
      </c>
      <c r="B5011" s="12" t="inlineStr">
        <is>
          <t>I</t>
        </is>
      </c>
      <c r="C5011" s="12" t="inlineStr">
        <is>
          <t>Modular / portable power</t>
        </is>
      </c>
      <c r="D5011" s="12" t="inlineStr">
        <is>
          <t>480 V welding receptacle 2</t>
        </is>
      </c>
      <c r="E5011" s="12" t="inlineStr"/>
      <c r="F5011" s="12" t="inlineStr">
        <is>
          <t>PCM: power control module</t>
        </is>
      </c>
      <c r="G5011" s="12" t="inlineStr">
        <is>
          <t>RICE-1</t>
        </is>
      </c>
      <c r="H5011" s="12" t="inlineStr">
        <is>
          <t>RICE engine-generator 1</t>
        </is>
      </c>
      <c r="I5011" s="12" t="inlineStr">
        <is>
          <t>LV 600 V</t>
        </is>
      </c>
      <c r="J5011" s="12" t="inlineStr">
        <is>
          <t>Type TC-ER 600 V 3/C Cu XHHW-2 + ground, PVC jacket</t>
        </is>
      </c>
      <c r="K5011" s="12" t="inlineStr">
        <is>
          <t>LV|3/C+G|1/0</t>
        </is>
      </c>
      <c r="L5011" s="12" t="inlineStr">
        <is>
          <t>3/C+G</t>
        </is>
      </c>
      <c r="M5011" s="12" t="inlineStr">
        <is>
          <t>1/0</t>
        </is>
      </c>
      <c r="N5011" s="12" t="n">
        <v>1</v>
      </c>
      <c r="O5011" s="12" t="n">
        <v>1</v>
      </c>
      <c r="P5011" s="12" t="n">
        <v>480</v>
      </c>
      <c r="Q5011" s="12" t="n">
        <v>60</v>
      </c>
      <c r="R5011" s="12" t="n">
        <v>76</v>
      </c>
      <c r="S5011" s="12" t="inlineStr">
        <is>
          <t>Duct bank</t>
        </is>
      </c>
      <c r="T5011" s="16" t="n">
        <v>550</v>
      </c>
      <c r="U5011" s="16" t="n">
        <v>137</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I-P-0106</t>
        </is>
      </c>
      <c r="B5012" s="12" t="inlineStr">
        <is>
          <t>I</t>
        </is>
      </c>
      <c r="C5012" s="12" t="inlineStr">
        <is>
          <t>Modular / portable power</t>
        </is>
      </c>
      <c r="D5012" s="12" t="inlineStr">
        <is>
          <t>480 V welding receptacle 3</t>
        </is>
      </c>
      <c r="E5012" s="12" t="inlineStr"/>
      <c r="F5012" s="12" t="inlineStr">
        <is>
          <t>PCM: power control module</t>
        </is>
      </c>
      <c r="G5012" s="12" t="inlineStr">
        <is>
          <t>RICE-1</t>
        </is>
      </c>
      <c r="H5012" s="12" t="inlineStr">
        <is>
          <t>RICE engine-generator 1</t>
        </is>
      </c>
      <c r="I5012" s="12" t="inlineStr">
        <is>
          <t>LV 600 V</t>
        </is>
      </c>
      <c r="J5012" s="12" t="inlineStr">
        <is>
          <t>Type TC-ER 600 V 3/C Cu XHHW-2 + ground, PVC jacket</t>
        </is>
      </c>
      <c r="K5012" s="12" t="inlineStr">
        <is>
          <t>LV|3/C+G|1/0</t>
        </is>
      </c>
      <c r="L5012" s="12" t="inlineStr">
        <is>
          <t>3/C+G</t>
        </is>
      </c>
      <c r="M5012" s="12" t="inlineStr">
        <is>
          <t>1/0</t>
        </is>
      </c>
      <c r="N5012" s="12" t="n">
        <v>1</v>
      </c>
      <c r="O5012" s="12" t="n">
        <v>1</v>
      </c>
      <c r="P5012" s="12" t="n">
        <v>480</v>
      </c>
      <c r="Q5012" s="12" t="n">
        <v>60</v>
      </c>
      <c r="R5012" s="12" t="n">
        <v>76</v>
      </c>
      <c r="S5012" s="12" t="inlineStr">
        <is>
          <t>Duct bank</t>
        </is>
      </c>
      <c r="T5012" s="16" t="n">
        <v>550</v>
      </c>
      <c r="U5012" s="16" t="n">
        <v>137</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I-P-0107</t>
        </is>
      </c>
      <c r="B5013" s="12" t="inlineStr">
        <is>
          <t>I</t>
        </is>
      </c>
      <c r="C5013" s="12" t="inlineStr">
        <is>
          <t>Modular / portable power</t>
        </is>
      </c>
      <c r="D5013" s="12" t="inlineStr">
        <is>
          <t>480 V welding receptacle 4</t>
        </is>
      </c>
      <c r="E5013" s="12" t="inlineStr"/>
      <c r="F5013" s="12" t="inlineStr">
        <is>
          <t>PCM: power control module</t>
        </is>
      </c>
      <c r="G5013" s="12" t="inlineStr">
        <is>
          <t>RICE-1</t>
        </is>
      </c>
      <c r="H5013" s="12" t="inlineStr">
        <is>
          <t>RICE engine-generator 1</t>
        </is>
      </c>
      <c r="I5013" s="12" t="inlineStr">
        <is>
          <t>LV 600 V</t>
        </is>
      </c>
      <c r="J5013" s="12" t="inlineStr">
        <is>
          <t>Type TC-ER 600 V 3/C Cu XHHW-2 + ground, PVC jacket</t>
        </is>
      </c>
      <c r="K5013" s="12" t="inlineStr">
        <is>
          <t>LV|3/C+G|1/0</t>
        </is>
      </c>
      <c r="L5013" s="12" t="inlineStr">
        <is>
          <t>3/C+G</t>
        </is>
      </c>
      <c r="M5013" s="12" t="inlineStr">
        <is>
          <t>1/0</t>
        </is>
      </c>
      <c r="N5013" s="12" t="n">
        <v>1</v>
      </c>
      <c r="O5013" s="12" t="n">
        <v>1</v>
      </c>
      <c r="P5013" s="12" t="n">
        <v>480</v>
      </c>
      <c r="Q5013" s="12" t="n">
        <v>60</v>
      </c>
      <c r="R5013" s="12" t="n">
        <v>76</v>
      </c>
      <c r="S5013" s="12" t="inlineStr">
        <is>
          <t>Duct bank</t>
        </is>
      </c>
      <c r="T5013" s="16" t="n">
        <v>550</v>
      </c>
      <c r="U5013" s="16" t="n">
        <v>137</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I-P-0108</t>
        </is>
      </c>
      <c r="B5014" s="12" t="inlineStr">
        <is>
          <t>I</t>
        </is>
      </c>
      <c r="C5014" s="12" t="inlineStr">
        <is>
          <t>Modular / portable power</t>
        </is>
      </c>
      <c r="D5014" s="12" t="inlineStr">
        <is>
          <t>Motor 1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I-P-0109</t>
        </is>
      </c>
      <c r="B5015" s="12" t="inlineStr">
        <is>
          <t>I</t>
        </is>
      </c>
      <c r="C5015" s="12" t="inlineStr">
        <is>
          <t>Modular / portable power</t>
        </is>
      </c>
      <c r="D5015" s="12" t="inlineStr">
        <is>
          <t>Motor 2 of 6, 22 kW</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LV|3/C+G|4</t>
        </is>
      </c>
      <c r="L5015" s="12" t="inlineStr">
        <is>
          <t>3/C+G</t>
        </is>
      </c>
      <c r="M5015" s="12" t="inlineStr">
        <is>
          <t>4</t>
        </is>
      </c>
      <c r="N5015" s="12" t="n">
        <v>1</v>
      </c>
      <c r="O5015" s="12" t="n">
        <v>1</v>
      </c>
      <c r="P5015" s="12" t="n">
        <v>480</v>
      </c>
      <c r="Q5015" s="12" t="n">
        <v>22</v>
      </c>
      <c r="R5015" s="12" t="n">
        <v>31.1</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2.5 %</t>
        </is>
      </c>
      <c r="AA5015" s="12">
        <f>N5015*O5015</f>
        <v/>
      </c>
    </row>
    <row r="5016">
      <c r="A5016" s="12" t="inlineStr">
        <is>
          <t>I-P-0110</t>
        </is>
      </c>
      <c r="B5016" s="12" t="inlineStr">
        <is>
          <t>I</t>
        </is>
      </c>
      <c r="C5016" s="12" t="inlineStr">
        <is>
          <t>Modular / portable power</t>
        </is>
      </c>
      <c r="D5016" s="12" t="inlineStr">
        <is>
          <t>Motor 3 of 6, 22 kW</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LV|3/C+G|4</t>
        </is>
      </c>
      <c r="L5016" s="12" t="inlineStr">
        <is>
          <t>3/C+G</t>
        </is>
      </c>
      <c r="M5016" s="12" t="inlineStr">
        <is>
          <t>4</t>
        </is>
      </c>
      <c r="N5016" s="12" t="n">
        <v>1</v>
      </c>
      <c r="O5016" s="12" t="n">
        <v>1</v>
      </c>
      <c r="P5016" s="12" t="n">
        <v>480</v>
      </c>
      <c r="Q5016" s="12" t="n">
        <v>22</v>
      </c>
      <c r="R5016" s="12" t="n">
        <v>31.1</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2.5 %</t>
        </is>
      </c>
      <c r="AA5016" s="12">
        <f>N5016*O5016</f>
        <v/>
      </c>
    </row>
    <row r="5017">
      <c r="A5017" s="12" t="inlineStr">
        <is>
          <t>I-P-0111</t>
        </is>
      </c>
      <c r="B5017" s="12" t="inlineStr">
        <is>
          <t>I</t>
        </is>
      </c>
      <c r="C5017" s="12" t="inlineStr">
        <is>
          <t>Modular / portable power</t>
        </is>
      </c>
      <c r="D5017" s="12" t="inlineStr">
        <is>
          <t>Motor 4 of 6, 22 kW</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LV|3/C+G|4</t>
        </is>
      </c>
      <c r="L5017" s="12" t="inlineStr">
        <is>
          <t>3/C+G</t>
        </is>
      </c>
      <c r="M5017" s="12" t="inlineStr">
        <is>
          <t>4</t>
        </is>
      </c>
      <c r="N5017" s="12" t="n">
        <v>1</v>
      </c>
      <c r="O5017" s="12" t="n">
        <v>1</v>
      </c>
      <c r="P5017" s="12" t="n">
        <v>480</v>
      </c>
      <c r="Q5017" s="12" t="n">
        <v>22</v>
      </c>
      <c r="R5017" s="12" t="n">
        <v>31.1</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2.5 %</t>
        </is>
      </c>
      <c r="AA5017" s="12">
        <f>N5017*O5017</f>
        <v/>
      </c>
    </row>
    <row r="5018">
      <c r="A5018" s="12" t="inlineStr">
        <is>
          <t>I-P-0112</t>
        </is>
      </c>
      <c r="B5018" s="12" t="inlineStr">
        <is>
          <t>I</t>
        </is>
      </c>
      <c r="C5018" s="12" t="inlineStr">
        <is>
          <t>Modular / portable power</t>
        </is>
      </c>
      <c r="D5018" s="12" t="inlineStr">
        <is>
          <t>Motor 5 of 6, 22 kW</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LV|3/C+G|4</t>
        </is>
      </c>
      <c r="L5018" s="12" t="inlineStr">
        <is>
          <t>3/C+G</t>
        </is>
      </c>
      <c r="M5018" s="12" t="inlineStr">
        <is>
          <t>4</t>
        </is>
      </c>
      <c r="N5018" s="12" t="n">
        <v>1</v>
      </c>
      <c r="O5018" s="12" t="n">
        <v>1</v>
      </c>
      <c r="P5018" s="12" t="n">
        <v>480</v>
      </c>
      <c r="Q5018" s="12" t="n">
        <v>22</v>
      </c>
      <c r="R5018" s="12" t="n">
        <v>31.1</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2.5 %</t>
        </is>
      </c>
      <c r="AA5018" s="12">
        <f>N5018*O5018</f>
        <v/>
      </c>
    </row>
    <row r="5019">
      <c r="A5019" s="12" t="inlineStr">
        <is>
          <t>I-P-0113</t>
        </is>
      </c>
      <c r="B5019" s="12" t="inlineStr">
        <is>
          <t>I</t>
        </is>
      </c>
      <c r="C5019" s="12" t="inlineStr">
        <is>
          <t>Modular / portable power</t>
        </is>
      </c>
      <c r="D5019" s="12" t="inlineStr">
        <is>
          <t>Motor 6 of 6, 22 kW</t>
        </is>
      </c>
      <c r="E5019" s="12" t="inlineStr"/>
      <c r="F5019" s="12" t="inlineStr">
        <is>
          <t>PCM: power control module</t>
        </is>
      </c>
      <c r="G5019" s="12" t="inlineStr">
        <is>
          <t>RICE-2</t>
        </is>
      </c>
      <c r="H5019" s="12" t="inlineStr">
        <is>
          <t>RICE engine-generator 2</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109</v>
      </c>
      <c r="V5019" s="16">
        <f>ROUNDUP((T5019+U5019+2*'Read Me'!$B$13)*(1+'Read Me'!$B$12),-1)</f>
        <v/>
      </c>
      <c r="W5019" s="16">
        <f>V5019*N5019*O5019</f>
        <v/>
      </c>
      <c r="X5019" s="12">
        <f>IF(LEFT(I5019,2)="MV",2*N5019*IF(L5019="1/C",O5019,1),0)</f>
        <v/>
      </c>
      <c r="Y5019" s="12">
        <f>IF(OR(LEFT(K5019,4)="LVAX",LEFT(K5019,6)="MV15AX",LEFT(K5019,4)="CTAX",LEFT(K5019,2)="W|"),2*N5019*O5019,0)</f>
        <v/>
      </c>
      <c r="Z5019" s="12" t="inlineStr">
        <is>
          <t>VD 2.5 %</t>
        </is>
      </c>
      <c r="AA5019" s="12">
        <f>N5019*O5019</f>
        <v/>
      </c>
    </row>
    <row r="5020">
      <c r="A5020" s="12" t="inlineStr">
        <is>
          <t>I-P-0114</t>
        </is>
      </c>
      <c r="B5020" s="12" t="inlineStr">
        <is>
          <t>I</t>
        </is>
      </c>
      <c r="C5020" s="12" t="inlineStr">
        <is>
          <t>Modular / portable power</t>
        </is>
      </c>
      <c r="D5020" s="12" t="inlineStr">
        <is>
          <t>480 V welding receptacle 1</t>
        </is>
      </c>
      <c r="E5020" s="12" t="inlineStr"/>
      <c r="F5020" s="12" t="inlineStr">
        <is>
          <t>PCM: power control module</t>
        </is>
      </c>
      <c r="G5020" s="12" t="inlineStr">
        <is>
          <t>RICE-2</t>
        </is>
      </c>
      <c r="H5020" s="12" t="inlineStr">
        <is>
          <t>RICE engine-generator 2</t>
        </is>
      </c>
      <c r="I5020" s="12" t="inlineStr">
        <is>
          <t>LV 600 V</t>
        </is>
      </c>
      <c r="J5020" s="12" t="inlineStr">
        <is>
          <t>Type TC-ER 600 V 3/C Cu XHHW-2 + ground, PVC jacket</t>
        </is>
      </c>
      <c r="K5020" s="12" t="inlineStr">
        <is>
          <t>LV|3/C+G|1/0</t>
        </is>
      </c>
      <c r="L5020" s="12" t="inlineStr">
        <is>
          <t>3/C+G</t>
        </is>
      </c>
      <c r="M5020" s="12" t="inlineStr">
        <is>
          <t>1/0</t>
        </is>
      </c>
      <c r="N5020" s="12" t="n">
        <v>1</v>
      </c>
      <c r="O5020" s="12" t="n">
        <v>1</v>
      </c>
      <c r="P5020" s="12" t="n">
        <v>480</v>
      </c>
      <c r="Q5020" s="12" t="n">
        <v>60</v>
      </c>
      <c r="R5020" s="12" t="n">
        <v>76</v>
      </c>
      <c r="S5020" s="12" t="inlineStr">
        <is>
          <t>Duct bank</t>
        </is>
      </c>
      <c r="T5020" s="16" t="n">
        <v>550</v>
      </c>
      <c r="U5020" s="16" t="n">
        <v>109</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I-P-0115</t>
        </is>
      </c>
      <c r="B5021" s="12" t="inlineStr">
        <is>
          <t>I</t>
        </is>
      </c>
      <c r="C5021" s="12" t="inlineStr">
        <is>
          <t>Modular / portable power</t>
        </is>
      </c>
      <c r="D5021" s="12" t="inlineStr">
        <is>
          <t>480 V welding receptacle 2</t>
        </is>
      </c>
      <c r="E5021" s="12" t="inlineStr"/>
      <c r="F5021" s="12" t="inlineStr">
        <is>
          <t>PCM: power control module</t>
        </is>
      </c>
      <c r="G5021" s="12" t="inlineStr">
        <is>
          <t>RICE-2</t>
        </is>
      </c>
      <c r="H5021" s="12" t="inlineStr">
        <is>
          <t>RICE engine-generator 2</t>
        </is>
      </c>
      <c r="I5021" s="12" t="inlineStr">
        <is>
          <t>LV 600 V</t>
        </is>
      </c>
      <c r="J5021" s="12" t="inlineStr">
        <is>
          <t>Type TC-ER 600 V 3/C Cu XHHW-2 + ground, PVC jacket</t>
        </is>
      </c>
      <c r="K5021" s="12" t="inlineStr">
        <is>
          <t>LV|3/C+G|1/0</t>
        </is>
      </c>
      <c r="L5021" s="12" t="inlineStr">
        <is>
          <t>3/C+G</t>
        </is>
      </c>
      <c r="M5021" s="12" t="inlineStr">
        <is>
          <t>1/0</t>
        </is>
      </c>
      <c r="N5021" s="12" t="n">
        <v>1</v>
      </c>
      <c r="O5021" s="12" t="n">
        <v>1</v>
      </c>
      <c r="P5021" s="12" t="n">
        <v>480</v>
      </c>
      <c r="Q5021" s="12" t="n">
        <v>60</v>
      </c>
      <c r="R5021" s="12" t="n">
        <v>76</v>
      </c>
      <c r="S5021" s="12" t="inlineStr">
        <is>
          <t>Duct bank</t>
        </is>
      </c>
      <c r="T5021" s="16" t="n">
        <v>550</v>
      </c>
      <c r="U5021" s="16" t="n">
        <v>109</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I-P-0116</t>
        </is>
      </c>
      <c r="B5022" s="12" t="inlineStr">
        <is>
          <t>I</t>
        </is>
      </c>
      <c r="C5022" s="12" t="inlineStr">
        <is>
          <t>Modular / portable power</t>
        </is>
      </c>
      <c r="D5022" s="12" t="inlineStr">
        <is>
          <t>480 V welding receptacle 3</t>
        </is>
      </c>
      <c r="E5022" s="12" t="inlineStr"/>
      <c r="F5022" s="12" t="inlineStr">
        <is>
          <t>PCM: power control module</t>
        </is>
      </c>
      <c r="G5022" s="12" t="inlineStr">
        <is>
          <t>RICE-2</t>
        </is>
      </c>
      <c r="H5022" s="12" t="inlineStr">
        <is>
          <t>RICE engine-generator 2</t>
        </is>
      </c>
      <c r="I5022" s="12" t="inlineStr">
        <is>
          <t>LV 600 V</t>
        </is>
      </c>
      <c r="J5022" s="12" t="inlineStr">
        <is>
          <t>Type TC-ER 600 V 3/C Cu XHHW-2 + ground, PVC jacket</t>
        </is>
      </c>
      <c r="K5022" s="12" t="inlineStr">
        <is>
          <t>LV|3/C+G|1/0</t>
        </is>
      </c>
      <c r="L5022" s="12" t="inlineStr">
        <is>
          <t>3/C+G</t>
        </is>
      </c>
      <c r="M5022" s="12" t="inlineStr">
        <is>
          <t>1/0</t>
        </is>
      </c>
      <c r="N5022" s="12" t="n">
        <v>1</v>
      </c>
      <c r="O5022" s="12" t="n">
        <v>1</v>
      </c>
      <c r="P5022" s="12" t="n">
        <v>480</v>
      </c>
      <c r="Q5022" s="12" t="n">
        <v>60</v>
      </c>
      <c r="R5022" s="12" t="n">
        <v>76</v>
      </c>
      <c r="S5022" s="12" t="inlineStr">
        <is>
          <t>Duct bank</t>
        </is>
      </c>
      <c r="T5022" s="16" t="n">
        <v>550</v>
      </c>
      <c r="U5022" s="16" t="n">
        <v>109</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I-P-0117</t>
        </is>
      </c>
      <c r="B5023" s="12" t="inlineStr">
        <is>
          <t>I</t>
        </is>
      </c>
      <c r="C5023" s="12" t="inlineStr">
        <is>
          <t>Modular / portable power</t>
        </is>
      </c>
      <c r="D5023" s="12" t="inlineStr">
        <is>
          <t>480 V welding receptacle 4</t>
        </is>
      </c>
      <c r="E5023" s="12" t="inlineStr"/>
      <c r="F5023" s="12" t="inlineStr">
        <is>
          <t>PCM: power control module</t>
        </is>
      </c>
      <c r="G5023" s="12" t="inlineStr">
        <is>
          <t>RICE-2</t>
        </is>
      </c>
      <c r="H5023" s="12" t="inlineStr">
        <is>
          <t>RICE engine-generator 2</t>
        </is>
      </c>
      <c r="I5023" s="12" t="inlineStr">
        <is>
          <t>LV 600 V</t>
        </is>
      </c>
      <c r="J5023" s="12" t="inlineStr">
        <is>
          <t>Type TC-ER 600 V 3/C Cu XHHW-2 + ground, PVC jacket</t>
        </is>
      </c>
      <c r="K5023" s="12" t="inlineStr">
        <is>
          <t>LV|3/C+G|1/0</t>
        </is>
      </c>
      <c r="L5023" s="12" t="inlineStr">
        <is>
          <t>3/C+G</t>
        </is>
      </c>
      <c r="M5023" s="12" t="inlineStr">
        <is>
          <t>1/0</t>
        </is>
      </c>
      <c r="N5023" s="12" t="n">
        <v>1</v>
      </c>
      <c r="O5023" s="12" t="n">
        <v>1</v>
      </c>
      <c r="P5023" s="12" t="n">
        <v>480</v>
      </c>
      <c r="Q5023" s="12" t="n">
        <v>60</v>
      </c>
      <c r="R5023" s="12" t="n">
        <v>76</v>
      </c>
      <c r="S5023" s="12" t="inlineStr">
        <is>
          <t>Duct bank</t>
        </is>
      </c>
      <c r="T5023" s="16" t="n">
        <v>550</v>
      </c>
      <c r="U5023" s="16" t="n">
        <v>109</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I-P-0118</t>
        </is>
      </c>
      <c r="B5024" s="12" t="inlineStr">
        <is>
          <t>I</t>
        </is>
      </c>
      <c r="C5024" s="12" t="inlineStr">
        <is>
          <t>Modular / portable power</t>
        </is>
      </c>
      <c r="D5024" s="12" t="inlineStr">
        <is>
          <t>Motor 1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I-P-0119</t>
        </is>
      </c>
      <c r="B5025" s="12" t="inlineStr">
        <is>
          <t>I</t>
        </is>
      </c>
      <c r="C5025" s="12" t="inlineStr">
        <is>
          <t>Modular / portable power</t>
        </is>
      </c>
      <c r="D5025" s="12" t="inlineStr">
        <is>
          <t>Motor 2 of 6, 22 kW</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LV|3/C+G|4</t>
        </is>
      </c>
      <c r="L5025" s="12" t="inlineStr">
        <is>
          <t>3/C+G</t>
        </is>
      </c>
      <c r="M5025" s="12" t="inlineStr">
        <is>
          <t>4</t>
        </is>
      </c>
      <c r="N5025" s="12" t="n">
        <v>1</v>
      </c>
      <c r="O5025" s="12" t="n">
        <v>1</v>
      </c>
      <c r="P5025" s="12" t="n">
        <v>480</v>
      </c>
      <c r="Q5025" s="12" t="n">
        <v>22</v>
      </c>
      <c r="R5025" s="12" t="n">
        <v>31.1</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2.4 %</t>
        </is>
      </c>
      <c r="AA5025" s="12">
        <f>N5025*O5025</f>
        <v/>
      </c>
    </row>
    <row r="5026">
      <c r="A5026" s="12" t="inlineStr">
        <is>
          <t>I-P-0120</t>
        </is>
      </c>
      <c r="B5026" s="12" t="inlineStr">
        <is>
          <t>I</t>
        </is>
      </c>
      <c r="C5026" s="12" t="inlineStr">
        <is>
          <t>Modular / portable power</t>
        </is>
      </c>
      <c r="D5026" s="12" t="inlineStr">
        <is>
          <t>Motor 3 of 6, 22 kW</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LV|3/C+G|4</t>
        </is>
      </c>
      <c r="L5026" s="12" t="inlineStr">
        <is>
          <t>3/C+G</t>
        </is>
      </c>
      <c r="M5026" s="12" t="inlineStr">
        <is>
          <t>4</t>
        </is>
      </c>
      <c r="N5026" s="12" t="n">
        <v>1</v>
      </c>
      <c r="O5026" s="12" t="n">
        <v>1</v>
      </c>
      <c r="P5026" s="12" t="n">
        <v>480</v>
      </c>
      <c r="Q5026" s="12" t="n">
        <v>22</v>
      </c>
      <c r="R5026" s="12" t="n">
        <v>31.1</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2.4 %</t>
        </is>
      </c>
      <c r="AA5026" s="12">
        <f>N5026*O5026</f>
        <v/>
      </c>
    </row>
    <row r="5027">
      <c r="A5027" s="12" t="inlineStr">
        <is>
          <t>I-P-0121</t>
        </is>
      </c>
      <c r="B5027" s="12" t="inlineStr">
        <is>
          <t>I</t>
        </is>
      </c>
      <c r="C5027" s="12" t="inlineStr">
        <is>
          <t>Modular / portable power</t>
        </is>
      </c>
      <c r="D5027" s="12" t="inlineStr">
        <is>
          <t>Motor 4 of 6, 22 kW</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LV|3/C+G|4</t>
        </is>
      </c>
      <c r="L5027" s="12" t="inlineStr">
        <is>
          <t>3/C+G</t>
        </is>
      </c>
      <c r="M5027" s="12" t="inlineStr">
        <is>
          <t>4</t>
        </is>
      </c>
      <c r="N5027" s="12" t="n">
        <v>1</v>
      </c>
      <c r="O5027" s="12" t="n">
        <v>1</v>
      </c>
      <c r="P5027" s="12" t="n">
        <v>480</v>
      </c>
      <c r="Q5027" s="12" t="n">
        <v>22</v>
      </c>
      <c r="R5027" s="12" t="n">
        <v>31.1</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2.4 %</t>
        </is>
      </c>
      <c r="AA5027" s="12">
        <f>N5027*O5027</f>
        <v/>
      </c>
    </row>
    <row r="5028">
      <c r="A5028" s="12" t="inlineStr">
        <is>
          <t>I-P-0122</t>
        </is>
      </c>
      <c r="B5028" s="12" t="inlineStr">
        <is>
          <t>I</t>
        </is>
      </c>
      <c r="C5028" s="12" t="inlineStr">
        <is>
          <t>Modular / portable power</t>
        </is>
      </c>
      <c r="D5028" s="12" t="inlineStr">
        <is>
          <t>Motor 5 of 6, 22 kW</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LV|3/C+G|4</t>
        </is>
      </c>
      <c r="L5028" s="12" t="inlineStr">
        <is>
          <t>3/C+G</t>
        </is>
      </c>
      <c r="M5028" s="12" t="inlineStr">
        <is>
          <t>4</t>
        </is>
      </c>
      <c r="N5028" s="12" t="n">
        <v>1</v>
      </c>
      <c r="O5028" s="12" t="n">
        <v>1</v>
      </c>
      <c r="P5028" s="12" t="n">
        <v>480</v>
      </c>
      <c r="Q5028" s="12" t="n">
        <v>22</v>
      </c>
      <c r="R5028" s="12" t="n">
        <v>31.1</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2.4 %</t>
        </is>
      </c>
      <c r="AA5028" s="12">
        <f>N5028*O5028</f>
        <v/>
      </c>
    </row>
    <row r="5029">
      <c r="A5029" s="12" t="inlineStr">
        <is>
          <t>I-P-0123</t>
        </is>
      </c>
      <c r="B5029" s="12" t="inlineStr">
        <is>
          <t>I</t>
        </is>
      </c>
      <c r="C5029" s="12" t="inlineStr">
        <is>
          <t>Modular / portable power</t>
        </is>
      </c>
      <c r="D5029" s="12" t="inlineStr">
        <is>
          <t>Motor 6 of 6, 22 kW</t>
        </is>
      </c>
      <c r="E5029" s="12" t="inlineStr"/>
      <c r="F5029" s="12" t="inlineStr">
        <is>
          <t>PCM: power control module</t>
        </is>
      </c>
      <c r="G5029" s="12" t="inlineStr">
        <is>
          <t>RICE-3</t>
        </is>
      </c>
      <c r="H5029" s="12" t="inlineStr">
        <is>
          <t>RICE engine-generator 3</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81</v>
      </c>
      <c r="V5029" s="16">
        <f>ROUNDUP((T5029+U5029+2*'Read Me'!$B$13)*(1+'Read Me'!$B$12),-1)</f>
        <v/>
      </c>
      <c r="W5029" s="16">
        <f>V5029*N5029*O5029</f>
        <v/>
      </c>
      <c r="X5029" s="12">
        <f>IF(LEFT(I5029,2)="MV",2*N5029*IF(L5029="1/C",O5029,1),0)</f>
        <v/>
      </c>
      <c r="Y5029" s="12">
        <f>IF(OR(LEFT(K5029,4)="LVAX",LEFT(K5029,6)="MV15AX",LEFT(K5029,4)="CTAX",LEFT(K5029,2)="W|"),2*N5029*O5029,0)</f>
        <v/>
      </c>
      <c r="Z5029" s="12" t="inlineStr">
        <is>
          <t>VD 2.4 %</t>
        </is>
      </c>
      <c r="AA5029" s="12">
        <f>N5029*O5029</f>
        <v/>
      </c>
    </row>
    <row r="5030">
      <c r="A5030" s="12" t="inlineStr">
        <is>
          <t>I-P-0124</t>
        </is>
      </c>
      <c r="B5030" s="12" t="inlineStr">
        <is>
          <t>I</t>
        </is>
      </c>
      <c r="C5030" s="12" t="inlineStr">
        <is>
          <t>Modular / portable power</t>
        </is>
      </c>
      <c r="D5030" s="12" t="inlineStr">
        <is>
          <t>480 V welding receptacle 1</t>
        </is>
      </c>
      <c r="E5030" s="12" t="inlineStr"/>
      <c r="F5030" s="12" t="inlineStr">
        <is>
          <t>PCM: power control module</t>
        </is>
      </c>
      <c r="G5030" s="12" t="inlineStr">
        <is>
          <t>RICE-3</t>
        </is>
      </c>
      <c r="H5030" s="12" t="inlineStr">
        <is>
          <t>RICE engine-generator 3</t>
        </is>
      </c>
      <c r="I5030" s="12" t="inlineStr">
        <is>
          <t>LV 600 V</t>
        </is>
      </c>
      <c r="J5030" s="12" t="inlineStr">
        <is>
          <t>Type TC-ER 600 V 3/C Cu XHHW-2 + ground, PVC jacket</t>
        </is>
      </c>
      <c r="K5030" s="12" t="inlineStr">
        <is>
          <t>LV|3/C+G|1</t>
        </is>
      </c>
      <c r="L5030" s="12" t="inlineStr">
        <is>
          <t>3/C+G</t>
        </is>
      </c>
      <c r="M5030" s="12" t="inlineStr">
        <is>
          <t>1</t>
        </is>
      </c>
      <c r="N5030" s="12" t="n">
        <v>1</v>
      </c>
      <c r="O5030" s="12" t="n">
        <v>1</v>
      </c>
      <c r="P5030" s="12" t="n">
        <v>480</v>
      </c>
      <c r="Q5030" s="12" t="n">
        <v>60</v>
      </c>
      <c r="R5030" s="12" t="n">
        <v>76</v>
      </c>
      <c r="S5030" s="12" t="inlineStr">
        <is>
          <t>Duct bank</t>
        </is>
      </c>
      <c r="T5030" s="16" t="n">
        <v>550</v>
      </c>
      <c r="U5030" s="16" t="n">
        <v>81</v>
      </c>
      <c r="V5030" s="16">
        <f>ROUNDUP((T5030+U5030+2*'Read Me'!$B$13)*(1+'Read Me'!$B$12),-1)</f>
        <v/>
      </c>
      <c r="W5030" s="16">
        <f>V5030*N5030*O5030</f>
        <v/>
      </c>
      <c r="X5030" s="12">
        <f>IF(LEFT(I5030,2)="MV",2*N5030*IF(L5030="1/C",O5030,1),0)</f>
        <v/>
      </c>
      <c r="Y5030" s="12">
        <f>IF(OR(LEFT(K5030,4)="LVAX",LEFT(K5030,6)="MV15AX",LEFT(K5030,4)="CTAX",LEFT(K5030,2)="W|"),2*N5030*O5030,0)</f>
        <v/>
      </c>
      <c r="Z5030" s="12" t="inlineStr">
        <is>
          <t>VD 2.9 %</t>
        </is>
      </c>
      <c r="AA5030" s="12">
        <f>N5030*O5030</f>
        <v/>
      </c>
    </row>
    <row r="5031">
      <c r="A5031" s="12" t="inlineStr">
        <is>
          <t>I-P-0125</t>
        </is>
      </c>
      <c r="B5031" s="12" t="inlineStr">
        <is>
          <t>I</t>
        </is>
      </c>
      <c r="C5031" s="12" t="inlineStr">
        <is>
          <t>Modular / portable power</t>
        </is>
      </c>
      <c r="D5031" s="12" t="inlineStr">
        <is>
          <t>480 V welding receptacle 2</t>
        </is>
      </c>
      <c r="E5031" s="12" t="inlineStr"/>
      <c r="F5031" s="12" t="inlineStr">
        <is>
          <t>PCM: power control module</t>
        </is>
      </c>
      <c r="G5031" s="12" t="inlineStr">
        <is>
          <t>RICE-3</t>
        </is>
      </c>
      <c r="H5031" s="12" t="inlineStr">
        <is>
          <t>RICE engine-generator 3</t>
        </is>
      </c>
      <c r="I5031" s="12" t="inlineStr">
        <is>
          <t>LV 600 V</t>
        </is>
      </c>
      <c r="J5031" s="12" t="inlineStr">
        <is>
          <t>Type TC-ER 600 V 3/C Cu XHHW-2 + ground, PVC jacket</t>
        </is>
      </c>
      <c r="K5031" s="12" t="inlineStr">
        <is>
          <t>LV|3/C+G|1</t>
        </is>
      </c>
      <c r="L5031" s="12" t="inlineStr">
        <is>
          <t>3/C+G</t>
        </is>
      </c>
      <c r="M5031" s="12" t="inlineStr">
        <is>
          <t>1</t>
        </is>
      </c>
      <c r="N5031" s="12" t="n">
        <v>1</v>
      </c>
      <c r="O5031" s="12" t="n">
        <v>1</v>
      </c>
      <c r="P5031" s="12" t="n">
        <v>480</v>
      </c>
      <c r="Q5031" s="12" t="n">
        <v>60</v>
      </c>
      <c r="R5031" s="12" t="n">
        <v>76</v>
      </c>
      <c r="S5031" s="12" t="inlineStr">
        <is>
          <t>Duct bank</t>
        </is>
      </c>
      <c r="T5031" s="16" t="n">
        <v>550</v>
      </c>
      <c r="U5031" s="16" t="n">
        <v>81</v>
      </c>
      <c r="V5031" s="16">
        <f>ROUNDUP((T5031+U5031+2*'Read Me'!$B$13)*(1+'Read Me'!$B$12),-1)</f>
        <v/>
      </c>
      <c r="W5031" s="16">
        <f>V5031*N5031*O5031</f>
        <v/>
      </c>
      <c r="X5031" s="12">
        <f>IF(LEFT(I5031,2)="MV",2*N5031*IF(L5031="1/C",O5031,1),0)</f>
        <v/>
      </c>
      <c r="Y5031" s="12">
        <f>IF(OR(LEFT(K5031,4)="LVAX",LEFT(K5031,6)="MV15AX",LEFT(K5031,4)="CTAX",LEFT(K5031,2)="W|"),2*N5031*O5031,0)</f>
        <v/>
      </c>
      <c r="Z5031" s="12" t="inlineStr">
        <is>
          <t>VD 2.9 %</t>
        </is>
      </c>
      <c r="AA5031" s="12">
        <f>N5031*O5031</f>
        <v/>
      </c>
    </row>
    <row r="5032">
      <c r="A5032" s="12" t="inlineStr">
        <is>
          <t>I-P-0126</t>
        </is>
      </c>
      <c r="B5032" s="12" t="inlineStr">
        <is>
          <t>I</t>
        </is>
      </c>
      <c r="C5032" s="12" t="inlineStr">
        <is>
          <t>Modular / portable power</t>
        </is>
      </c>
      <c r="D5032" s="12" t="inlineStr">
        <is>
          <t>480 V welding receptacle 3</t>
        </is>
      </c>
      <c r="E5032" s="12" t="inlineStr"/>
      <c r="F5032" s="12" t="inlineStr">
        <is>
          <t>PCM: power control module</t>
        </is>
      </c>
      <c r="G5032" s="12" t="inlineStr">
        <is>
          <t>RICE-3</t>
        </is>
      </c>
      <c r="H5032" s="12" t="inlineStr">
        <is>
          <t>RICE engine-generator 3</t>
        </is>
      </c>
      <c r="I5032" s="12" t="inlineStr">
        <is>
          <t>LV 600 V</t>
        </is>
      </c>
      <c r="J5032" s="12" t="inlineStr">
        <is>
          <t>Type TC-ER 600 V 3/C Cu XHHW-2 + ground, PVC jacket</t>
        </is>
      </c>
      <c r="K5032" s="12" t="inlineStr">
        <is>
          <t>LV|3/C+G|1</t>
        </is>
      </c>
      <c r="L5032" s="12" t="inlineStr">
        <is>
          <t>3/C+G</t>
        </is>
      </c>
      <c r="M5032" s="12" t="inlineStr">
        <is>
          <t>1</t>
        </is>
      </c>
      <c r="N5032" s="12" t="n">
        <v>1</v>
      </c>
      <c r="O5032" s="12" t="n">
        <v>1</v>
      </c>
      <c r="P5032" s="12" t="n">
        <v>480</v>
      </c>
      <c r="Q5032" s="12" t="n">
        <v>60</v>
      </c>
      <c r="R5032" s="12" t="n">
        <v>76</v>
      </c>
      <c r="S5032" s="12" t="inlineStr">
        <is>
          <t>Duct bank</t>
        </is>
      </c>
      <c r="T5032" s="16" t="n">
        <v>550</v>
      </c>
      <c r="U5032" s="16" t="n">
        <v>81</v>
      </c>
      <c r="V5032" s="16">
        <f>ROUNDUP((T5032+U5032+2*'Read Me'!$B$13)*(1+'Read Me'!$B$12),-1)</f>
        <v/>
      </c>
      <c r="W5032" s="16">
        <f>V5032*N5032*O5032</f>
        <v/>
      </c>
      <c r="X5032" s="12">
        <f>IF(LEFT(I5032,2)="MV",2*N5032*IF(L5032="1/C",O5032,1),0)</f>
        <v/>
      </c>
      <c r="Y5032" s="12">
        <f>IF(OR(LEFT(K5032,4)="LVAX",LEFT(K5032,6)="MV15AX",LEFT(K5032,4)="CTAX",LEFT(K5032,2)="W|"),2*N5032*O5032,0)</f>
        <v/>
      </c>
      <c r="Z5032" s="12" t="inlineStr">
        <is>
          <t>VD 2.9 %</t>
        </is>
      </c>
      <c r="AA5032" s="12">
        <f>N5032*O5032</f>
        <v/>
      </c>
    </row>
    <row r="5033">
      <c r="A5033" s="12" t="inlineStr">
        <is>
          <t>I-P-0127</t>
        </is>
      </c>
      <c r="B5033" s="12" t="inlineStr">
        <is>
          <t>I</t>
        </is>
      </c>
      <c r="C5033" s="12" t="inlineStr">
        <is>
          <t>Modular / portable power</t>
        </is>
      </c>
      <c r="D5033" s="12" t="inlineStr">
        <is>
          <t>480 V welding receptacle 4</t>
        </is>
      </c>
      <c r="E5033" s="12" t="inlineStr"/>
      <c r="F5033" s="12" t="inlineStr">
        <is>
          <t>PCM: power control module</t>
        </is>
      </c>
      <c r="G5033" s="12" t="inlineStr">
        <is>
          <t>RICE-3</t>
        </is>
      </c>
      <c r="H5033" s="12" t="inlineStr">
        <is>
          <t>RICE engine-generator 3</t>
        </is>
      </c>
      <c r="I5033" s="12" t="inlineStr">
        <is>
          <t>LV 600 V</t>
        </is>
      </c>
      <c r="J5033" s="12" t="inlineStr">
        <is>
          <t>Type TC-ER 600 V 3/C Cu XHHW-2 + ground, PVC jacket</t>
        </is>
      </c>
      <c r="K5033" s="12" t="inlineStr">
        <is>
          <t>LV|3/C+G|1</t>
        </is>
      </c>
      <c r="L5033" s="12" t="inlineStr">
        <is>
          <t>3/C+G</t>
        </is>
      </c>
      <c r="M5033" s="12" t="inlineStr">
        <is>
          <t>1</t>
        </is>
      </c>
      <c r="N5033" s="12" t="n">
        <v>1</v>
      </c>
      <c r="O5033" s="12" t="n">
        <v>1</v>
      </c>
      <c r="P5033" s="12" t="n">
        <v>480</v>
      </c>
      <c r="Q5033" s="12" t="n">
        <v>60</v>
      </c>
      <c r="R5033" s="12" t="n">
        <v>76</v>
      </c>
      <c r="S5033" s="12" t="inlineStr">
        <is>
          <t>Duct bank</t>
        </is>
      </c>
      <c r="T5033" s="16" t="n">
        <v>550</v>
      </c>
      <c r="U5033" s="16" t="n">
        <v>81</v>
      </c>
      <c r="V5033" s="16">
        <f>ROUNDUP((T5033+U5033+2*'Read Me'!$B$13)*(1+'Read Me'!$B$12),-1)</f>
        <v/>
      </c>
      <c r="W5033" s="16">
        <f>V5033*N5033*O5033</f>
        <v/>
      </c>
      <c r="X5033" s="12">
        <f>IF(LEFT(I5033,2)="MV",2*N5033*IF(L5033="1/C",O5033,1),0)</f>
        <v/>
      </c>
      <c r="Y5033" s="12">
        <f>IF(OR(LEFT(K5033,4)="LVAX",LEFT(K5033,6)="MV15AX",LEFT(K5033,4)="CTAX",LEFT(K5033,2)="W|"),2*N5033*O5033,0)</f>
        <v/>
      </c>
      <c r="Z5033" s="12" t="inlineStr">
        <is>
          <t>VD 2.9 %</t>
        </is>
      </c>
      <c r="AA5033" s="12">
        <f>N5033*O5033</f>
        <v/>
      </c>
    </row>
    <row r="5034">
      <c r="A5034" s="12" t="inlineStr">
        <is>
          <t>I-P-0128</t>
        </is>
      </c>
      <c r="B5034" s="12" t="inlineStr">
        <is>
          <t>I</t>
        </is>
      </c>
      <c r="C5034" s="12" t="inlineStr">
        <is>
          <t>Modular / portable power</t>
        </is>
      </c>
      <c r="D5034" s="12" t="inlineStr">
        <is>
          <t>Motor 1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I-P-0129</t>
        </is>
      </c>
      <c r="B5035" s="12" t="inlineStr">
        <is>
          <t>I</t>
        </is>
      </c>
      <c r="C5035" s="12" t="inlineStr">
        <is>
          <t>Modular / portable power</t>
        </is>
      </c>
      <c r="D5035" s="12" t="inlineStr">
        <is>
          <t>Motor 2 of 6, 22 kW</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LV|3/C+G|4</t>
        </is>
      </c>
      <c r="L5035" s="12" t="inlineStr">
        <is>
          <t>3/C+G</t>
        </is>
      </c>
      <c r="M5035" s="12" t="inlineStr">
        <is>
          <t>4</t>
        </is>
      </c>
      <c r="N5035" s="12" t="n">
        <v>1</v>
      </c>
      <c r="O5035" s="12" t="n">
        <v>1</v>
      </c>
      <c r="P5035" s="12" t="n">
        <v>480</v>
      </c>
      <c r="Q5035" s="12" t="n">
        <v>22</v>
      </c>
      <c r="R5035" s="12" t="n">
        <v>31.1</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2.3 %</t>
        </is>
      </c>
      <c r="AA5035" s="12">
        <f>N5035*O5035</f>
        <v/>
      </c>
    </row>
    <row r="5036">
      <c r="A5036" s="12" t="inlineStr">
        <is>
          <t>I-P-0130</t>
        </is>
      </c>
      <c r="B5036" s="12" t="inlineStr">
        <is>
          <t>I</t>
        </is>
      </c>
      <c r="C5036" s="12" t="inlineStr">
        <is>
          <t>Modular / portable power</t>
        </is>
      </c>
      <c r="D5036" s="12" t="inlineStr">
        <is>
          <t>Motor 3 of 6, 22 kW</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LV|3/C+G|4</t>
        </is>
      </c>
      <c r="L5036" s="12" t="inlineStr">
        <is>
          <t>3/C+G</t>
        </is>
      </c>
      <c r="M5036" s="12" t="inlineStr">
        <is>
          <t>4</t>
        </is>
      </c>
      <c r="N5036" s="12" t="n">
        <v>1</v>
      </c>
      <c r="O5036" s="12" t="n">
        <v>1</v>
      </c>
      <c r="P5036" s="12" t="n">
        <v>480</v>
      </c>
      <c r="Q5036" s="12" t="n">
        <v>22</v>
      </c>
      <c r="R5036" s="12" t="n">
        <v>31.1</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2.3 %</t>
        </is>
      </c>
      <c r="AA5036" s="12">
        <f>N5036*O5036</f>
        <v/>
      </c>
    </row>
    <row r="5037">
      <c r="A5037" s="12" t="inlineStr">
        <is>
          <t>I-P-0131</t>
        </is>
      </c>
      <c r="B5037" s="12" t="inlineStr">
        <is>
          <t>I</t>
        </is>
      </c>
      <c r="C5037" s="12" t="inlineStr">
        <is>
          <t>Modular / portable power</t>
        </is>
      </c>
      <c r="D5037" s="12" t="inlineStr">
        <is>
          <t>Motor 4 of 6, 22 kW</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LV|3/C+G|4</t>
        </is>
      </c>
      <c r="L5037" s="12" t="inlineStr">
        <is>
          <t>3/C+G</t>
        </is>
      </c>
      <c r="M5037" s="12" t="inlineStr">
        <is>
          <t>4</t>
        </is>
      </c>
      <c r="N5037" s="12" t="n">
        <v>1</v>
      </c>
      <c r="O5037" s="12" t="n">
        <v>1</v>
      </c>
      <c r="P5037" s="12" t="n">
        <v>480</v>
      </c>
      <c r="Q5037" s="12" t="n">
        <v>22</v>
      </c>
      <c r="R5037" s="12" t="n">
        <v>31.1</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2.3 %</t>
        </is>
      </c>
      <c r="AA5037" s="12">
        <f>N5037*O5037</f>
        <v/>
      </c>
    </row>
    <row r="5038">
      <c r="A5038" s="12" t="inlineStr">
        <is>
          <t>I-P-0132</t>
        </is>
      </c>
      <c r="B5038" s="12" t="inlineStr">
        <is>
          <t>I</t>
        </is>
      </c>
      <c r="C5038" s="12" t="inlineStr">
        <is>
          <t>Modular / portable power</t>
        </is>
      </c>
      <c r="D5038" s="12" t="inlineStr">
        <is>
          <t>Motor 5 of 6, 22 kW</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22</v>
      </c>
      <c r="R5038" s="12" t="n">
        <v>31.1</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2.3 %</t>
        </is>
      </c>
      <c r="AA5038" s="12">
        <f>N5038*O5038</f>
        <v/>
      </c>
    </row>
    <row r="5039">
      <c r="A5039" s="12" t="inlineStr">
        <is>
          <t>I-P-0133</t>
        </is>
      </c>
      <c r="B5039" s="12" t="inlineStr">
        <is>
          <t>I</t>
        </is>
      </c>
      <c r="C5039" s="12" t="inlineStr">
        <is>
          <t>Modular / portable power</t>
        </is>
      </c>
      <c r="D5039" s="12" t="inlineStr">
        <is>
          <t>Motor 6 of 6, 22 kW</t>
        </is>
      </c>
      <c r="E5039" s="12" t="inlineStr"/>
      <c r="F5039" s="12" t="inlineStr">
        <is>
          <t>PCM: power control module</t>
        </is>
      </c>
      <c r="G5039" s="12" t="inlineStr">
        <is>
          <t>RICE-4</t>
        </is>
      </c>
      <c r="H5039" s="12" t="inlineStr">
        <is>
          <t>RICE engine-generator 4</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550</v>
      </c>
      <c r="U5039" s="16" t="n">
        <v>53</v>
      </c>
      <c r="V5039" s="16">
        <f>ROUNDUP((T5039+U5039+2*'Read Me'!$B$13)*(1+'Read Me'!$B$12),-1)</f>
        <v/>
      </c>
      <c r="W5039" s="16">
        <f>V5039*N5039*O5039</f>
        <v/>
      </c>
      <c r="X5039" s="12">
        <f>IF(LEFT(I5039,2)="MV",2*N5039*IF(L5039="1/C",O5039,1),0)</f>
        <v/>
      </c>
      <c r="Y5039" s="12">
        <f>IF(OR(LEFT(K5039,4)="LVAX",LEFT(K5039,6)="MV15AX",LEFT(K5039,4)="CTAX",LEFT(K5039,2)="W|"),2*N5039*O5039,0)</f>
        <v/>
      </c>
      <c r="Z5039" s="12" t="inlineStr">
        <is>
          <t>VD 2.3 %</t>
        </is>
      </c>
      <c r="AA5039" s="12">
        <f>N5039*O5039</f>
        <v/>
      </c>
    </row>
    <row r="5040">
      <c r="A5040" s="12" t="inlineStr">
        <is>
          <t>I-P-0134</t>
        </is>
      </c>
      <c r="B5040" s="12" t="inlineStr">
        <is>
          <t>I</t>
        </is>
      </c>
      <c r="C5040" s="12" t="inlineStr">
        <is>
          <t>Modular / portable power</t>
        </is>
      </c>
      <c r="D5040" s="12" t="inlineStr">
        <is>
          <t>480 V welding receptacle 1</t>
        </is>
      </c>
      <c r="E5040" s="12" t="inlineStr"/>
      <c r="F5040" s="12" t="inlineStr">
        <is>
          <t>PCM: power control module</t>
        </is>
      </c>
      <c r="G5040" s="12" t="inlineStr">
        <is>
          <t>RICE-4</t>
        </is>
      </c>
      <c r="H5040" s="12" t="inlineStr">
        <is>
          <t>RICE engine-generator 4</t>
        </is>
      </c>
      <c r="I5040" s="12" t="inlineStr">
        <is>
          <t>LV 600 V</t>
        </is>
      </c>
      <c r="J5040" s="12" t="inlineStr">
        <is>
          <t>Type TC-ER 600 V 3/C Cu XHHW-2 + ground, PVC jacket</t>
        </is>
      </c>
      <c r="K5040" s="12" t="inlineStr">
        <is>
          <t>LV|3/C+G|1</t>
        </is>
      </c>
      <c r="L5040" s="12" t="inlineStr">
        <is>
          <t>3/C+G</t>
        </is>
      </c>
      <c r="M5040" s="12" t="inlineStr">
        <is>
          <t>1</t>
        </is>
      </c>
      <c r="N5040" s="12" t="n">
        <v>1</v>
      </c>
      <c r="O5040" s="12" t="n">
        <v>1</v>
      </c>
      <c r="P5040" s="12" t="n">
        <v>480</v>
      </c>
      <c r="Q5040" s="12" t="n">
        <v>60</v>
      </c>
      <c r="R5040" s="12" t="n">
        <v>76</v>
      </c>
      <c r="S5040" s="12" t="inlineStr">
        <is>
          <t>Duct bank</t>
        </is>
      </c>
      <c r="T5040" s="16" t="n">
        <v>550</v>
      </c>
      <c r="U5040" s="16" t="n">
        <v>53</v>
      </c>
      <c r="V5040" s="16">
        <f>ROUNDUP((T5040+U5040+2*'Read Me'!$B$13)*(1+'Read Me'!$B$12),-1)</f>
        <v/>
      </c>
      <c r="W5040" s="16">
        <f>V5040*N5040*O5040</f>
        <v/>
      </c>
      <c r="X5040" s="12">
        <f>IF(LEFT(I5040,2)="MV",2*N5040*IF(L5040="1/C",O5040,1),0)</f>
        <v/>
      </c>
      <c r="Y5040" s="12">
        <f>IF(OR(LEFT(K5040,4)="LVAX",LEFT(K5040,6)="MV15AX",LEFT(K5040,4)="CTAX",LEFT(K5040,2)="W|"),2*N5040*O5040,0)</f>
        <v/>
      </c>
      <c r="Z5040" s="12" t="inlineStr">
        <is>
          <t>VD 2.8 %</t>
        </is>
      </c>
      <c r="AA5040" s="12">
        <f>N5040*O5040</f>
        <v/>
      </c>
    </row>
    <row r="5041">
      <c r="A5041" s="12" t="inlineStr">
        <is>
          <t>I-P-0135</t>
        </is>
      </c>
      <c r="B5041" s="12" t="inlineStr">
        <is>
          <t>I</t>
        </is>
      </c>
      <c r="C5041" s="12" t="inlineStr">
        <is>
          <t>Modular / portable power</t>
        </is>
      </c>
      <c r="D5041" s="12" t="inlineStr">
        <is>
          <t>480 V welding receptacle 2</t>
        </is>
      </c>
      <c r="E5041" s="12" t="inlineStr"/>
      <c r="F5041" s="12" t="inlineStr">
        <is>
          <t>PCM: power control module</t>
        </is>
      </c>
      <c r="G5041" s="12" t="inlineStr">
        <is>
          <t>RICE-4</t>
        </is>
      </c>
      <c r="H5041" s="12" t="inlineStr">
        <is>
          <t>RICE engine-generator 4</t>
        </is>
      </c>
      <c r="I5041" s="12" t="inlineStr">
        <is>
          <t>LV 600 V</t>
        </is>
      </c>
      <c r="J5041" s="12" t="inlineStr">
        <is>
          <t>Type TC-ER 600 V 3/C Cu XHHW-2 + ground, PVC jacket</t>
        </is>
      </c>
      <c r="K5041" s="12" t="inlineStr">
        <is>
          <t>LV|3/C+G|1</t>
        </is>
      </c>
      <c r="L5041" s="12" t="inlineStr">
        <is>
          <t>3/C+G</t>
        </is>
      </c>
      <c r="M5041" s="12" t="inlineStr">
        <is>
          <t>1</t>
        </is>
      </c>
      <c r="N5041" s="12" t="n">
        <v>1</v>
      </c>
      <c r="O5041" s="12" t="n">
        <v>1</v>
      </c>
      <c r="P5041" s="12" t="n">
        <v>480</v>
      </c>
      <c r="Q5041" s="12" t="n">
        <v>60</v>
      </c>
      <c r="R5041" s="12" t="n">
        <v>76</v>
      </c>
      <c r="S5041" s="12" t="inlineStr">
        <is>
          <t>Duct bank</t>
        </is>
      </c>
      <c r="T5041" s="16" t="n">
        <v>550</v>
      </c>
      <c r="U5041" s="16" t="n">
        <v>53</v>
      </c>
      <c r="V5041" s="16">
        <f>ROUNDUP((T5041+U5041+2*'Read Me'!$B$13)*(1+'Read Me'!$B$12),-1)</f>
        <v/>
      </c>
      <c r="W5041" s="16">
        <f>V5041*N5041*O5041</f>
        <v/>
      </c>
      <c r="X5041" s="12">
        <f>IF(LEFT(I5041,2)="MV",2*N5041*IF(L5041="1/C",O5041,1),0)</f>
        <v/>
      </c>
      <c r="Y5041" s="12">
        <f>IF(OR(LEFT(K5041,4)="LVAX",LEFT(K5041,6)="MV15AX",LEFT(K5041,4)="CTAX",LEFT(K5041,2)="W|"),2*N5041*O5041,0)</f>
        <v/>
      </c>
      <c r="Z5041" s="12" t="inlineStr">
        <is>
          <t>VD 2.8 %</t>
        </is>
      </c>
      <c r="AA5041" s="12">
        <f>N5041*O5041</f>
        <v/>
      </c>
    </row>
    <row r="5042">
      <c r="A5042" s="12" t="inlineStr">
        <is>
          <t>I-P-0136</t>
        </is>
      </c>
      <c r="B5042" s="12" t="inlineStr">
        <is>
          <t>I</t>
        </is>
      </c>
      <c r="C5042" s="12" t="inlineStr">
        <is>
          <t>Modular / portable power</t>
        </is>
      </c>
      <c r="D5042" s="12" t="inlineStr">
        <is>
          <t>480 V welding receptacle 3</t>
        </is>
      </c>
      <c r="E5042" s="12" t="inlineStr"/>
      <c r="F5042" s="12" t="inlineStr">
        <is>
          <t>PCM: power control module</t>
        </is>
      </c>
      <c r="G5042" s="12" t="inlineStr">
        <is>
          <t>RICE-4</t>
        </is>
      </c>
      <c r="H5042" s="12" t="inlineStr">
        <is>
          <t>RICE engine-generator 4</t>
        </is>
      </c>
      <c r="I5042" s="12" t="inlineStr">
        <is>
          <t>LV 600 V</t>
        </is>
      </c>
      <c r="J5042" s="12" t="inlineStr">
        <is>
          <t>Type TC-ER 600 V 3/C Cu XHHW-2 + ground, PVC jacket</t>
        </is>
      </c>
      <c r="K5042" s="12" t="inlineStr">
        <is>
          <t>LV|3/C+G|1</t>
        </is>
      </c>
      <c r="L5042" s="12" t="inlineStr">
        <is>
          <t>3/C+G</t>
        </is>
      </c>
      <c r="M5042" s="12" t="inlineStr">
        <is>
          <t>1</t>
        </is>
      </c>
      <c r="N5042" s="12" t="n">
        <v>1</v>
      </c>
      <c r="O5042" s="12" t="n">
        <v>1</v>
      </c>
      <c r="P5042" s="12" t="n">
        <v>480</v>
      </c>
      <c r="Q5042" s="12" t="n">
        <v>60</v>
      </c>
      <c r="R5042" s="12" t="n">
        <v>76</v>
      </c>
      <c r="S5042" s="12" t="inlineStr">
        <is>
          <t>Duct bank</t>
        </is>
      </c>
      <c r="T5042" s="16" t="n">
        <v>550</v>
      </c>
      <c r="U5042" s="16" t="n">
        <v>53</v>
      </c>
      <c r="V5042" s="16">
        <f>ROUNDUP((T5042+U5042+2*'Read Me'!$B$13)*(1+'Read Me'!$B$12),-1)</f>
        <v/>
      </c>
      <c r="W5042" s="16">
        <f>V5042*N5042*O5042</f>
        <v/>
      </c>
      <c r="X5042" s="12">
        <f>IF(LEFT(I5042,2)="MV",2*N5042*IF(L5042="1/C",O5042,1),0)</f>
        <v/>
      </c>
      <c r="Y5042" s="12">
        <f>IF(OR(LEFT(K5042,4)="LVAX",LEFT(K5042,6)="MV15AX",LEFT(K5042,4)="CTAX",LEFT(K5042,2)="W|"),2*N5042*O5042,0)</f>
        <v/>
      </c>
      <c r="Z5042" s="12" t="inlineStr">
        <is>
          <t>VD 2.8 %</t>
        </is>
      </c>
      <c r="AA5042" s="12">
        <f>N5042*O5042</f>
        <v/>
      </c>
    </row>
    <row r="5043">
      <c r="A5043" s="12" t="inlineStr">
        <is>
          <t>I-P-0137</t>
        </is>
      </c>
      <c r="B5043" s="12" t="inlineStr">
        <is>
          <t>I</t>
        </is>
      </c>
      <c r="C5043" s="12" t="inlineStr">
        <is>
          <t>Modular / portable power</t>
        </is>
      </c>
      <c r="D5043" s="12" t="inlineStr">
        <is>
          <t>480 V welding receptacle 4</t>
        </is>
      </c>
      <c r="E5043" s="12" t="inlineStr"/>
      <c r="F5043" s="12" t="inlineStr">
        <is>
          <t>PCM: power control module</t>
        </is>
      </c>
      <c r="G5043" s="12" t="inlineStr">
        <is>
          <t>RICE-4</t>
        </is>
      </c>
      <c r="H5043" s="12" t="inlineStr">
        <is>
          <t>RICE engine-generator 4</t>
        </is>
      </c>
      <c r="I5043" s="12" t="inlineStr">
        <is>
          <t>LV 600 V</t>
        </is>
      </c>
      <c r="J5043" s="12" t="inlineStr">
        <is>
          <t>Type TC-ER 600 V 3/C Cu XHHW-2 + ground, PVC jacket</t>
        </is>
      </c>
      <c r="K5043" s="12" t="inlineStr">
        <is>
          <t>LV|3/C+G|1</t>
        </is>
      </c>
      <c r="L5043" s="12" t="inlineStr">
        <is>
          <t>3/C+G</t>
        </is>
      </c>
      <c r="M5043" s="12" t="inlineStr">
        <is>
          <t>1</t>
        </is>
      </c>
      <c r="N5043" s="12" t="n">
        <v>1</v>
      </c>
      <c r="O5043" s="12" t="n">
        <v>1</v>
      </c>
      <c r="P5043" s="12" t="n">
        <v>480</v>
      </c>
      <c r="Q5043" s="12" t="n">
        <v>60</v>
      </c>
      <c r="R5043" s="12" t="n">
        <v>76</v>
      </c>
      <c r="S5043" s="12" t="inlineStr">
        <is>
          <t>Duct bank</t>
        </is>
      </c>
      <c r="T5043" s="16" t="n">
        <v>550</v>
      </c>
      <c r="U5043" s="16" t="n">
        <v>53</v>
      </c>
      <c r="V5043" s="16">
        <f>ROUNDUP((T5043+U5043+2*'Read Me'!$B$13)*(1+'Read Me'!$B$12),-1)</f>
        <v/>
      </c>
      <c r="W5043" s="16">
        <f>V5043*N5043*O5043</f>
        <v/>
      </c>
      <c r="X5043" s="12">
        <f>IF(LEFT(I5043,2)="MV",2*N5043*IF(L5043="1/C",O5043,1),0)</f>
        <v/>
      </c>
      <c r="Y5043" s="12">
        <f>IF(OR(LEFT(K5043,4)="LVAX",LEFT(K5043,6)="MV15AX",LEFT(K5043,4)="CTAX",LEFT(K5043,2)="W|"),2*N5043*O5043,0)</f>
        <v/>
      </c>
      <c r="Z5043" s="12" t="inlineStr">
        <is>
          <t>VD 2.8 %</t>
        </is>
      </c>
      <c r="AA5043" s="12">
        <f>N5043*O5043</f>
        <v/>
      </c>
    </row>
    <row r="5044">
      <c r="A5044" s="12" t="inlineStr">
        <is>
          <t>I-P-0138</t>
        </is>
      </c>
      <c r="B5044" s="12" t="inlineStr">
        <is>
          <t>I</t>
        </is>
      </c>
      <c r="C5044" s="12" t="inlineStr">
        <is>
          <t>Modular / portable power</t>
        </is>
      </c>
      <c r="D5044" s="12" t="inlineStr">
        <is>
          <t>Motor 1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I-P-0139</t>
        </is>
      </c>
      <c r="B5045" s="12" t="inlineStr">
        <is>
          <t>I</t>
        </is>
      </c>
      <c r="C5045" s="12" t="inlineStr">
        <is>
          <t>Modular / portable power</t>
        </is>
      </c>
      <c r="D5045" s="12" t="inlineStr">
        <is>
          <t>Motor 2 of 6, 22 kW</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2.2 %</t>
        </is>
      </c>
      <c r="AA5045" s="12">
        <f>N5045*O5045</f>
        <v/>
      </c>
    </row>
    <row r="5046">
      <c r="A5046" s="12" t="inlineStr">
        <is>
          <t>I-P-0140</t>
        </is>
      </c>
      <c r="B5046" s="12" t="inlineStr">
        <is>
          <t>I</t>
        </is>
      </c>
      <c r="C5046" s="12" t="inlineStr">
        <is>
          <t>Modular / portable power</t>
        </is>
      </c>
      <c r="D5046" s="12" t="inlineStr">
        <is>
          <t>Motor 3 of 6, 22 kW</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LV|3/C+G|4</t>
        </is>
      </c>
      <c r="L5046" s="12" t="inlineStr">
        <is>
          <t>3/C+G</t>
        </is>
      </c>
      <c r="M5046" s="12" t="inlineStr">
        <is>
          <t>4</t>
        </is>
      </c>
      <c r="N5046" s="12" t="n">
        <v>1</v>
      </c>
      <c r="O5046" s="12" t="n">
        <v>1</v>
      </c>
      <c r="P5046" s="12" t="n">
        <v>480</v>
      </c>
      <c r="Q5046" s="12" t="n">
        <v>22</v>
      </c>
      <c r="R5046" s="12" t="n">
        <v>31.1</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2.2 %</t>
        </is>
      </c>
      <c r="AA5046" s="12">
        <f>N5046*O5046</f>
        <v/>
      </c>
    </row>
    <row r="5047">
      <c r="A5047" s="12" t="inlineStr">
        <is>
          <t>I-P-0141</t>
        </is>
      </c>
      <c r="B5047" s="12" t="inlineStr">
        <is>
          <t>I</t>
        </is>
      </c>
      <c r="C5047" s="12" t="inlineStr">
        <is>
          <t>Modular / portable power</t>
        </is>
      </c>
      <c r="D5047" s="12" t="inlineStr">
        <is>
          <t>Motor 4 of 6, 22 kW</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LV|3/C+G|4</t>
        </is>
      </c>
      <c r="L5047" s="12" t="inlineStr">
        <is>
          <t>3/C+G</t>
        </is>
      </c>
      <c r="M5047" s="12" t="inlineStr">
        <is>
          <t>4</t>
        </is>
      </c>
      <c r="N5047" s="12" t="n">
        <v>1</v>
      </c>
      <c r="O5047" s="12" t="n">
        <v>1</v>
      </c>
      <c r="P5047" s="12" t="n">
        <v>480</v>
      </c>
      <c r="Q5047" s="12" t="n">
        <v>22</v>
      </c>
      <c r="R5047" s="12" t="n">
        <v>31.1</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2.2 %</t>
        </is>
      </c>
      <c r="AA5047" s="12">
        <f>N5047*O5047</f>
        <v/>
      </c>
    </row>
    <row r="5048">
      <c r="A5048" s="12" t="inlineStr">
        <is>
          <t>I-P-0142</t>
        </is>
      </c>
      <c r="B5048" s="12" t="inlineStr">
        <is>
          <t>I</t>
        </is>
      </c>
      <c r="C5048" s="12" t="inlineStr">
        <is>
          <t>Modular / portable power</t>
        </is>
      </c>
      <c r="D5048" s="12" t="inlineStr">
        <is>
          <t>Motor 5 of 6, 22 kW</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LV|3/C+G|4</t>
        </is>
      </c>
      <c r="L5048" s="12" t="inlineStr">
        <is>
          <t>3/C+G</t>
        </is>
      </c>
      <c r="M5048" s="12" t="inlineStr">
        <is>
          <t>4</t>
        </is>
      </c>
      <c r="N5048" s="12" t="n">
        <v>1</v>
      </c>
      <c r="O5048" s="12" t="n">
        <v>1</v>
      </c>
      <c r="P5048" s="12" t="n">
        <v>480</v>
      </c>
      <c r="Q5048" s="12" t="n">
        <v>22</v>
      </c>
      <c r="R5048" s="12" t="n">
        <v>31.1</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2.2 %</t>
        </is>
      </c>
      <c r="AA5048" s="12">
        <f>N5048*O5048</f>
        <v/>
      </c>
    </row>
    <row r="5049">
      <c r="A5049" s="12" t="inlineStr">
        <is>
          <t>I-P-0143</t>
        </is>
      </c>
      <c r="B5049" s="12" t="inlineStr">
        <is>
          <t>I</t>
        </is>
      </c>
      <c r="C5049" s="12" t="inlineStr">
        <is>
          <t>Modular / portable power</t>
        </is>
      </c>
      <c r="D5049" s="12" t="inlineStr">
        <is>
          <t>Motor 6 of 6, 22 kW</t>
        </is>
      </c>
      <c r="E5049" s="12" t="inlineStr"/>
      <c r="F5049" s="12" t="inlineStr">
        <is>
          <t>PCM: power control module</t>
        </is>
      </c>
      <c r="G5049" s="12" t="inlineStr">
        <is>
          <t>RICE-5</t>
        </is>
      </c>
      <c r="H5049" s="12" t="inlineStr">
        <is>
          <t>RICE engine-generator 5</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208</v>
      </c>
      <c r="V5049" s="16">
        <f>ROUNDUP((T5049+U5049+2*'Read Me'!$B$13)*(1+'Read Me'!$B$12),-1)</f>
        <v/>
      </c>
      <c r="W5049" s="16">
        <f>V5049*N5049*O5049</f>
        <v/>
      </c>
      <c r="X5049" s="12">
        <f>IF(LEFT(I5049,2)="MV",2*N5049*IF(L5049="1/C",O5049,1),0)</f>
        <v/>
      </c>
      <c r="Y5049" s="12">
        <f>IF(OR(LEFT(K5049,4)="LVAX",LEFT(K5049,6)="MV15AX",LEFT(K5049,4)="CTAX",LEFT(K5049,2)="W|"),2*N5049*O5049,0)</f>
        <v/>
      </c>
      <c r="Z5049" s="12" t="inlineStr">
        <is>
          <t>VD 2.2 %</t>
        </is>
      </c>
      <c r="AA5049" s="12">
        <f>N5049*O5049</f>
        <v/>
      </c>
    </row>
    <row r="5050">
      <c r="A5050" s="12" t="inlineStr">
        <is>
          <t>I-P-0144</t>
        </is>
      </c>
      <c r="B5050" s="12" t="inlineStr">
        <is>
          <t>I</t>
        </is>
      </c>
      <c r="C5050" s="12" t="inlineStr">
        <is>
          <t>Modular / portable power</t>
        </is>
      </c>
      <c r="D5050" s="12" t="inlineStr">
        <is>
          <t>480 V welding receptacle 1</t>
        </is>
      </c>
      <c r="E5050" s="12" t="inlineStr"/>
      <c r="F5050" s="12" t="inlineStr">
        <is>
          <t>PCM: power control module</t>
        </is>
      </c>
      <c r="G5050" s="12" t="inlineStr">
        <is>
          <t>RICE-5</t>
        </is>
      </c>
      <c r="H5050" s="12" t="inlineStr">
        <is>
          <t>RICE engine-generator 5</t>
        </is>
      </c>
      <c r="I5050" s="12" t="inlineStr">
        <is>
          <t>LV 600 V</t>
        </is>
      </c>
      <c r="J5050" s="12" t="inlineStr">
        <is>
          <t>Type TC-ER 600 V 3/C Cu XHHW-2 + ground, PVC jacket</t>
        </is>
      </c>
      <c r="K5050" s="12" t="inlineStr">
        <is>
          <t>LV|3/C+G|1</t>
        </is>
      </c>
      <c r="L5050" s="12" t="inlineStr">
        <is>
          <t>3/C+G</t>
        </is>
      </c>
      <c r="M5050" s="12" t="inlineStr">
        <is>
          <t>1</t>
        </is>
      </c>
      <c r="N5050" s="12" t="n">
        <v>1</v>
      </c>
      <c r="O5050" s="12" t="n">
        <v>1</v>
      </c>
      <c r="P5050" s="12" t="n">
        <v>480</v>
      </c>
      <c r="Q5050" s="12" t="n">
        <v>60</v>
      </c>
      <c r="R5050" s="12" t="n">
        <v>76</v>
      </c>
      <c r="S5050" s="12" t="inlineStr">
        <is>
          <t>Duct bank</t>
        </is>
      </c>
      <c r="T5050" s="16" t="n">
        <v>367</v>
      </c>
      <c r="U5050" s="16" t="n">
        <v>208</v>
      </c>
      <c r="V5050" s="16">
        <f>ROUNDUP((T5050+U5050+2*'Read Me'!$B$13)*(1+'Read Me'!$B$12),-1)</f>
        <v/>
      </c>
      <c r="W5050" s="16">
        <f>V5050*N5050*O5050</f>
        <v/>
      </c>
      <c r="X5050" s="12">
        <f>IF(LEFT(I5050,2)="MV",2*N5050*IF(L5050="1/C",O5050,1),0)</f>
        <v/>
      </c>
      <c r="Y5050" s="12">
        <f>IF(OR(LEFT(K5050,4)="LVAX",LEFT(K5050,6)="MV15AX",LEFT(K5050,4)="CTAX",LEFT(K5050,2)="W|"),2*N5050*O5050,0)</f>
        <v/>
      </c>
      <c r="Z5050" s="12" t="inlineStr">
        <is>
          <t>VD 2.7 %</t>
        </is>
      </c>
      <c r="AA5050" s="12">
        <f>N5050*O5050</f>
        <v/>
      </c>
    </row>
    <row r="5051">
      <c r="A5051" s="12" t="inlineStr">
        <is>
          <t>I-P-0145</t>
        </is>
      </c>
      <c r="B5051" s="12" t="inlineStr">
        <is>
          <t>I</t>
        </is>
      </c>
      <c r="C5051" s="12" t="inlineStr">
        <is>
          <t>Modular / portable power</t>
        </is>
      </c>
      <c r="D5051" s="12" t="inlineStr">
        <is>
          <t>480 V welding receptacle 2</t>
        </is>
      </c>
      <c r="E5051" s="12" t="inlineStr"/>
      <c r="F5051" s="12" t="inlineStr">
        <is>
          <t>PCM: power control module</t>
        </is>
      </c>
      <c r="G5051" s="12" t="inlineStr">
        <is>
          <t>RICE-5</t>
        </is>
      </c>
      <c r="H5051" s="12" t="inlineStr">
        <is>
          <t>RICE engine-generator 5</t>
        </is>
      </c>
      <c r="I5051" s="12" t="inlineStr">
        <is>
          <t>LV 600 V</t>
        </is>
      </c>
      <c r="J5051" s="12" t="inlineStr">
        <is>
          <t>Type TC-ER 600 V 3/C Cu XHHW-2 + ground, PVC jacket</t>
        </is>
      </c>
      <c r="K5051" s="12" t="inlineStr">
        <is>
          <t>LV|3/C+G|1</t>
        </is>
      </c>
      <c r="L5051" s="12" t="inlineStr">
        <is>
          <t>3/C+G</t>
        </is>
      </c>
      <c r="M5051" s="12" t="inlineStr">
        <is>
          <t>1</t>
        </is>
      </c>
      <c r="N5051" s="12" t="n">
        <v>1</v>
      </c>
      <c r="O5051" s="12" t="n">
        <v>1</v>
      </c>
      <c r="P5051" s="12" t="n">
        <v>480</v>
      </c>
      <c r="Q5051" s="12" t="n">
        <v>60</v>
      </c>
      <c r="R5051" s="12" t="n">
        <v>76</v>
      </c>
      <c r="S5051" s="12" t="inlineStr">
        <is>
          <t>Duct bank</t>
        </is>
      </c>
      <c r="T5051" s="16" t="n">
        <v>367</v>
      </c>
      <c r="U5051" s="16" t="n">
        <v>208</v>
      </c>
      <c r="V5051" s="16">
        <f>ROUNDUP((T5051+U5051+2*'Read Me'!$B$13)*(1+'Read Me'!$B$12),-1)</f>
        <v/>
      </c>
      <c r="W5051" s="16">
        <f>V5051*N5051*O5051</f>
        <v/>
      </c>
      <c r="X5051" s="12">
        <f>IF(LEFT(I5051,2)="MV",2*N5051*IF(L5051="1/C",O5051,1),0)</f>
        <v/>
      </c>
      <c r="Y5051" s="12">
        <f>IF(OR(LEFT(K5051,4)="LVAX",LEFT(K5051,6)="MV15AX",LEFT(K5051,4)="CTAX",LEFT(K5051,2)="W|"),2*N5051*O5051,0)</f>
        <v/>
      </c>
      <c r="Z5051" s="12" t="inlineStr">
        <is>
          <t>VD 2.7 %</t>
        </is>
      </c>
      <c r="AA5051" s="12">
        <f>N5051*O5051</f>
        <v/>
      </c>
    </row>
    <row r="5052">
      <c r="A5052" s="12" t="inlineStr">
        <is>
          <t>I-P-0146</t>
        </is>
      </c>
      <c r="B5052" s="12" t="inlineStr">
        <is>
          <t>I</t>
        </is>
      </c>
      <c r="C5052" s="12" t="inlineStr">
        <is>
          <t>Modular / portable power</t>
        </is>
      </c>
      <c r="D5052" s="12" t="inlineStr">
        <is>
          <t>480 V welding receptacle 3</t>
        </is>
      </c>
      <c r="E5052" s="12" t="inlineStr"/>
      <c r="F5052" s="12" t="inlineStr">
        <is>
          <t>PCM: power control module</t>
        </is>
      </c>
      <c r="G5052" s="12" t="inlineStr">
        <is>
          <t>RICE-5</t>
        </is>
      </c>
      <c r="H5052" s="12" t="inlineStr">
        <is>
          <t>RICE engine-generator 5</t>
        </is>
      </c>
      <c r="I5052" s="12" t="inlineStr">
        <is>
          <t>LV 600 V</t>
        </is>
      </c>
      <c r="J5052" s="12" t="inlineStr">
        <is>
          <t>Type TC-ER 600 V 3/C Cu XHHW-2 + ground, PVC jacket</t>
        </is>
      </c>
      <c r="K5052" s="12" t="inlineStr">
        <is>
          <t>LV|3/C+G|1</t>
        </is>
      </c>
      <c r="L5052" s="12" t="inlineStr">
        <is>
          <t>3/C+G</t>
        </is>
      </c>
      <c r="M5052" s="12" t="inlineStr">
        <is>
          <t>1</t>
        </is>
      </c>
      <c r="N5052" s="12" t="n">
        <v>1</v>
      </c>
      <c r="O5052" s="12" t="n">
        <v>1</v>
      </c>
      <c r="P5052" s="12" t="n">
        <v>480</v>
      </c>
      <c r="Q5052" s="12" t="n">
        <v>60</v>
      </c>
      <c r="R5052" s="12" t="n">
        <v>76</v>
      </c>
      <c r="S5052" s="12" t="inlineStr">
        <is>
          <t>Duct bank</t>
        </is>
      </c>
      <c r="T5052" s="16" t="n">
        <v>367</v>
      </c>
      <c r="U5052" s="16" t="n">
        <v>208</v>
      </c>
      <c r="V5052" s="16">
        <f>ROUNDUP((T5052+U5052+2*'Read Me'!$B$13)*(1+'Read Me'!$B$12),-1)</f>
        <v/>
      </c>
      <c r="W5052" s="16">
        <f>V5052*N5052*O5052</f>
        <v/>
      </c>
      <c r="X5052" s="12">
        <f>IF(LEFT(I5052,2)="MV",2*N5052*IF(L5052="1/C",O5052,1),0)</f>
        <v/>
      </c>
      <c r="Y5052" s="12">
        <f>IF(OR(LEFT(K5052,4)="LVAX",LEFT(K5052,6)="MV15AX",LEFT(K5052,4)="CTAX",LEFT(K5052,2)="W|"),2*N5052*O5052,0)</f>
        <v/>
      </c>
      <c r="Z5052" s="12" t="inlineStr">
        <is>
          <t>VD 2.7 %</t>
        </is>
      </c>
      <c r="AA5052" s="12">
        <f>N5052*O5052</f>
        <v/>
      </c>
    </row>
    <row r="5053">
      <c r="A5053" s="12" t="inlineStr">
        <is>
          <t>I-P-0147</t>
        </is>
      </c>
      <c r="B5053" s="12" t="inlineStr">
        <is>
          <t>I</t>
        </is>
      </c>
      <c r="C5053" s="12" t="inlineStr">
        <is>
          <t>Modular / portable power</t>
        </is>
      </c>
      <c r="D5053" s="12" t="inlineStr">
        <is>
          <t>480 V welding receptacle 4</t>
        </is>
      </c>
      <c r="E5053" s="12" t="inlineStr"/>
      <c r="F5053" s="12" t="inlineStr">
        <is>
          <t>PCM: power control module</t>
        </is>
      </c>
      <c r="G5053" s="12" t="inlineStr">
        <is>
          <t>RICE-5</t>
        </is>
      </c>
      <c r="H5053" s="12" t="inlineStr">
        <is>
          <t>RICE engine-generator 5</t>
        </is>
      </c>
      <c r="I5053" s="12" t="inlineStr">
        <is>
          <t>LV 600 V</t>
        </is>
      </c>
      <c r="J5053" s="12" t="inlineStr">
        <is>
          <t>Type TC-ER 600 V 3/C Cu XHHW-2 + ground, PVC jacket</t>
        </is>
      </c>
      <c r="K5053" s="12" t="inlineStr">
        <is>
          <t>LV|3/C+G|1</t>
        </is>
      </c>
      <c r="L5053" s="12" t="inlineStr">
        <is>
          <t>3/C+G</t>
        </is>
      </c>
      <c r="M5053" s="12" t="inlineStr">
        <is>
          <t>1</t>
        </is>
      </c>
      <c r="N5053" s="12" t="n">
        <v>1</v>
      </c>
      <c r="O5053" s="12" t="n">
        <v>1</v>
      </c>
      <c r="P5053" s="12" t="n">
        <v>480</v>
      </c>
      <c r="Q5053" s="12" t="n">
        <v>60</v>
      </c>
      <c r="R5053" s="12" t="n">
        <v>76</v>
      </c>
      <c r="S5053" s="12" t="inlineStr">
        <is>
          <t>Duct bank</t>
        </is>
      </c>
      <c r="T5053" s="16" t="n">
        <v>367</v>
      </c>
      <c r="U5053" s="16" t="n">
        <v>208</v>
      </c>
      <c r="V5053" s="16">
        <f>ROUNDUP((T5053+U5053+2*'Read Me'!$B$13)*(1+'Read Me'!$B$12),-1)</f>
        <v/>
      </c>
      <c r="W5053" s="16">
        <f>V5053*N5053*O5053</f>
        <v/>
      </c>
      <c r="X5053" s="12">
        <f>IF(LEFT(I5053,2)="MV",2*N5053*IF(L5053="1/C",O5053,1),0)</f>
        <v/>
      </c>
      <c r="Y5053" s="12">
        <f>IF(OR(LEFT(K5053,4)="LVAX",LEFT(K5053,6)="MV15AX",LEFT(K5053,4)="CTAX",LEFT(K5053,2)="W|"),2*N5053*O5053,0)</f>
        <v/>
      </c>
      <c r="Z5053" s="12" t="inlineStr">
        <is>
          <t>VD 2.7 %</t>
        </is>
      </c>
      <c r="AA5053" s="12">
        <f>N5053*O5053</f>
        <v/>
      </c>
    </row>
    <row r="5054">
      <c r="A5054" s="12" t="inlineStr">
        <is>
          <t>I-P-0148</t>
        </is>
      </c>
      <c r="B5054" s="12" t="inlineStr">
        <is>
          <t>I</t>
        </is>
      </c>
      <c r="C5054" s="12" t="inlineStr">
        <is>
          <t>Modular / portable power</t>
        </is>
      </c>
      <c r="D5054" s="12" t="inlineStr">
        <is>
          <t>Motor 1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I-P-0149</t>
        </is>
      </c>
      <c r="B5055" s="12" t="inlineStr">
        <is>
          <t>I</t>
        </is>
      </c>
      <c r="C5055" s="12" t="inlineStr">
        <is>
          <t>Modular / portable power</t>
        </is>
      </c>
      <c r="D5055" s="12" t="inlineStr">
        <is>
          <t>Motor 2 of 6, 22 kW</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2.1 %</t>
        </is>
      </c>
      <c r="AA5055" s="12">
        <f>N5055*O5055</f>
        <v/>
      </c>
    </row>
    <row r="5056">
      <c r="A5056" s="12" t="inlineStr">
        <is>
          <t>I-P-0150</t>
        </is>
      </c>
      <c r="B5056" s="12" t="inlineStr">
        <is>
          <t>I</t>
        </is>
      </c>
      <c r="C5056" s="12" t="inlineStr">
        <is>
          <t>Modular / portable power</t>
        </is>
      </c>
      <c r="D5056" s="12" t="inlineStr">
        <is>
          <t>Motor 3 of 6, 22 kW</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LV|3/C+G|4</t>
        </is>
      </c>
      <c r="L5056" s="12" t="inlineStr">
        <is>
          <t>3/C+G</t>
        </is>
      </c>
      <c r="M5056" s="12" t="inlineStr">
        <is>
          <t>4</t>
        </is>
      </c>
      <c r="N5056" s="12" t="n">
        <v>1</v>
      </c>
      <c r="O5056" s="12" t="n">
        <v>1</v>
      </c>
      <c r="P5056" s="12" t="n">
        <v>480</v>
      </c>
      <c r="Q5056" s="12" t="n">
        <v>22</v>
      </c>
      <c r="R5056" s="12" t="n">
        <v>31.1</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2.1 %</t>
        </is>
      </c>
      <c r="AA5056" s="12">
        <f>N5056*O5056</f>
        <v/>
      </c>
    </row>
    <row r="5057">
      <c r="A5057" s="12" t="inlineStr">
        <is>
          <t>I-P-0151</t>
        </is>
      </c>
      <c r="B5057" s="12" t="inlineStr">
        <is>
          <t>I</t>
        </is>
      </c>
      <c r="C5057" s="12" t="inlineStr">
        <is>
          <t>Modular / portable power</t>
        </is>
      </c>
      <c r="D5057" s="12" t="inlineStr">
        <is>
          <t>Motor 4 of 6, 22 kW</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22</v>
      </c>
      <c r="R5057" s="12" t="n">
        <v>31.1</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2.1 %</t>
        </is>
      </c>
      <c r="AA5057" s="12">
        <f>N5057*O5057</f>
        <v/>
      </c>
    </row>
    <row r="5058">
      <c r="A5058" s="12" t="inlineStr">
        <is>
          <t>I-P-0152</t>
        </is>
      </c>
      <c r="B5058" s="12" t="inlineStr">
        <is>
          <t>I</t>
        </is>
      </c>
      <c r="C5058" s="12" t="inlineStr">
        <is>
          <t>Modular / portable power</t>
        </is>
      </c>
      <c r="D5058" s="12" t="inlineStr">
        <is>
          <t>Motor 5 of 6, 22 kW</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LV|3/C+G|4</t>
        </is>
      </c>
      <c r="L5058" s="12" t="inlineStr">
        <is>
          <t>3/C+G</t>
        </is>
      </c>
      <c r="M5058" s="12" t="inlineStr">
        <is>
          <t>4</t>
        </is>
      </c>
      <c r="N5058" s="12" t="n">
        <v>1</v>
      </c>
      <c r="O5058" s="12" t="n">
        <v>1</v>
      </c>
      <c r="P5058" s="12" t="n">
        <v>480</v>
      </c>
      <c r="Q5058" s="12" t="n">
        <v>22</v>
      </c>
      <c r="R5058" s="12" t="n">
        <v>31.1</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2.1 %</t>
        </is>
      </c>
      <c r="AA5058" s="12">
        <f>N5058*O5058</f>
        <v/>
      </c>
    </row>
    <row r="5059">
      <c r="A5059" s="12" t="inlineStr">
        <is>
          <t>I-P-0153</t>
        </is>
      </c>
      <c r="B5059" s="12" t="inlineStr">
        <is>
          <t>I</t>
        </is>
      </c>
      <c r="C5059" s="12" t="inlineStr">
        <is>
          <t>Modular / portable power</t>
        </is>
      </c>
      <c r="D5059" s="12" t="inlineStr">
        <is>
          <t>Motor 6 of 6, 22 kW</t>
        </is>
      </c>
      <c r="E5059" s="12" t="inlineStr"/>
      <c r="F5059" s="12" t="inlineStr">
        <is>
          <t>PCM: power control module</t>
        </is>
      </c>
      <c r="G5059" s="12" t="inlineStr">
        <is>
          <t>RICE-6</t>
        </is>
      </c>
      <c r="H5059" s="12" t="inlineStr">
        <is>
          <t>RICE engine-generator 6</t>
        </is>
      </c>
      <c r="I5059" s="12" t="inlineStr">
        <is>
          <t>LV 600 V</t>
        </is>
      </c>
      <c r="J5059" s="12" t="inlineStr">
        <is>
          <t>Type TC-ER 600 V 3/C Cu XHHW-2 + ground, PVC jacket</t>
        </is>
      </c>
      <c r="K5059" s="12" t="inlineStr">
        <is>
          <t>LV|3/C+G|4</t>
        </is>
      </c>
      <c r="L5059" s="12" t="inlineStr">
        <is>
          <t>3/C+G</t>
        </is>
      </c>
      <c r="M5059" s="12" t="inlineStr">
        <is>
          <t>4</t>
        </is>
      </c>
      <c r="N5059" s="12" t="n">
        <v>1</v>
      </c>
      <c r="O5059" s="12" t="n">
        <v>1</v>
      </c>
      <c r="P5059" s="12" t="n">
        <v>480</v>
      </c>
      <c r="Q5059" s="12" t="n">
        <v>22</v>
      </c>
      <c r="R5059" s="12" t="n">
        <v>31.1</v>
      </c>
      <c r="S5059" s="12" t="inlineStr">
        <is>
          <t>Duct bank</t>
        </is>
      </c>
      <c r="T5059" s="16" t="n">
        <v>367</v>
      </c>
      <c r="U5059" s="16" t="n">
        <v>180</v>
      </c>
      <c r="V5059" s="16">
        <f>ROUNDUP((T5059+U5059+2*'Read Me'!$B$13)*(1+'Read Me'!$B$12),-1)</f>
        <v/>
      </c>
      <c r="W5059" s="16">
        <f>V5059*N5059*O5059</f>
        <v/>
      </c>
      <c r="X5059" s="12">
        <f>IF(LEFT(I5059,2)="MV",2*N5059*IF(L5059="1/C",O5059,1),0)</f>
        <v/>
      </c>
      <c r="Y5059" s="12">
        <f>IF(OR(LEFT(K5059,4)="LVAX",LEFT(K5059,6)="MV15AX",LEFT(K5059,4)="CTAX",LEFT(K5059,2)="W|"),2*N5059*O5059,0)</f>
        <v/>
      </c>
      <c r="Z5059" s="12" t="inlineStr">
        <is>
          <t>VD 2.1 %</t>
        </is>
      </c>
      <c r="AA5059" s="12">
        <f>N5059*O5059</f>
        <v/>
      </c>
    </row>
    <row r="5060">
      <c r="A5060" s="12" t="inlineStr">
        <is>
          <t>I-P-0154</t>
        </is>
      </c>
      <c r="B5060" s="12" t="inlineStr">
        <is>
          <t>I</t>
        </is>
      </c>
      <c r="C5060" s="12" t="inlineStr">
        <is>
          <t>Modular / portable power</t>
        </is>
      </c>
      <c r="D5060" s="12" t="inlineStr">
        <is>
          <t>480 V welding receptacle 1</t>
        </is>
      </c>
      <c r="E5060" s="12" t="inlineStr"/>
      <c r="F5060" s="12" t="inlineStr">
        <is>
          <t>PCM: power control module</t>
        </is>
      </c>
      <c r="G5060" s="12" t="inlineStr">
        <is>
          <t>RICE-6</t>
        </is>
      </c>
      <c r="H5060" s="12" t="inlineStr">
        <is>
          <t>RICE engine-generator 6</t>
        </is>
      </c>
      <c r="I5060" s="12" t="inlineStr">
        <is>
          <t>LV 600 V</t>
        </is>
      </c>
      <c r="J5060" s="12" t="inlineStr">
        <is>
          <t>Type TC-ER 600 V 3/C Cu XHHW-2 + ground, PVC jacket</t>
        </is>
      </c>
      <c r="K5060" s="12" t="inlineStr">
        <is>
          <t>LV|3/C+G|1</t>
        </is>
      </c>
      <c r="L5060" s="12" t="inlineStr">
        <is>
          <t>3/C+G</t>
        </is>
      </c>
      <c r="M5060" s="12" t="inlineStr">
        <is>
          <t>1</t>
        </is>
      </c>
      <c r="N5060" s="12" t="n">
        <v>1</v>
      </c>
      <c r="O5060" s="12" t="n">
        <v>1</v>
      </c>
      <c r="P5060" s="12" t="n">
        <v>480</v>
      </c>
      <c r="Q5060" s="12" t="n">
        <v>60</v>
      </c>
      <c r="R5060" s="12" t="n">
        <v>76</v>
      </c>
      <c r="S5060" s="12" t="inlineStr">
        <is>
          <t>Duct bank</t>
        </is>
      </c>
      <c r="T5060" s="16" t="n">
        <v>367</v>
      </c>
      <c r="U5060" s="16" t="n">
        <v>180</v>
      </c>
      <c r="V5060" s="16">
        <f>ROUNDUP((T5060+U5060+2*'Read Me'!$B$13)*(1+'Read Me'!$B$12),-1)</f>
        <v/>
      </c>
      <c r="W5060" s="16">
        <f>V5060*N5060*O5060</f>
        <v/>
      </c>
      <c r="X5060" s="12">
        <f>IF(LEFT(I5060,2)="MV",2*N5060*IF(L5060="1/C",O5060,1),0)</f>
        <v/>
      </c>
      <c r="Y5060" s="12">
        <f>IF(OR(LEFT(K5060,4)="LVAX",LEFT(K5060,6)="MV15AX",LEFT(K5060,4)="CTAX",LEFT(K5060,2)="W|"),2*N5060*O5060,0)</f>
        <v/>
      </c>
      <c r="Z5060" s="12" t="inlineStr">
        <is>
          <t>VD 2.5 %</t>
        </is>
      </c>
      <c r="AA5060" s="12">
        <f>N5060*O5060</f>
        <v/>
      </c>
    </row>
    <row r="5061">
      <c r="A5061" s="12" t="inlineStr">
        <is>
          <t>I-P-0155</t>
        </is>
      </c>
      <c r="B5061" s="12" t="inlineStr">
        <is>
          <t>I</t>
        </is>
      </c>
      <c r="C5061" s="12" t="inlineStr">
        <is>
          <t>Modular / portable power</t>
        </is>
      </c>
      <c r="D5061" s="12" t="inlineStr">
        <is>
          <t>480 V welding receptacle 2</t>
        </is>
      </c>
      <c r="E5061" s="12" t="inlineStr"/>
      <c r="F5061" s="12" t="inlineStr">
        <is>
          <t>PCM: power control module</t>
        </is>
      </c>
      <c r="G5061" s="12" t="inlineStr">
        <is>
          <t>RICE-6</t>
        </is>
      </c>
      <c r="H5061" s="12" t="inlineStr">
        <is>
          <t>RICE engine-generator 6</t>
        </is>
      </c>
      <c r="I5061" s="12" t="inlineStr">
        <is>
          <t>LV 600 V</t>
        </is>
      </c>
      <c r="J5061" s="12" t="inlineStr">
        <is>
          <t>Type TC-ER 600 V 3/C Cu XHHW-2 + ground, PVC jacket</t>
        </is>
      </c>
      <c r="K5061" s="12" t="inlineStr">
        <is>
          <t>LV|3/C+G|1</t>
        </is>
      </c>
      <c r="L5061" s="12" t="inlineStr">
        <is>
          <t>3/C+G</t>
        </is>
      </c>
      <c r="M5061" s="12" t="inlineStr">
        <is>
          <t>1</t>
        </is>
      </c>
      <c r="N5061" s="12" t="n">
        <v>1</v>
      </c>
      <c r="O5061" s="12" t="n">
        <v>1</v>
      </c>
      <c r="P5061" s="12" t="n">
        <v>480</v>
      </c>
      <c r="Q5061" s="12" t="n">
        <v>60</v>
      </c>
      <c r="R5061" s="12" t="n">
        <v>76</v>
      </c>
      <c r="S5061" s="12" t="inlineStr">
        <is>
          <t>Duct bank</t>
        </is>
      </c>
      <c r="T5061" s="16" t="n">
        <v>367</v>
      </c>
      <c r="U5061" s="16" t="n">
        <v>180</v>
      </c>
      <c r="V5061" s="16">
        <f>ROUNDUP((T5061+U5061+2*'Read Me'!$B$13)*(1+'Read Me'!$B$12),-1)</f>
        <v/>
      </c>
      <c r="W5061" s="16">
        <f>V5061*N5061*O5061</f>
        <v/>
      </c>
      <c r="X5061" s="12">
        <f>IF(LEFT(I5061,2)="MV",2*N5061*IF(L5061="1/C",O5061,1),0)</f>
        <v/>
      </c>
      <c r="Y5061" s="12">
        <f>IF(OR(LEFT(K5061,4)="LVAX",LEFT(K5061,6)="MV15AX",LEFT(K5061,4)="CTAX",LEFT(K5061,2)="W|"),2*N5061*O5061,0)</f>
        <v/>
      </c>
      <c r="Z5061" s="12" t="inlineStr">
        <is>
          <t>VD 2.5 %</t>
        </is>
      </c>
      <c r="AA5061" s="12">
        <f>N5061*O5061</f>
        <v/>
      </c>
    </row>
    <row r="5062">
      <c r="A5062" s="12" t="inlineStr">
        <is>
          <t>I-P-0156</t>
        </is>
      </c>
      <c r="B5062" s="12" t="inlineStr">
        <is>
          <t>I</t>
        </is>
      </c>
      <c r="C5062" s="12" t="inlineStr">
        <is>
          <t>Modular / portable power</t>
        </is>
      </c>
      <c r="D5062" s="12" t="inlineStr">
        <is>
          <t>480 V welding receptacle 3</t>
        </is>
      </c>
      <c r="E5062" s="12" t="inlineStr"/>
      <c r="F5062" s="12" t="inlineStr">
        <is>
          <t>PCM: power control module</t>
        </is>
      </c>
      <c r="G5062" s="12" t="inlineStr">
        <is>
          <t>RICE-6</t>
        </is>
      </c>
      <c r="H5062" s="12" t="inlineStr">
        <is>
          <t>RICE engine-generator 6</t>
        </is>
      </c>
      <c r="I5062" s="12" t="inlineStr">
        <is>
          <t>LV 600 V</t>
        </is>
      </c>
      <c r="J5062" s="12" t="inlineStr">
        <is>
          <t>Type TC-ER 600 V 3/C Cu XHHW-2 + ground, PVC jacket</t>
        </is>
      </c>
      <c r="K5062" s="12" t="inlineStr">
        <is>
          <t>LV|3/C+G|1</t>
        </is>
      </c>
      <c r="L5062" s="12" t="inlineStr">
        <is>
          <t>3/C+G</t>
        </is>
      </c>
      <c r="M5062" s="12" t="inlineStr">
        <is>
          <t>1</t>
        </is>
      </c>
      <c r="N5062" s="12" t="n">
        <v>1</v>
      </c>
      <c r="O5062" s="12" t="n">
        <v>1</v>
      </c>
      <c r="P5062" s="12" t="n">
        <v>480</v>
      </c>
      <c r="Q5062" s="12" t="n">
        <v>60</v>
      </c>
      <c r="R5062" s="12" t="n">
        <v>76</v>
      </c>
      <c r="S5062" s="12" t="inlineStr">
        <is>
          <t>Duct bank</t>
        </is>
      </c>
      <c r="T5062" s="16" t="n">
        <v>367</v>
      </c>
      <c r="U5062" s="16" t="n">
        <v>180</v>
      </c>
      <c r="V5062" s="16">
        <f>ROUNDUP((T5062+U5062+2*'Read Me'!$B$13)*(1+'Read Me'!$B$12),-1)</f>
        <v/>
      </c>
      <c r="W5062" s="16">
        <f>V5062*N5062*O5062</f>
        <v/>
      </c>
      <c r="X5062" s="12">
        <f>IF(LEFT(I5062,2)="MV",2*N5062*IF(L5062="1/C",O5062,1),0)</f>
        <v/>
      </c>
      <c r="Y5062" s="12">
        <f>IF(OR(LEFT(K5062,4)="LVAX",LEFT(K5062,6)="MV15AX",LEFT(K5062,4)="CTAX",LEFT(K5062,2)="W|"),2*N5062*O5062,0)</f>
        <v/>
      </c>
      <c r="Z5062" s="12" t="inlineStr">
        <is>
          <t>VD 2.5 %</t>
        </is>
      </c>
      <c r="AA5062" s="12">
        <f>N5062*O5062</f>
        <v/>
      </c>
    </row>
    <row r="5063">
      <c r="A5063" s="12" t="inlineStr">
        <is>
          <t>I-P-0157</t>
        </is>
      </c>
      <c r="B5063" s="12" t="inlineStr">
        <is>
          <t>I</t>
        </is>
      </c>
      <c r="C5063" s="12" t="inlineStr">
        <is>
          <t>Modular / portable power</t>
        </is>
      </c>
      <c r="D5063" s="12" t="inlineStr">
        <is>
          <t>480 V welding receptacle 4</t>
        </is>
      </c>
      <c r="E5063" s="12" t="inlineStr"/>
      <c r="F5063" s="12" t="inlineStr">
        <is>
          <t>PCM: power control module</t>
        </is>
      </c>
      <c r="G5063" s="12" t="inlineStr">
        <is>
          <t>RICE-6</t>
        </is>
      </c>
      <c r="H5063" s="12" t="inlineStr">
        <is>
          <t>RICE engine-generator 6</t>
        </is>
      </c>
      <c r="I5063" s="12" t="inlineStr">
        <is>
          <t>LV 600 V</t>
        </is>
      </c>
      <c r="J5063" s="12" t="inlineStr">
        <is>
          <t>Type TC-ER 600 V 3/C Cu XHHW-2 + ground, PVC jacket</t>
        </is>
      </c>
      <c r="K5063" s="12" t="inlineStr">
        <is>
          <t>LV|3/C+G|1</t>
        </is>
      </c>
      <c r="L5063" s="12" t="inlineStr">
        <is>
          <t>3/C+G</t>
        </is>
      </c>
      <c r="M5063" s="12" t="inlineStr">
        <is>
          <t>1</t>
        </is>
      </c>
      <c r="N5063" s="12" t="n">
        <v>1</v>
      </c>
      <c r="O5063" s="12" t="n">
        <v>1</v>
      </c>
      <c r="P5063" s="12" t="n">
        <v>480</v>
      </c>
      <c r="Q5063" s="12" t="n">
        <v>60</v>
      </c>
      <c r="R5063" s="12" t="n">
        <v>76</v>
      </c>
      <c r="S5063" s="12" t="inlineStr">
        <is>
          <t>Duct bank</t>
        </is>
      </c>
      <c r="T5063" s="16" t="n">
        <v>367</v>
      </c>
      <c r="U5063" s="16" t="n">
        <v>180</v>
      </c>
      <c r="V5063" s="16">
        <f>ROUNDUP((T5063+U5063+2*'Read Me'!$B$13)*(1+'Read Me'!$B$12),-1)</f>
        <v/>
      </c>
      <c r="W5063" s="16">
        <f>V5063*N5063*O5063</f>
        <v/>
      </c>
      <c r="X5063" s="12">
        <f>IF(LEFT(I5063,2)="MV",2*N5063*IF(L5063="1/C",O5063,1),0)</f>
        <v/>
      </c>
      <c r="Y5063" s="12">
        <f>IF(OR(LEFT(K5063,4)="LVAX",LEFT(K5063,6)="MV15AX",LEFT(K5063,4)="CTAX",LEFT(K5063,2)="W|"),2*N5063*O5063,0)</f>
        <v/>
      </c>
      <c r="Z5063" s="12" t="inlineStr">
        <is>
          <t>VD 2.5 %</t>
        </is>
      </c>
      <c r="AA5063" s="12">
        <f>N5063*O5063</f>
        <v/>
      </c>
    </row>
    <row r="5064">
      <c r="A5064" s="12" t="inlineStr">
        <is>
          <t>I-P-0158</t>
        </is>
      </c>
      <c r="B5064" s="12" t="inlineStr">
        <is>
          <t>I</t>
        </is>
      </c>
      <c r="C5064" s="12" t="inlineStr">
        <is>
          <t>Modular / portable power</t>
        </is>
      </c>
      <c r="D5064" s="12" t="inlineStr">
        <is>
          <t>Motor 1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I-P-0159</t>
        </is>
      </c>
      <c r="B5065" s="12" t="inlineStr">
        <is>
          <t>I</t>
        </is>
      </c>
      <c r="C5065" s="12" t="inlineStr">
        <is>
          <t>Modular / portable power</t>
        </is>
      </c>
      <c r="D5065" s="12" t="inlineStr">
        <is>
          <t>Motor 2 of 6, 22 kW</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LV|3/C+G|8</t>
        </is>
      </c>
      <c r="L5065" s="12" t="inlineStr">
        <is>
          <t>3/C+G</t>
        </is>
      </c>
      <c r="M5065" s="12" t="inlineStr">
        <is>
          <t>8</t>
        </is>
      </c>
      <c r="N5065" s="12" t="n">
        <v>1</v>
      </c>
      <c r="O5065" s="12" t="n">
        <v>1</v>
      </c>
      <c r="P5065" s="12" t="n">
        <v>480</v>
      </c>
      <c r="Q5065" s="12" t="n">
        <v>22</v>
      </c>
      <c r="R5065" s="12" t="n">
        <v>31.1</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1.8 %</t>
        </is>
      </c>
      <c r="AA5065" s="12">
        <f>N5065*O5065</f>
        <v/>
      </c>
    </row>
    <row r="5066">
      <c r="A5066" s="12" t="inlineStr">
        <is>
          <t>I-P-0160</t>
        </is>
      </c>
      <c r="B5066" s="12" t="inlineStr">
        <is>
          <t>I</t>
        </is>
      </c>
      <c r="C5066" s="12" t="inlineStr">
        <is>
          <t>Modular / portable power</t>
        </is>
      </c>
      <c r="D5066" s="12" t="inlineStr">
        <is>
          <t>Motor 3 of 6, 22 kW</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LV|3/C+G|8</t>
        </is>
      </c>
      <c r="L5066" s="12" t="inlineStr">
        <is>
          <t>3/C+G</t>
        </is>
      </c>
      <c r="M5066" s="12" t="inlineStr">
        <is>
          <t>8</t>
        </is>
      </c>
      <c r="N5066" s="12" t="n">
        <v>1</v>
      </c>
      <c r="O5066" s="12" t="n">
        <v>1</v>
      </c>
      <c r="P5066" s="12" t="n">
        <v>480</v>
      </c>
      <c r="Q5066" s="12" t="n">
        <v>22</v>
      </c>
      <c r="R5066" s="12" t="n">
        <v>31.1</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1.8 %</t>
        </is>
      </c>
      <c r="AA5066" s="12">
        <f>N5066*O5066</f>
        <v/>
      </c>
    </row>
    <row r="5067">
      <c r="A5067" s="12" t="inlineStr">
        <is>
          <t>I-P-0161</t>
        </is>
      </c>
      <c r="B5067" s="12" t="inlineStr">
        <is>
          <t>I</t>
        </is>
      </c>
      <c r="C5067" s="12" t="inlineStr">
        <is>
          <t>Modular / portable power</t>
        </is>
      </c>
      <c r="D5067" s="12" t="inlineStr">
        <is>
          <t>Motor 4 of 6, 22 kW</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LV|3/C+G|8</t>
        </is>
      </c>
      <c r="L5067" s="12" t="inlineStr">
        <is>
          <t>3/C+G</t>
        </is>
      </c>
      <c r="M5067" s="12" t="inlineStr">
        <is>
          <t>8</t>
        </is>
      </c>
      <c r="N5067" s="12" t="n">
        <v>1</v>
      </c>
      <c r="O5067" s="12" t="n">
        <v>1</v>
      </c>
      <c r="P5067" s="12" t="n">
        <v>480</v>
      </c>
      <c r="Q5067" s="12" t="n">
        <v>22</v>
      </c>
      <c r="R5067" s="12" t="n">
        <v>31.1</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1.8 %</t>
        </is>
      </c>
      <c r="AA5067" s="12">
        <f>N5067*O5067</f>
        <v/>
      </c>
    </row>
    <row r="5068">
      <c r="A5068" s="12" t="inlineStr">
        <is>
          <t>I-P-0162</t>
        </is>
      </c>
      <c r="B5068" s="12" t="inlineStr">
        <is>
          <t>I</t>
        </is>
      </c>
      <c r="C5068" s="12" t="inlineStr">
        <is>
          <t>Modular / portable power</t>
        </is>
      </c>
      <c r="D5068" s="12" t="inlineStr">
        <is>
          <t>Motor 5 of 6, 22 kW</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LV|3/C+G|8</t>
        </is>
      </c>
      <c r="L5068" s="12" t="inlineStr">
        <is>
          <t>3/C+G</t>
        </is>
      </c>
      <c r="M5068" s="12" t="inlineStr">
        <is>
          <t>8</t>
        </is>
      </c>
      <c r="N5068" s="12" t="n">
        <v>1</v>
      </c>
      <c r="O5068" s="12" t="n">
        <v>1</v>
      </c>
      <c r="P5068" s="12" t="n">
        <v>480</v>
      </c>
      <c r="Q5068" s="12" t="n">
        <v>22</v>
      </c>
      <c r="R5068" s="12" t="n">
        <v>31.1</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1.8 %</t>
        </is>
      </c>
      <c r="AA5068" s="12">
        <f>N5068*O5068</f>
        <v/>
      </c>
    </row>
    <row r="5069">
      <c r="A5069" s="12" t="inlineStr">
        <is>
          <t>I-P-0163</t>
        </is>
      </c>
      <c r="B5069" s="12" t="inlineStr">
        <is>
          <t>I</t>
        </is>
      </c>
      <c r="C5069" s="12" t="inlineStr">
        <is>
          <t>Modular / portable power</t>
        </is>
      </c>
      <c r="D5069" s="12" t="inlineStr">
        <is>
          <t>Motor 6 of 6, 22 kW</t>
        </is>
      </c>
      <c r="E5069" s="12" t="inlineStr"/>
      <c r="F5069" s="12" t="inlineStr">
        <is>
          <t>PCM: power control module</t>
        </is>
      </c>
      <c r="G5069" s="12" t="inlineStr">
        <is>
          <t>RICE-7</t>
        </is>
      </c>
      <c r="H5069" s="12" t="inlineStr">
        <is>
          <t>RICE engine-generator 7</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189</v>
      </c>
      <c r="V5069" s="16">
        <f>ROUNDUP((T5069+U5069+2*'Read Me'!$B$13)*(1+'Read Me'!$B$12),-1)</f>
        <v/>
      </c>
      <c r="W5069" s="16">
        <f>V5069*N5069*O5069</f>
        <v/>
      </c>
      <c r="X5069" s="12">
        <f>IF(LEFT(I5069,2)="MV",2*N5069*IF(L5069="1/C",O5069,1),0)</f>
        <v/>
      </c>
      <c r="Y5069" s="12">
        <f>IF(OR(LEFT(K5069,4)="LVAX",LEFT(K5069,6)="MV15AX",LEFT(K5069,4)="CTAX",LEFT(K5069,2)="W|"),2*N5069*O5069,0)</f>
        <v/>
      </c>
      <c r="Z5069" s="12" t="inlineStr">
        <is>
          <t>VD 1.8 %</t>
        </is>
      </c>
      <c r="AA5069" s="12">
        <f>N5069*O5069</f>
        <v/>
      </c>
    </row>
    <row r="5070">
      <c r="A5070" s="12" t="inlineStr">
        <is>
          <t>I-P-0164</t>
        </is>
      </c>
      <c r="B5070" s="12" t="inlineStr">
        <is>
          <t>I</t>
        </is>
      </c>
      <c r="C5070" s="12" t="inlineStr">
        <is>
          <t>Modular / portable power</t>
        </is>
      </c>
      <c r="D5070" s="12" t="inlineStr">
        <is>
          <t>480 V welding receptacle 1</t>
        </is>
      </c>
      <c r="E5070" s="12" t="inlineStr"/>
      <c r="F5070" s="12" t="inlineStr">
        <is>
          <t>PCM: power control module</t>
        </is>
      </c>
      <c r="G5070" s="12" t="inlineStr">
        <is>
          <t>RICE-7</t>
        </is>
      </c>
      <c r="H5070" s="12" t="inlineStr">
        <is>
          <t>RICE engine-generator 7</t>
        </is>
      </c>
      <c r="I5070" s="12" t="inlineStr">
        <is>
          <t>LV 600 V</t>
        </is>
      </c>
      <c r="J5070" s="12" t="inlineStr">
        <is>
          <t>Type TC-ER 600 V 3/C Cu XHHW-2 + ground, PVC jacket</t>
        </is>
      </c>
      <c r="K5070" s="12" t="inlineStr">
        <is>
          <t>LV|3/C+G|2</t>
        </is>
      </c>
      <c r="L5070" s="12" t="inlineStr">
        <is>
          <t>3/C+G</t>
        </is>
      </c>
      <c r="M5070" s="12" t="inlineStr">
        <is>
          <t>2</t>
        </is>
      </c>
      <c r="N5070" s="12" t="n">
        <v>1</v>
      </c>
      <c r="O5070" s="12" t="n">
        <v>1</v>
      </c>
      <c r="P5070" s="12" t="n">
        <v>480</v>
      </c>
      <c r="Q5070" s="12" t="n">
        <v>60</v>
      </c>
      <c r="R5070" s="12" t="n">
        <v>76</v>
      </c>
      <c r="S5070" s="12" t="inlineStr">
        <is>
          <t>Tray</t>
        </is>
      </c>
      <c r="T5070" s="16" t="n">
        <v>0</v>
      </c>
      <c r="U5070" s="16" t="n">
        <v>189</v>
      </c>
      <c r="V5070" s="16">
        <f>ROUNDUP((T5070+U5070+2*'Read Me'!$B$13)*(1+'Read Me'!$B$12),-1)</f>
        <v/>
      </c>
      <c r="W5070" s="16">
        <f>V5070*N5070*O5070</f>
        <v/>
      </c>
      <c r="X5070" s="12">
        <f>IF(LEFT(I5070,2)="MV",2*N5070*IF(L5070="1/C",O5070,1),0)</f>
        <v/>
      </c>
      <c r="Y5070" s="12">
        <f>IF(OR(LEFT(K5070,4)="LVAX",LEFT(K5070,6)="MV15AX",LEFT(K5070,4)="CTAX",LEFT(K5070,2)="W|"),2*N5070*O5070,0)</f>
        <v/>
      </c>
      <c r="Z5070" s="12" t="inlineStr">
        <is>
          <t>VD 1.1 %</t>
        </is>
      </c>
      <c r="AA5070" s="12">
        <f>N5070*O5070</f>
        <v/>
      </c>
    </row>
    <row r="5071">
      <c r="A5071" s="12" t="inlineStr">
        <is>
          <t>I-P-0165</t>
        </is>
      </c>
      <c r="B5071" s="12" t="inlineStr">
        <is>
          <t>I</t>
        </is>
      </c>
      <c r="C5071" s="12" t="inlineStr">
        <is>
          <t>Modular / portable power</t>
        </is>
      </c>
      <c r="D5071" s="12" t="inlineStr">
        <is>
          <t>480 V welding receptacle 2</t>
        </is>
      </c>
      <c r="E5071" s="12" t="inlineStr"/>
      <c r="F5071" s="12" t="inlineStr">
        <is>
          <t>PCM: power control module</t>
        </is>
      </c>
      <c r="G5071" s="12" t="inlineStr">
        <is>
          <t>RICE-7</t>
        </is>
      </c>
      <c r="H5071" s="12" t="inlineStr">
        <is>
          <t>RICE engine-generator 7</t>
        </is>
      </c>
      <c r="I5071" s="12" t="inlineStr">
        <is>
          <t>LV 600 V</t>
        </is>
      </c>
      <c r="J5071" s="12" t="inlineStr">
        <is>
          <t>Type TC-ER 600 V 3/C Cu XHHW-2 + ground, PVC jacket</t>
        </is>
      </c>
      <c r="K5071" s="12" t="inlineStr">
        <is>
          <t>LV|3/C+G|2</t>
        </is>
      </c>
      <c r="L5071" s="12" t="inlineStr">
        <is>
          <t>3/C+G</t>
        </is>
      </c>
      <c r="M5071" s="12" t="inlineStr">
        <is>
          <t>2</t>
        </is>
      </c>
      <c r="N5071" s="12" t="n">
        <v>1</v>
      </c>
      <c r="O5071" s="12" t="n">
        <v>1</v>
      </c>
      <c r="P5071" s="12" t="n">
        <v>480</v>
      </c>
      <c r="Q5071" s="12" t="n">
        <v>60</v>
      </c>
      <c r="R5071" s="12" t="n">
        <v>76</v>
      </c>
      <c r="S5071" s="12" t="inlineStr">
        <is>
          <t>Tray</t>
        </is>
      </c>
      <c r="T5071" s="16" t="n">
        <v>0</v>
      </c>
      <c r="U5071" s="16" t="n">
        <v>189</v>
      </c>
      <c r="V5071" s="16">
        <f>ROUNDUP((T5071+U5071+2*'Read Me'!$B$13)*(1+'Read Me'!$B$12),-1)</f>
        <v/>
      </c>
      <c r="W5071" s="16">
        <f>V5071*N5071*O5071</f>
        <v/>
      </c>
      <c r="X5071" s="12">
        <f>IF(LEFT(I5071,2)="MV",2*N5071*IF(L5071="1/C",O5071,1),0)</f>
        <v/>
      </c>
      <c r="Y5071" s="12">
        <f>IF(OR(LEFT(K5071,4)="LVAX",LEFT(K5071,6)="MV15AX",LEFT(K5071,4)="CTAX",LEFT(K5071,2)="W|"),2*N5071*O5071,0)</f>
        <v/>
      </c>
      <c r="Z5071" s="12" t="inlineStr">
        <is>
          <t>VD 1.1 %</t>
        </is>
      </c>
      <c r="AA5071" s="12">
        <f>N5071*O5071</f>
        <v/>
      </c>
    </row>
    <row r="5072">
      <c r="A5072" s="12" t="inlineStr">
        <is>
          <t>I-P-0166</t>
        </is>
      </c>
      <c r="B5072" s="12" t="inlineStr">
        <is>
          <t>I</t>
        </is>
      </c>
      <c r="C5072" s="12" t="inlineStr">
        <is>
          <t>Modular / portable power</t>
        </is>
      </c>
      <c r="D5072" s="12" t="inlineStr">
        <is>
          <t>480 V welding receptacle 3</t>
        </is>
      </c>
      <c r="E5072" s="12" t="inlineStr"/>
      <c r="F5072" s="12" t="inlineStr">
        <is>
          <t>PCM: power control module</t>
        </is>
      </c>
      <c r="G5072" s="12" t="inlineStr">
        <is>
          <t>RICE-7</t>
        </is>
      </c>
      <c r="H5072" s="12" t="inlineStr">
        <is>
          <t>RICE engine-generator 7</t>
        </is>
      </c>
      <c r="I5072" s="12" t="inlineStr">
        <is>
          <t>LV 600 V</t>
        </is>
      </c>
      <c r="J5072" s="12" t="inlineStr">
        <is>
          <t>Type TC-ER 600 V 3/C Cu XHHW-2 + ground, PVC jacket</t>
        </is>
      </c>
      <c r="K5072" s="12" t="inlineStr">
        <is>
          <t>LV|3/C+G|2</t>
        </is>
      </c>
      <c r="L5072" s="12" t="inlineStr">
        <is>
          <t>3/C+G</t>
        </is>
      </c>
      <c r="M5072" s="12" t="inlineStr">
        <is>
          <t>2</t>
        </is>
      </c>
      <c r="N5072" s="12" t="n">
        <v>1</v>
      </c>
      <c r="O5072" s="12" t="n">
        <v>1</v>
      </c>
      <c r="P5072" s="12" t="n">
        <v>480</v>
      </c>
      <c r="Q5072" s="12" t="n">
        <v>60</v>
      </c>
      <c r="R5072" s="12" t="n">
        <v>76</v>
      </c>
      <c r="S5072" s="12" t="inlineStr">
        <is>
          <t>Tray</t>
        </is>
      </c>
      <c r="T5072" s="16" t="n">
        <v>0</v>
      </c>
      <c r="U5072" s="16" t="n">
        <v>189</v>
      </c>
      <c r="V5072" s="16">
        <f>ROUNDUP((T5072+U5072+2*'Read Me'!$B$13)*(1+'Read Me'!$B$12),-1)</f>
        <v/>
      </c>
      <c r="W5072" s="16">
        <f>V5072*N5072*O5072</f>
        <v/>
      </c>
      <c r="X5072" s="12">
        <f>IF(LEFT(I5072,2)="MV",2*N5072*IF(L5072="1/C",O5072,1),0)</f>
        <v/>
      </c>
      <c r="Y5072" s="12">
        <f>IF(OR(LEFT(K5072,4)="LVAX",LEFT(K5072,6)="MV15AX",LEFT(K5072,4)="CTAX",LEFT(K5072,2)="W|"),2*N5072*O5072,0)</f>
        <v/>
      </c>
      <c r="Z5072" s="12" t="inlineStr">
        <is>
          <t>VD 1.1 %</t>
        </is>
      </c>
      <c r="AA5072" s="12">
        <f>N5072*O5072</f>
        <v/>
      </c>
    </row>
    <row r="5073">
      <c r="A5073" s="12" t="inlineStr">
        <is>
          <t>I-P-0167</t>
        </is>
      </c>
      <c r="B5073" s="12" t="inlineStr">
        <is>
          <t>I</t>
        </is>
      </c>
      <c r="C5073" s="12" t="inlineStr">
        <is>
          <t>Modular / portable power</t>
        </is>
      </c>
      <c r="D5073" s="12" t="inlineStr">
        <is>
          <t>480 V welding receptacle 4</t>
        </is>
      </c>
      <c r="E5073" s="12" t="inlineStr"/>
      <c r="F5073" s="12" t="inlineStr">
        <is>
          <t>PCM: power control module</t>
        </is>
      </c>
      <c r="G5073" s="12" t="inlineStr">
        <is>
          <t>RICE-7</t>
        </is>
      </c>
      <c r="H5073" s="12" t="inlineStr">
        <is>
          <t>RICE engine-generator 7</t>
        </is>
      </c>
      <c r="I5073" s="12" t="inlineStr">
        <is>
          <t>LV 600 V</t>
        </is>
      </c>
      <c r="J5073" s="12" t="inlineStr">
        <is>
          <t>Type TC-ER 600 V 3/C Cu XHHW-2 + ground, PVC jacket</t>
        </is>
      </c>
      <c r="K5073" s="12" t="inlineStr">
        <is>
          <t>LV|3/C+G|2</t>
        </is>
      </c>
      <c r="L5073" s="12" t="inlineStr">
        <is>
          <t>3/C+G</t>
        </is>
      </c>
      <c r="M5073" s="12" t="inlineStr">
        <is>
          <t>2</t>
        </is>
      </c>
      <c r="N5073" s="12" t="n">
        <v>1</v>
      </c>
      <c r="O5073" s="12" t="n">
        <v>1</v>
      </c>
      <c r="P5073" s="12" t="n">
        <v>480</v>
      </c>
      <c r="Q5073" s="12" t="n">
        <v>60</v>
      </c>
      <c r="R5073" s="12" t="n">
        <v>76</v>
      </c>
      <c r="S5073" s="12" t="inlineStr">
        <is>
          <t>Tray</t>
        </is>
      </c>
      <c r="T5073" s="16" t="n">
        <v>0</v>
      </c>
      <c r="U5073" s="16" t="n">
        <v>189</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I-P-0168</t>
        </is>
      </c>
      <c r="B5074" s="12" t="inlineStr">
        <is>
          <t>I</t>
        </is>
      </c>
      <c r="C5074" s="12" t="inlineStr">
        <is>
          <t>Modular / portable power</t>
        </is>
      </c>
      <c r="D5074" s="12" t="inlineStr">
        <is>
          <t>Motor 1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I-P-0169</t>
        </is>
      </c>
      <c r="B5075" s="12" t="inlineStr">
        <is>
          <t>I</t>
        </is>
      </c>
      <c r="C5075" s="12" t="inlineStr">
        <is>
          <t>Modular / portable power</t>
        </is>
      </c>
      <c r="D5075" s="12" t="inlineStr">
        <is>
          <t>Motor 2 of 6, 22 kW</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LV|3/C+G|8</t>
        </is>
      </c>
      <c r="L5075" s="12" t="inlineStr">
        <is>
          <t>3/C+G</t>
        </is>
      </c>
      <c r="M5075" s="12" t="inlineStr">
        <is>
          <t>8</t>
        </is>
      </c>
      <c r="N5075" s="12" t="n">
        <v>1</v>
      </c>
      <c r="O5075" s="12" t="n">
        <v>1</v>
      </c>
      <c r="P5075" s="12" t="n">
        <v>480</v>
      </c>
      <c r="Q5075" s="12" t="n">
        <v>22</v>
      </c>
      <c r="R5075" s="12" t="n">
        <v>31.1</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1.5 %</t>
        </is>
      </c>
      <c r="AA5075" s="12">
        <f>N5075*O5075</f>
        <v/>
      </c>
    </row>
    <row r="5076">
      <c r="A5076" s="12" t="inlineStr">
        <is>
          <t>I-P-0170</t>
        </is>
      </c>
      <c r="B5076" s="12" t="inlineStr">
        <is>
          <t>I</t>
        </is>
      </c>
      <c r="C5076" s="12" t="inlineStr">
        <is>
          <t>Modular / portable power</t>
        </is>
      </c>
      <c r="D5076" s="12" t="inlineStr">
        <is>
          <t>Motor 3 of 6, 22 kW</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LV|3/C+G|8</t>
        </is>
      </c>
      <c r="L5076" s="12" t="inlineStr">
        <is>
          <t>3/C+G</t>
        </is>
      </c>
      <c r="M5076" s="12" t="inlineStr">
        <is>
          <t>8</t>
        </is>
      </c>
      <c r="N5076" s="12" t="n">
        <v>1</v>
      </c>
      <c r="O5076" s="12" t="n">
        <v>1</v>
      </c>
      <c r="P5076" s="12" t="n">
        <v>480</v>
      </c>
      <c r="Q5076" s="12" t="n">
        <v>22</v>
      </c>
      <c r="R5076" s="12" t="n">
        <v>31.1</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1.5 %</t>
        </is>
      </c>
      <c r="AA5076" s="12">
        <f>N5076*O5076</f>
        <v/>
      </c>
    </row>
    <row r="5077">
      <c r="A5077" s="12" t="inlineStr">
        <is>
          <t>I-P-0171</t>
        </is>
      </c>
      <c r="B5077" s="12" t="inlineStr">
        <is>
          <t>I</t>
        </is>
      </c>
      <c r="C5077" s="12" t="inlineStr">
        <is>
          <t>Modular / portable power</t>
        </is>
      </c>
      <c r="D5077" s="12" t="inlineStr">
        <is>
          <t>Motor 4 of 6, 22 kW</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LV|3/C+G|8</t>
        </is>
      </c>
      <c r="L5077" s="12" t="inlineStr">
        <is>
          <t>3/C+G</t>
        </is>
      </c>
      <c r="M5077" s="12" t="inlineStr">
        <is>
          <t>8</t>
        </is>
      </c>
      <c r="N5077" s="12" t="n">
        <v>1</v>
      </c>
      <c r="O5077" s="12" t="n">
        <v>1</v>
      </c>
      <c r="P5077" s="12" t="n">
        <v>480</v>
      </c>
      <c r="Q5077" s="12" t="n">
        <v>22</v>
      </c>
      <c r="R5077" s="12" t="n">
        <v>31.1</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1.5 %</t>
        </is>
      </c>
      <c r="AA5077" s="12">
        <f>N5077*O5077</f>
        <v/>
      </c>
    </row>
    <row r="5078">
      <c r="A5078" s="12" t="inlineStr">
        <is>
          <t>I-P-0172</t>
        </is>
      </c>
      <c r="B5078" s="12" t="inlineStr">
        <is>
          <t>I</t>
        </is>
      </c>
      <c r="C5078" s="12" t="inlineStr">
        <is>
          <t>Modular / portable power</t>
        </is>
      </c>
      <c r="D5078" s="12" t="inlineStr">
        <is>
          <t>Motor 5 of 6, 22 kW</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LV|3/C+G|8</t>
        </is>
      </c>
      <c r="L5078" s="12" t="inlineStr">
        <is>
          <t>3/C+G</t>
        </is>
      </c>
      <c r="M5078" s="12" t="inlineStr">
        <is>
          <t>8</t>
        </is>
      </c>
      <c r="N5078" s="12" t="n">
        <v>1</v>
      </c>
      <c r="O5078" s="12" t="n">
        <v>1</v>
      </c>
      <c r="P5078" s="12" t="n">
        <v>480</v>
      </c>
      <c r="Q5078" s="12" t="n">
        <v>22</v>
      </c>
      <c r="R5078" s="12" t="n">
        <v>31.1</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1.5 %</t>
        </is>
      </c>
      <c r="AA5078" s="12">
        <f>N5078*O5078</f>
        <v/>
      </c>
    </row>
    <row r="5079">
      <c r="A5079" s="12" t="inlineStr">
        <is>
          <t>I-P-0173</t>
        </is>
      </c>
      <c r="B5079" s="12" t="inlineStr">
        <is>
          <t>I</t>
        </is>
      </c>
      <c r="C5079" s="12" t="inlineStr">
        <is>
          <t>Modular / portable power</t>
        </is>
      </c>
      <c r="D5079" s="12" t="inlineStr">
        <is>
          <t>Motor 6 of 6, 22 kW</t>
        </is>
      </c>
      <c r="E5079" s="12" t="inlineStr"/>
      <c r="F5079" s="12" t="inlineStr">
        <is>
          <t>PCM: power control module</t>
        </is>
      </c>
      <c r="G5079" s="12" t="inlineStr">
        <is>
          <t>RICE-8</t>
        </is>
      </c>
      <c r="H5079" s="12" t="inlineStr">
        <is>
          <t>RICE engine-generator 8</t>
        </is>
      </c>
      <c r="I5079" s="12" t="inlineStr">
        <is>
          <t>LV 600 V</t>
        </is>
      </c>
      <c r="J5079" s="12" t="inlineStr">
        <is>
          <t>Type TC-ER 600 V 3/C Cu XHHW-2 + ground, PVC jacket</t>
        </is>
      </c>
      <c r="K5079" s="12" t="inlineStr">
        <is>
          <t>LV|3/C+G|8</t>
        </is>
      </c>
      <c r="L5079" s="12" t="inlineStr">
        <is>
          <t>3/C+G</t>
        </is>
      </c>
      <c r="M5079" s="12" t="inlineStr">
        <is>
          <t>8</t>
        </is>
      </c>
      <c r="N5079" s="12" t="n">
        <v>1</v>
      </c>
      <c r="O5079" s="12" t="n">
        <v>1</v>
      </c>
      <c r="P5079" s="12" t="n">
        <v>480</v>
      </c>
      <c r="Q5079" s="12" t="n">
        <v>22</v>
      </c>
      <c r="R5079" s="12" t="n">
        <v>31.1</v>
      </c>
      <c r="S5079" s="12" t="inlineStr">
        <is>
          <t>Tray</t>
        </is>
      </c>
      <c r="T5079" s="16" t="n">
        <v>0</v>
      </c>
      <c r="U5079" s="16" t="n">
        <v>161</v>
      </c>
      <c r="V5079" s="16">
        <f>ROUNDUP((T5079+U5079+2*'Read Me'!$B$13)*(1+'Read Me'!$B$12),-1)</f>
        <v/>
      </c>
      <c r="W5079" s="16">
        <f>V5079*N5079*O5079</f>
        <v/>
      </c>
      <c r="X5079" s="12">
        <f>IF(LEFT(I5079,2)="MV",2*N5079*IF(L5079="1/C",O5079,1),0)</f>
        <v/>
      </c>
      <c r="Y5079" s="12">
        <f>IF(OR(LEFT(K5079,4)="LVAX",LEFT(K5079,6)="MV15AX",LEFT(K5079,4)="CTAX",LEFT(K5079,2)="W|"),2*N5079*O5079,0)</f>
        <v/>
      </c>
      <c r="Z5079" s="12" t="inlineStr">
        <is>
          <t>VD 1.5 %</t>
        </is>
      </c>
      <c r="AA5079" s="12">
        <f>N5079*O5079</f>
        <v/>
      </c>
    </row>
    <row r="5080">
      <c r="A5080" s="12" t="inlineStr">
        <is>
          <t>I-P-0174</t>
        </is>
      </c>
      <c r="B5080" s="12" t="inlineStr">
        <is>
          <t>I</t>
        </is>
      </c>
      <c r="C5080" s="12" t="inlineStr">
        <is>
          <t>Modular / portable power</t>
        </is>
      </c>
      <c r="D5080" s="12" t="inlineStr">
        <is>
          <t>480 V welding receptacle 1</t>
        </is>
      </c>
      <c r="E5080" s="12" t="inlineStr"/>
      <c r="F5080" s="12" t="inlineStr">
        <is>
          <t>PCM: power control module</t>
        </is>
      </c>
      <c r="G5080" s="12" t="inlineStr">
        <is>
          <t>RICE-8</t>
        </is>
      </c>
      <c r="H5080" s="12" t="inlineStr">
        <is>
          <t>RICE engine-generator 8</t>
        </is>
      </c>
      <c r="I5080" s="12" t="inlineStr">
        <is>
          <t>LV 600 V</t>
        </is>
      </c>
      <c r="J5080" s="12" t="inlineStr">
        <is>
          <t>Type TC-ER 600 V 3/C Cu XHHW-2 + ground, PVC jacket</t>
        </is>
      </c>
      <c r="K5080" s="12" t="inlineStr">
        <is>
          <t>LV|3/C+G|2</t>
        </is>
      </c>
      <c r="L5080" s="12" t="inlineStr">
        <is>
          <t>3/C+G</t>
        </is>
      </c>
      <c r="M5080" s="12" t="inlineStr">
        <is>
          <t>2</t>
        </is>
      </c>
      <c r="N5080" s="12" t="n">
        <v>1</v>
      </c>
      <c r="O5080" s="12" t="n">
        <v>1</v>
      </c>
      <c r="P5080" s="12" t="n">
        <v>480</v>
      </c>
      <c r="Q5080" s="12" t="n">
        <v>60</v>
      </c>
      <c r="R5080" s="12" t="n">
        <v>76</v>
      </c>
      <c r="S5080" s="12" t="inlineStr">
        <is>
          <t>Tray</t>
        </is>
      </c>
      <c r="T5080" s="16" t="n">
        <v>0</v>
      </c>
      <c r="U5080" s="16" t="n">
        <v>161</v>
      </c>
      <c r="V5080" s="16">
        <f>ROUNDUP((T5080+U5080+2*'Read Me'!$B$13)*(1+'Read Me'!$B$12),-1)</f>
        <v/>
      </c>
      <c r="W5080" s="16">
        <f>V5080*N5080*O5080</f>
        <v/>
      </c>
      <c r="X5080" s="12">
        <f>IF(LEFT(I5080,2)="MV",2*N5080*IF(L5080="1/C",O5080,1),0)</f>
        <v/>
      </c>
      <c r="Y5080" s="12">
        <f>IF(OR(LEFT(K5080,4)="LVAX",LEFT(K5080,6)="MV15AX",LEFT(K5080,4)="CTAX",LEFT(K5080,2)="W|"),2*N5080*O5080,0)</f>
        <v/>
      </c>
      <c r="Z5080" s="12" t="inlineStr">
        <is>
          <t>VD 0.9 %</t>
        </is>
      </c>
      <c r="AA5080" s="12">
        <f>N5080*O5080</f>
        <v/>
      </c>
    </row>
    <row r="5081">
      <c r="A5081" s="12" t="inlineStr">
        <is>
          <t>I-P-0175</t>
        </is>
      </c>
      <c r="B5081" s="12" t="inlineStr">
        <is>
          <t>I</t>
        </is>
      </c>
      <c r="C5081" s="12" t="inlineStr">
        <is>
          <t>Modular / portable power</t>
        </is>
      </c>
      <c r="D5081" s="12" t="inlineStr">
        <is>
          <t>480 V welding receptacle 2</t>
        </is>
      </c>
      <c r="E5081" s="12" t="inlineStr"/>
      <c r="F5081" s="12" t="inlineStr">
        <is>
          <t>PCM: power control module</t>
        </is>
      </c>
      <c r="G5081" s="12" t="inlineStr">
        <is>
          <t>RICE-8</t>
        </is>
      </c>
      <c r="H5081" s="12" t="inlineStr">
        <is>
          <t>RICE engine-generator 8</t>
        </is>
      </c>
      <c r="I5081" s="12" t="inlineStr">
        <is>
          <t>LV 600 V</t>
        </is>
      </c>
      <c r="J5081" s="12" t="inlineStr">
        <is>
          <t>Type TC-ER 600 V 3/C Cu XHHW-2 + ground, PVC jacket</t>
        </is>
      </c>
      <c r="K5081" s="12" t="inlineStr">
        <is>
          <t>LV|3/C+G|2</t>
        </is>
      </c>
      <c r="L5081" s="12" t="inlineStr">
        <is>
          <t>3/C+G</t>
        </is>
      </c>
      <c r="M5081" s="12" t="inlineStr">
        <is>
          <t>2</t>
        </is>
      </c>
      <c r="N5081" s="12" t="n">
        <v>1</v>
      </c>
      <c r="O5081" s="12" t="n">
        <v>1</v>
      </c>
      <c r="P5081" s="12" t="n">
        <v>480</v>
      </c>
      <c r="Q5081" s="12" t="n">
        <v>60</v>
      </c>
      <c r="R5081" s="12" t="n">
        <v>76</v>
      </c>
      <c r="S5081" s="12" t="inlineStr">
        <is>
          <t>Tray</t>
        </is>
      </c>
      <c r="T5081" s="16" t="n">
        <v>0</v>
      </c>
      <c r="U5081" s="16" t="n">
        <v>161</v>
      </c>
      <c r="V5081" s="16">
        <f>ROUNDUP((T5081+U5081+2*'Read Me'!$B$13)*(1+'Read Me'!$B$12),-1)</f>
        <v/>
      </c>
      <c r="W5081" s="16">
        <f>V5081*N5081*O5081</f>
        <v/>
      </c>
      <c r="X5081" s="12">
        <f>IF(LEFT(I5081,2)="MV",2*N5081*IF(L5081="1/C",O5081,1),0)</f>
        <v/>
      </c>
      <c r="Y5081" s="12">
        <f>IF(OR(LEFT(K5081,4)="LVAX",LEFT(K5081,6)="MV15AX",LEFT(K5081,4)="CTAX",LEFT(K5081,2)="W|"),2*N5081*O5081,0)</f>
        <v/>
      </c>
      <c r="Z5081" s="12" t="inlineStr">
        <is>
          <t>VD 0.9 %</t>
        </is>
      </c>
      <c r="AA5081" s="12">
        <f>N5081*O5081</f>
        <v/>
      </c>
    </row>
    <row r="5082">
      <c r="A5082" s="12" t="inlineStr">
        <is>
          <t>I-P-0176</t>
        </is>
      </c>
      <c r="B5082" s="12" t="inlineStr">
        <is>
          <t>I</t>
        </is>
      </c>
      <c r="C5082" s="12" t="inlineStr">
        <is>
          <t>Modular / portable power</t>
        </is>
      </c>
      <c r="D5082" s="12" t="inlineStr">
        <is>
          <t>480 V welding receptacle 3</t>
        </is>
      </c>
      <c r="E5082" s="12" t="inlineStr"/>
      <c r="F5082" s="12" t="inlineStr">
        <is>
          <t>PCM: power control module</t>
        </is>
      </c>
      <c r="G5082" s="12" t="inlineStr">
        <is>
          <t>RICE-8</t>
        </is>
      </c>
      <c r="H5082" s="12" t="inlineStr">
        <is>
          <t>RICE engine-generator 8</t>
        </is>
      </c>
      <c r="I5082" s="12" t="inlineStr">
        <is>
          <t>LV 600 V</t>
        </is>
      </c>
      <c r="J5082" s="12" t="inlineStr">
        <is>
          <t>Type TC-ER 600 V 3/C Cu XHHW-2 + ground, PVC jacket</t>
        </is>
      </c>
      <c r="K5082" s="12" t="inlineStr">
        <is>
          <t>LV|3/C+G|2</t>
        </is>
      </c>
      <c r="L5082" s="12" t="inlineStr">
        <is>
          <t>3/C+G</t>
        </is>
      </c>
      <c r="M5082" s="12" t="inlineStr">
        <is>
          <t>2</t>
        </is>
      </c>
      <c r="N5082" s="12" t="n">
        <v>1</v>
      </c>
      <c r="O5082" s="12" t="n">
        <v>1</v>
      </c>
      <c r="P5082" s="12" t="n">
        <v>480</v>
      </c>
      <c r="Q5082" s="12" t="n">
        <v>60</v>
      </c>
      <c r="R5082" s="12" t="n">
        <v>76</v>
      </c>
      <c r="S5082" s="12" t="inlineStr">
        <is>
          <t>Tray</t>
        </is>
      </c>
      <c r="T5082" s="16" t="n">
        <v>0</v>
      </c>
      <c r="U5082" s="16" t="n">
        <v>161</v>
      </c>
      <c r="V5082" s="16">
        <f>ROUNDUP((T5082+U5082+2*'Read Me'!$B$13)*(1+'Read Me'!$B$12),-1)</f>
        <v/>
      </c>
      <c r="W5082" s="16">
        <f>V5082*N5082*O5082</f>
        <v/>
      </c>
      <c r="X5082" s="12">
        <f>IF(LEFT(I5082,2)="MV",2*N5082*IF(L5082="1/C",O5082,1),0)</f>
        <v/>
      </c>
      <c r="Y5082" s="12">
        <f>IF(OR(LEFT(K5082,4)="LVAX",LEFT(K5082,6)="MV15AX",LEFT(K5082,4)="CTAX",LEFT(K5082,2)="W|"),2*N5082*O5082,0)</f>
        <v/>
      </c>
      <c r="Z5082" s="12" t="inlineStr">
        <is>
          <t>VD 0.9 %</t>
        </is>
      </c>
      <c r="AA5082" s="12">
        <f>N5082*O5082</f>
        <v/>
      </c>
    </row>
    <row r="5083">
      <c r="A5083" s="12" t="inlineStr">
        <is>
          <t>I-P-0177</t>
        </is>
      </c>
      <c r="B5083" s="12" t="inlineStr">
        <is>
          <t>I</t>
        </is>
      </c>
      <c r="C5083" s="12" t="inlineStr">
        <is>
          <t>Modular / portable power</t>
        </is>
      </c>
      <c r="D5083" s="12" t="inlineStr">
        <is>
          <t>480 V welding receptacle 4</t>
        </is>
      </c>
      <c r="E5083" s="12" t="inlineStr"/>
      <c r="F5083" s="12" t="inlineStr">
        <is>
          <t>PCM: power control module</t>
        </is>
      </c>
      <c r="G5083" s="12" t="inlineStr">
        <is>
          <t>RICE-8</t>
        </is>
      </c>
      <c r="H5083" s="12" t="inlineStr">
        <is>
          <t>RICE engine-generator 8</t>
        </is>
      </c>
      <c r="I5083" s="12" t="inlineStr">
        <is>
          <t>LV 600 V</t>
        </is>
      </c>
      <c r="J5083" s="12" t="inlineStr">
        <is>
          <t>Type TC-ER 600 V 3/C Cu XHHW-2 + ground, PVC jacket</t>
        </is>
      </c>
      <c r="K5083" s="12" t="inlineStr">
        <is>
          <t>LV|3/C+G|2</t>
        </is>
      </c>
      <c r="L5083" s="12" t="inlineStr">
        <is>
          <t>3/C+G</t>
        </is>
      </c>
      <c r="M5083" s="12" t="inlineStr">
        <is>
          <t>2</t>
        </is>
      </c>
      <c r="N5083" s="12" t="n">
        <v>1</v>
      </c>
      <c r="O5083" s="12" t="n">
        <v>1</v>
      </c>
      <c r="P5083" s="12" t="n">
        <v>480</v>
      </c>
      <c r="Q5083" s="12" t="n">
        <v>60</v>
      </c>
      <c r="R5083" s="12" t="n">
        <v>76</v>
      </c>
      <c r="S5083" s="12" t="inlineStr">
        <is>
          <t>Tray</t>
        </is>
      </c>
      <c r="T5083" s="16" t="n">
        <v>0</v>
      </c>
      <c r="U5083" s="16" t="n">
        <v>161</v>
      </c>
      <c r="V5083" s="16">
        <f>ROUNDUP((T5083+U5083+2*'Read Me'!$B$13)*(1+'Read Me'!$B$12),-1)</f>
        <v/>
      </c>
      <c r="W5083" s="16">
        <f>V5083*N5083*O5083</f>
        <v/>
      </c>
      <c r="X5083" s="12">
        <f>IF(LEFT(I5083,2)="MV",2*N5083*IF(L5083="1/C",O5083,1),0)</f>
        <v/>
      </c>
      <c r="Y5083" s="12">
        <f>IF(OR(LEFT(K5083,4)="LVAX",LEFT(K5083,6)="MV15AX",LEFT(K5083,4)="CTAX",LEFT(K5083,2)="W|"),2*N5083*O5083,0)</f>
        <v/>
      </c>
      <c r="Z5083" s="12" t="inlineStr">
        <is>
          <t>VD 0.9 %</t>
        </is>
      </c>
      <c r="AA5083" s="12">
        <f>N5083*O5083</f>
        <v/>
      </c>
    </row>
    <row r="5084">
      <c r="A5084" s="12" t="inlineStr">
        <is>
          <t>I-P-0178</t>
        </is>
      </c>
      <c r="B5084" s="12" t="inlineStr">
        <is>
          <t>I</t>
        </is>
      </c>
      <c r="C5084" s="12" t="inlineStr">
        <is>
          <t>Modular / portable power</t>
        </is>
      </c>
      <c r="D5084" s="12" t="inlineStr">
        <is>
          <t>LV power feeder</t>
        </is>
      </c>
      <c r="E5084" s="12" t="inlineStr"/>
      <c r="F5084" s="12" t="inlineStr">
        <is>
          <t>PCM: power control module</t>
        </is>
      </c>
      <c r="G5084" s="12" t="inlineStr"/>
      <c r="H5084" s="12" t="inlineStr">
        <is>
          <t>Reagent storage</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Tray</t>
        </is>
      </c>
      <c r="T5084" s="16" t="n">
        <v>32</v>
      </c>
      <c r="U5084" s="16" t="n">
        <v>32</v>
      </c>
      <c r="V5084" s="16">
        <f>ROUNDUP((T5084+U5084+2*'Read Me'!$B$13)*(1+'Read Me'!$B$12),-1)</f>
        <v/>
      </c>
      <c r="W5084" s="16">
        <f>V5084*N5084*O5084</f>
        <v/>
      </c>
      <c r="X5084" s="12">
        <f>IF(LEFT(I5084,2)="MV",2*N5084*IF(L5084="1/C",O5084,1),0)</f>
        <v/>
      </c>
      <c r="Y5084" s="12">
        <f>IF(OR(LEFT(K5084,4)="LVAX",LEFT(K5084,6)="MV15AX",LEFT(K5084,4)="CTAX",LEFT(K5084,2)="W|"),2*N5084*O5084,0)</f>
        <v/>
      </c>
      <c r="Z5084" s="12" t="inlineStr">
        <is>
          <t>VD 0.7 %</t>
        </is>
      </c>
      <c r="AA5084" s="12">
        <f>N5084*O5084</f>
        <v/>
      </c>
    </row>
    <row r="5085">
      <c r="A5085" s="12" t="inlineStr">
        <is>
          <t>I-P-0179</t>
        </is>
      </c>
      <c r="B5085" s="12" t="inlineStr">
        <is>
          <t>I</t>
        </is>
      </c>
      <c r="C5085" s="12" t="inlineStr">
        <is>
          <t>Modular / portable power</t>
        </is>
      </c>
      <c r="D5085" s="12" t="inlineStr">
        <is>
          <t>Motor 1 of 2, 30 kW</t>
        </is>
      </c>
      <c r="E5085" s="12" t="inlineStr"/>
      <c r="F5085" s="12" t="inlineStr">
        <is>
          <t>PCM: power control module</t>
        </is>
      </c>
      <c r="G5085" s="12" t="inlineStr"/>
      <c r="H5085" s="12" t="inlineStr">
        <is>
          <t>SC-1 SCR / CO catalyst</t>
        </is>
      </c>
      <c r="I5085" s="12" t="inlineStr">
        <is>
          <t>LV 600 V</t>
        </is>
      </c>
      <c r="J5085" s="12" t="inlineStr">
        <is>
          <t>Type TC-ER 600 V 3/C Cu XHHW-2 + ground, PVC jacket</t>
        </is>
      </c>
      <c r="K5085" s="12" t="inlineStr">
        <is>
          <t>LV|3/C+G|6</t>
        </is>
      </c>
      <c r="L5085" s="12" t="inlineStr">
        <is>
          <t>3/C+G</t>
        </is>
      </c>
      <c r="M5085" s="12" t="inlineStr">
        <is>
          <t>6</t>
        </is>
      </c>
      <c r="N5085" s="12" t="n">
        <v>1</v>
      </c>
      <c r="O5085" s="12" t="n">
        <v>1</v>
      </c>
      <c r="P5085" s="12" t="n">
        <v>480</v>
      </c>
      <c r="Q5085" s="12" t="n">
        <v>30</v>
      </c>
      <c r="R5085" s="12" t="n">
        <v>42.5</v>
      </c>
      <c r="S5085" s="12" t="inlineStr">
        <is>
          <t>Duct bank</t>
        </is>
      </c>
      <c r="T5085" s="16" t="n">
        <v>40</v>
      </c>
      <c r="U5085" s="16" t="n">
        <v>142</v>
      </c>
      <c r="V5085" s="16">
        <f>ROUNDUP((T5085+U5085+2*'Read Me'!$B$13)*(1+'Read Me'!$B$12),-1)</f>
        <v/>
      </c>
      <c r="W5085" s="16">
        <f>V5085*N5085*O5085</f>
        <v/>
      </c>
      <c r="X5085" s="12">
        <f>IF(LEFT(I5085,2)="MV",2*N5085*IF(L5085="1/C",O5085,1),0)</f>
        <v/>
      </c>
      <c r="Y5085" s="12">
        <f>IF(OR(LEFT(K5085,4)="LVAX",LEFT(K5085,6)="MV15AX",LEFT(K5085,4)="CTAX",LEFT(K5085,2)="W|"),2*N5085*O5085,0)</f>
        <v/>
      </c>
      <c r="Z5085" s="12" t="inlineStr">
        <is>
          <t>VD 1.5 %</t>
        </is>
      </c>
      <c r="AA5085" s="12">
        <f>N5085*O5085</f>
        <v/>
      </c>
    </row>
    <row r="5086">
      <c r="A5086" s="12" t="inlineStr">
        <is>
          <t>I-P-0180</t>
        </is>
      </c>
      <c r="B5086" s="12" t="inlineStr">
        <is>
          <t>I</t>
        </is>
      </c>
      <c r="C5086" s="12" t="inlineStr">
        <is>
          <t>Modular / portable power</t>
        </is>
      </c>
      <c r="D5086" s="12" t="inlineStr">
        <is>
          <t>Motor 2 of 2, 30 kW</t>
        </is>
      </c>
      <c r="E5086" s="12" t="inlineStr"/>
      <c r="F5086" s="12" t="inlineStr">
        <is>
          <t>PCM: power control module</t>
        </is>
      </c>
      <c r="G5086" s="12" t="inlineStr"/>
      <c r="H5086" s="12" t="inlineStr">
        <is>
          <t>SC-1 SCR / CO catalyst</t>
        </is>
      </c>
      <c r="I5086" s="12" t="inlineStr">
        <is>
          <t>LV 600 V</t>
        </is>
      </c>
      <c r="J5086" s="12" t="inlineStr">
        <is>
          <t>Type TC-ER 600 V 3/C Cu XHHW-2 + ground, PVC jacket</t>
        </is>
      </c>
      <c r="K5086" s="12" t="inlineStr">
        <is>
          <t>LV|3/C+G|6</t>
        </is>
      </c>
      <c r="L5086" s="12" t="inlineStr">
        <is>
          <t>3/C+G</t>
        </is>
      </c>
      <c r="M5086" s="12" t="inlineStr">
        <is>
          <t>6</t>
        </is>
      </c>
      <c r="N5086" s="12" t="n">
        <v>1</v>
      </c>
      <c r="O5086" s="12" t="n">
        <v>1</v>
      </c>
      <c r="P5086" s="12" t="n">
        <v>480</v>
      </c>
      <c r="Q5086" s="12" t="n">
        <v>30</v>
      </c>
      <c r="R5086" s="12" t="n">
        <v>42.5</v>
      </c>
      <c r="S5086" s="12" t="inlineStr">
        <is>
          <t>Duct bank</t>
        </is>
      </c>
      <c r="T5086" s="16" t="n">
        <v>40</v>
      </c>
      <c r="U5086" s="16" t="n">
        <v>142</v>
      </c>
      <c r="V5086" s="16">
        <f>ROUNDUP((T5086+U5086+2*'Read Me'!$B$13)*(1+'Read Me'!$B$12),-1)</f>
        <v/>
      </c>
      <c r="W5086" s="16">
        <f>V5086*N5086*O5086</f>
        <v/>
      </c>
      <c r="X5086" s="12">
        <f>IF(LEFT(I5086,2)="MV",2*N5086*IF(L5086="1/C",O5086,1),0)</f>
        <v/>
      </c>
      <c r="Y5086" s="12">
        <f>IF(OR(LEFT(K5086,4)="LVAX",LEFT(K5086,6)="MV15AX",LEFT(K5086,4)="CTAX",LEFT(K5086,2)="W|"),2*N5086*O5086,0)</f>
        <v/>
      </c>
      <c r="Z5086" s="12" t="inlineStr">
        <is>
          <t>VD 1.5 %</t>
        </is>
      </c>
      <c r="AA5086" s="12">
        <f>N5086*O5086</f>
        <v/>
      </c>
    </row>
    <row r="5087">
      <c r="A5087" s="12" t="inlineStr">
        <is>
          <t>I-P-0181</t>
        </is>
      </c>
      <c r="B5087" s="12" t="inlineStr">
        <is>
          <t>I</t>
        </is>
      </c>
      <c r="C5087" s="12" t="inlineStr">
        <is>
          <t>Modular / portable power</t>
        </is>
      </c>
      <c r="D5087" s="12" t="inlineStr">
        <is>
          <t>Motor 1 of 4, 15 kW</t>
        </is>
      </c>
      <c r="E5087" s="12" t="inlineStr"/>
      <c r="F5087" s="12" t="inlineStr">
        <is>
          <t>PCM: power control module</t>
        </is>
      </c>
      <c r="G5087" s="12" t="inlineStr"/>
      <c r="H5087" s="12" t="inlineStr">
        <is>
          <t>SC-1 lube-oil fin-fan cooler</t>
        </is>
      </c>
      <c r="I5087" s="12" t="inlineStr">
        <is>
          <t>LV 600 V</t>
        </is>
      </c>
      <c r="J5087" s="12" t="inlineStr">
        <is>
          <t>Type TC-ER 600 V 3/C Cu XHHW-2 + ground, PVC jacket</t>
        </is>
      </c>
      <c r="K5087" s="12" t="inlineStr">
        <is>
          <t>LV|3/C+G|10</t>
        </is>
      </c>
      <c r="L5087" s="12" t="inlineStr">
        <is>
          <t>3/C+G</t>
        </is>
      </c>
      <c r="M5087" s="12" t="inlineStr">
        <is>
          <t>10</t>
        </is>
      </c>
      <c r="N5087" s="12" t="n">
        <v>1</v>
      </c>
      <c r="O5087" s="12" t="n">
        <v>1</v>
      </c>
      <c r="P5087" s="12" t="n">
        <v>480</v>
      </c>
      <c r="Q5087" s="12" t="n">
        <v>15</v>
      </c>
      <c r="R5087" s="12" t="n">
        <v>21.2</v>
      </c>
      <c r="S5087" s="12" t="inlineStr">
        <is>
          <t>Duct bank</t>
        </is>
      </c>
      <c r="T5087" s="16" t="n">
        <v>82</v>
      </c>
      <c r="U5087" s="16" t="n">
        <v>82</v>
      </c>
      <c r="V5087" s="16">
        <f>ROUNDUP((T5087+U5087+2*'Read Me'!$B$13)*(1+'Read Me'!$B$12),-1)</f>
        <v/>
      </c>
      <c r="W5087" s="16">
        <f>V5087*N5087*O5087</f>
        <v/>
      </c>
      <c r="X5087" s="12">
        <f>IF(LEFT(I5087,2)="MV",2*N5087*IF(L5087="1/C",O5087,1),0)</f>
        <v/>
      </c>
      <c r="Y5087" s="12">
        <f>IF(OR(LEFT(K5087,4)="LVAX",LEFT(K5087,6)="MV15AX",LEFT(K5087,4)="CTAX",LEFT(K5087,2)="W|"),2*N5087*O5087,0)</f>
        <v/>
      </c>
      <c r="Z5087" s="12" t="inlineStr">
        <is>
          <t>VD 1.7 %</t>
        </is>
      </c>
      <c r="AA5087" s="12">
        <f>N5087*O5087</f>
        <v/>
      </c>
    </row>
    <row r="5088">
      <c r="A5088" s="12" t="inlineStr">
        <is>
          <t>I-P-0182</t>
        </is>
      </c>
      <c r="B5088" s="12" t="inlineStr">
        <is>
          <t>I</t>
        </is>
      </c>
      <c r="C5088" s="12" t="inlineStr">
        <is>
          <t>Modular / portable power</t>
        </is>
      </c>
      <c r="D5088" s="12" t="inlineStr">
        <is>
          <t>Motor 2 of 4, 15 kW</t>
        </is>
      </c>
      <c r="E5088" s="12" t="inlineStr"/>
      <c r="F5088" s="12" t="inlineStr">
        <is>
          <t>PCM: power control module</t>
        </is>
      </c>
      <c r="G5088" s="12" t="inlineStr"/>
      <c r="H5088" s="12" t="inlineStr">
        <is>
          <t>SC-1 lube-oil fin-fan cooler</t>
        </is>
      </c>
      <c r="I5088" s="12" t="inlineStr">
        <is>
          <t>LV 600 V</t>
        </is>
      </c>
      <c r="J5088" s="12" t="inlineStr">
        <is>
          <t>Type TC-ER 600 V 3/C Cu XHHW-2 + ground, PVC jacket</t>
        </is>
      </c>
      <c r="K5088" s="12" t="inlineStr">
        <is>
          <t>LV|3/C+G|10</t>
        </is>
      </c>
      <c r="L5088" s="12" t="inlineStr">
        <is>
          <t>3/C+G</t>
        </is>
      </c>
      <c r="M5088" s="12" t="inlineStr">
        <is>
          <t>10</t>
        </is>
      </c>
      <c r="N5088" s="12" t="n">
        <v>1</v>
      </c>
      <c r="O5088" s="12" t="n">
        <v>1</v>
      </c>
      <c r="P5088" s="12" t="n">
        <v>480</v>
      </c>
      <c r="Q5088" s="12" t="n">
        <v>15</v>
      </c>
      <c r="R5088" s="12" t="n">
        <v>21.2</v>
      </c>
      <c r="S5088" s="12" t="inlineStr">
        <is>
          <t>Duct bank</t>
        </is>
      </c>
      <c r="T5088" s="16" t="n">
        <v>82</v>
      </c>
      <c r="U5088" s="16" t="n">
        <v>82</v>
      </c>
      <c r="V5088" s="16">
        <f>ROUNDUP((T5088+U5088+2*'Read Me'!$B$13)*(1+'Read Me'!$B$12),-1)</f>
        <v/>
      </c>
      <c r="W5088" s="16">
        <f>V5088*N5088*O5088</f>
        <v/>
      </c>
      <c r="X5088" s="12">
        <f>IF(LEFT(I5088,2)="MV",2*N5088*IF(L5088="1/C",O5088,1),0)</f>
        <v/>
      </c>
      <c r="Y5088" s="12">
        <f>IF(OR(LEFT(K5088,4)="LVAX",LEFT(K5088,6)="MV15AX",LEFT(K5088,4)="CTAX",LEFT(K5088,2)="W|"),2*N5088*O5088,0)</f>
        <v/>
      </c>
      <c r="Z5088" s="12" t="inlineStr">
        <is>
          <t>VD 1.7 %</t>
        </is>
      </c>
      <c r="AA5088" s="12">
        <f>N5088*O5088</f>
        <v/>
      </c>
    </row>
    <row r="5089">
      <c r="A5089" s="12" t="inlineStr">
        <is>
          <t>I-P-0183</t>
        </is>
      </c>
      <c r="B5089" s="12" t="inlineStr">
        <is>
          <t>I</t>
        </is>
      </c>
      <c r="C5089" s="12" t="inlineStr">
        <is>
          <t>Modular / portable power</t>
        </is>
      </c>
      <c r="D5089" s="12" t="inlineStr">
        <is>
          <t>Motor 3 of 4, 15 kW</t>
        </is>
      </c>
      <c r="E5089" s="12" t="inlineStr"/>
      <c r="F5089" s="12" t="inlineStr">
        <is>
          <t>PCM: power control module</t>
        </is>
      </c>
      <c r="G5089" s="12" t="inlineStr"/>
      <c r="H5089" s="12" t="inlineStr">
        <is>
          <t>SC-1 lube-oil fin-fan cooler</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15</v>
      </c>
      <c r="R5089" s="12" t="n">
        <v>21.2</v>
      </c>
      <c r="S5089" s="12" t="inlineStr">
        <is>
          <t>Duct bank</t>
        </is>
      </c>
      <c r="T5089" s="16" t="n">
        <v>82</v>
      </c>
      <c r="U5089" s="16" t="n">
        <v>82</v>
      </c>
      <c r="V5089" s="16">
        <f>ROUNDUP((T5089+U5089+2*'Read Me'!$B$13)*(1+'Read Me'!$B$12),-1)</f>
        <v/>
      </c>
      <c r="W5089" s="16">
        <f>V5089*N5089*O5089</f>
        <v/>
      </c>
      <c r="X5089" s="12">
        <f>IF(LEFT(I5089,2)="MV",2*N5089*IF(L5089="1/C",O5089,1),0)</f>
        <v/>
      </c>
      <c r="Y5089" s="12">
        <f>IF(OR(LEFT(K5089,4)="LVAX",LEFT(K5089,6)="MV15AX",LEFT(K5089,4)="CTAX",LEFT(K5089,2)="W|"),2*N5089*O5089,0)</f>
        <v/>
      </c>
      <c r="Z5089" s="12" t="inlineStr">
        <is>
          <t>VD 1.7 %</t>
        </is>
      </c>
      <c r="AA5089" s="12">
        <f>N5089*O5089</f>
        <v/>
      </c>
    </row>
    <row r="5090">
      <c r="A5090" s="12" t="inlineStr">
        <is>
          <t>I-P-0184</t>
        </is>
      </c>
      <c r="B5090" s="12" t="inlineStr">
        <is>
          <t>I</t>
        </is>
      </c>
      <c r="C5090" s="12" t="inlineStr">
        <is>
          <t>Modular / portable power</t>
        </is>
      </c>
      <c r="D5090" s="12" t="inlineStr">
        <is>
          <t>Motor 4 of 4, 15 kW</t>
        </is>
      </c>
      <c r="E5090" s="12" t="inlineStr"/>
      <c r="F5090" s="12" t="inlineStr">
        <is>
          <t>PCM: power control module</t>
        </is>
      </c>
      <c r="G5090" s="12" t="inlineStr"/>
      <c r="H5090" s="12" t="inlineStr">
        <is>
          <t>SC-1 lube-oil fin-fan cooler</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15</v>
      </c>
      <c r="R5090" s="12" t="n">
        <v>21.2</v>
      </c>
      <c r="S5090" s="12" t="inlineStr">
        <is>
          <t>Duct bank</t>
        </is>
      </c>
      <c r="T5090" s="16" t="n">
        <v>82</v>
      </c>
      <c r="U5090" s="16" t="n">
        <v>82</v>
      </c>
      <c r="V5090" s="16">
        <f>ROUNDUP((T5090+U5090+2*'Read Me'!$B$13)*(1+'Read Me'!$B$12),-1)</f>
        <v/>
      </c>
      <c r="W5090" s="16">
        <f>V5090*N5090*O5090</f>
        <v/>
      </c>
      <c r="X5090" s="12">
        <f>IF(LEFT(I5090,2)="MV",2*N5090*IF(L5090="1/C",O5090,1),0)</f>
        <v/>
      </c>
      <c r="Y5090" s="12">
        <f>IF(OR(LEFT(K5090,4)="LVAX",LEFT(K5090,6)="MV15AX",LEFT(K5090,4)="CTAX",LEFT(K5090,2)="W|"),2*N5090*O5090,0)</f>
        <v/>
      </c>
      <c r="Z5090" s="12" t="inlineStr">
        <is>
          <t>VD 1.7 %</t>
        </is>
      </c>
      <c r="AA5090" s="12">
        <f>N5090*O5090</f>
        <v/>
      </c>
    </row>
    <row r="5091">
      <c r="A5091" s="12" t="inlineStr">
        <is>
          <t>I-P-0185</t>
        </is>
      </c>
      <c r="B5091" s="12" t="inlineStr">
        <is>
          <t>I</t>
        </is>
      </c>
      <c r="C5091" s="12" t="inlineStr">
        <is>
          <t>Modular / portable power</t>
        </is>
      </c>
      <c r="D5091" s="12" t="inlineStr">
        <is>
          <t>Area / platform lighting circuit 1 (4 fixtures)</t>
        </is>
      </c>
      <c r="E5091" s="12" t="inlineStr"/>
      <c r="F5091" s="12" t="inlineStr">
        <is>
          <t>PCM: power control module</t>
        </is>
      </c>
      <c r="G5091" s="12" t="inlineStr"/>
      <c r="H5091" s="12" t="inlineStr">
        <is>
          <t>SC-1 stack (80 ft)</t>
        </is>
      </c>
      <c r="I5091" s="12" t="inlineStr">
        <is>
          <t>LV 600 V</t>
        </is>
      </c>
      <c r="J5091" s="12" t="inlineStr">
        <is>
          <t>Type TC-ER 600 V 3/C Cu XHHW-2 + ground, PVC jacket</t>
        </is>
      </c>
      <c r="K5091" s="12" t="inlineStr">
        <is>
          <t>LV|3/C+G|2</t>
        </is>
      </c>
      <c r="L5091" s="12" t="inlineStr">
        <is>
          <t>3/C+G</t>
        </is>
      </c>
      <c r="M5091" s="12" t="inlineStr">
        <is>
          <t>2</t>
        </is>
      </c>
      <c r="N5091" s="12" t="n">
        <v>1</v>
      </c>
      <c r="O5091" s="12" t="n">
        <v>1</v>
      </c>
      <c r="P5091" s="12" t="n">
        <v>480</v>
      </c>
      <c r="Q5091" s="12" t="n">
        <v>3</v>
      </c>
      <c r="R5091" s="12" t="n">
        <v>5</v>
      </c>
      <c r="S5091" s="12" t="inlineStr">
        <is>
          <t>HV duct bank</t>
        </is>
      </c>
      <c r="T5091" s="16" t="n">
        <v>4803</v>
      </c>
      <c r="U5091" s="16" t="n">
        <v>138</v>
      </c>
      <c r="V5091" s="16">
        <f>ROUNDUP((T5091+U5091+2*'Read Me'!$B$13)*(1+'Read Me'!$B$12),-1)</f>
        <v/>
      </c>
      <c r="W5091" s="16">
        <f>V5091*N5091*O5091</f>
        <v/>
      </c>
      <c r="X5091" s="12">
        <f>IF(LEFT(I5091,2)="MV",2*N5091*IF(L5091="1/C",O5091,1),0)</f>
        <v/>
      </c>
      <c r="Y5091" s="12">
        <f>IF(OR(LEFT(K5091,4)="LVAX",LEFT(K5091,6)="MV15AX",LEFT(K5091,4)="CTAX",LEFT(K5091,2)="W|"),2*N5091*O5091,0)</f>
        <v/>
      </c>
      <c r="Z5091" s="12" t="inlineStr">
        <is>
          <t>fixture-to-fixture run included</t>
        </is>
      </c>
      <c r="AA5091" s="12">
        <f>N5091*O5091</f>
        <v/>
      </c>
    </row>
    <row r="5092">
      <c r="A5092" s="12" t="inlineStr">
        <is>
          <t>I-P-0186</t>
        </is>
      </c>
      <c r="B5092" s="12" t="inlineStr">
        <is>
          <t>I</t>
        </is>
      </c>
      <c r="C5092" s="12" t="inlineStr">
        <is>
          <t>Modular / portable power</t>
        </is>
      </c>
      <c r="D5092" s="12" t="inlineStr">
        <is>
          <t>Motor 1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I-P-0187</t>
        </is>
      </c>
      <c r="B5093" s="12" t="inlineStr">
        <is>
          <t>I</t>
        </is>
      </c>
      <c r="C5093" s="12" t="inlineStr">
        <is>
          <t>Modular / portable power</t>
        </is>
      </c>
      <c r="D5093" s="12" t="inlineStr">
        <is>
          <t>Motor 2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I-P-0188</t>
        </is>
      </c>
      <c r="B5094" s="12" t="inlineStr">
        <is>
          <t>I</t>
        </is>
      </c>
      <c r="C5094" s="12" t="inlineStr">
        <is>
          <t>Modular / portable power</t>
        </is>
      </c>
      <c r="D5094" s="12" t="inlineStr">
        <is>
          <t>Motor 3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I-P-0189</t>
        </is>
      </c>
      <c r="B5095" s="12" t="inlineStr">
        <is>
          <t>I</t>
        </is>
      </c>
      <c r="C5095" s="12" t="inlineStr">
        <is>
          <t>Modular / portable power</t>
        </is>
      </c>
      <c r="D5095" s="12" t="inlineStr">
        <is>
          <t>Motor 4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I-P-0190</t>
        </is>
      </c>
      <c r="B5096" s="12" t="inlineStr">
        <is>
          <t>I</t>
        </is>
      </c>
      <c r="C5096" s="12" t="inlineStr">
        <is>
          <t>Modular / portable power</t>
        </is>
      </c>
      <c r="D5096" s="12" t="inlineStr">
        <is>
          <t>Motor 5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I-P-0191</t>
        </is>
      </c>
      <c r="B5097" s="12" t="inlineStr">
        <is>
          <t>I</t>
        </is>
      </c>
      <c r="C5097" s="12" t="inlineStr">
        <is>
          <t>Modular / portable power</t>
        </is>
      </c>
      <c r="D5097" s="12" t="inlineStr">
        <is>
          <t>Motor 6 of 10, 30 kW</t>
        </is>
      </c>
      <c r="E5097" s="12" t="inlineStr"/>
      <c r="F5097" s="12" t="inlineStr">
        <is>
          <t>PCM: power control module</t>
        </is>
      </c>
      <c r="G5097" s="12" t="inlineStr">
        <is>
          <t>SC-1</t>
        </is>
      </c>
      <c r="H5097" s="12" t="inlineStr">
        <is>
          <t>SC-1: aeroderivative simple-cycle unit (LM6000 class)</t>
        </is>
      </c>
      <c r="I5097" s="12" t="inlineStr">
        <is>
          <t>LV 600 V</t>
        </is>
      </c>
      <c r="J5097" s="12" t="inlineStr">
        <is>
          <t>Type TC-ER 600 V 3/C Cu XHHW-2 + ground, PVC jacket</t>
        </is>
      </c>
      <c r="K5097" s="12" t="inlineStr">
        <is>
          <t>LV|3/C+G|6</t>
        </is>
      </c>
      <c r="L5097" s="12" t="inlineStr">
        <is>
          <t>3/C+G</t>
        </is>
      </c>
      <c r="M5097" s="12" t="inlineStr">
        <is>
          <t>6</t>
        </is>
      </c>
      <c r="N5097" s="12" t="n">
        <v>1</v>
      </c>
      <c r="O5097" s="12" t="n">
        <v>1</v>
      </c>
      <c r="P5097" s="12" t="n">
        <v>480</v>
      </c>
      <c r="Q5097" s="12" t="n">
        <v>30</v>
      </c>
      <c r="R5097" s="12" t="n">
        <v>42.5</v>
      </c>
      <c r="S5097" s="12" t="inlineStr">
        <is>
          <t>Duct bank</t>
        </is>
      </c>
      <c r="T5097" s="16" t="n">
        <v>40</v>
      </c>
      <c r="U5097" s="16" t="n">
        <v>52</v>
      </c>
      <c r="V5097" s="16">
        <f>ROUNDUP((T5097+U5097+2*'Read Me'!$B$13)*(1+'Read Me'!$B$12),-1)</f>
        <v/>
      </c>
      <c r="W5097" s="16">
        <f>V5097*N5097*O5097</f>
        <v/>
      </c>
      <c r="X5097" s="12">
        <f>IF(LEFT(I5097,2)="MV",2*N5097*IF(L5097="1/C",O5097,1),0)</f>
        <v/>
      </c>
      <c r="Y5097" s="12">
        <f>IF(OR(LEFT(K5097,4)="LVAX",LEFT(K5097,6)="MV15AX",LEFT(K5097,4)="CTAX",LEFT(K5097,2)="W|"),2*N5097*O5097,0)</f>
        <v/>
      </c>
      <c r="Z5097" s="12" t="inlineStr">
        <is>
          <t>VD 0.8 %</t>
        </is>
      </c>
      <c r="AA5097" s="12">
        <f>N5097*O5097</f>
        <v/>
      </c>
    </row>
    <row r="5098">
      <c r="A5098" s="12" t="inlineStr">
        <is>
          <t>I-P-0192</t>
        </is>
      </c>
      <c r="B5098" s="12" t="inlineStr">
        <is>
          <t>I</t>
        </is>
      </c>
      <c r="C5098" s="12" t="inlineStr">
        <is>
          <t>Modular / portable power</t>
        </is>
      </c>
      <c r="D5098" s="12" t="inlineStr">
        <is>
          <t>Motor 7 of 10, 30 kW</t>
        </is>
      </c>
      <c r="E5098" s="12" t="inlineStr"/>
      <c r="F5098" s="12" t="inlineStr">
        <is>
          <t>PCM: power control module</t>
        </is>
      </c>
      <c r="G5098" s="12" t="inlineStr">
        <is>
          <t>SC-1</t>
        </is>
      </c>
      <c r="H5098" s="12" t="inlineStr">
        <is>
          <t>SC-1: aeroderivative simple-cycle unit (LM6000 class)</t>
        </is>
      </c>
      <c r="I5098" s="12" t="inlineStr">
        <is>
          <t>LV 600 V</t>
        </is>
      </c>
      <c r="J5098" s="12" t="inlineStr">
        <is>
          <t>Type TC-ER 600 V 3/C Cu XHHW-2 + ground, PVC jacket</t>
        </is>
      </c>
      <c r="K5098" s="12" t="inlineStr">
        <is>
          <t>LV|3/C+G|6</t>
        </is>
      </c>
      <c r="L5098" s="12" t="inlineStr">
        <is>
          <t>3/C+G</t>
        </is>
      </c>
      <c r="M5098" s="12" t="inlineStr">
        <is>
          <t>6</t>
        </is>
      </c>
      <c r="N5098" s="12" t="n">
        <v>1</v>
      </c>
      <c r="O5098" s="12" t="n">
        <v>1</v>
      </c>
      <c r="P5098" s="12" t="n">
        <v>480</v>
      </c>
      <c r="Q5098" s="12" t="n">
        <v>30</v>
      </c>
      <c r="R5098" s="12" t="n">
        <v>42.5</v>
      </c>
      <c r="S5098" s="12" t="inlineStr">
        <is>
          <t>Duct bank</t>
        </is>
      </c>
      <c r="T5098" s="16" t="n">
        <v>40</v>
      </c>
      <c r="U5098" s="16" t="n">
        <v>52</v>
      </c>
      <c r="V5098" s="16">
        <f>ROUNDUP((T5098+U5098+2*'Read Me'!$B$13)*(1+'Read Me'!$B$12),-1)</f>
        <v/>
      </c>
      <c r="W5098" s="16">
        <f>V5098*N5098*O5098</f>
        <v/>
      </c>
      <c r="X5098" s="12">
        <f>IF(LEFT(I5098,2)="MV",2*N5098*IF(L5098="1/C",O5098,1),0)</f>
        <v/>
      </c>
      <c r="Y5098" s="12">
        <f>IF(OR(LEFT(K5098,4)="LVAX",LEFT(K5098,6)="MV15AX",LEFT(K5098,4)="CTAX",LEFT(K5098,2)="W|"),2*N5098*O5098,0)</f>
        <v/>
      </c>
      <c r="Z5098" s="12" t="inlineStr">
        <is>
          <t>VD 0.8 %</t>
        </is>
      </c>
      <c r="AA5098" s="12">
        <f>N5098*O5098</f>
        <v/>
      </c>
    </row>
    <row r="5099">
      <c r="A5099" s="12" t="inlineStr">
        <is>
          <t>I-P-0193</t>
        </is>
      </c>
      <c r="B5099" s="12" t="inlineStr">
        <is>
          <t>I</t>
        </is>
      </c>
      <c r="C5099" s="12" t="inlineStr">
        <is>
          <t>Modular / portable power</t>
        </is>
      </c>
      <c r="D5099" s="12" t="inlineStr">
        <is>
          <t>Motor 8 of 10, 30 kW</t>
        </is>
      </c>
      <c r="E5099" s="12" t="inlineStr"/>
      <c r="F5099" s="12" t="inlineStr">
        <is>
          <t>PCM: power control module</t>
        </is>
      </c>
      <c r="G5099" s="12" t="inlineStr">
        <is>
          <t>SC-1</t>
        </is>
      </c>
      <c r="H5099" s="12" t="inlineStr">
        <is>
          <t>SC-1: aeroderivative simple-cycle unit (LM6000 class)</t>
        </is>
      </c>
      <c r="I5099" s="12" t="inlineStr">
        <is>
          <t>LV 600 V</t>
        </is>
      </c>
      <c r="J5099" s="12" t="inlineStr">
        <is>
          <t>Type TC-ER 600 V 3/C Cu XHHW-2 + ground, PVC jacket</t>
        </is>
      </c>
      <c r="K5099" s="12" t="inlineStr">
        <is>
          <t>LV|3/C+G|6</t>
        </is>
      </c>
      <c r="L5099" s="12" t="inlineStr">
        <is>
          <t>3/C+G</t>
        </is>
      </c>
      <c r="M5099" s="12" t="inlineStr">
        <is>
          <t>6</t>
        </is>
      </c>
      <c r="N5099" s="12" t="n">
        <v>1</v>
      </c>
      <c r="O5099" s="12" t="n">
        <v>1</v>
      </c>
      <c r="P5099" s="12" t="n">
        <v>480</v>
      </c>
      <c r="Q5099" s="12" t="n">
        <v>30</v>
      </c>
      <c r="R5099" s="12" t="n">
        <v>42.5</v>
      </c>
      <c r="S5099" s="12" t="inlineStr">
        <is>
          <t>Duct bank</t>
        </is>
      </c>
      <c r="T5099" s="16" t="n">
        <v>40</v>
      </c>
      <c r="U5099" s="16" t="n">
        <v>52</v>
      </c>
      <c r="V5099" s="16">
        <f>ROUNDUP((T5099+U5099+2*'Read Me'!$B$13)*(1+'Read Me'!$B$12),-1)</f>
        <v/>
      </c>
      <c r="W5099" s="16">
        <f>V5099*N5099*O5099</f>
        <v/>
      </c>
      <c r="X5099" s="12">
        <f>IF(LEFT(I5099,2)="MV",2*N5099*IF(L5099="1/C",O5099,1),0)</f>
        <v/>
      </c>
      <c r="Y5099" s="12">
        <f>IF(OR(LEFT(K5099,4)="LVAX",LEFT(K5099,6)="MV15AX",LEFT(K5099,4)="CTAX",LEFT(K5099,2)="W|"),2*N5099*O5099,0)</f>
        <v/>
      </c>
      <c r="Z5099" s="12" t="inlineStr">
        <is>
          <t>VD 0.8 %</t>
        </is>
      </c>
      <c r="AA5099" s="12">
        <f>N5099*O5099</f>
        <v/>
      </c>
    </row>
    <row r="5100">
      <c r="A5100" s="12" t="inlineStr">
        <is>
          <t>I-P-0194</t>
        </is>
      </c>
      <c r="B5100" s="12" t="inlineStr">
        <is>
          <t>I</t>
        </is>
      </c>
      <c r="C5100" s="12" t="inlineStr">
        <is>
          <t>Modular / portable power</t>
        </is>
      </c>
      <c r="D5100" s="12" t="inlineStr">
        <is>
          <t>Motor 9 of 10, 30 kW</t>
        </is>
      </c>
      <c r="E5100" s="12" t="inlineStr"/>
      <c r="F5100" s="12" t="inlineStr">
        <is>
          <t>PCM: power control module</t>
        </is>
      </c>
      <c r="G5100" s="12" t="inlineStr">
        <is>
          <t>SC-1</t>
        </is>
      </c>
      <c r="H5100" s="12" t="inlineStr">
        <is>
          <t>SC-1: aeroderivative simple-cycle unit (LM6000 class)</t>
        </is>
      </c>
      <c r="I5100" s="12" t="inlineStr">
        <is>
          <t>LV 600 V</t>
        </is>
      </c>
      <c r="J5100" s="12" t="inlineStr">
        <is>
          <t>Type TC-ER 600 V 3/C Cu XHHW-2 + ground, PVC jacket</t>
        </is>
      </c>
      <c r="K5100" s="12" t="inlineStr">
        <is>
          <t>LV|3/C+G|6</t>
        </is>
      </c>
      <c r="L5100" s="12" t="inlineStr">
        <is>
          <t>3/C+G</t>
        </is>
      </c>
      <c r="M5100" s="12" t="inlineStr">
        <is>
          <t>6</t>
        </is>
      </c>
      <c r="N5100" s="12" t="n">
        <v>1</v>
      </c>
      <c r="O5100" s="12" t="n">
        <v>1</v>
      </c>
      <c r="P5100" s="12" t="n">
        <v>480</v>
      </c>
      <c r="Q5100" s="12" t="n">
        <v>30</v>
      </c>
      <c r="R5100" s="12" t="n">
        <v>42.5</v>
      </c>
      <c r="S5100" s="12" t="inlineStr">
        <is>
          <t>Duct bank</t>
        </is>
      </c>
      <c r="T5100" s="16" t="n">
        <v>40</v>
      </c>
      <c r="U5100" s="16" t="n">
        <v>52</v>
      </c>
      <c r="V5100" s="16">
        <f>ROUNDUP((T5100+U5100+2*'Read Me'!$B$13)*(1+'Read Me'!$B$12),-1)</f>
        <v/>
      </c>
      <c r="W5100" s="16">
        <f>V5100*N5100*O5100</f>
        <v/>
      </c>
      <c r="X5100" s="12">
        <f>IF(LEFT(I5100,2)="MV",2*N5100*IF(L5100="1/C",O5100,1),0)</f>
        <v/>
      </c>
      <c r="Y5100" s="12">
        <f>IF(OR(LEFT(K5100,4)="LVAX",LEFT(K5100,6)="MV15AX",LEFT(K5100,4)="CTAX",LEFT(K5100,2)="W|"),2*N5100*O5100,0)</f>
        <v/>
      </c>
      <c r="Z5100" s="12" t="inlineStr">
        <is>
          <t>VD 0.8 %</t>
        </is>
      </c>
      <c r="AA5100" s="12">
        <f>N5100*O5100</f>
        <v/>
      </c>
    </row>
    <row r="5101">
      <c r="A5101" s="12" t="inlineStr">
        <is>
          <t>I-P-0195</t>
        </is>
      </c>
      <c r="B5101" s="12" t="inlineStr">
        <is>
          <t>I</t>
        </is>
      </c>
      <c r="C5101" s="12" t="inlineStr">
        <is>
          <t>Modular / portable power</t>
        </is>
      </c>
      <c r="D5101" s="12" t="inlineStr">
        <is>
          <t>Motor 10 of 10, 30 kW</t>
        </is>
      </c>
      <c r="E5101" s="12" t="inlineStr"/>
      <c r="F5101" s="12" t="inlineStr">
        <is>
          <t>PCM: power control module</t>
        </is>
      </c>
      <c r="G5101" s="12" t="inlineStr">
        <is>
          <t>SC-1</t>
        </is>
      </c>
      <c r="H5101" s="12" t="inlineStr">
        <is>
          <t>SC-1: aeroderivative simple-cycle unit (LM6000 class)</t>
        </is>
      </c>
      <c r="I5101" s="12" t="inlineStr">
        <is>
          <t>LV 600 V</t>
        </is>
      </c>
      <c r="J5101" s="12" t="inlineStr">
        <is>
          <t>Type TC-ER 600 V 3/C Cu XHHW-2 + ground, PVC jacket</t>
        </is>
      </c>
      <c r="K5101" s="12" t="inlineStr">
        <is>
          <t>LV|3/C+G|6</t>
        </is>
      </c>
      <c r="L5101" s="12" t="inlineStr">
        <is>
          <t>3/C+G</t>
        </is>
      </c>
      <c r="M5101" s="12" t="inlineStr">
        <is>
          <t>6</t>
        </is>
      </c>
      <c r="N5101" s="12" t="n">
        <v>1</v>
      </c>
      <c r="O5101" s="12" t="n">
        <v>1</v>
      </c>
      <c r="P5101" s="12" t="n">
        <v>480</v>
      </c>
      <c r="Q5101" s="12" t="n">
        <v>30</v>
      </c>
      <c r="R5101" s="12" t="n">
        <v>42.5</v>
      </c>
      <c r="S5101" s="12" t="inlineStr">
        <is>
          <t>Duct bank</t>
        </is>
      </c>
      <c r="T5101" s="16" t="n">
        <v>40</v>
      </c>
      <c r="U5101" s="16" t="n">
        <v>52</v>
      </c>
      <c r="V5101" s="16">
        <f>ROUNDUP((T5101+U5101+2*'Read Me'!$B$13)*(1+'Read Me'!$B$12),-1)</f>
        <v/>
      </c>
      <c r="W5101" s="16">
        <f>V5101*N5101*O5101</f>
        <v/>
      </c>
      <c r="X5101" s="12">
        <f>IF(LEFT(I5101,2)="MV",2*N5101*IF(L5101="1/C",O5101,1),0)</f>
        <v/>
      </c>
      <c r="Y5101" s="12">
        <f>IF(OR(LEFT(K5101,4)="LVAX",LEFT(K5101,6)="MV15AX",LEFT(K5101,4)="CTAX",LEFT(K5101,2)="W|"),2*N5101*O5101,0)</f>
        <v/>
      </c>
      <c r="Z5101" s="12" t="inlineStr">
        <is>
          <t>VD 0.8 %</t>
        </is>
      </c>
      <c r="AA5101" s="12">
        <f>N5101*O5101</f>
        <v/>
      </c>
    </row>
    <row r="5102">
      <c r="A5102" s="12" t="inlineStr">
        <is>
          <t>I-P-0196</t>
        </is>
      </c>
      <c r="B5102" s="12" t="inlineStr">
        <is>
          <t>I</t>
        </is>
      </c>
      <c r="C5102" s="12" t="inlineStr">
        <is>
          <t>Modular / portable power</t>
        </is>
      </c>
      <c r="D5102" s="12" t="inlineStr">
        <is>
          <t>Motor 1 of 2, 30 kW</t>
        </is>
      </c>
      <c r="E5102" s="12" t="inlineStr"/>
      <c r="F5102" s="12" t="inlineStr">
        <is>
          <t>MOD-LV 480 V board + 480 V : 13.8 kV step-up</t>
        </is>
      </c>
      <c r="G5102" s="12" t="inlineStr"/>
      <c r="H5102" s="12" t="inlineStr">
        <is>
          <t>SC-2 SCR / CO catalyst</t>
        </is>
      </c>
      <c r="I5102" s="12" t="inlineStr">
        <is>
          <t>LV 600 V</t>
        </is>
      </c>
      <c r="J5102" s="12" t="inlineStr">
        <is>
          <t>Type TC-ER 600 V 3/C Cu XHHW-2 + ground, PVC jacket</t>
        </is>
      </c>
      <c r="K5102" s="12" t="inlineStr">
        <is>
          <t>LV|3/C+G|350</t>
        </is>
      </c>
      <c r="L5102" s="12" t="inlineStr">
        <is>
          <t>3/C+G</t>
        </is>
      </c>
      <c r="M5102" s="12" t="inlineStr">
        <is>
          <t>350 kcmil</t>
        </is>
      </c>
      <c r="N5102" s="12" t="n">
        <v>1</v>
      </c>
      <c r="O5102" s="12" t="n">
        <v>1</v>
      </c>
      <c r="P5102" s="12" t="n">
        <v>480</v>
      </c>
      <c r="Q5102" s="12" t="n">
        <v>30</v>
      </c>
      <c r="R5102" s="12" t="n">
        <v>42.5</v>
      </c>
      <c r="S5102" s="12" t="inlineStr">
        <is>
          <t>HV duct bank</t>
        </is>
      </c>
      <c r="T5102" s="16" t="n">
        <v>4340</v>
      </c>
      <c r="U5102" s="16" t="n">
        <v>53</v>
      </c>
      <c r="V5102" s="16">
        <f>ROUNDUP((T5102+U5102+2*'Read Me'!$B$13)*(1+'Read Me'!$B$12),-1)</f>
        <v/>
      </c>
      <c r="W5102" s="16">
        <f>V5102*N5102*O5102</f>
        <v/>
      </c>
      <c r="X5102" s="12">
        <f>IF(LEFT(I5102,2)="MV",2*N5102*IF(L5102="1/C",O5102,1),0)</f>
        <v/>
      </c>
      <c r="Y5102" s="12">
        <f>IF(OR(LEFT(K5102,4)="LVAX",LEFT(K5102,6)="MV15AX",LEFT(K5102,4)="CTAX",LEFT(K5102,2)="W|"),2*N5102*O5102,0)</f>
        <v/>
      </c>
      <c r="Z5102" s="12" t="inlineStr">
        <is>
          <t>VD 2.7 %</t>
        </is>
      </c>
      <c r="AA5102" s="12">
        <f>N5102*O5102</f>
        <v/>
      </c>
    </row>
    <row r="5103">
      <c r="A5103" s="12" t="inlineStr">
        <is>
          <t>I-P-0197</t>
        </is>
      </c>
      <c r="B5103" s="12" t="inlineStr">
        <is>
          <t>I</t>
        </is>
      </c>
      <c r="C5103" s="12" t="inlineStr">
        <is>
          <t>Modular / portable power</t>
        </is>
      </c>
      <c r="D5103" s="12" t="inlineStr">
        <is>
          <t>Motor 2 of 2, 30 kW</t>
        </is>
      </c>
      <c r="E5103" s="12" t="inlineStr"/>
      <c r="F5103" s="12" t="inlineStr">
        <is>
          <t>MOD-LV 480 V board + 480 V : 13.8 kV step-up</t>
        </is>
      </c>
      <c r="G5103" s="12" t="inlineStr"/>
      <c r="H5103" s="12" t="inlineStr">
        <is>
          <t>SC-2 SCR / CO catalyst</t>
        </is>
      </c>
      <c r="I5103" s="12" t="inlineStr">
        <is>
          <t>LV 600 V</t>
        </is>
      </c>
      <c r="J5103" s="12" t="inlineStr">
        <is>
          <t>Type TC-ER 600 V 3/C Cu XHHW-2 + ground, PVC jacket</t>
        </is>
      </c>
      <c r="K5103" s="12" t="inlineStr">
        <is>
          <t>LV|3/C+G|350</t>
        </is>
      </c>
      <c r="L5103" s="12" t="inlineStr">
        <is>
          <t>3/C+G</t>
        </is>
      </c>
      <c r="M5103" s="12" t="inlineStr">
        <is>
          <t>350 kcmil</t>
        </is>
      </c>
      <c r="N5103" s="12" t="n">
        <v>1</v>
      </c>
      <c r="O5103" s="12" t="n">
        <v>1</v>
      </c>
      <c r="P5103" s="12" t="n">
        <v>480</v>
      </c>
      <c r="Q5103" s="12" t="n">
        <v>30</v>
      </c>
      <c r="R5103" s="12" t="n">
        <v>42.5</v>
      </c>
      <c r="S5103" s="12" t="inlineStr">
        <is>
          <t>HV duct bank</t>
        </is>
      </c>
      <c r="T5103" s="16" t="n">
        <v>4340</v>
      </c>
      <c r="U5103" s="16" t="n">
        <v>53</v>
      </c>
      <c r="V5103" s="16">
        <f>ROUNDUP((T5103+U5103+2*'Read Me'!$B$13)*(1+'Read Me'!$B$12),-1)</f>
        <v/>
      </c>
      <c r="W5103" s="16">
        <f>V5103*N5103*O5103</f>
        <v/>
      </c>
      <c r="X5103" s="12">
        <f>IF(LEFT(I5103,2)="MV",2*N5103*IF(L5103="1/C",O5103,1),0)</f>
        <v/>
      </c>
      <c r="Y5103" s="12">
        <f>IF(OR(LEFT(K5103,4)="LVAX",LEFT(K5103,6)="MV15AX",LEFT(K5103,4)="CTAX",LEFT(K5103,2)="W|"),2*N5103*O5103,0)</f>
        <v/>
      </c>
      <c r="Z5103" s="12" t="inlineStr">
        <is>
          <t>VD 2.7 %</t>
        </is>
      </c>
      <c r="AA5103" s="12">
        <f>N5103*O5103</f>
        <v/>
      </c>
    </row>
    <row r="5104">
      <c r="A5104" s="12" t="inlineStr">
        <is>
          <t>I-P-0198</t>
        </is>
      </c>
      <c r="B5104" s="12" t="inlineStr">
        <is>
          <t>I</t>
        </is>
      </c>
      <c r="C5104" s="12" t="inlineStr">
        <is>
          <t>Modular / portable power</t>
        </is>
      </c>
      <c r="D5104" s="12" t="inlineStr">
        <is>
          <t>Motor 1 of 4, 15 kW</t>
        </is>
      </c>
      <c r="E5104" s="12" t="inlineStr"/>
      <c r="F5104" s="12" t="inlineStr">
        <is>
          <t>MOD-LV 480 V board + 480 V : 13.8 kV step-up</t>
        </is>
      </c>
      <c r="G5104" s="12" t="inlineStr"/>
      <c r="H5104" s="12" t="inlineStr">
        <is>
          <t>SC-2 lube-oil fin-fan cooler</t>
        </is>
      </c>
      <c r="I5104" s="12" t="inlineStr">
        <is>
          <t>LV 600 V</t>
        </is>
      </c>
      <c r="J5104" s="12" t="inlineStr">
        <is>
          <t>Type TC-ER 600 V 3/C Cu XHHW-2 + ground, PVC jacket</t>
        </is>
      </c>
      <c r="K5104" s="12" t="inlineStr">
        <is>
          <t>LV|3/C+G|3/0</t>
        </is>
      </c>
      <c r="L5104" s="12" t="inlineStr">
        <is>
          <t>3/C+G</t>
        </is>
      </c>
      <c r="M5104" s="12" t="inlineStr">
        <is>
          <t>3/0</t>
        </is>
      </c>
      <c r="N5104" s="12" t="n">
        <v>1</v>
      </c>
      <c r="O5104" s="12" t="n">
        <v>1</v>
      </c>
      <c r="P5104" s="12" t="n">
        <v>480</v>
      </c>
      <c r="Q5104" s="12" t="n">
        <v>15</v>
      </c>
      <c r="R5104" s="12" t="n">
        <v>21.2</v>
      </c>
      <c r="S5104" s="12" t="inlineStr">
        <is>
          <t>HV duct bank</t>
        </is>
      </c>
      <c r="T5104" s="16" t="n">
        <v>4328</v>
      </c>
      <c r="U5104" s="16" t="n">
        <v>88</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I-P-0199</t>
        </is>
      </c>
      <c r="B5105" s="12" t="inlineStr">
        <is>
          <t>I</t>
        </is>
      </c>
      <c r="C5105" s="12" t="inlineStr">
        <is>
          <t>Modular / portable power</t>
        </is>
      </c>
      <c r="D5105" s="12" t="inlineStr">
        <is>
          <t>Motor 2 of 4, 15 kW</t>
        </is>
      </c>
      <c r="E5105" s="12" t="inlineStr"/>
      <c r="F5105" s="12" t="inlineStr">
        <is>
          <t>MOD-LV 480 V board + 480 V : 13.8 kV step-up</t>
        </is>
      </c>
      <c r="G5105" s="12" t="inlineStr"/>
      <c r="H5105" s="12" t="inlineStr">
        <is>
          <t>SC-2 lube-oil fin-fan cooler</t>
        </is>
      </c>
      <c r="I5105" s="12" t="inlineStr">
        <is>
          <t>LV 600 V</t>
        </is>
      </c>
      <c r="J5105" s="12" t="inlineStr">
        <is>
          <t>Type TC-ER 600 V 3/C Cu XHHW-2 + ground, PVC jacket</t>
        </is>
      </c>
      <c r="K5105" s="12" t="inlineStr">
        <is>
          <t>LV|3/C+G|3/0</t>
        </is>
      </c>
      <c r="L5105" s="12" t="inlineStr">
        <is>
          <t>3/C+G</t>
        </is>
      </c>
      <c r="M5105" s="12" t="inlineStr">
        <is>
          <t>3/0</t>
        </is>
      </c>
      <c r="N5105" s="12" t="n">
        <v>1</v>
      </c>
      <c r="O5105" s="12" t="n">
        <v>1</v>
      </c>
      <c r="P5105" s="12" t="n">
        <v>480</v>
      </c>
      <c r="Q5105" s="12" t="n">
        <v>15</v>
      </c>
      <c r="R5105" s="12" t="n">
        <v>21.2</v>
      </c>
      <c r="S5105" s="12" t="inlineStr">
        <is>
          <t>HV duct bank</t>
        </is>
      </c>
      <c r="T5105" s="16" t="n">
        <v>4328</v>
      </c>
      <c r="U5105" s="16" t="n">
        <v>88</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I-P-0200</t>
        </is>
      </c>
      <c r="B5106" s="12" t="inlineStr">
        <is>
          <t>I</t>
        </is>
      </c>
      <c r="C5106" s="12" t="inlineStr">
        <is>
          <t>Modular / portable power</t>
        </is>
      </c>
      <c r="D5106" s="12" t="inlineStr">
        <is>
          <t>Motor 3 of 4, 15 kW</t>
        </is>
      </c>
      <c r="E5106" s="12" t="inlineStr"/>
      <c r="F5106" s="12" t="inlineStr">
        <is>
          <t>MOD-LV 480 V board + 480 V : 13.8 kV step-up</t>
        </is>
      </c>
      <c r="G5106" s="12" t="inlineStr"/>
      <c r="H5106" s="12" t="inlineStr">
        <is>
          <t>SC-2 lube-oil fin-fan cooler</t>
        </is>
      </c>
      <c r="I5106" s="12" t="inlineStr">
        <is>
          <t>LV 600 V</t>
        </is>
      </c>
      <c r="J5106" s="12" t="inlineStr">
        <is>
          <t>Type TC-ER 600 V 3/C Cu XHHW-2 + ground, PVC jacket</t>
        </is>
      </c>
      <c r="K5106" s="12" t="inlineStr">
        <is>
          <t>LV|3/C+G|3/0</t>
        </is>
      </c>
      <c r="L5106" s="12" t="inlineStr">
        <is>
          <t>3/C+G</t>
        </is>
      </c>
      <c r="M5106" s="12" t="inlineStr">
        <is>
          <t>3/0</t>
        </is>
      </c>
      <c r="N5106" s="12" t="n">
        <v>1</v>
      </c>
      <c r="O5106" s="12" t="n">
        <v>1</v>
      </c>
      <c r="P5106" s="12" t="n">
        <v>480</v>
      </c>
      <c r="Q5106" s="12" t="n">
        <v>15</v>
      </c>
      <c r="R5106" s="12" t="n">
        <v>21.2</v>
      </c>
      <c r="S5106" s="12" t="inlineStr">
        <is>
          <t>HV duct bank</t>
        </is>
      </c>
      <c r="T5106" s="16" t="n">
        <v>4328</v>
      </c>
      <c r="U5106" s="16" t="n">
        <v>88</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I-P-0201</t>
        </is>
      </c>
      <c r="B5107" s="12" t="inlineStr">
        <is>
          <t>I</t>
        </is>
      </c>
      <c r="C5107" s="12" t="inlineStr">
        <is>
          <t>Modular / portable power</t>
        </is>
      </c>
      <c r="D5107" s="12" t="inlineStr">
        <is>
          <t>Motor 4 of 4, 15 kW</t>
        </is>
      </c>
      <c r="E5107" s="12" t="inlineStr"/>
      <c r="F5107" s="12" t="inlineStr">
        <is>
          <t>MOD-LV 480 V board + 480 V : 13.8 kV step-up</t>
        </is>
      </c>
      <c r="G5107" s="12" t="inlineStr"/>
      <c r="H5107" s="12" t="inlineStr">
        <is>
          <t>SC-2 lube-oil fin-fan cooler</t>
        </is>
      </c>
      <c r="I5107" s="12" t="inlineStr">
        <is>
          <t>LV 600 V</t>
        </is>
      </c>
      <c r="J5107" s="12" t="inlineStr">
        <is>
          <t>Type TC-ER 600 V 3/C Cu XHHW-2 + ground, PVC jacket</t>
        </is>
      </c>
      <c r="K5107" s="12" t="inlineStr">
        <is>
          <t>LV|3/C+G|3/0</t>
        </is>
      </c>
      <c r="L5107" s="12" t="inlineStr">
        <is>
          <t>3/C+G</t>
        </is>
      </c>
      <c r="M5107" s="12" t="inlineStr">
        <is>
          <t>3/0</t>
        </is>
      </c>
      <c r="N5107" s="12" t="n">
        <v>1</v>
      </c>
      <c r="O5107" s="12" t="n">
        <v>1</v>
      </c>
      <c r="P5107" s="12" t="n">
        <v>480</v>
      </c>
      <c r="Q5107" s="12" t="n">
        <v>15</v>
      </c>
      <c r="R5107" s="12" t="n">
        <v>21.2</v>
      </c>
      <c r="S5107" s="12" t="inlineStr">
        <is>
          <t>HV duct bank</t>
        </is>
      </c>
      <c r="T5107" s="16" t="n">
        <v>4328</v>
      </c>
      <c r="U5107" s="16" t="n">
        <v>88</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I-P-0202</t>
        </is>
      </c>
      <c r="B5108" s="12" t="inlineStr">
        <is>
          <t>I</t>
        </is>
      </c>
      <c r="C5108" s="12" t="inlineStr">
        <is>
          <t>Modular / portable power</t>
        </is>
      </c>
      <c r="D5108" s="12" t="inlineStr">
        <is>
          <t>Area / platform lighting circuit 1 (4 fixtures)</t>
        </is>
      </c>
      <c r="E5108" s="12" t="inlineStr"/>
      <c r="F5108" s="12" t="inlineStr">
        <is>
          <t>MOD-LV 480 V board + 480 V : 13.8 kV step-up</t>
        </is>
      </c>
      <c r="G5108" s="12" t="inlineStr"/>
      <c r="H5108" s="12" t="inlineStr">
        <is>
          <t>SC-2 stack (80 ft)</t>
        </is>
      </c>
      <c r="I5108" s="12" t="inlineStr">
        <is>
          <t>LV 600 V</t>
        </is>
      </c>
      <c r="J5108" s="12" t="inlineStr">
        <is>
          <t>Type TC-ER 600 V 3/C Cu XHHW-2 + ground, PVC jacket</t>
        </is>
      </c>
      <c r="K5108" s="12" t="inlineStr">
        <is>
          <t>LV|3/C+G|4</t>
        </is>
      </c>
      <c r="L5108" s="12" t="inlineStr">
        <is>
          <t>3/C+G</t>
        </is>
      </c>
      <c r="M5108" s="12" t="inlineStr">
        <is>
          <t>4</t>
        </is>
      </c>
      <c r="N5108" s="12" t="n">
        <v>1</v>
      </c>
      <c r="O5108" s="12" t="n">
        <v>1</v>
      </c>
      <c r="P5108" s="12" t="n">
        <v>480</v>
      </c>
      <c r="Q5108" s="12" t="n">
        <v>3</v>
      </c>
      <c r="R5108" s="12" t="n">
        <v>5</v>
      </c>
      <c r="S5108" s="12" t="inlineStr">
        <is>
          <t>HV duct bank</t>
        </is>
      </c>
      <c r="T5108" s="16" t="n">
        <v>4640</v>
      </c>
      <c r="U5108" s="16" t="n">
        <v>72</v>
      </c>
      <c r="V5108" s="16">
        <f>ROUNDUP((T5108+U5108+2*'Read Me'!$B$13)*(1+'Read Me'!$B$12),-1)</f>
        <v/>
      </c>
      <c r="W5108" s="16">
        <f>V5108*N5108*O5108</f>
        <v/>
      </c>
      <c r="X5108" s="12">
        <f>IF(LEFT(I5108,2)="MV",2*N5108*IF(L5108="1/C",O5108,1),0)</f>
        <v/>
      </c>
      <c r="Y5108" s="12">
        <f>IF(OR(LEFT(K5108,4)="LVAX",LEFT(K5108,6)="MV15AX",LEFT(K5108,4)="CTAX",LEFT(K5108,2)="W|"),2*N5108*O5108,0)</f>
        <v/>
      </c>
      <c r="Z5108" s="12" t="inlineStr">
        <is>
          <t>fixture-to-fixture run included</t>
        </is>
      </c>
      <c r="AA5108" s="12">
        <f>N5108*O5108</f>
        <v/>
      </c>
    </row>
    <row r="5109">
      <c r="A5109" s="12" t="inlineStr">
        <is>
          <t>I-P-0203</t>
        </is>
      </c>
      <c r="B5109" s="12" t="inlineStr">
        <is>
          <t>I</t>
        </is>
      </c>
      <c r="C5109" s="12" t="inlineStr">
        <is>
          <t>Modular / portable power</t>
        </is>
      </c>
      <c r="D5109" s="12" t="inlineStr">
        <is>
          <t>Motor 1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4440</v>
      </c>
      <c r="U5109" s="16" t="n">
        <v>33</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I-P-0204</t>
        </is>
      </c>
      <c r="B5110" s="12" t="inlineStr">
        <is>
          <t>I</t>
        </is>
      </c>
      <c r="C5110" s="12" t="inlineStr">
        <is>
          <t>Modular / portable power</t>
        </is>
      </c>
      <c r="D5110" s="12" t="inlineStr">
        <is>
          <t>Motor 2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4440</v>
      </c>
      <c r="U5110" s="16" t="n">
        <v>33</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I-P-0205</t>
        </is>
      </c>
      <c r="B5111" s="12" t="inlineStr">
        <is>
          <t>I</t>
        </is>
      </c>
      <c r="C5111" s="12" t="inlineStr">
        <is>
          <t>Modular / portable power</t>
        </is>
      </c>
      <c r="D5111" s="12" t="inlineStr">
        <is>
          <t>Motor 3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4440</v>
      </c>
      <c r="U5111" s="16" t="n">
        <v>33</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I-P-0206</t>
        </is>
      </c>
      <c r="B5112" s="12" t="inlineStr">
        <is>
          <t>I</t>
        </is>
      </c>
      <c r="C5112" s="12" t="inlineStr">
        <is>
          <t>Modular / portable power</t>
        </is>
      </c>
      <c r="D5112" s="12" t="inlineStr">
        <is>
          <t>Motor 4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4440</v>
      </c>
      <c r="U5112" s="16" t="n">
        <v>33</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I-P-0207</t>
        </is>
      </c>
      <c r="B5113" s="12" t="inlineStr">
        <is>
          <t>I</t>
        </is>
      </c>
      <c r="C5113" s="12" t="inlineStr">
        <is>
          <t>Modular / portable power</t>
        </is>
      </c>
      <c r="D5113" s="12" t="inlineStr">
        <is>
          <t>Motor 5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4440</v>
      </c>
      <c r="U5113" s="16" t="n">
        <v>33</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I-P-0208</t>
        </is>
      </c>
      <c r="B5114" s="12" t="inlineStr">
        <is>
          <t>I</t>
        </is>
      </c>
      <c r="C5114" s="12" t="inlineStr">
        <is>
          <t>Modular / portable power</t>
        </is>
      </c>
      <c r="D5114" s="12" t="inlineStr">
        <is>
          <t>Motor 6 of 10, 30 kW</t>
        </is>
      </c>
      <c r="E5114" s="12" t="inlineStr"/>
      <c r="F5114" s="12" t="inlineStr">
        <is>
          <t>MOD-LV 480 V board + 480 V : 13.8 kV step-up</t>
        </is>
      </c>
      <c r="G5114" s="12" t="inlineStr">
        <is>
          <t>SC-2</t>
        </is>
      </c>
      <c r="H5114" s="12" t="inlineStr">
        <is>
          <t>SC-2: aeroderivative simple-cycle unit (LM6000 class)</t>
        </is>
      </c>
      <c r="I5114" s="12" t="inlineStr">
        <is>
          <t>LV 600 V</t>
        </is>
      </c>
      <c r="J5114" s="12" t="inlineStr">
        <is>
          <t>Type TC-ER 600 V 3/C Cu XHHW-2 + ground, PVC jacket</t>
        </is>
      </c>
      <c r="K5114" s="12" t="inlineStr">
        <is>
          <t>LV|3/C+G|350</t>
        </is>
      </c>
      <c r="L5114" s="12" t="inlineStr">
        <is>
          <t>3/C+G</t>
        </is>
      </c>
      <c r="M5114" s="12" t="inlineStr">
        <is>
          <t>350 kcmil</t>
        </is>
      </c>
      <c r="N5114" s="12" t="n">
        <v>1</v>
      </c>
      <c r="O5114" s="12" t="n">
        <v>1</v>
      </c>
      <c r="P5114" s="12" t="n">
        <v>480</v>
      </c>
      <c r="Q5114" s="12" t="n">
        <v>30</v>
      </c>
      <c r="R5114" s="12" t="n">
        <v>42.5</v>
      </c>
      <c r="S5114" s="12" t="inlineStr">
        <is>
          <t>HV duct bank</t>
        </is>
      </c>
      <c r="T5114" s="16" t="n">
        <v>4440</v>
      </c>
      <c r="U5114" s="16" t="n">
        <v>33</v>
      </c>
      <c r="V5114" s="16">
        <f>ROUNDUP((T5114+U5114+2*'Read Me'!$B$13)*(1+'Read Me'!$B$12),-1)</f>
        <v/>
      </c>
      <c r="W5114" s="16">
        <f>V5114*N5114*O5114</f>
        <v/>
      </c>
      <c r="X5114" s="12">
        <f>IF(LEFT(I5114,2)="MV",2*N5114*IF(L5114="1/C",O5114,1),0)</f>
        <v/>
      </c>
      <c r="Y5114" s="12">
        <f>IF(OR(LEFT(K5114,4)="LVAX",LEFT(K5114,6)="MV15AX",LEFT(K5114,4)="CTAX",LEFT(K5114,2)="W|"),2*N5114*O5114,0)</f>
        <v/>
      </c>
      <c r="Z5114" s="12" t="inlineStr">
        <is>
          <t>VD 2.8 %</t>
        </is>
      </c>
      <c r="AA5114" s="12">
        <f>N5114*O5114</f>
        <v/>
      </c>
    </row>
    <row r="5115">
      <c r="A5115" s="12" t="inlineStr">
        <is>
          <t>I-P-0209</t>
        </is>
      </c>
      <c r="B5115" s="12" t="inlineStr">
        <is>
          <t>I</t>
        </is>
      </c>
      <c r="C5115" s="12" t="inlineStr">
        <is>
          <t>Modular / portable power</t>
        </is>
      </c>
      <c r="D5115" s="12" t="inlineStr">
        <is>
          <t>Motor 7 of 10, 30 kW</t>
        </is>
      </c>
      <c r="E5115" s="12" t="inlineStr"/>
      <c r="F5115" s="12" t="inlineStr">
        <is>
          <t>MOD-LV 480 V board + 480 V : 13.8 kV step-up</t>
        </is>
      </c>
      <c r="G5115" s="12" t="inlineStr">
        <is>
          <t>SC-2</t>
        </is>
      </c>
      <c r="H5115" s="12" t="inlineStr">
        <is>
          <t>SC-2: aeroderivative simple-cycle unit (LM6000 class)</t>
        </is>
      </c>
      <c r="I5115" s="12" t="inlineStr">
        <is>
          <t>LV 600 V</t>
        </is>
      </c>
      <c r="J5115" s="12" t="inlineStr">
        <is>
          <t>Type TC-ER 600 V 3/C Cu XHHW-2 + ground, PVC jacket</t>
        </is>
      </c>
      <c r="K5115" s="12" t="inlineStr">
        <is>
          <t>LV|3/C+G|350</t>
        </is>
      </c>
      <c r="L5115" s="12" t="inlineStr">
        <is>
          <t>3/C+G</t>
        </is>
      </c>
      <c r="M5115" s="12" t="inlineStr">
        <is>
          <t>350 kcmil</t>
        </is>
      </c>
      <c r="N5115" s="12" t="n">
        <v>1</v>
      </c>
      <c r="O5115" s="12" t="n">
        <v>1</v>
      </c>
      <c r="P5115" s="12" t="n">
        <v>480</v>
      </c>
      <c r="Q5115" s="12" t="n">
        <v>30</v>
      </c>
      <c r="R5115" s="12" t="n">
        <v>42.5</v>
      </c>
      <c r="S5115" s="12" t="inlineStr">
        <is>
          <t>HV duct bank</t>
        </is>
      </c>
      <c r="T5115" s="16" t="n">
        <v>4440</v>
      </c>
      <c r="U5115" s="16" t="n">
        <v>33</v>
      </c>
      <c r="V5115" s="16">
        <f>ROUNDUP((T5115+U5115+2*'Read Me'!$B$13)*(1+'Read Me'!$B$12),-1)</f>
        <v/>
      </c>
      <c r="W5115" s="16">
        <f>V5115*N5115*O5115</f>
        <v/>
      </c>
      <c r="X5115" s="12">
        <f>IF(LEFT(I5115,2)="MV",2*N5115*IF(L5115="1/C",O5115,1),0)</f>
        <v/>
      </c>
      <c r="Y5115" s="12">
        <f>IF(OR(LEFT(K5115,4)="LVAX",LEFT(K5115,6)="MV15AX",LEFT(K5115,4)="CTAX",LEFT(K5115,2)="W|"),2*N5115*O5115,0)</f>
        <v/>
      </c>
      <c r="Z5115" s="12" t="inlineStr">
        <is>
          <t>VD 2.8 %</t>
        </is>
      </c>
      <c r="AA5115" s="12">
        <f>N5115*O5115</f>
        <v/>
      </c>
    </row>
    <row r="5116">
      <c r="A5116" s="12" t="inlineStr">
        <is>
          <t>I-P-0210</t>
        </is>
      </c>
      <c r="B5116" s="12" t="inlineStr">
        <is>
          <t>I</t>
        </is>
      </c>
      <c r="C5116" s="12" t="inlineStr">
        <is>
          <t>Modular / portable power</t>
        </is>
      </c>
      <c r="D5116" s="12" t="inlineStr">
        <is>
          <t>Motor 8 of 10, 30 kW</t>
        </is>
      </c>
      <c r="E5116" s="12" t="inlineStr"/>
      <c r="F5116" s="12" t="inlineStr">
        <is>
          <t>MOD-LV 480 V board + 480 V : 13.8 kV step-up</t>
        </is>
      </c>
      <c r="G5116" s="12" t="inlineStr">
        <is>
          <t>SC-2</t>
        </is>
      </c>
      <c r="H5116" s="12" t="inlineStr">
        <is>
          <t>SC-2: aeroderivative simple-cycle unit (LM6000 class)</t>
        </is>
      </c>
      <c r="I5116" s="12" t="inlineStr">
        <is>
          <t>LV 600 V</t>
        </is>
      </c>
      <c r="J5116" s="12" t="inlineStr">
        <is>
          <t>Type TC-ER 600 V 3/C Cu XHHW-2 + ground, PVC jacket</t>
        </is>
      </c>
      <c r="K5116" s="12" t="inlineStr">
        <is>
          <t>LV|3/C+G|350</t>
        </is>
      </c>
      <c r="L5116" s="12" t="inlineStr">
        <is>
          <t>3/C+G</t>
        </is>
      </c>
      <c r="M5116" s="12" t="inlineStr">
        <is>
          <t>350 kcmil</t>
        </is>
      </c>
      <c r="N5116" s="12" t="n">
        <v>1</v>
      </c>
      <c r="O5116" s="12" t="n">
        <v>1</v>
      </c>
      <c r="P5116" s="12" t="n">
        <v>480</v>
      </c>
      <c r="Q5116" s="12" t="n">
        <v>30</v>
      </c>
      <c r="R5116" s="12" t="n">
        <v>42.5</v>
      </c>
      <c r="S5116" s="12" t="inlineStr">
        <is>
          <t>HV duct bank</t>
        </is>
      </c>
      <c r="T5116" s="16" t="n">
        <v>4440</v>
      </c>
      <c r="U5116" s="16" t="n">
        <v>33</v>
      </c>
      <c r="V5116" s="16">
        <f>ROUNDUP((T5116+U5116+2*'Read Me'!$B$13)*(1+'Read Me'!$B$12),-1)</f>
        <v/>
      </c>
      <c r="W5116" s="16">
        <f>V5116*N5116*O5116</f>
        <v/>
      </c>
      <c r="X5116" s="12">
        <f>IF(LEFT(I5116,2)="MV",2*N5116*IF(L5116="1/C",O5116,1),0)</f>
        <v/>
      </c>
      <c r="Y5116" s="12">
        <f>IF(OR(LEFT(K5116,4)="LVAX",LEFT(K5116,6)="MV15AX",LEFT(K5116,4)="CTAX",LEFT(K5116,2)="W|"),2*N5116*O5116,0)</f>
        <v/>
      </c>
      <c r="Z5116" s="12" t="inlineStr">
        <is>
          <t>VD 2.8 %</t>
        </is>
      </c>
      <c r="AA5116" s="12">
        <f>N5116*O5116</f>
        <v/>
      </c>
    </row>
    <row r="5117">
      <c r="A5117" s="12" t="inlineStr">
        <is>
          <t>I-P-0211</t>
        </is>
      </c>
      <c r="B5117" s="12" t="inlineStr">
        <is>
          <t>I</t>
        </is>
      </c>
      <c r="C5117" s="12" t="inlineStr">
        <is>
          <t>Modular / portable power</t>
        </is>
      </c>
      <c r="D5117" s="12" t="inlineStr">
        <is>
          <t>Motor 9 of 10, 30 kW</t>
        </is>
      </c>
      <c r="E5117" s="12" t="inlineStr"/>
      <c r="F5117" s="12" t="inlineStr">
        <is>
          <t>MOD-LV 480 V board + 480 V : 13.8 kV step-up</t>
        </is>
      </c>
      <c r="G5117" s="12" t="inlineStr">
        <is>
          <t>SC-2</t>
        </is>
      </c>
      <c r="H5117" s="12" t="inlineStr">
        <is>
          <t>SC-2: aeroderivative simple-cycle unit (LM6000 class)</t>
        </is>
      </c>
      <c r="I5117" s="12" t="inlineStr">
        <is>
          <t>LV 600 V</t>
        </is>
      </c>
      <c r="J5117" s="12" t="inlineStr">
        <is>
          <t>Type TC-ER 600 V 3/C Cu XHHW-2 + ground, PVC jacket</t>
        </is>
      </c>
      <c r="K5117" s="12" t="inlineStr">
        <is>
          <t>LV|3/C+G|350</t>
        </is>
      </c>
      <c r="L5117" s="12" t="inlineStr">
        <is>
          <t>3/C+G</t>
        </is>
      </c>
      <c r="M5117" s="12" t="inlineStr">
        <is>
          <t>350 kcmil</t>
        </is>
      </c>
      <c r="N5117" s="12" t="n">
        <v>1</v>
      </c>
      <c r="O5117" s="12" t="n">
        <v>1</v>
      </c>
      <c r="P5117" s="12" t="n">
        <v>480</v>
      </c>
      <c r="Q5117" s="12" t="n">
        <v>30</v>
      </c>
      <c r="R5117" s="12" t="n">
        <v>42.5</v>
      </c>
      <c r="S5117" s="12" t="inlineStr">
        <is>
          <t>HV duct bank</t>
        </is>
      </c>
      <c r="T5117" s="16" t="n">
        <v>4440</v>
      </c>
      <c r="U5117" s="16" t="n">
        <v>33</v>
      </c>
      <c r="V5117" s="16">
        <f>ROUNDUP((T5117+U5117+2*'Read Me'!$B$13)*(1+'Read Me'!$B$12),-1)</f>
        <v/>
      </c>
      <c r="W5117" s="16">
        <f>V5117*N5117*O5117</f>
        <v/>
      </c>
      <c r="X5117" s="12">
        <f>IF(LEFT(I5117,2)="MV",2*N5117*IF(L5117="1/C",O5117,1),0)</f>
        <v/>
      </c>
      <c r="Y5117" s="12">
        <f>IF(OR(LEFT(K5117,4)="LVAX",LEFT(K5117,6)="MV15AX",LEFT(K5117,4)="CTAX",LEFT(K5117,2)="W|"),2*N5117*O5117,0)</f>
        <v/>
      </c>
      <c r="Z5117" s="12" t="inlineStr">
        <is>
          <t>VD 2.8 %</t>
        </is>
      </c>
      <c r="AA5117" s="12">
        <f>N5117*O5117</f>
        <v/>
      </c>
    </row>
    <row r="5118">
      <c r="A5118" s="12" t="inlineStr">
        <is>
          <t>I-P-0212</t>
        </is>
      </c>
      <c r="B5118" s="12" t="inlineStr">
        <is>
          <t>I</t>
        </is>
      </c>
      <c r="C5118" s="12" t="inlineStr">
        <is>
          <t>Modular / portable power</t>
        </is>
      </c>
      <c r="D5118" s="12" t="inlineStr">
        <is>
          <t>Motor 10 of 10, 30 kW</t>
        </is>
      </c>
      <c r="E5118" s="12" t="inlineStr"/>
      <c r="F5118" s="12" t="inlineStr">
        <is>
          <t>MOD-LV 480 V board + 480 V : 13.8 kV step-up</t>
        </is>
      </c>
      <c r="G5118" s="12" t="inlineStr">
        <is>
          <t>SC-2</t>
        </is>
      </c>
      <c r="H5118" s="12" t="inlineStr">
        <is>
          <t>SC-2: aeroderivative simple-cycle unit (LM6000 class)</t>
        </is>
      </c>
      <c r="I5118" s="12" t="inlineStr">
        <is>
          <t>LV 600 V</t>
        </is>
      </c>
      <c r="J5118" s="12" t="inlineStr">
        <is>
          <t>Type TC-ER 600 V 3/C Cu XHHW-2 + ground, PVC jacket</t>
        </is>
      </c>
      <c r="K5118" s="12" t="inlineStr">
        <is>
          <t>LV|3/C+G|350</t>
        </is>
      </c>
      <c r="L5118" s="12" t="inlineStr">
        <is>
          <t>3/C+G</t>
        </is>
      </c>
      <c r="M5118" s="12" t="inlineStr">
        <is>
          <t>350 kcmil</t>
        </is>
      </c>
      <c r="N5118" s="12" t="n">
        <v>1</v>
      </c>
      <c r="O5118" s="12" t="n">
        <v>1</v>
      </c>
      <c r="P5118" s="12" t="n">
        <v>480</v>
      </c>
      <c r="Q5118" s="12" t="n">
        <v>30</v>
      </c>
      <c r="R5118" s="12" t="n">
        <v>42.5</v>
      </c>
      <c r="S5118" s="12" t="inlineStr">
        <is>
          <t>HV duct bank</t>
        </is>
      </c>
      <c r="T5118" s="16" t="n">
        <v>4440</v>
      </c>
      <c r="U5118" s="16" t="n">
        <v>33</v>
      </c>
      <c r="V5118" s="16">
        <f>ROUNDUP((T5118+U5118+2*'Read Me'!$B$13)*(1+'Read Me'!$B$12),-1)</f>
        <v/>
      </c>
      <c r="W5118" s="16">
        <f>V5118*N5118*O5118</f>
        <v/>
      </c>
      <c r="X5118" s="12">
        <f>IF(LEFT(I5118,2)="MV",2*N5118*IF(L5118="1/C",O5118,1),0)</f>
        <v/>
      </c>
      <c r="Y5118" s="12">
        <f>IF(OR(LEFT(K5118,4)="LVAX",LEFT(K5118,6)="MV15AX",LEFT(K5118,4)="CTAX",LEFT(K5118,2)="W|"),2*N5118*O5118,0)</f>
        <v/>
      </c>
      <c r="Z5118" s="12" t="inlineStr">
        <is>
          <t>VD 2.8 %</t>
        </is>
      </c>
      <c r="AA5118" s="12">
        <f>N5118*O5118</f>
        <v/>
      </c>
    </row>
    <row r="5119">
      <c r="A5119" s="12" t="inlineStr">
        <is>
          <t>I-P-0213</t>
        </is>
      </c>
      <c r="B5119" s="12" t="inlineStr">
        <is>
          <t>I</t>
        </is>
      </c>
      <c r="C5119" s="12" t="inlineStr">
        <is>
          <t>Modular / portable power</t>
        </is>
      </c>
      <c r="D5119" s="12" t="inlineStr">
        <is>
          <t>Motor 1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346</v>
      </c>
      <c r="U5119" s="16" t="n">
        <v>146</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I-P-0214</t>
        </is>
      </c>
      <c r="B5120" s="12" t="inlineStr">
        <is>
          <t>I</t>
        </is>
      </c>
      <c r="C5120" s="12" t="inlineStr">
        <is>
          <t>Modular / portable power</t>
        </is>
      </c>
      <c r="D5120" s="12" t="inlineStr">
        <is>
          <t>Motor 2 of 6, 2 kW</t>
        </is>
      </c>
      <c r="E5120" s="12" t="inlineStr"/>
      <c r="F5120" s="12" t="inlineStr">
        <is>
          <t>MOD-LV 480 V board + 480 V : 13.8 kV step-up</t>
        </is>
      </c>
      <c r="G5120" s="12" t="inlineStr"/>
      <c r="H5120" s="12" t="inlineStr">
        <is>
          <t>T-MOD 230 kV take-off gantry with arresters</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346</v>
      </c>
      <c r="U5120" s="16" t="n">
        <v>146</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I-P-0215</t>
        </is>
      </c>
      <c r="B5121" s="12" t="inlineStr">
        <is>
          <t>I</t>
        </is>
      </c>
      <c r="C5121" s="12" t="inlineStr">
        <is>
          <t>Modular / portable power</t>
        </is>
      </c>
      <c r="D5121" s="12" t="inlineStr">
        <is>
          <t>Motor 3 of 6, 2 kW</t>
        </is>
      </c>
      <c r="E5121" s="12" t="inlineStr"/>
      <c r="F5121" s="12" t="inlineStr">
        <is>
          <t>MOD-LV 480 V board + 480 V : 13.8 kV step-up</t>
        </is>
      </c>
      <c r="G5121" s="12" t="inlineStr"/>
      <c r="H5121" s="12" t="inlineStr">
        <is>
          <t>T-MOD 230 kV take-off gantry with arresters</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346</v>
      </c>
      <c r="U5121" s="16" t="n">
        <v>146</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I-P-0216</t>
        </is>
      </c>
      <c r="B5122" s="12" t="inlineStr">
        <is>
          <t>I</t>
        </is>
      </c>
      <c r="C5122" s="12" t="inlineStr">
        <is>
          <t>Modular / portable power</t>
        </is>
      </c>
      <c r="D5122" s="12" t="inlineStr">
        <is>
          <t>Motor 4 of 6, 2 kW</t>
        </is>
      </c>
      <c r="E5122" s="12" t="inlineStr"/>
      <c r="F5122" s="12" t="inlineStr">
        <is>
          <t>MOD-LV 480 V board + 480 V : 13.8 kV step-up</t>
        </is>
      </c>
      <c r="G5122" s="12" t="inlineStr"/>
      <c r="H5122" s="12" t="inlineStr">
        <is>
          <t>T-MOD 230 kV take-off gantry with arresters</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346</v>
      </c>
      <c r="U5122" s="16" t="n">
        <v>146</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I-P-0217</t>
        </is>
      </c>
      <c r="B5123" s="12" t="inlineStr">
        <is>
          <t>I</t>
        </is>
      </c>
      <c r="C5123" s="12" t="inlineStr">
        <is>
          <t>Modular / portable power</t>
        </is>
      </c>
      <c r="D5123" s="12" t="inlineStr">
        <is>
          <t>Motor 5 of 6, 2 kW</t>
        </is>
      </c>
      <c r="E5123" s="12" t="inlineStr"/>
      <c r="F5123" s="12" t="inlineStr">
        <is>
          <t>MOD-LV 480 V board + 480 V : 13.8 kV step-up</t>
        </is>
      </c>
      <c r="G5123" s="12" t="inlineStr"/>
      <c r="H5123" s="12" t="inlineStr">
        <is>
          <t>T-MOD 230 kV take-off gantry with arresters</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346</v>
      </c>
      <c r="U5123" s="16" t="n">
        <v>146</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I-P-0218</t>
        </is>
      </c>
      <c r="B5124" s="12" t="inlineStr">
        <is>
          <t>I</t>
        </is>
      </c>
      <c r="C5124" s="12" t="inlineStr">
        <is>
          <t>Modular / portable power</t>
        </is>
      </c>
      <c r="D5124" s="12" t="inlineStr">
        <is>
          <t>Motor 6 of 6, 2 kW</t>
        </is>
      </c>
      <c r="E5124" s="12" t="inlineStr"/>
      <c r="F5124" s="12" t="inlineStr">
        <is>
          <t>MOD-LV 480 V board + 480 V : 13.8 kV step-up</t>
        </is>
      </c>
      <c r="G5124" s="12" t="inlineStr"/>
      <c r="H5124" s="12" t="inlineStr">
        <is>
          <t>T-MOD 230 kV take-off gantry with arresters</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346</v>
      </c>
      <c r="U5124" s="16" t="n">
        <v>146</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I-P-0219</t>
        </is>
      </c>
      <c r="B5125" s="12" t="inlineStr">
        <is>
          <t>I</t>
        </is>
      </c>
      <c r="C5125" s="12" t="inlineStr">
        <is>
          <t>Modular / portable power</t>
        </is>
      </c>
      <c r="D5125" s="12" t="inlineStr">
        <is>
          <t>Motor 1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306</v>
      </c>
      <c r="U5125" s="16" t="n">
        <v>171</v>
      </c>
      <c r="V5125" s="16">
        <f>ROUNDUP((T5125+U5125+2*'Read Me'!$B$13)*(1+'Read Me'!$B$12),-1)</f>
        <v/>
      </c>
      <c r="W5125" s="16">
        <f>V5125*N5125*O5125</f>
        <v/>
      </c>
      <c r="X5125" s="12">
        <f>IF(LEFT(I5125,2)="MV",2*N5125*IF(L5125="1/C",O5125,1),0)</f>
        <v/>
      </c>
      <c r="Y5125" s="12">
        <f>IF(OR(LEFT(K5125,4)="LVAX",LEFT(K5125,6)="MV15AX",LEFT(K5125,4)="CTAX",LEFT(K5125,2)="W|"),2*N5125*O5125,0)</f>
        <v/>
      </c>
      <c r="Z5125" s="12" t="inlineStr">
        <is>
          <t>VD 0.6 %</t>
        </is>
      </c>
      <c r="AA5125" s="12">
        <f>N5125*O5125</f>
        <v/>
      </c>
    </row>
    <row r="5126">
      <c r="A5126" s="12" t="inlineStr">
        <is>
          <t>I-P-0220</t>
        </is>
      </c>
      <c r="B5126" s="12" t="inlineStr">
        <is>
          <t>I</t>
        </is>
      </c>
      <c r="C5126" s="12" t="inlineStr">
        <is>
          <t>Modular / portable power</t>
        </is>
      </c>
      <c r="D5126" s="12" t="inlineStr">
        <is>
          <t>Motor 2 of 6, 2 kW</t>
        </is>
      </c>
      <c r="E5126" s="12" t="inlineStr"/>
      <c r="F5126" s="12" t="inlineStr">
        <is>
          <t>MOD-LV 480 V board + 480 V : 13.8 kV step-up</t>
        </is>
      </c>
      <c r="G5126" s="12" t="inlineStr"/>
      <c r="H5126" s="12" t="inlineStr">
        <is>
          <t>T-MOD-1 / T-MOD-2 firewall</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306</v>
      </c>
      <c r="U5126" s="16" t="n">
        <v>171</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I-P-0221</t>
        </is>
      </c>
      <c r="B5127" s="12" t="inlineStr">
        <is>
          <t>I</t>
        </is>
      </c>
      <c r="C5127" s="12" t="inlineStr">
        <is>
          <t>Modular / portable power</t>
        </is>
      </c>
      <c r="D5127" s="12" t="inlineStr">
        <is>
          <t>Motor 3 of 6, 2 kW</t>
        </is>
      </c>
      <c r="E5127" s="12" t="inlineStr"/>
      <c r="F5127" s="12" t="inlineStr">
        <is>
          <t>MOD-LV 480 V board + 480 V : 13.8 kV step-up</t>
        </is>
      </c>
      <c r="G5127" s="12" t="inlineStr"/>
      <c r="H5127" s="12" t="inlineStr">
        <is>
          <t>T-MOD-1 / T-MOD-2 firewall</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306</v>
      </c>
      <c r="U5127" s="16" t="n">
        <v>171</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I-P-0222</t>
        </is>
      </c>
      <c r="B5128" s="12" t="inlineStr">
        <is>
          <t>I</t>
        </is>
      </c>
      <c r="C5128" s="12" t="inlineStr">
        <is>
          <t>Modular / portable power</t>
        </is>
      </c>
      <c r="D5128" s="12" t="inlineStr">
        <is>
          <t>Motor 4 of 6, 2 kW</t>
        </is>
      </c>
      <c r="E5128" s="12" t="inlineStr"/>
      <c r="F5128" s="12" t="inlineStr">
        <is>
          <t>MOD-LV 480 V board + 480 V : 13.8 kV step-up</t>
        </is>
      </c>
      <c r="G5128" s="12" t="inlineStr"/>
      <c r="H5128" s="12" t="inlineStr">
        <is>
          <t>T-MOD-1 / T-MOD-2 firewall</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306</v>
      </c>
      <c r="U5128" s="16" t="n">
        <v>171</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I-P-0223</t>
        </is>
      </c>
      <c r="B5129" s="12" t="inlineStr">
        <is>
          <t>I</t>
        </is>
      </c>
      <c r="C5129" s="12" t="inlineStr">
        <is>
          <t>Modular / portable power</t>
        </is>
      </c>
      <c r="D5129" s="12" t="inlineStr">
        <is>
          <t>Motor 5 of 6, 2 kW</t>
        </is>
      </c>
      <c r="E5129" s="12" t="inlineStr"/>
      <c r="F5129" s="12" t="inlineStr">
        <is>
          <t>MOD-LV 480 V board + 480 V : 13.8 kV step-up</t>
        </is>
      </c>
      <c r="G5129" s="12" t="inlineStr"/>
      <c r="H5129" s="12" t="inlineStr">
        <is>
          <t>T-MOD-1 / T-MOD-2 firewall</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306</v>
      </c>
      <c r="U5129" s="16" t="n">
        <v>171</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I-P-0224</t>
        </is>
      </c>
      <c r="B5130" s="12" t="inlineStr">
        <is>
          <t>I</t>
        </is>
      </c>
      <c r="C5130" s="12" t="inlineStr">
        <is>
          <t>Modular / portable power</t>
        </is>
      </c>
      <c r="D5130" s="12" t="inlineStr">
        <is>
          <t>Motor 6 of 6, 2 kW</t>
        </is>
      </c>
      <c r="E5130" s="12" t="inlineStr"/>
      <c r="F5130" s="12" t="inlineStr">
        <is>
          <t>MOD-LV 480 V board + 480 V : 13.8 kV step-up</t>
        </is>
      </c>
      <c r="G5130" s="12" t="inlineStr"/>
      <c r="H5130" s="12" t="inlineStr">
        <is>
          <t>T-MOD-1 / T-MOD-2 firewall</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306</v>
      </c>
      <c r="U5130" s="16" t="n">
        <v>171</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I-P-0225</t>
        </is>
      </c>
      <c r="B5131" s="12" t="inlineStr">
        <is>
          <t>I</t>
        </is>
      </c>
      <c r="C5131" s="12" t="inlineStr">
        <is>
          <t>Modular / portable power</t>
        </is>
      </c>
      <c r="D5131" s="12" t="inlineStr">
        <is>
          <t>Motor 1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306</v>
      </c>
      <c r="U5131" s="16" t="n">
        <v>127</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I-P-0226</t>
        </is>
      </c>
      <c r="B5132" s="12" t="inlineStr">
        <is>
          <t>I</t>
        </is>
      </c>
      <c r="C5132" s="12" t="inlineStr">
        <is>
          <t>Modular / portable power</t>
        </is>
      </c>
      <c r="D5132" s="12" t="inlineStr">
        <is>
          <t>Motor 2 of 6, 2 kW</t>
        </is>
      </c>
      <c r="E5132" s="12" t="inlineStr"/>
      <c r="F5132" s="12" t="inlineStr">
        <is>
          <t>MOD-LV 480 V board + 480 V : 13.8 kV step-up</t>
        </is>
      </c>
      <c r="G5132" s="12" t="inlineStr">
        <is>
          <t>T-MOD-1</t>
        </is>
      </c>
      <c r="H5132" s="12" t="inlineStr">
        <is>
          <t>T-MOD-1: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Duct bank</t>
        </is>
      </c>
      <c r="T5132" s="16" t="n">
        <v>306</v>
      </c>
      <c r="U5132" s="16" t="n">
        <v>127</v>
      </c>
      <c r="V5132" s="16">
        <f>ROUNDUP((T5132+U5132+2*'Read Me'!$B$13)*(1+'Read Me'!$B$12),-1)</f>
        <v/>
      </c>
      <c r="W5132" s="16">
        <f>V5132*N5132*O5132</f>
        <v/>
      </c>
      <c r="X5132" s="12">
        <f>IF(LEFT(I5132,2)="MV",2*N5132*IF(L5132="1/C",O5132,1),0)</f>
        <v/>
      </c>
      <c r="Y5132" s="12">
        <f>IF(OR(LEFT(K5132,4)="LVAX",LEFT(K5132,6)="MV15AX",LEFT(K5132,4)="CTAX",LEFT(K5132,2)="W|"),2*N5132*O5132,0)</f>
        <v/>
      </c>
      <c r="Z5132" s="12" t="inlineStr">
        <is>
          <t>VD 0.6 %</t>
        </is>
      </c>
      <c r="AA5132" s="12">
        <f>N5132*O5132</f>
        <v/>
      </c>
    </row>
    <row r="5133">
      <c r="A5133" s="12" t="inlineStr">
        <is>
          <t>I-P-0227</t>
        </is>
      </c>
      <c r="B5133" s="12" t="inlineStr">
        <is>
          <t>I</t>
        </is>
      </c>
      <c r="C5133" s="12" t="inlineStr">
        <is>
          <t>Modular / portable power</t>
        </is>
      </c>
      <c r="D5133" s="12" t="inlineStr">
        <is>
          <t>Motor 3 of 6, 2 kW</t>
        </is>
      </c>
      <c r="E5133" s="12" t="inlineStr"/>
      <c r="F5133" s="12" t="inlineStr">
        <is>
          <t>MOD-LV 480 V board + 480 V : 13.8 kV step-up</t>
        </is>
      </c>
      <c r="G5133" s="12" t="inlineStr">
        <is>
          <t>T-MOD-1</t>
        </is>
      </c>
      <c r="H5133" s="12" t="inlineStr">
        <is>
          <t>T-MOD-1: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Duct bank</t>
        </is>
      </c>
      <c r="T5133" s="16" t="n">
        <v>306</v>
      </c>
      <c r="U5133" s="16" t="n">
        <v>127</v>
      </c>
      <c r="V5133" s="16">
        <f>ROUNDUP((T5133+U5133+2*'Read Me'!$B$13)*(1+'Read Me'!$B$12),-1)</f>
        <v/>
      </c>
      <c r="W5133" s="16">
        <f>V5133*N5133*O5133</f>
        <v/>
      </c>
      <c r="X5133" s="12">
        <f>IF(LEFT(I5133,2)="MV",2*N5133*IF(L5133="1/C",O5133,1),0)</f>
        <v/>
      </c>
      <c r="Y5133" s="12">
        <f>IF(OR(LEFT(K5133,4)="LVAX",LEFT(K5133,6)="MV15AX",LEFT(K5133,4)="CTAX",LEFT(K5133,2)="W|"),2*N5133*O5133,0)</f>
        <v/>
      </c>
      <c r="Z5133" s="12" t="inlineStr">
        <is>
          <t>VD 0.6 %</t>
        </is>
      </c>
      <c r="AA5133" s="12">
        <f>N5133*O5133</f>
        <v/>
      </c>
    </row>
    <row r="5134">
      <c r="A5134" s="12" t="inlineStr">
        <is>
          <t>I-P-0228</t>
        </is>
      </c>
      <c r="B5134" s="12" t="inlineStr">
        <is>
          <t>I</t>
        </is>
      </c>
      <c r="C5134" s="12" t="inlineStr">
        <is>
          <t>Modular / portable power</t>
        </is>
      </c>
      <c r="D5134" s="12" t="inlineStr">
        <is>
          <t>Motor 4 of 6, 2 kW</t>
        </is>
      </c>
      <c r="E5134" s="12" t="inlineStr"/>
      <c r="F5134" s="12" t="inlineStr">
        <is>
          <t>MOD-LV 480 V board + 480 V : 13.8 kV step-up</t>
        </is>
      </c>
      <c r="G5134" s="12" t="inlineStr">
        <is>
          <t>T-MOD-1</t>
        </is>
      </c>
      <c r="H5134" s="12" t="inlineStr">
        <is>
          <t>T-MOD-1: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Duct bank</t>
        </is>
      </c>
      <c r="T5134" s="16" t="n">
        <v>306</v>
      </c>
      <c r="U5134" s="16" t="n">
        <v>127</v>
      </c>
      <c r="V5134" s="16">
        <f>ROUNDUP((T5134+U5134+2*'Read Me'!$B$13)*(1+'Read Me'!$B$12),-1)</f>
        <v/>
      </c>
      <c r="W5134" s="16">
        <f>V5134*N5134*O5134</f>
        <v/>
      </c>
      <c r="X5134" s="12">
        <f>IF(LEFT(I5134,2)="MV",2*N5134*IF(L5134="1/C",O5134,1),0)</f>
        <v/>
      </c>
      <c r="Y5134" s="12">
        <f>IF(OR(LEFT(K5134,4)="LVAX",LEFT(K5134,6)="MV15AX",LEFT(K5134,4)="CTAX",LEFT(K5134,2)="W|"),2*N5134*O5134,0)</f>
        <v/>
      </c>
      <c r="Z5134" s="12" t="inlineStr">
        <is>
          <t>VD 0.6 %</t>
        </is>
      </c>
      <c r="AA5134" s="12">
        <f>N5134*O5134</f>
        <v/>
      </c>
    </row>
    <row r="5135">
      <c r="A5135" s="12" t="inlineStr">
        <is>
          <t>I-P-0229</t>
        </is>
      </c>
      <c r="B5135" s="12" t="inlineStr">
        <is>
          <t>I</t>
        </is>
      </c>
      <c r="C5135" s="12" t="inlineStr">
        <is>
          <t>Modular / portable power</t>
        </is>
      </c>
      <c r="D5135" s="12" t="inlineStr">
        <is>
          <t>Motor 5 of 6, 2 kW</t>
        </is>
      </c>
      <c r="E5135" s="12" t="inlineStr"/>
      <c r="F5135" s="12" t="inlineStr">
        <is>
          <t>MOD-LV 480 V board + 480 V : 13.8 kV step-up</t>
        </is>
      </c>
      <c r="G5135" s="12" t="inlineStr">
        <is>
          <t>T-MOD-1</t>
        </is>
      </c>
      <c r="H5135" s="12" t="inlineStr">
        <is>
          <t>T-MOD-1: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Duct bank</t>
        </is>
      </c>
      <c r="T5135" s="16" t="n">
        <v>306</v>
      </c>
      <c r="U5135" s="16" t="n">
        <v>127</v>
      </c>
      <c r="V5135" s="16">
        <f>ROUNDUP((T5135+U5135+2*'Read Me'!$B$13)*(1+'Read Me'!$B$12),-1)</f>
        <v/>
      </c>
      <c r="W5135" s="16">
        <f>V5135*N5135*O5135</f>
        <v/>
      </c>
      <c r="X5135" s="12">
        <f>IF(LEFT(I5135,2)="MV",2*N5135*IF(L5135="1/C",O5135,1),0)</f>
        <v/>
      </c>
      <c r="Y5135" s="12">
        <f>IF(OR(LEFT(K5135,4)="LVAX",LEFT(K5135,6)="MV15AX",LEFT(K5135,4)="CTAX",LEFT(K5135,2)="W|"),2*N5135*O5135,0)</f>
        <v/>
      </c>
      <c r="Z5135" s="12" t="inlineStr">
        <is>
          <t>VD 0.6 %</t>
        </is>
      </c>
      <c r="AA5135" s="12">
        <f>N5135*O5135</f>
        <v/>
      </c>
    </row>
    <row r="5136">
      <c r="A5136" s="12" t="inlineStr">
        <is>
          <t>I-P-0230</t>
        </is>
      </c>
      <c r="B5136" s="12" t="inlineStr">
        <is>
          <t>I</t>
        </is>
      </c>
      <c r="C5136" s="12" t="inlineStr">
        <is>
          <t>Modular / portable power</t>
        </is>
      </c>
      <c r="D5136" s="12" t="inlineStr">
        <is>
          <t>Motor 6 of 6, 2 kW</t>
        </is>
      </c>
      <c r="E5136" s="12" t="inlineStr"/>
      <c r="F5136" s="12" t="inlineStr">
        <is>
          <t>MOD-LV 480 V board + 480 V : 13.8 kV step-up</t>
        </is>
      </c>
      <c r="G5136" s="12" t="inlineStr">
        <is>
          <t>T-MOD-1</t>
        </is>
      </c>
      <c r="H5136" s="12" t="inlineStr">
        <is>
          <t>T-MOD-1: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Duct bank</t>
        </is>
      </c>
      <c r="T5136" s="16" t="n">
        <v>306</v>
      </c>
      <c r="U5136" s="16" t="n">
        <v>127</v>
      </c>
      <c r="V5136" s="16">
        <f>ROUNDUP((T5136+U5136+2*'Read Me'!$B$13)*(1+'Read Me'!$B$12),-1)</f>
        <v/>
      </c>
      <c r="W5136" s="16">
        <f>V5136*N5136*O5136</f>
        <v/>
      </c>
      <c r="X5136" s="12">
        <f>IF(LEFT(I5136,2)="MV",2*N5136*IF(L5136="1/C",O5136,1),0)</f>
        <v/>
      </c>
      <c r="Y5136" s="12">
        <f>IF(OR(LEFT(K5136,4)="LVAX",LEFT(K5136,6)="MV15AX",LEFT(K5136,4)="CTAX",LEFT(K5136,2)="W|"),2*N5136*O5136,0)</f>
        <v/>
      </c>
      <c r="Z5136" s="12" t="inlineStr">
        <is>
          <t>VD 0.6 %</t>
        </is>
      </c>
      <c r="AA5136" s="12">
        <f>N5136*O5136</f>
        <v/>
      </c>
    </row>
    <row r="5137">
      <c r="A5137" s="12" t="inlineStr">
        <is>
          <t>I-P-0231</t>
        </is>
      </c>
      <c r="B5137" s="12" t="inlineStr">
        <is>
          <t>I</t>
        </is>
      </c>
      <c r="C5137" s="12" t="inlineStr">
        <is>
          <t>Modular / portable power</t>
        </is>
      </c>
      <c r="D5137" s="12" t="inlineStr">
        <is>
          <t>Motor 1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I-P-0232</t>
        </is>
      </c>
      <c r="B5138" s="12" t="inlineStr">
        <is>
          <t>I</t>
        </is>
      </c>
      <c r="C5138" s="12" t="inlineStr">
        <is>
          <t>Modular / portable power</t>
        </is>
      </c>
      <c r="D5138" s="12" t="inlineStr">
        <is>
          <t>Motor 2 of 6, 2 kW</t>
        </is>
      </c>
      <c r="E5138" s="12" t="inlineStr"/>
      <c r="F5138" s="12" t="inlineStr">
        <is>
          <t>MOD-LV 480 V board + 480 V : 13.8 kV step-up</t>
        </is>
      </c>
      <c r="G5138" s="12" t="inlineStr">
        <is>
          <t>T-MOD-2</t>
        </is>
      </c>
      <c r="H5138" s="12" t="inlineStr">
        <is>
          <t>T-MOD-2: 13.8/230 kV</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2</v>
      </c>
      <c r="R5138" s="12" t="n">
        <v>2.8</v>
      </c>
      <c r="S5138" s="12" t="inlineStr">
        <is>
          <t>Tray</t>
        </is>
      </c>
      <c r="T5138" s="16" t="n">
        <v>0</v>
      </c>
      <c r="U5138" s="16" t="n">
        <v>189</v>
      </c>
      <c r="V5138" s="16">
        <f>ROUNDUP((T5138+U5138+2*'Read Me'!$B$13)*(1+'Read Me'!$B$12),-1)</f>
        <v/>
      </c>
      <c r="W5138" s="16">
        <f>V5138*N5138*O5138</f>
        <v/>
      </c>
      <c r="X5138" s="12">
        <f>IF(LEFT(I5138,2)="MV",2*N5138*IF(L5138="1/C",O5138,1),0)</f>
        <v/>
      </c>
      <c r="Y5138" s="12">
        <f>IF(OR(LEFT(K5138,4)="LVAX",LEFT(K5138,6)="MV15AX",LEFT(K5138,4)="CTAX",LEFT(K5138,2)="W|"),2*N5138*O5138,0)</f>
        <v/>
      </c>
      <c r="Z5138" s="12" t="inlineStr">
        <is>
          <t>VD 0.3 %</t>
        </is>
      </c>
      <c r="AA5138" s="12">
        <f>N5138*O5138</f>
        <v/>
      </c>
    </row>
    <row r="5139">
      <c r="A5139" s="12" t="inlineStr">
        <is>
          <t>I-P-0233</t>
        </is>
      </c>
      <c r="B5139" s="12" t="inlineStr">
        <is>
          <t>I</t>
        </is>
      </c>
      <c r="C5139" s="12" t="inlineStr">
        <is>
          <t>Modular / portable power</t>
        </is>
      </c>
      <c r="D5139" s="12" t="inlineStr">
        <is>
          <t>Motor 3 of 6, 2 kW</t>
        </is>
      </c>
      <c r="E5139" s="12" t="inlineStr"/>
      <c r="F5139" s="12" t="inlineStr">
        <is>
          <t>MOD-LV 480 V board + 480 V : 13.8 kV step-up</t>
        </is>
      </c>
      <c r="G5139" s="12" t="inlineStr">
        <is>
          <t>T-MOD-2</t>
        </is>
      </c>
      <c r="H5139" s="12" t="inlineStr">
        <is>
          <t>T-MOD-2: 13.8/230 kV</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2</v>
      </c>
      <c r="R5139" s="12" t="n">
        <v>2.8</v>
      </c>
      <c r="S5139" s="12" t="inlineStr">
        <is>
          <t>Tray</t>
        </is>
      </c>
      <c r="T5139" s="16" t="n">
        <v>0</v>
      </c>
      <c r="U5139" s="16" t="n">
        <v>189</v>
      </c>
      <c r="V5139" s="16">
        <f>ROUNDUP((T5139+U5139+2*'Read Me'!$B$13)*(1+'Read Me'!$B$12),-1)</f>
        <v/>
      </c>
      <c r="W5139" s="16">
        <f>V5139*N5139*O5139</f>
        <v/>
      </c>
      <c r="X5139" s="12">
        <f>IF(LEFT(I5139,2)="MV",2*N5139*IF(L5139="1/C",O5139,1),0)</f>
        <v/>
      </c>
      <c r="Y5139" s="12">
        <f>IF(OR(LEFT(K5139,4)="LVAX",LEFT(K5139,6)="MV15AX",LEFT(K5139,4)="CTAX",LEFT(K5139,2)="W|"),2*N5139*O5139,0)</f>
        <v/>
      </c>
      <c r="Z5139" s="12" t="inlineStr">
        <is>
          <t>VD 0.3 %</t>
        </is>
      </c>
      <c r="AA5139" s="12">
        <f>N5139*O5139</f>
        <v/>
      </c>
    </row>
    <row r="5140">
      <c r="A5140" s="12" t="inlineStr">
        <is>
          <t>I-P-0234</t>
        </is>
      </c>
      <c r="B5140" s="12" t="inlineStr">
        <is>
          <t>I</t>
        </is>
      </c>
      <c r="C5140" s="12" t="inlineStr">
        <is>
          <t>Modular / portable power</t>
        </is>
      </c>
      <c r="D5140" s="12" t="inlineStr">
        <is>
          <t>Motor 4 of 6, 2 kW</t>
        </is>
      </c>
      <c r="E5140" s="12" t="inlineStr"/>
      <c r="F5140" s="12" t="inlineStr">
        <is>
          <t>MOD-LV 480 V board + 480 V : 13.8 kV step-up</t>
        </is>
      </c>
      <c r="G5140" s="12" t="inlineStr">
        <is>
          <t>T-MOD-2</t>
        </is>
      </c>
      <c r="H5140" s="12" t="inlineStr">
        <is>
          <t>T-MOD-2: 13.8/230 kV</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2</v>
      </c>
      <c r="R5140" s="12" t="n">
        <v>2.8</v>
      </c>
      <c r="S5140" s="12" t="inlineStr">
        <is>
          <t>Tray</t>
        </is>
      </c>
      <c r="T5140" s="16" t="n">
        <v>0</v>
      </c>
      <c r="U5140" s="16" t="n">
        <v>189</v>
      </c>
      <c r="V5140" s="16">
        <f>ROUNDUP((T5140+U5140+2*'Read Me'!$B$13)*(1+'Read Me'!$B$12),-1)</f>
        <v/>
      </c>
      <c r="W5140" s="16">
        <f>V5140*N5140*O5140</f>
        <v/>
      </c>
      <c r="X5140" s="12">
        <f>IF(LEFT(I5140,2)="MV",2*N5140*IF(L5140="1/C",O5140,1),0)</f>
        <v/>
      </c>
      <c r="Y5140" s="12">
        <f>IF(OR(LEFT(K5140,4)="LVAX",LEFT(K5140,6)="MV15AX",LEFT(K5140,4)="CTAX",LEFT(K5140,2)="W|"),2*N5140*O5140,0)</f>
        <v/>
      </c>
      <c r="Z5140" s="12" t="inlineStr">
        <is>
          <t>VD 0.3 %</t>
        </is>
      </c>
      <c r="AA5140" s="12">
        <f>N5140*O5140</f>
        <v/>
      </c>
    </row>
    <row r="5141">
      <c r="A5141" s="12" t="inlineStr">
        <is>
          <t>I-P-0235</t>
        </is>
      </c>
      <c r="B5141" s="12" t="inlineStr">
        <is>
          <t>I</t>
        </is>
      </c>
      <c r="C5141" s="12" t="inlineStr">
        <is>
          <t>Modular / portable power</t>
        </is>
      </c>
      <c r="D5141" s="12" t="inlineStr">
        <is>
          <t>Motor 5 of 6, 2 kW</t>
        </is>
      </c>
      <c r="E5141" s="12" t="inlineStr"/>
      <c r="F5141" s="12" t="inlineStr">
        <is>
          <t>MOD-LV 480 V board + 480 V : 13.8 kV step-up</t>
        </is>
      </c>
      <c r="G5141" s="12" t="inlineStr">
        <is>
          <t>T-MOD-2</t>
        </is>
      </c>
      <c r="H5141" s="12" t="inlineStr">
        <is>
          <t>T-MOD-2: 13.8/230 kV</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2</v>
      </c>
      <c r="R5141" s="12" t="n">
        <v>2.8</v>
      </c>
      <c r="S5141" s="12" t="inlineStr">
        <is>
          <t>Tray</t>
        </is>
      </c>
      <c r="T5141" s="16" t="n">
        <v>0</v>
      </c>
      <c r="U5141" s="16" t="n">
        <v>189</v>
      </c>
      <c r="V5141" s="16">
        <f>ROUNDUP((T5141+U5141+2*'Read Me'!$B$13)*(1+'Read Me'!$B$12),-1)</f>
        <v/>
      </c>
      <c r="W5141" s="16">
        <f>V5141*N5141*O5141</f>
        <v/>
      </c>
      <c r="X5141" s="12">
        <f>IF(LEFT(I5141,2)="MV",2*N5141*IF(L5141="1/C",O5141,1),0)</f>
        <v/>
      </c>
      <c r="Y5141" s="12">
        <f>IF(OR(LEFT(K5141,4)="LVAX",LEFT(K5141,6)="MV15AX",LEFT(K5141,4)="CTAX",LEFT(K5141,2)="W|"),2*N5141*O5141,0)</f>
        <v/>
      </c>
      <c r="Z5141" s="12" t="inlineStr">
        <is>
          <t>VD 0.3 %</t>
        </is>
      </c>
      <c r="AA5141" s="12">
        <f>N5141*O5141</f>
        <v/>
      </c>
    </row>
    <row r="5142">
      <c r="A5142" s="12" t="inlineStr">
        <is>
          <t>I-P-0236</t>
        </is>
      </c>
      <c r="B5142" s="12" t="inlineStr">
        <is>
          <t>I</t>
        </is>
      </c>
      <c r="C5142" s="12" t="inlineStr">
        <is>
          <t>Modular / portable power</t>
        </is>
      </c>
      <c r="D5142" s="12" t="inlineStr">
        <is>
          <t>Motor 6 of 6, 2 kW</t>
        </is>
      </c>
      <c r="E5142" s="12" t="inlineStr"/>
      <c r="F5142" s="12" t="inlineStr">
        <is>
          <t>MOD-LV 480 V board + 480 V : 13.8 kV step-up</t>
        </is>
      </c>
      <c r="G5142" s="12" t="inlineStr">
        <is>
          <t>T-MOD-2</t>
        </is>
      </c>
      <c r="H5142" s="12" t="inlineStr">
        <is>
          <t>T-MOD-2: 13.8/230 kV</t>
        </is>
      </c>
      <c r="I5142" s="12" t="inlineStr">
        <is>
          <t>LV 600 V</t>
        </is>
      </c>
      <c r="J5142" s="12" t="inlineStr">
        <is>
          <t>Type TC-ER 600 V 3/C Cu XHHW-2 + ground, PVC jacket</t>
        </is>
      </c>
      <c r="K5142" s="12" t="inlineStr">
        <is>
          <t>LV|3/C+G|10</t>
        </is>
      </c>
      <c r="L5142" s="12" t="inlineStr">
        <is>
          <t>3/C+G</t>
        </is>
      </c>
      <c r="M5142" s="12" t="inlineStr">
        <is>
          <t>10</t>
        </is>
      </c>
      <c r="N5142" s="12" t="n">
        <v>1</v>
      </c>
      <c r="O5142" s="12" t="n">
        <v>1</v>
      </c>
      <c r="P5142" s="12" t="n">
        <v>480</v>
      </c>
      <c r="Q5142" s="12" t="n">
        <v>2</v>
      </c>
      <c r="R5142" s="12" t="n">
        <v>2.8</v>
      </c>
      <c r="S5142" s="12" t="inlineStr">
        <is>
          <t>Tray</t>
        </is>
      </c>
      <c r="T5142" s="16" t="n">
        <v>0</v>
      </c>
      <c r="U5142" s="16" t="n">
        <v>189</v>
      </c>
      <c r="V5142" s="16">
        <f>ROUNDUP((T5142+U5142+2*'Read Me'!$B$13)*(1+'Read Me'!$B$12),-1)</f>
        <v/>
      </c>
      <c r="W5142" s="16">
        <f>V5142*N5142*O5142</f>
        <v/>
      </c>
      <c r="X5142" s="12">
        <f>IF(LEFT(I5142,2)="MV",2*N5142*IF(L5142="1/C",O5142,1),0)</f>
        <v/>
      </c>
      <c r="Y5142" s="12">
        <f>IF(OR(LEFT(K5142,4)="LVAX",LEFT(K5142,6)="MV15AX",LEFT(K5142,4)="CTAX",LEFT(K5142,2)="W|"),2*N5142*O5142,0)</f>
        <v/>
      </c>
      <c r="Z5142" s="12" t="inlineStr">
        <is>
          <t>VD 0.3 %</t>
        </is>
      </c>
      <c r="AA5142" s="12">
        <f>N5142*O5142</f>
        <v/>
      </c>
    </row>
    <row r="5143">
      <c r="A5143" s="12" t="inlineStr">
        <is>
          <t>I-P-0237</t>
        </is>
      </c>
      <c r="B5143" s="12" t="inlineStr">
        <is>
          <t>I</t>
        </is>
      </c>
      <c r="C5143" s="12" t="inlineStr">
        <is>
          <t>Modular / portable power</t>
        </is>
      </c>
      <c r="D5143" s="12" t="inlineStr">
        <is>
          <t>Motor 1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HV duct bank</t>
        </is>
      </c>
      <c r="T5143" s="16" t="n">
        <v>3141</v>
      </c>
      <c r="U5143" s="16" t="n">
        <v>54</v>
      </c>
      <c r="V5143" s="16">
        <f>ROUNDUP((T5143+U5143+2*'Read Me'!$B$13)*(1+'Read Me'!$B$12),-1)</f>
        <v/>
      </c>
      <c r="W5143" s="16">
        <f>V5143*N5143*O5143</f>
        <v/>
      </c>
      <c r="X5143" s="12">
        <f>IF(LEFT(I5143,2)="MV",2*N5143*IF(L5143="1/C",O5143,1),0)</f>
        <v/>
      </c>
      <c r="Y5143" s="12">
        <f>IF(OR(LEFT(K5143,4)="LVAX",LEFT(K5143,6)="MV15AX",LEFT(K5143,4)="CTAX",LEFT(K5143,2)="W|"),2*N5143*O5143,0)</f>
        <v/>
      </c>
      <c r="Z5143" s="12" t="inlineStr">
        <is>
          <t>VD 2.4 %</t>
        </is>
      </c>
      <c r="AA5143" s="12">
        <f>N5143*O5143</f>
        <v/>
      </c>
    </row>
    <row r="5144">
      <c r="A5144" s="12" t="inlineStr">
        <is>
          <t>I-P-0238</t>
        </is>
      </c>
      <c r="B5144" s="12" t="inlineStr">
        <is>
          <t>I</t>
        </is>
      </c>
      <c r="C5144" s="12" t="inlineStr">
        <is>
          <t>Modular / portable power</t>
        </is>
      </c>
      <c r="D5144" s="12" t="inlineStr">
        <is>
          <t>Motor 2 of 6, 22 kW</t>
        </is>
      </c>
      <c r="E5144" s="12" t="inlineStr"/>
      <c r="F5144" s="12" t="inlineStr">
        <is>
          <t>MOD-LV 480 V board + 480 V : 13.8 kV step-up</t>
        </is>
      </c>
      <c r="G5144" s="12" t="inlineStr">
        <is>
          <t>TM-1</t>
        </is>
      </c>
      <c r="H5144" s="12" t="inlineStr">
        <is>
          <t>TM-1: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HV duct bank</t>
        </is>
      </c>
      <c r="T5144" s="16" t="n">
        <v>3141</v>
      </c>
      <c r="U5144" s="16" t="n">
        <v>54</v>
      </c>
      <c r="V5144" s="16">
        <f>ROUNDUP((T5144+U5144+2*'Read Me'!$B$13)*(1+'Read Me'!$B$12),-1)</f>
        <v/>
      </c>
      <c r="W5144" s="16">
        <f>V5144*N5144*O5144</f>
        <v/>
      </c>
      <c r="X5144" s="12">
        <f>IF(LEFT(I5144,2)="MV",2*N5144*IF(L5144="1/C",O5144,1),0)</f>
        <v/>
      </c>
      <c r="Y5144" s="12">
        <f>IF(OR(LEFT(K5144,4)="LVAX",LEFT(K5144,6)="MV15AX",LEFT(K5144,4)="CTAX",LEFT(K5144,2)="W|"),2*N5144*O5144,0)</f>
        <v/>
      </c>
      <c r="Z5144" s="12" t="inlineStr">
        <is>
          <t>VD 2.4 %</t>
        </is>
      </c>
      <c r="AA5144" s="12">
        <f>N5144*O5144</f>
        <v/>
      </c>
    </row>
    <row r="5145">
      <c r="A5145" s="12" t="inlineStr">
        <is>
          <t>I-P-0239</t>
        </is>
      </c>
      <c r="B5145" s="12" t="inlineStr">
        <is>
          <t>I</t>
        </is>
      </c>
      <c r="C5145" s="12" t="inlineStr">
        <is>
          <t>Modular / portable power</t>
        </is>
      </c>
      <c r="D5145" s="12" t="inlineStr">
        <is>
          <t>Motor 3 of 6, 22 kW</t>
        </is>
      </c>
      <c r="E5145" s="12" t="inlineStr"/>
      <c r="F5145" s="12" t="inlineStr">
        <is>
          <t>MOD-LV 480 V board + 480 V : 13.8 kV step-up</t>
        </is>
      </c>
      <c r="G5145" s="12" t="inlineStr">
        <is>
          <t>TM-1</t>
        </is>
      </c>
      <c r="H5145" s="12" t="inlineStr">
        <is>
          <t>TM-1: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HV duct bank</t>
        </is>
      </c>
      <c r="T5145" s="16" t="n">
        <v>3141</v>
      </c>
      <c r="U5145" s="16" t="n">
        <v>54</v>
      </c>
      <c r="V5145" s="16">
        <f>ROUNDUP((T5145+U5145+2*'Read Me'!$B$13)*(1+'Read Me'!$B$12),-1)</f>
        <v/>
      </c>
      <c r="W5145" s="16">
        <f>V5145*N5145*O5145</f>
        <v/>
      </c>
      <c r="X5145" s="12">
        <f>IF(LEFT(I5145,2)="MV",2*N5145*IF(L5145="1/C",O5145,1),0)</f>
        <v/>
      </c>
      <c r="Y5145" s="12">
        <f>IF(OR(LEFT(K5145,4)="LVAX",LEFT(K5145,6)="MV15AX",LEFT(K5145,4)="CTAX",LEFT(K5145,2)="W|"),2*N5145*O5145,0)</f>
        <v/>
      </c>
      <c r="Z5145" s="12" t="inlineStr">
        <is>
          <t>VD 2.4 %</t>
        </is>
      </c>
      <c r="AA5145" s="12">
        <f>N5145*O5145</f>
        <v/>
      </c>
    </row>
    <row r="5146">
      <c r="A5146" s="12" t="inlineStr">
        <is>
          <t>I-P-0240</t>
        </is>
      </c>
      <c r="B5146" s="12" t="inlineStr">
        <is>
          <t>I</t>
        </is>
      </c>
      <c r="C5146" s="12" t="inlineStr">
        <is>
          <t>Modular / portable power</t>
        </is>
      </c>
      <c r="D5146" s="12" t="inlineStr">
        <is>
          <t>Motor 4 of 6, 22 kW</t>
        </is>
      </c>
      <c r="E5146" s="12" t="inlineStr"/>
      <c r="F5146" s="12" t="inlineStr">
        <is>
          <t>MOD-LV 480 V board + 480 V : 13.8 kV step-up</t>
        </is>
      </c>
      <c r="G5146" s="12" t="inlineStr">
        <is>
          <t>TM-1</t>
        </is>
      </c>
      <c r="H5146" s="12" t="inlineStr">
        <is>
          <t>TM-1: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HV duct bank</t>
        </is>
      </c>
      <c r="T5146" s="16" t="n">
        <v>3141</v>
      </c>
      <c r="U5146" s="16" t="n">
        <v>54</v>
      </c>
      <c r="V5146" s="16">
        <f>ROUNDUP((T5146+U5146+2*'Read Me'!$B$13)*(1+'Read Me'!$B$12),-1)</f>
        <v/>
      </c>
      <c r="W5146" s="16">
        <f>V5146*N5146*O5146</f>
        <v/>
      </c>
      <c r="X5146" s="12">
        <f>IF(LEFT(I5146,2)="MV",2*N5146*IF(L5146="1/C",O5146,1),0)</f>
        <v/>
      </c>
      <c r="Y5146" s="12">
        <f>IF(OR(LEFT(K5146,4)="LVAX",LEFT(K5146,6)="MV15AX",LEFT(K5146,4)="CTAX",LEFT(K5146,2)="W|"),2*N5146*O5146,0)</f>
        <v/>
      </c>
      <c r="Z5146" s="12" t="inlineStr">
        <is>
          <t>VD 2.4 %</t>
        </is>
      </c>
      <c r="AA5146" s="12">
        <f>N5146*O5146</f>
        <v/>
      </c>
    </row>
    <row r="5147">
      <c r="A5147" s="12" t="inlineStr">
        <is>
          <t>I-P-0241</t>
        </is>
      </c>
      <c r="B5147" s="12" t="inlineStr">
        <is>
          <t>I</t>
        </is>
      </c>
      <c r="C5147" s="12" t="inlineStr">
        <is>
          <t>Modular / portable power</t>
        </is>
      </c>
      <c r="D5147" s="12" t="inlineStr">
        <is>
          <t>Motor 5 of 6, 22 kW</t>
        </is>
      </c>
      <c r="E5147" s="12" t="inlineStr"/>
      <c r="F5147" s="12" t="inlineStr">
        <is>
          <t>MOD-LV 480 V board + 480 V : 13.8 kV step-up</t>
        </is>
      </c>
      <c r="G5147" s="12" t="inlineStr">
        <is>
          <t>TM-1</t>
        </is>
      </c>
      <c r="H5147" s="12" t="inlineStr">
        <is>
          <t>TM-1: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HV duct bank</t>
        </is>
      </c>
      <c r="T5147" s="16" t="n">
        <v>3141</v>
      </c>
      <c r="U5147" s="16" t="n">
        <v>54</v>
      </c>
      <c r="V5147" s="16">
        <f>ROUNDUP((T5147+U5147+2*'Read Me'!$B$13)*(1+'Read Me'!$B$12),-1)</f>
        <v/>
      </c>
      <c r="W5147" s="16">
        <f>V5147*N5147*O5147</f>
        <v/>
      </c>
      <c r="X5147" s="12">
        <f>IF(LEFT(I5147,2)="MV",2*N5147*IF(L5147="1/C",O5147,1),0)</f>
        <v/>
      </c>
      <c r="Y5147" s="12">
        <f>IF(OR(LEFT(K5147,4)="LVAX",LEFT(K5147,6)="MV15AX",LEFT(K5147,4)="CTAX",LEFT(K5147,2)="W|"),2*N5147*O5147,0)</f>
        <v/>
      </c>
      <c r="Z5147" s="12" t="inlineStr">
        <is>
          <t>VD 2.4 %</t>
        </is>
      </c>
      <c r="AA5147" s="12">
        <f>N5147*O5147</f>
        <v/>
      </c>
    </row>
    <row r="5148">
      <c r="A5148" s="12" t="inlineStr">
        <is>
          <t>I-P-0242</t>
        </is>
      </c>
      <c r="B5148" s="12" t="inlineStr">
        <is>
          <t>I</t>
        </is>
      </c>
      <c r="C5148" s="12" t="inlineStr">
        <is>
          <t>Modular / portable power</t>
        </is>
      </c>
      <c r="D5148" s="12" t="inlineStr">
        <is>
          <t>Motor 6 of 6, 22 kW</t>
        </is>
      </c>
      <c r="E5148" s="12" t="inlineStr"/>
      <c r="F5148" s="12" t="inlineStr">
        <is>
          <t>MOD-LV 480 V board + 480 V : 13.8 kV step-up</t>
        </is>
      </c>
      <c r="G5148" s="12" t="inlineStr">
        <is>
          <t>TM-1</t>
        </is>
      </c>
      <c r="H5148" s="12" t="inlineStr">
        <is>
          <t>TM-1: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HV duct bank</t>
        </is>
      </c>
      <c r="T5148" s="16" t="n">
        <v>3141</v>
      </c>
      <c r="U5148" s="16" t="n">
        <v>54</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I-P-0243</t>
        </is>
      </c>
      <c r="B5149" s="12" t="inlineStr">
        <is>
          <t>I</t>
        </is>
      </c>
      <c r="C5149" s="12" t="inlineStr">
        <is>
          <t>Modular / portable power</t>
        </is>
      </c>
      <c r="D5149" s="12" t="inlineStr">
        <is>
          <t>Motor 1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HV duct bank</t>
        </is>
      </c>
      <c r="T5149" s="16" t="n">
        <v>3141</v>
      </c>
      <c r="U5149" s="16" t="n">
        <v>60</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I-P-0244</t>
        </is>
      </c>
      <c r="B5150" s="12" t="inlineStr">
        <is>
          <t>I</t>
        </is>
      </c>
      <c r="C5150" s="12" t="inlineStr">
        <is>
          <t>Modular / portable power</t>
        </is>
      </c>
      <c r="D5150" s="12" t="inlineStr">
        <is>
          <t>Motor 2 of 6, 22 kW</t>
        </is>
      </c>
      <c r="E5150" s="12" t="inlineStr"/>
      <c r="F5150" s="12" t="inlineStr">
        <is>
          <t>MOD-LV 480 V board + 480 V : 13.8 kV step-up</t>
        </is>
      </c>
      <c r="G5150" s="12" t="inlineStr">
        <is>
          <t>TM-2</t>
        </is>
      </c>
      <c r="H5150" s="12" t="inlineStr">
        <is>
          <t>TM-2: trailer-mounted aeroderivative GT (TM2500 class, ~35 MW)</t>
        </is>
      </c>
      <c r="I5150" s="12" t="inlineStr">
        <is>
          <t>LV 600 V</t>
        </is>
      </c>
      <c r="J5150" s="12" t="inlineStr">
        <is>
          <t>Type TC-ER 600 V 3/C Cu XHHW-2 + ground, PVC jacket</t>
        </is>
      </c>
      <c r="K5150" s="12" t="inlineStr">
        <is>
          <t>LV|3/C+G|4/0</t>
        </is>
      </c>
      <c r="L5150" s="12" t="inlineStr">
        <is>
          <t>3/C+G</t>
        </is>
      </c>
      <c r="M5150" s="12" t="inlineStr">
        <is>
          <t>4/0</t>
        </is>
      </c>
      <c r="N5150" s="12" t="n">
        <v>1</v>
      </c>
      <c r="O5150" s="12" t="n">
        <v>1</v>
      </c>
      <c r="P5150" s="12" t="n">
        <v>480</v>
      </c>
      <c r="Q5150" s="12" t="n">
        <v>22</v>
      </c>
      <c r="R5150" s="12" t="n">
        <v>31.1</v>
      </c>
      <c r="S5150" s="12" t="inlineStr">
        <is>
          <t>HV duct bank</t>
        </is>
      </c>
      <c r="T5150" s="16" t="n">
        <v>3141</v>
      </c>
      <c r="U5150" s="16" t="n">
        <v>60</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I-P-0245</t>
        </is>
      </c>
      <c r="B5151" s="12" t="inlineStr">
        <is>
          <t>I</t>
        </is>
      </c>
      <c r="C5151" s="12" t="inlineStr">
        <is>
          <t>Modular / portable power</t>
        </is>
      </c>
      <c r="D5151" s="12" t="inlineStr">
        <is>
          <t>Motor 3 of 6, 22 kW</t>
        </is>
      </c>
      <c r="E5151" s="12" t="inlineStr"/>
      <c r="F5151" s="12" t="inlineStr">
        <is>
          <t>MOD-LV 480 V board + 480 V : 13.8 kV step-up</t>
        </is>
      </c>
      <c r="G5151" s="12" t="inlineStr">
        <is>
          <t>TM-2</t>
        </is>
      </c>
      <c r="H5151" s="12" t="inlineStr">
        <is>
          <t>TM-2: trailer-mounted aeroderivative GT (TM2500 class, ~35 MW)</t>
        </is>
      </c>
      <c r="I5151" s="12" t="inlineStr">
        <is>
          <t>LV 600 V</t>
        </is>
      </c>
      <c r="J5151" s="12" t="inlineStr">
        <is>
          <t>Type TC-ER 600 V 3/C Cu XHHW-2 + ground, PVC jacket</t>
        </is>
      </c>
      <c r="K5151" s="12" t="inlineStr">
        <is>
          <t>LV|3/C+G|4/0</t>
        </is>
      </c>
      <c r="L5151" s="12" t="inlineStr">
        <is>
          <t>3/C+G</t>
        </is>
      </c>
      <c r="M5151" s="12" t="inlineStr">
        <is>
          <t>4/0</t>
        </is>
      </c>
      <c r="N5151" s="12" t="n">
        <v>1</v>
      </c>
      <c r="O5151" s="12" t="n">
        <v>1</v>
      </c>
      <c r="P5151" s="12" t="n">
        <v>480</v>
      </c>
      <c r="Q5151" s="12" t="n">
        <v>22</v>
      </c>
      <c r="R5151" s="12" t="n">
        <v>31.1</v>
      </c>
      <c r="S5151" s="12" t="inlineStr">
        <is>
          <t>HV duct bank</t>
        </is>
      </c>
      <c r="T5151" s="16" t="n">
        <v>3141</v>
      </c>
      <c r="U5151" s="16" t="n">
        <v>60</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I-P-0246</t>
        </is>
      </c>
      <c r="B5152" s="12" t="inlineStr">
        <is>
          <t>I</t>
        </is>
      </c>
      <c r="C5152" s="12" t="inlineStr">
        <is>
          <t>Modular / portable power</t>
        </is>
      </c>
      <c r="D5152" s="12" t="inlineStr">
        <is>
          <t>Motor 4 of 6, 22 kW</t>
        </is>
      </c>
      <c r="E5152" s="12" t="inlineStr"/>
      <c r="F5152" s="12" t="inlineStr">
        <is>
          <t>MOD-LV 480 V board + 480 V : 13.8 kV step-up</t>
        </is>
      </c>
      <c r="G5152" s="12" t="inlineStr">
        <is>
          <t>TM-2</t>
        </is>
      </c>
      <c r="H5152" s="12" t="inlineStr">
        <is>
          <t>TM-2: trailer-mounted aeroderivative GT (TM2500 class, ~35 MW)</t>
        </is>
      </c>
      <c r="I5152" s="12" t="inlineStr">
        <is>
          <t>LV 600 V</t>
        </is>
      </c>
      <c r="J5152" s="12" t="inlineStr">
        <is>
          <t>Type TC-ER 600 V 3/C Cu XHHW-2 + ground, PVC jacket</t>
        </is>
      </c>
      <c r="K5152" s="12" t="inlineStr">
        <is>
          <t>LV|3/C+G|4/0</t>
        </is>
      </c>
      <c r="L5152" s="12" t="inlineStr">
        <is>
          <t>3/C+G</t>
        </is>
      </c>
      <c r="M5152" s="12" t="inlineStr">
        <is>
          <t>4/0</t>
        </is>
      </c>
      <c r="N5152" s="12" t="n">
        <v>1</v>
      </c>
      <c r="O5152" s="12" t="n">
        <v>1</v>
      </c>
      <c r="P5152" s="12" t="n">
        <v>480</v>
      </c>
      <c r="Q5152" s="12" t="n">
        <v>22</v>
      </c>
      <c r="R5152" s="12" t="n">
        <v>31.1</v>
      </c>
      <c r="S5152" s="12" t="inlineStr">
        <is>
          <t>HV duct bank</t>
        </is>
      </c>
      <c r="T5152" s="16" t="n">
        <v>3141</v>
      </c>
      <c r="U5152" s="16" t="n">
        <v>60</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I-P-0247</t>
        </is>
      </c>
      <c r="B5153" s="12" t="inlineStr">
        <is>
          <t>I</t>
        </is>
      </c>
      <c r="C5153" s="12" t="inlineStr">
        <is>
          <t>Modular / portable power</t>
        </is>
      </c>
      <c r="D5153" s="12" t="inlineStr">
        <is>
          <t>Motor 5 of 6, 22 kW</t>
        </is>
      </c>
      <c r="E5153" s="12" t="inlineStr"/>
      <c r="F5153" s="12" t="inlineStr">
        <is>
          <t>MOD-LV 480 V board + 480 V : 13.8 kV step-up</t>
        </is>
      </c>
      <c r="G5153" s="12" t="inlineStr">
        <is>
          <t>TM-2</t>
        </is>
      </c>
      <c r="H5153" s="12" t="inlineStr">
        <is>
          <t>TM-2: trailer-mounted aeroderivative GT (TM2500 class, ~35 MW)</t>
        </is>
      </c>
      <c r="I5153" s="12" t="inlineStr">
        <is>
          <t>LV 600 V</t>
        </is>
      </c>
      <c r="J5153" s="12" t="inlineStr">
        <is>
          <t>Type TC-ER 600 V 3/C Cu XHHW-2 + ground, PVC jacket</t>
        </is>
      </c>
      <c r="K5153" s="12" t="inlineStr">
        <is>
          <t>LV|3/C+G|4/0</t>
        </is>
      </c>
      <c r="L5153" s="12" t="inlineStr">
        <is>
          <t>3/C+G</t>
        </is>
      </c>
      <c r="M5153" s="12" t="inlineStr">
        <is>
          <t>4/0</t>
        </is>
      </c>
      <c r="N5153" s="12" t="n">
        <v>1</v>
      </c>
      <c r="O5153" s="12" t="n">
        <v>1</v>
      </c>
      <c r="P5153" s="12" t="n">
        <v>480</v>
      </c>
      <c r="Q5153" s="12" t="n">
        <v>22</v>
      </c>
      <c r="R5153" s="12" t="n">
        <v>31.1</v>
      </c>
      <c r="S5153" s="12" t="inlineStr">
        <is>
          <t>HV duct bank</t>
        </is>
      </c>
      <c r="T5153" s="16" t="n">
        <v>3141</v>
      </c>
      <c r="U5153" s="16" t="n">
        <v>60</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I-P-0248</t>
        </is>
      </c>
      <c r="B5154" s="12" t="inlineStr">
        <is>
          <t>I</t>
        </is>
      </c>
      <c r="C5154" s="12" t="inlineStr">
        <is>
          <t>Modular / portable power</t>
        </is>
      </c>
      <c r="D5154" s="12" t="inlineStr">
        <is>
          <t>Motor 6 of 6, 22 kW</t>
        </is>
      </c>
      <c r="E5154" s="12" t="inlineStr"/>
      <c r="F5154" s="12" t="inlineStr">
        <is>
          <t>MOD-LV 480 V board + 480 V : 13.8 kV step-up</t>
        </is>
      </c>
      <c r="G5154" s="12" t="inlineStr">
        <is>
          <t>TM-2</t>
        </is>
      </c>
      <c r="H5154" s="12" t="inlineStr">
        <is>
          <t>TM-2: trailer-mounted aeroderivative GT (TM2500 class, ~35 MW)</t>
        </is>
      </c>
      <c r="I5154" s="12" t="inlineStr">
        <is>
          <t>LV 600 V</t>
        </is>
      </c>
      <c r="J5154" s="12" t="inlineStr">
        <is>
          <t>Type TC-ER 600 V 3/C Cu XHHW-2 + ground, PVC jacket</t>
        </is>
      </c>
      <c r="K5154" s="12" t="inlineStr">
        <is>
          <t>LV|3/C+G|4/0</t>
        </is>
      </c>
      <c r="L5154" s="12" t="inlineStr">
        <is>
          <t>3/C+G</t>
        </is>
      </c>
      <c r="M5154" s="12" t="inlineStr">
        <is>
          <t>4/0</t>
        </is>
      </c>
      <c r="N5154" s="12" t="n">
        <v>1</v>
      </c>
      <c r="O5154" s="12" t="n">
        <v>1</v>
      </c>
      <c r="P5154" s="12" t="n">
        <v>480</v>
      </c>
      <c r="Q5154" s="12" t="n">
        <v>22</v>
      </c>
      <c r="R5154" s="12" t="n">
        <v>31.1</v>
      </c>
      <c r="S5154" s="12" t="inlineStr">
        <is>
          <t>HV duct bank</t>
        </is>
      </c>
      <c r="T5154" s="16" t="n">
        <v>3141</v>
      </c>
      <c r="U5154" s="16" t="n">
        <v>60</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I-P-0249</t>
        </is>
      </c>
      <c r="B5155" s="12" t="inlineStr">
        <is>
          <t>I</t>
        </is>
      </c>
      <c r="C5155" s="12" t="inlineStr">
        <is>
          <t>Modular / portable power</t>
        </is>
      </c>
      <c r="D5155" s="12" t="inlineStr">
        <is>
          <t>LV power feeder</t>
        </is>
      </c>
      <c r="E5155" s="12" t="inlineStr"/>
      <c r="F5155" s="12" t="inlineStr">
        <is>
          <t>MOD-LV 480 V board + 480 V : 13.8 kV step-up</t>
        </is>
      </c>
      <c r="G5155" s="12" t="inlineStr"/>
      <c r="H5155" s="12" t="inlineStr">
        <is>
          <t>Water-injection skid</t>
        </is>
      </c>
      <c r="I5155" s="12" t="inlineStr">
        <is>
          <t>LV 600 V</t>
        </is>
      </c>
      <c r="J5155" s="12" t="inlineStr">
        <is>
          <t>Type TC-ER 600 V 3/C Cu XHHW-2 + ground, PVC jacket</t>
        </is>
      </c>
      <c r="K5155" s="12" t="inlineStr">
        <is>
          <t>LV|3/C+G|3/0</t>
        </is>
      </c>
      <c r="L5155" s="12" t="inlineStr">
        <is>
          <t>3/C+G</t>
        </is>
      </c>
      <c r="M5155" s="12" t="inlineStr">
        <is>
          <t>3/0</t>
        </is>
      </c>
      <c r="N5155" s="12" t="n">
        <v>1</v>
      </c>
      <c r="O5155" s="12" t="n">
        <v>1</v>
      </c>
      <c r="P5155" s="12" t="n">
        <v>480</v>
      </c>
      <c r="Q5155" s="12" t="n">
        <v>15</v>
      </c>
      <c r="R5155" s="12" t="n">
        <v>21.2</v>
      </c>
      <c r="S5155" s="12" t="inlineStr">
        <is>
          <t>HV duct bank</t>
        </is>
      </c>
      <c r="T5155" s="16" t="n">
        <v>4261</v>
      </c>
      <c r="U5155" s="16" t="n">
        <v>82</v>
      </c>
      <c r="V5155" s="16">
        <f>ROUNDUP((T5155+U5155+2*'Read Me'!$B$13)*(1+'Read Me'!$B$12),-1)</f>
        <v/>
      </c>
      <c r="W5155" s="16">
        <f>V5155*N5155*O5155</f>
        <v/>
      </c>
      <c r="X5155" s="12">
        <f>IF(LEFT(I5155,2)="MV",2*N5155*IF(L5155="1/C",O5155,1),0)</f>
        <v/>
      </c>
      <c r="Y5155" s="12">
        <f>IF(OR(LEFT(K5155,4)="LVAX",LEFT(K5155,6)="MV15AX",LEFT(K5155,4)="CTAX",LEFT(K5155,2)="W|"),2*N5155*O5155,0)</f>
        <v/>
      </c>
      <c r="Z5155" s="12" t="inlineStr">
        <is>
          <t>VD 2.8 %</t>
        </is>
      </c>
      <c r="AA5155" s="12">
        <f>N5155*O5155</f>
        <v/>
      </c>
    </row>
    <row r="5156">
      <c r="A5156" s="12" t="inlineStr">
        <is>
          <t>I-MV-0001</t>
        </is>
      </c>
      <c r="B5156" s="12" t="inlineStr">
        <is>
          <t>I</t>
        </is>
      </c>
      <c r="C5156" s="12" t="inlineStr">
        <is>
          <t>Modular / portable power</t>
        </is>
      </c>
      <c r="D5156" s="12" t="inlineStr">
        <is>
          <t>CONT-3 13.8 kV to CONT-EH (ground tray)</t>
        </is>
      </c>
      <c r="E5156" s="12" t="inlineStr">
        <is>
          <t>CONT-3</t>
        </is>
      </c>
      <c r="F5156" s="12" t="inlineStr">
        <is>
          <t>CONT-3: containerized gas genset 13.8 kV (40 ft)</t>
        </is>
      </c>
      <c r="G5156" s="12" t="inlineStr">
        <is>
          <t>CONT-EH</t>
        </is>
      </c>
      <c r="H5156" s="12" t="inlineStr">
        <is>
          <t>CONT paralleling switchgear e-house</t>
        </is>
      </c>
      <c r="I5156" s="12" t="inlineStr">
        <is>
          <t>MV 15 kV</t>
        </is>
      </c>
      <c r="J5156" s="12" t="inlineStr">
        <is>
          <t>MV-105 15 kV 1/C Cu, EPR 133%, Cu tape shield, PVC jacket (triplexed)</t>
        </is>
      </c>
      <c r="K5156" s="12" t="inlineStr">
        <is>
          <t>MV15|1/C|2</t>
        </is>
      </c>
      <c r="L5156" s="12" t="inlineStr">
        <is>
          <t>1/C</t>
        </is>
      </c>
      <c r="M5156" s="12" t="inlineStr">
        <is>
          <t>2</t>
        </is>
      </c>
      <c r="N5156" s="12" t="n">
        <v>1</v>
      </c>
      <c r="O5156" s="12" t="n">
        <v>3</v>
      </c>
      <c r="P5156" s="12" t="n">
        <v>13800</v>
      </c>
      <c r="Q5156" s="12" t="n">
        <v>2000</v>
      </c>
      <c r="R5156" s="12" t="n">
        <v>93</v>
      </c>
      <c r="S5156" s="12" t="inlineStr">
        <is>
          <t>Surface</t>
        </is>
      </c>
      <c r="T5156" s="16" t="n">
        <v>186</v>
      </c>
      <c r="U5156" s="16" t="n">
        <v>55</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I-MV-0002</t>
        </is>
      </c>
      <c r="B5157" s="12" t="inlineStr">
        <is>
          <t>I</t>
        </is>
      </c>
      <c r="C5157" s="12" t="inlineStr">
        <is>
          <t>Modular / portable power</t>
        </is>
      </c>
      <c r="D5157" s="12" t="inlineStr">
        <is>
          <t>CONT-4 13.8 kV to CONT-EH (ground tray)</t>
        </is>
      </c>
      <c r="E5157" s="12" t="inlineStr">
        <is>
          <t>CONT-4</t>
        </is>
      </c>
      <c r="F5157" s="12" t="inlineStr">
        <is>
          <t>CONT-4: containerized gas genset 13.8 kV (40 ft)</t>
        </is>
      </c>
      <c r="G5157" s="12" t="inlineStr">
        <is>
          <t>CONT-EH</t>
        </is>
      </c>
      <c r="H5157" s="12" t="inlineStr">
        <is>
          <t>CONT paralleling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149</v>
      </c>
      <c r="U5157" s="16" t="n">
        <v>95</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I-MV-0003</t>
        </is>
      </c>
      <c r="B5158" s="12" t="inlineStr">
        <is>
          <t>I</t>
        </is>
      </c>
      <c r="C5158" s="12" t="inlineStr">
        <is>
          <t>Modular / portable power</t>
        </is>
      </c>
      <c r="D5158" s="12" t="inlineStr">
        <is>
          <t>CONT-5 13.8 kV to CONT-EH (ground tray)</t>
        </is>
      </c>
      <c r="E5158" s="12" t="inlineStr">
        <is>
          <t>CONT-5</t>
        </is>
      </c>
      <c r="F5158" s="12" t="inlineStr">
        <is>
          <t>CONT-5: containerized gas genset 13.8 kV (40 ft)</t>
        </is>
      </c>
      <c r="G5158" s="12" t="inlineStr">
        <is>
          <t>CONT-EH</t>
        </is>
      </c>
      <c r="H5158" s="12" t="inlineStr">
        <is>
          <t>CONT paralleling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Riser</t>
        </is>
      </c>
      <c r="T5158" s="16" t="n">
        <v>7</v>
      </c>
      <c r="U5158" s="16" t="n">
        <v>89</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I-MV-0004</t>
        </is>
      </c>
      <c r="B5159" s="12" t="inlineStr">
        <is>
          <t>I</t>
        </is>
      </c>
      <c r="C5159" s="12" t="inlineStr">
        <is>
          <t>Modular / portable power</t>
        </is>
      </c>
      <c r="D5159" s="12" t="inlineStr">
        <is>
          <t>CONT-6 13.8 kV to CONT-EH (ground tray)</t>
        </is>
      </c>
      <c r="E5159" s="12" t="inlineStr">
        <is>
          <t>CONT-6</t>
        </is>
      </c>
      <c r="F5159" s="12" t="inlineStr">
        <is>
          <t>CONT-6: containerized gas genset 13.8 kV (40 ft)</t>
        </is>
      </c>
      <c r="G5159" s="12" t="inlineStr">
        <is>
          <t>CONT-EH</t>
        </is>
      </c>
      <c r="H5159" s="12" t="inlineStr">
        <is>
          <t>CONT paralleling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Surface</t>
        </is>
      </c>
      <c r="T5159" s="16" t="n">
        <v>225</v>
      </c>
      <c r="U5159" s="16" t="n">
        <v>27</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I-MV-0005</t>
        </is>
      </c>
      <c r="B5160" s="12" t="inlineStr">
        <is>
          <t>I</t>
        </is>
      </c>
      <c r="C5160" s="12" t="inlineStr">
        <is>
          <t>Modular / portable power</t>
        </is>
      </c>
      <c r="D5160" s="12" t="inlineStr">
        <is>
          <t>CONT-7 13.8 kV to CONT-EH (ground tray)</t>
        </is>
      </c>
      <c r="E5160" s="12" t="inlineStr">
        <is>
          <t>CONT-7</t>
        </is>
      </c>
      <c r="F5160" s="12" t="inlineStr">
        <is>
          <t>CONT-7: containerized gas genset 13.8 kV (40 ft)</t>
        </is>
      </c>
      <c r="G5160" s="12" t="inlineStr">
        <is>
          <t>CONT-EH</t>
        </is>
      </c>
      <c r="H5160" s="12" t="inlineStr">
        <is>
          <t>CONT paralleling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225</v>
      </c>
      <c r="U5160" s="16" t="n">
        <v>67</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I-MV-0006</t>
        </is>
      </c>
      <c r="B5161" s="12" t="inlineStr">
        <is>
          <t>I</t>
        </is>
      </c>
      <c r="C5161" s="12" t="inlineStr">
        <is>
          <t>Modular / portable power</t>
        </is>
      </c>
      <c r="D5161" s="12" t="inlineStr">
        <is>
          <t>CONT-8 13.8 kV to CONT-EH (ground tray)</t>
        </is>
      </c>
      <c r="E5161" s="12" t="inlineStr">
        <is>
          <t>CONT-8</t>
        </is>
      </c>
      <c r="F5161" s="12" t="inlineStr">
        <is>
          <t>CONT-8: containerized gas genset 13.8 kV (40 ft)</t>
        </is>
      </c>
      <c r="G5161" s="12" t="inlineStr">
        <is>
          <t>CONT-EH</t>
        </is>
      </c>
      <c r="H5161" s="12" t="inlineStr">
        <is>
          <t>CONT paralleling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25</v>
      </c>
      <c r="U5161" s="16" t="n">
        <v>71</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I-MV-0007</t>
        </is>
      </c>
      <c r="B5162" s="12" t="inlineStr">
        <is>
          <t>I</t>
        </is>
      </c>
      <c r="C5162" s="12" t="inlineStr">
        <is>
          <t>Modular / portable power</t>
        </is>
      </c>
      <c r="D5162" s="12" t="inlineStr">
        <is>
          <t>Modular-yard fuel-gas compressor</t>
        </is>
      </c>
      <c r="E5162" s="12" t="inlineStr">
        <is>
          <t>MOD-EH</t>
        </is>
      </c>
      <c r="F5162" s="12" t="inlineStr">
        <is>
          <t>MOD-EH: 13.8 kV modular collector e-house</t>
        </is>
      </c>
      <c r="G5162" s="12" t="inlineStr"/>
      <c r="H5162" s="12" t="inlineStr">
        <is>
          <t>Fuel-gas compressors 3 x 100% electric</t>
        </is>
      </c>
      <c r="I5162" s="12" t="inlineStr">
        <is>
          <t>MV 15 kV</t>
        </is>
      </c>
      <c r="J5162" s="12" t="inlineStr">
        <is>
          <t>ARMOR-X MC-HL / MV-105 15 kV 3/C Cu, EPR 133%, tape shield, gnd, CWA, red PVC</t>
        </is>
      </c>
      <c r="K5162" s="12" t="inlineStr">
        <is>
          <t>MV15AX|3/C|2</t>
        </is>
      </c>
      <c r="L5162" s="12" t="inlineStr">
        <is>
          <t>3/C</t>
        </is>
      </c>
      <c r="M5162" s="12" t="inlineStr">
        <is>
          <t>2</t>
        </is>
      </c>
      <c r="N5162" s="12" t="n">
        <v>1</v>
      </c>
      <c r="O5162" s="12" t="n">
        <v>1</v>
      </c>
      <c r="P5162" s="12" t="n">
        <v>13800</v>
      </c>
      <c r="Q5162" s="12" t="n">
        <v>1500</v>
      </c>
      <c r="R5162" s="12" t="n">
        <v>70</v>
      </c>
      <c r="S5162" s="12" t="inlineStr">
        <is>
          <t>HV duct bank</t>
        </is>
      </c>
      <c r="T5162" s="16" t="n">
        <v>4027</v>
      </c>
      <c r="U5162" s="16" t="n">
        <v>33</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I-MV-0008</t>
        </is>
      </c>
      <c r="B5163" s="12" t="inlineStr">
        <is>
          <t>I</t>
        </is>
      </c>
      <c r="C5163" s="12" t="inlineStr">
        <is>
          <t>Modular / portable power</t>
        </is>
      </c>
      <c r="D5163" s="12" t="inlineStr">
        <is>
          <t>Modular-yard fuel-gas compressor</t>
        </is>
      </c>
      <c r="E5163" s="12" t="inlineStr">
        <is>
          <t>MOD-EH</t>
        </is>
      </c>
      <c r="F5163" s="12" t="inlineStr">
        <is>
          <t>MOD-EH: 13.8 kV modular collector e-house</t>
        </is>
      </c>
      <c r="G5163" s="12" t="inlineStr"/>
      <c r="H5163" s="12" t="inlineStr">
        <is>
          <t>Fuel-gas compressors 3 x 100% electric</t>
        </is>
      </c>
      <c r="I5163" s="12" t="inlineStr">
        <is>
          <t>MV 15 kV</t>
        </is>
      </c>
      <c r="J5163" s="12" t="inlineStr">
        <is>
          <t>ARMOR-X MC-HL / MV-105 15 kV 3/C Cu, EPR 133%, tape shield, gnd, CWA, red PVC</t>
        </is>
      </c>
      <c r="K5163" s="12" t="inlineStr">
        <is>
          <t>MV15AX|3/C|2</t>
        </is>
      </c>
      <c r="L5163" s="12" t="inlineStr">
        <is>
          <t>3/C</t>
        </is>
      </c>
      <c r="M5163" s="12" t="inlineStr">
        <is>
          <t>2</t>
        </is>
      </c>
      <c r="N5163" s="12" t="n">
        <v>1</v>
      </c>
      <c r="O5163" s="12" t="n">
        <v>1</v>
      </c>
      <c r="P5163" s="12" t="n">
        <v>13800</v>
      </c>
      <c r="Q5163" s="12" t="n">
        <v>1500</v>
      </c>
      <c r="R5163" s="12" t="n">
        <v>70</v>
      </c>
      <c r="S5163" s="12" t="inlineStr">
        <is>
          <t>HV duct bank</t>
        </is>
      </c>
      <c r="T5163" s="16" t="n">
        <v>4027</v>
      </c>
      <c r="U5163" s="16" t="n">
        <v>33</v>
      </c>
      <c r="V5163" s="16">
        <f>ROUNDUP((T5163+U5163+2*'Read Me'!$B$13)*(1+'Read Me'!$B$12),-1)</f>
        <v/>
      </c>
      <c r="W5163" s="16">
        <f>V5163*N5163*O5163</f>
        <v/>
      </c>
      <c r="X5163" s="12">
        <f>IF(LEFT(I5163,2)="MV",2*N5163*IF(L5163="1/C",O5163,1),0)</f>
        <v/>
      </c>
      <c r="Y5163" s="12">
        <f>IF(OR(LEFT(K5163,4)="LVAX",LEFT(K5163,6)="MV15AX",LEFT(K5163,4)="CTAX",LEFT(K5163,2)="W|"),2*N5163*O5163,0)</f>
        <v/>
      </c>
      <c r="Z5163" s="12" t="inlineStr"/>
      <c r="AA5163" s="12">
        <f>N5163*O5163</f>
        <v/>
      </c>
    </row>
    <row r="5164">
      <c r="A5164" s="12" t="inlineStr">
        <is>
          <t>I-MV-0009</t>
        </is>
      </c>
      <c r="B5164" s="12" t="inlineStr">
        <is>
          <t>I</t>
        </is>
      </c>
      <c r="C5164" s="12" t="inlineStr">
        <is>
          <t>Modular / portable power</t>
        </is>
      </c>
      <c r="D5164" s="12" t="inlineStr">
        <is>
          <t>Modular-yard fuel-gas compressor</t>
        </is>
      </c>
      <c r="E5164" s="12" t="inlineStr">
        <is>
          <t>MOD-EH</t>
        </is>
      </c>
      <c r="F5164" s="12" t="inlineStr">
        <is>
          <t>MOD-EH: 13.8 kV modular collector e-house</t>
        </is>
      </c>
      <c r="G5164" s="12" t="inlineStr"/>
      <c r="H5164" s="12" t="inlineStr">
        <is>
          <t>Fuel-gas compressors 3 x 100% electric</t>
        </is>
      </c>
      <c r="I5164" s="12" t="inlineStr">
        <is>
          <t>MV 15 kV</t>
        </is>
      </c>
      <c r="J5164" s="12" t="inlineStr">
        <is>
          <t>ARMOR-X MC-HL / MV-105 15 kV 3/C Cu, EPR 133%, tape shield, gnd, CWA, red PVC</t>
        </is>
      </c>
      <c r="K5164" s="12" t="inlineStr">
        <is>
          <t>MV15AX|3/C|2</t>
        </is>
      </c>
      <c r="L5164" s="12" t="inlineStr">
        <is>
          <t>3/C</t>
        </is>
      </c>
      <c r="M5164" s="12" t="inlineStr">
        <is>
          <t>2</t>
        </is>
      </c>
      <c r="N5164" s="12" t="n">
        <v>1</v>
      </c>
      <c r="O5164" s="12" t="n">
        <v>1</v>
      </c>
      <c r="P5164" s="12" t="n">
        <v>13800</v>
      </c>
      <c r="Q5164" s="12" t="n">
        <v>1500</v>
      </c>
      <c r="R5164" s="12" t="n">
        <v>70</v>
      </c>
      <c r="S5164" s="12" t="inlineStr">
        <is>
          <t>HV duct bank</t>
        </is>
      </c>
      <c r="T5164" s="16" t="n">
        <v>4027</v>
      </c>
      <c r="U5164" s="16" t="n">
        <v>33</v>
      </c>
      <c r="V5164" s="16">
        <f>ROUNDUP((T5164+U5164+2*'Read Me'!$B$13)*(1+'Read Me'!$B$12),-1)</f>
        <v/>
      </c>
      <c r="W5164" s="16">
        <f>V5164*N5164*O5164</f>
        <v/>
      </c>
      <c r="X5164" s="12">
        <f>IF(LEFT(I5164,2)="MV",2*N5164*IF(L5164="1/C",O5164,1),0)</f>
        <v/>
      </c>
      <c r="Y5164" s="12">
        <f>IF(OR(LEFT(K5164,4)="LVAX",LEFT(K5164,6)="MV15AX",LEFT(K5164,4)="CTAX",LEFT(K5164,2)="W|"),2*N5164*O5164,0)</f>
        <v/>
      </c>
      <c r="Z5164" s="12" t="inlineStr"/>
      <c r="AA5164" s="12">
        <f>N5164*O5164</f>
        <v/>
      </c>
    </row>
    <row r="5165">
      <c r="A5165" s="12" t="inlineStr">
        <is>
          <t>I-MV-0010</t>
        </is>
      </c>
      <c r="B5165" s="12" t="inlineStr">
        <is>
          <t>I</t>
        </is>
      </c>
      <c r="C5165" s="12" t="inlineStr">
        <is>
          <t>Modular / portable power</t>
        </is>
      </c>
      <c r="D5165" s="12" t="inlineStr">
        <is>
          <t>SC-1 PCM to MOD-EH</t>
        </is>
      </c>
      <c r="E5165" s="12" t="inlineStr"/>
      <c r="F5165" s="12" t="inlineStr">
        <is>
          <t>SC-1 PCM + 15 kV GCB</t>
        </is>
      </c>
      <c r="G5165" s="12" t="inlineStr">
        <is>
          <t>MOD-EH</t>
        </is>
      </c>
      <c r="H5165" s="12" t="inlineStr">
        <is>
          <t>MOD-EH: 13.8 kV modular collector e-house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5</v>
      </c>
      <c r="O5165" s="12" t="n">
        <v>3</v>
      </c>
      <c r="P5165" s="12" t="n">
        <v>13800</v>
      </c>
      <c r="Q5165" s="12" t="n">
        <v>50000</v>
      </c>
      <c r="R5165" s="12" t="n">
        <v>2092</v>
      </c>
      <c r="S5165" s="12" t="inlineStr">
        <is>
          <t>Duct bank</t>
        </is>
      </c>
      <c r="T5165" s="16" t="n">
        <v>390</v>
      </c>
      <c r="U5165" s="16" t="n">
        <v>32</v>
      </c>
      <c r="V5165" s="16">
        <f>ROUNDUP((T5165+U5165+2*'Read Me'!$B$13)*(1+'Read Me'!$B$12),-1)</f>
        <v/>
      </c>
      <c r="W5165" s="16">
        <f>V5165*N5165*O5165</f>
        <v/>
      </c>
      <c r="X5165" s="12">
        <f>IF(LEFT(I5165,2)="MV",2*N5165*IF(L5165="1/C",O5165,1),0)</f>
        <v/>
      </c>
      <c r="Y5165" s="12">
        <f>IF(OR(LEFT(K5165,4)="LVAX",LEFT(K5165,6)="MV15AX",LEFT(K5165,4)="CTAX",LEFT(K5165,2)="W|"),2*N5165*O5165,0)</f>
        <v/>
      </c>
      <c r="Z5165" s="12" t="inlineStr"/>
      <c r="AA5165" s="12">
        <f>N5165*O5165</f>
        <v/>
      </c>
    </row>
    <row r="5166">
      <c r="A5166" s="12" t="inlineStr">
        <is>
          <t>I-MV-0011</t>
        </is>
      </c>
      <c r="B5166" s="12" t="inlineStr">
        <is>
          <t>I</t>
        </is>
      </c>
      <c r="C5166" s="12" t="inlineStr">
        <is>
          <t>Modular / portable power</t>
        </is>
      </c>
      <c r="D5166" s="12" t="inlineStr">
        <is>
          <t>SC-2 PCM to MOD-EH</t>
        </is>
      </c>
      <c r="E5166" s="12" t="inlineStr"/>
      <c r="F5166" s="12" t="inlineStr">
        <is>
          <t>SC-2 PCM + 15 kV GCB</t>
        </is>
      </c>
      <c r="G5166" s="12" t="inlineStr">
        <is>
          <t>MOD-EH</t>
        </is>
      </c>
      <c r="H5166" s="12" t="inlineStr">
        <is>
          <t>MOD-EH: 13.8 kV modular collector e-house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5</v>
      </c>
      <c r="O5166" s="12" t="n">
        <v>3</v>
      </c>
      <c r="P5166" s="12" t="n">
        <v>13800</v>
      </c>
      <c r="Q5166" s="12" t="n">
        <v>50000</v>
      </c>
      <c r="R5166" s="12" t="n">
        <v>2092</v>
      </c>
      <c r="S5166" s="12" t="inlineStr">
        <is>
          <t>HV duct bank</t>
        </is>
      </c>
      <c r="T5166" s="16" t="n">
        <v>4045</v>
      </c>
      <c r="U5166" s="16" t="n">
        <v>33</v>
      </c>
      <c r="V5166" s="16">
        <f>ROUNDUP((T5166+U5166+2*'Read Me'!$B$13)*(1+'Read Me'!$B$12),-1)</f>
        <v/>
      </c>
      <c r="W5166" s="16">
        <f>V5166*N5166*O5166</f>
        <v/>
      </c>
      <c r="X5166" s="12">
        <f>IF(LEFT(I5166,2)="MV",2*N5166*IF(L5166="1/C",O5166,1),0)</f>
        <v/>
      </c>
      <c r="Y5166" s="12">
        <f>IF(OR(LEFT(K5166,4)="LVAX",LEFT(K5166,6)="MV15AX",LEFT(K5166,4)="CTAX",LEFT(K5166,2)="W|"),2*N5166*O5166,0)</f>
        <v/>
      </c>
      <c r="Z5166" s="12" t="inlineStr"/>
      <c r="AA5166" s="12">
        <f>N5166*O5166</f>
        <v/>
      </c>
    </row>
    <row r="5167">
      <c r="A5167" s="12" t="inlineStr">
        <is>
          <t>I-MV-0012</t>
        </is>
      </c>
      <c r="B5167" s="12" t="inlineStr">
        <is>
          <t>I</t>
        </is>
      </c>
      <c r="C5167" s="12" t="inlineStr">
        <is>
          <t>Modular / portable power</t>
        </is>
      </c>
      <c r="D5167" s="12" t="inlineStr">
        <is>
          <t>MOD-LV step-up to MOD-EH</t>
        </is>
      </c>
      <c r="E5167" s="12" t="inlineStr"/>
      <c r="F5167" s="12" t="inlineStr">
        <is>
          <t>MOD-LV 480 V board + 480 V : 13.8 kV step-up</t>
        </is>
      </c>
      <c r="G5167" s="12" t="inlineStr">
        <is>
          <t>MOD-EH</t>
        </is>
      </c>
      <c r="H5167" s="12" t="inlineStr">
        <is>
          <t>MOD-EH: 13.8 kV modular collector e-house</t>
        </is>
      </c>
      <c r="I5167" s="12" t="inlineStr">
        <is>
          <t>MV 15 kV</t>
        </is>
      </c>
      <c r="J5167" s="12" t="inlineStr">
        <is>
          <t>MV-105 15 kV 1/C Cu, EPR 133%, Cu tape shield, PVC jacket (triplexed)</t>
        </is>
      </c>
      <c r="K5167" s="12" t="inlineStr">
        <is>
          <t>MV15|1/C|500</t>
        </is>
      </c>
      <c r="L5167" s="12" t="inlineStr">
        <is>
          <t>1/C</t>
        </is>
      </c>
      <c r="M5167" s="12" t="inlineStr">
        <is>
          <t>500 kcmil</t>
        </is>
      </c>
      <c r="N5167" s="12" t="n">
        <v>1</v>
      </c>
      <c r="O5167" s="12" t="n">
        <v>3</v>
      </c>
      <c r="P5167" s="12" t="n">
        <v>13800</v>
      </c>
      <c r="Q5167" s="12" t="n">
        <v>7500</v>
      </c>
      <c r="R5167" s="12" t="n">
        <v>314</v>
      </c>
      <c r="S5167" s="12" t="inlineStr">
        <is>
          <t>Duct bank</t>
        </is>
      </c>
      <c r="T5167" s="16" t="n">
        <v>346</v>
      </c>
      <c r="U5167" s="16" t="n">
        <v>32</v>
      </c>
      <c r="V5167" s="16">
        <f>ROUNDUP((T5167+U5167+2*'Read Me'!$B$13)*(1+'Read Me'!$B$12),-1)</f>
        <v/>
      </c>
      <c r="W5167" s="16">
        <f>V5167*N5167*O5167</f>
        <v/>
      </c>
      <c r="X5167" s="12">
        <f>IF(LEFT(I5167,2)="MV",2*N5167*IF(L5167="1/C",O5167,1),0)</f>
        <v/>
      </c>
      <c r="Y5167" s="12">
        <f>IF(OR(LEFT(K5167,4)="LVAX",LEFT(K5167,6)="MV15AX",LEFT(K5167,4)="CTAX",LEFT(K5167,2)="W|"),2*N5167*O5167,0)</f>
        <v/>
      </c>
      <c r="Z5167" s="12" t="inlineStr"/>
      <c r="AA5167" s="12">
        <f>N5167*O5167</f>
        <v/>
      </c>
    </row>
    <row r="5168">
      <c r="A5168" s="12" t="inlineStr">
        <is>
          <t>I-MV-0013</t>
        </is>
      </c>
      <c r="B5168" s="12" t="inlineStr">
        <is>
          <t>I</t>
        </is>
      </c>
      <c r="C5168" s="12" t="inlineStr">
        <is>
          <t>Modular / portable power</t>
        </is>
      </c>
      <c r="D5168" s="12" t="inlineStr">
        <is>
          <t>CONT-EH to PAD-EH</t>
        </is>
      </c>
      <c r="E5168" s="12" t="inlineStr">
        <is>
          <t>CONT-EH</t>
        </is>
      </c>
      <c r="F5168" s="12" t="inlineStr">
        <is>
          <t>CONT paralleling switchgear e-house</t>
        </is>
      </c>
      <c r="G5168" s="12" t="inlineStr">
        <is>
          <t>PAD-EH</t>
        </is>
      </c>
      <c r="H5168" s="12" t="inlineStr">
        <is>
          <t>PAD-EH 13.8 kV switchgear e-house</t>
        </is>
      </c>
      <c r="I5168" s="12" t="inlineStr">
        <is>
          <t>MV 15 kV</t>
        </is>
      </c>
      <c r="J5168" s="12" t="inlineStr">
        <is>
          <t>MV-105 15 kV 1/C Cu, EPR 133%, Cu tape shield, PVC jacket (triplexed)</t>
        </is>
      </c>
      <c r="K5168" s="12" t="inlineStr">
        <is>
          <t>MV15|1/C|500</t>
        </is>
      </c>
      <c r="L5168" s="12" t="inlineStr">
        <is>
          <t>1/C</t>
        </is>
      </c>
      <c r="M5168" s="12" t="inlineStr">
        <is>
          <t>500 kcmil</t>
        </is>
      </c>
      <c r="N5168" s="12" t="n">
        <v>2</v>
      </c>
      <c r="O5168" s="12" t="n">
        <v>3</v>
      </c>
      <c r="P5168" s="12" t="n">
        <v>13800</v>
      </c>
      <c r="Q5168" s="12" t="n">
        <v>12000</v>
      </c>
      <c r="R5168" s="12" t="n">
        <v>558</v>
      </c>
      <c r="S5168" s="12" t="inlineStr">
        <is>
          <t>Surface</t>
        </is>
      </c>
      <c r="T5168" s="16" t="n">
        <v>49</v>
      </c>
      <c r="U5168" s="16" t="n">
        <v>27</v>
      </c>
      <c r="V5168" s="16">
        <f>ROUNDUP((T5168+U5168+2*'Read Me'!$B$13)*(1+'Read Me'!$B$12),-1)</f>
        <v/>
      </c>
      <c r="W5168" s="16">
        <f>V5168*N5168*O5168</f>
        <v/>
      </c>
      <c r="X5168" s="12">
        <f>IF(LEFT(I5168,2)="MV",2*N5168*IF(L5168="1/C",O5168,1),0)</f>
        <v/>
      </c>
      <c r="Y5168" s="12">
        <f>IF(OR(LEFT(K5168,4)="LVAX",LEFT(K5168,6)="MV15AX",LEFT(K5168,4)="CTAX",LEFT(K5168,2)="W|"),2*N5168*O5168,0)</f>
        <v/>
      </c>
      <c r="Z5168" s="12" t="inlineStr"/>
      <c r="AA5168" s="12">
        <f>N5168*O5168</f>
        <v/>
      </c>
    </row>
    <row r="5169">
      <c r="A5169" s="12" t="inlineStr">
        <is>
          <t>I-MV-0014</t>
        </is>
      </c>
      <c r="B5169" s="12" t="inlineStr">
        <is>
          <t>I</t>
        </is>
      </c>
      <c r="C5169" s="12" t="inlineStr">
        <is>
          <t>Modular / portable power</t>
        </is>
      </c>
      <c r="D5169" s="12" t="inlineStr">
        <is>
          <t>TM-1 (TM2500) generator leads to PAD-EH</t>
        </is>
      </c>
      <c r="E5169" s="12" t="inlineStr">
        <is>
          <t>TM-1</t>
        </is>
      </c>
      <c r="F5169" s="12" t="inlineStr">
        <is>
          <t>TM-1: trailer-mounted aeroderivative GT (TM2500 class, ~35 MW)</t>
        </is>
      </c>
      <c r="G5169" s="12" t="inlineStr">
        <is>
          <t>PAD-EH</t>
        </is>
      </c>
      <c r="H5169" s="12" t="inlineStr">
        <is>
          <t>PAD-EH 13.8 kV switchgear e-house</t>
        </is>
      </c>
      <c r="I5169" s="12" t="inlineStr">
        <is>
          <t>MV 15 kV</t>
        </is>
      </c>
      <c r="J5169" s="12" t="inlineStr">
        <is>
          <t>MV-105 15 kV 1/C Cu, EPR 133%, Cu tape shield, PVC jacket (triplexed)</t>
        </is>
      </c>
      <c r="K5169" s="12" t="inlineStr">
        <is>
          <t>MV15|1/C|1000</t>
        </is>
      </c>
      <c r="L5169" s="12" t="inlineStr">
        <is>
          <t>1/C</t>
        </is>
      </c>
      <c r="M5169" s="12" t="inlineStr">
        <is>
          <t>1000 kcmil</t>
        </is>
      </c>
      <c r="N5169" s="12" t="n">
        <v>3</v>
      </c>
      <c r="O5169" s="12" t="n">
        <v>3</v>
      </c>
      <c r="P5169" s="12" t="n">
        <v>13800</v>
      </c>
      <c r="Q5169" s="12" t="n">
        <v>35000</v>
      </c>
      <c r="R5169" s="12" t="n">
        <v>1464</v>
      </c>
      <c r="S5169" s="12" t="inlineStr">
        <is>
          <t>Surface</t>
        </is>
      </c>
      <c r="T5169" s="16" t="n">
        <v>398</v>
      </c>
      <c r="U5169" s="16" t="n">
        <v>27</v>
      </c>
      <c r="V5169" s="16">
        <f>ROUNDUP((T5169+U5169+2*'Read Me'!$B$13)*(1+'Read Me'!$B$12),-1)</f>
        <v/>
      </c>
      <c r="W5169" s="16">
        <f>V5169*N5169*O5169</f>
        <v/>
      </c>
      <c r="X5169" s="12">
        <f>IF(LEFT(I5169,2)="MV",2*N5169*IF(L5169="1/C",O5169,1),0)</f>
        <v/>
      </c>
      <c r="Y5169" s="12">
        <f>IF(OR(LEFT(K5169,4)="LVAX",LEFT(K5169,6)="MV15AX",LEFT(K5169,4)="CTAX",LEFT(K5169,2)="W|"),2*N5169*O5169,0)</f>
        <v/>
      </c>
      <c r="Z5169" s="12" t="inlineStr">
        <is>
          <t>3 per phase for 125 % (the model shows 2 per phase: update the model)</t>
        </is>
      </c>
      <c r="AA5169" s="12">
        <f>N5169*O5169</f>
        <v/>
      </c>
    </row>
    <row r="5170">
      <c r="A5170" s="12" t="inlineStr">
        <is>
          <t>I-MV-0015</t>
        </is>
      </c>
      <c r="B5170" s="12" t="inlineStr">
        <is>
          <t>I</t>
        </is>
      </c>
      <c r="C5170" s="12" t="inlineStr">
        <is>
          <t>Modular / portable power</t>
        </is>
      </c>
      <c r="D5170" s="12" t="inlineStr">
        <is>
          <t>TM-2 (TM2500) generator leads to PAD-EH</t>
        </is>
      </c>
      <c r="E5170" s="12" t="inlineStr">
        <is>
          <t>TM-2</t>
        </is>
      </c>
      <c r="F5170" s="12" t="inlineStr">
        <is>
          <t>TM-2: trailer-mounted aeroderivative GT (TM2500 class, ~35 MW)</t>
        </is>
      </c>
      <c r="G5170" s="12" t="inlineStr">
        <is>
          <t>PAD-EH</t>
        </is>
      </c>
      <c r="H5170" s="12" t="inlineStr">
        <is>
          <t>PAD-EH 13.8 kV switchgear e-house</t>
        </is>
      </c>
      <c r="I5170" s="12" t="inlineStr">
        <is>
          <t>MV 15 kV</t>
        </is>
      </c>
      <c r="J5170" s="12" t="inlineStr">
        <is>
          <t>MV-105 15 kV 1/C Cu, EPR 133%, Cu tape shield, PVC jacket (triplexed)</t>
        </is>
      </c>
      <c r="K5170" s="12" t="inlineStr">
        <is>
          <t>MV15|1/C|1000</t>
        </is>
      </c>
      <c r="L5170" s="12" t="inlineStr">
        <is>
          <t>1/C</t>
        </is>
      </c>
      <c r="M5170" s="12" t="inlineStr">
        <is>
          <t>1000 kcmil</t>
        </is>
      </c>
      <c r="N5170" s="12" t="n">
        <v>3</v>
      </c>
      <c r="O5170" s="12" t="n">
        <v>3</v>
      </c>
      <c r="P5170" s="12" t="n">
        <v>13800</v>
      </c>
      <c r="Q5170" s="12" t="n">
        <v>35000</v>
      </c>
      <c r="R5170" s="12" t="n">
        <v>1464</v>
      </c>
      <c r="S5170" s="12" t="inlineStr">
        <is>
          <t>Surface</t>
        </is>
      </c>
      <c r="T5170" s="16" t="n">
        <v>404</v>
      </c>
      <c r="U5170" s="16" t="n">
        <v>27</v>
      </c>
      <c r="V5170" s="16">
        <f>ROUNDUP((T5170+U5170+2*'Read Me'!$B$13)*(1+'Read Me'!$B$12),-1)</f>
        <v/>
      </c>
      <c r="W5170" s="16">
        <f>V5170*N5170*O5170</f>
        <v/>
      </c>
      <c r="X5170" s="12">
        <f>IF(LEFT(I5170,2)="MV",2*N5170*IF(L5170="1/C",O5170,1),0)</f>
        <v/>
      </c>
      <c r="Y5170" s="12">
        <f>IF(OR(LEFT(K5170,4)="LVAX",LEFT(K5170,6)="MV15AX",LEFT(K5170,4)="CTAX",LEFT(K5170,2)="W|"),2*N5170*O5170,0)</f>
        <v/>
      </c>
      <c r="Z5170" s="12" t="inlineStr">
        <is>
          <t>3 per phase for 125 % (the model shows 2 per phase: update the model)</t>
        </is>
      </c>
      <c r="AA5170" s="12">
        <f>N5170*O5170</f>
        <v/>
      </c>
    </row>
    <row r="5171">
      <c r="A5171" s="12" t="inlineStr">
        <is>
          <t>I-MV-0016</t>
        </is>
      </c>
      <c r="B5171" s="12" t="inlineStr">
        <is>
          <t>I</t>
        </is>
      </c>
      <c r="C5171" s="12" t="inlineStr">
        <is>
          <t>Modular / portable power</t>
        </is>
      </c>
      <c r="D5171" s="12" t="inlineStr">
        <is>
          <t>RICE-1 generator leads to the PCM</t>
        </is>
      </c>
      <c r="E5171" s="12" t="inlineStr">
        <is>
          <t>RICE-1</t>
        </is>
      </c>
      <c r="F5171" s="12" t="inlineStr">
        <is>
          <t>RICE engine-generator 1</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Duct bank</t>
        </is>
      </c>
      <c r="T5171" s="16" t="n">
        <v>576</v>
      </c>
      <c r="U5171" s="16" t="n">
        <v>111</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I-MV-0017</t>
        </is>
      </c>
      <c r="B5172" s="12" t="inlineStr">
        <is>
          <t>I</t>
        </is>
      </c>
      <c r="C5172" s="12" t="inlineStr">
        <is>
          <t>Modular / portable power</t>
        </is>
      </c>
      <c r="D5172" s="12" t="inlineStr">
        <is>
          <t>RICE-2 generator leads to the PCM</t>
        </is>
      </c>
      <c r="E5172" s="12" t="inlineStr">
        <is>
          <t>RICE-2</t>
        </is>
      </c>
      <c r="F5172" s="12" t="inlineStr">
        <is>
          <t>RICE engine-generator 2</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Duct bank</t>
        </is>
      </c>
      <c r="T5172" s="16" t="n">
        <v>550</v>
      </c>
      <c r="U5172" s="16" t="n">
        <v>109</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I-MV-0018</t>
        </is>
      </c>
      <c r="B5173" s="12" t="inlineStr">
        <is>
          <t>I</t>
        </is>
      </c>
      <c r="C5173" s="12" t="inlineStr">
        <is>
          <t>Modular / portable power</t>
        </is>
      </c>
      <c r="D5173" s="12" t="inlineStr">
        <is>
          <t>RICE-3 generator leads to the PCM</t>
        </is>
      </c>
      <c r="E5173" s="12" t="inlineStr">
        <is>
          <t>RICE-3</t>
        </is>
      </c>
      <c r="F5173" s="12" t="inlineStr">
        <is>
          <t>RICE engine-generator 3</t>
        </is>
      </c>
      <c r="G5173" s="12" t="inlineStr"/>
      <c r="H5173" s="12" t="inlineStr">
        <is>
          <t>PCM: power control module</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2</v>
      </c>
      <c r="O5173" s="12" t="n">
        <v>3</v>
      </c>
      <c r="P5173" s="12" t="n">
        <v>13800</v>
      </c>
      <c r="Q5173" s="12" t="n">
        <v>18400</v>
      </c>
      <c r="R5173" s="12" t="n">
        <v>770</v>
      </c>
      <c r="S5173" s="12" t="inlineStr">
        <is>
          <t>Duct bank</t>
        </is>
      </c>
      <c r="T5173" s="16" t="n">
        <v>550</v>
      </c>
      <c r="U5173" s="16" t="n">
        <v>81</v>
      </c>
      <c r="V5173" s="16">
        <f>ROUNDUP((T5173+U5173+2*'Read Me'!$B$13)*(1+'Read Me'!$B$12),-1)</f>
        <v/>
      </c>
      <c r="W5173" s="16">
        <f>V5173*N5173*O5173</f>
        <v/>
      </c>
      <c r="X5173" s="12">
        <f>IF(LEFT(I5173,2)="MV",2*N5173*IF(L5173="1/C",O5173,1),0)</f>
        <v/>
      </c>
      <c r="Y5173" s="12">
        <f>IF(OR(LEFT(K5173,4)="LVAX",LEFT(K5173,6)="MV15AX",LEFT(K5173,4)="CTAX",LEFT(K5173,2)="W|"),2*N5173*O5173,0)</f>
        <v/>
      </c>
      <c r="Z5173" s="12" t="inlineStr">
        <is>
          <t>18V50 class ~18 MW (typ.)</t>
        </is>
      </c>
      <c r="AA5173" s="12">
        <f>N5173*O5173</f>
        <v/>
      </c>
    </row>
    <row r="5174">
      <c r="A5174" s="12" t="inlineStr">
        <is>
          <t>I-MV-0019</t>
        </is>
      </c>
      <c r="B5174" s="12" t="inlineStr">
        <is>
          <t>I</t>
        </is>
      </c>
      <c r="C5174" s="12" t="inlineStr">
        <is>
          <t>Modular / portable power</t>
        </is>
      </c>
      <c r="D5174" s="12" t="inlineStr">
        <is>
          <t>RICE-4 generator leads to the PCM</t>
        </is>
      </c>
      <c r="E5174" s="12" t="inlineStr">
        <is>
          <t>RICE-4</t>
        </is>
      </c>
      <c r="F5174" s="12" t="inlineStr">
        <is>
          <t>RICE engine-generator 4</t>
        </is>
      </c>
      <c r="G5174" s="12" t="inlineStr"/>
      <c r="H5174" s="12" t="inlineStr">
        <is>
          <t>PCM: power control module</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2</v>
      </c>
      <c r="O5174" s="12" t="n">
        <v>3</v>
      </c>
      <c r="P5174" s="12" t="n">
        <v>13800</v>
      </c>
      <c r="Q5174" s="12" t="n">
        <v>18400</v>
      </c>
      <c r="R5174" s="12" t="n">
        <v>770</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18V50 class ~18 MW (typ.)</t>
        </is>
      </c>
      <c r="AA5174" s="12">
        <f>N5174*O5174</f>
        <v/>
      </c>
    </row>
    <row r="5175">
      <c r="A5175" s="12" t="inlineStr">
        <is>
          <t>I-MV-0020</t>
        </is>
      </c>
      <c r="B5175" s="12" t="inlineStr">
        <is>
          <t>I</t>
        </is>
      </c>
      <c r="C5175" s="12" t="inlineStr">
        <is>
          <t>Modular / portable power</t>
        </is>
      </c>
      <c r="D5175" s="12" t="inlineStr">
        <is>
          <t>RICE-5 generator leads to the PCM</t>
        </is>
      </c>
      <c r="E5175" s="12" t="inlineStr">
        <is>
          <t>RICE-5</t>
        </is>
      </c>
      <c r="F5175" s="12" t="inlineStr">
        <is>
          <t>RICE engine-generator 5</t>
        </is>
      </c>
      <c r="G5175" s="12" t="inlineStr"/>
      <c r="H5175" s="12" t="inlineStr">
        <is>
          <t>PCM: power control module</t>
        </is>
      </c>
      <c r="I5175" s="12" t="inlineStr">
        <is>
          <t>MV 15 kV</t>
        </is>
      </c>
      <c r="J5175" s="12" t="inlineStr">
        <is>
          <t>MV-105 15 kV 1/C Cu, EPR 133%, Cu tape shield, PVC jacket (triplexed)</t>
        </is>
      </c>
      <c r="K5175" s="12" t="inlineStr">
        <is>
          <t>MV15|1/C|750</t>
        </is>
      </c>
      <c r="L5175" s="12" t="inlineStr">
        <is>
          <t>1/C</t>
        </is>
      </c>
      <c r="M5175" s="12" t="inlineStr">
        <is>
          <t>750 kcmil</t>
        </is>
      </c>
      <c r="N5175" s="12" t="n">
        <v>2</v>
      </c>
      <c r="O5175" s="12" t="n">
        <v>3</v>
      </c>
      <c r="P5175" s="12" t="n">
        <v>13800</v>
      </c>
      <c r="Q5175" s="12" t="n">
        <v>18400</v>
      </c>
      <c r="R5175" s="12" t="n">
        <v>770</v>
      </c>
      <c r="S5175" s="12" t="inlineStr">
        <is>
          <t>Duct bank</t>
        </is>
      </c>
      <c r="T5175" s="16" t="n">
        <v>525</v>
      </c>
      <c r="U5175" s="16" t="n">
        <v>50</v>
      </c>
      <c r="V5175" s="16">
        <f>ROUNDUP((T5175+U5175+2*'Read Me'!$B$13)*(1+'Read Me'!$B$12),-1)</f>
        <v/>
      </c>
      <c r="W5175" s="16">
        <f>V5175*N5175*O5175</f>
        <v/>
      </c>
      <c r="X5175" s="12">
        <f>IF(LEFT(I5175,2)="MV",2*N5175*IF(L5175="1/C",O5175,1),0)</f>
        <v/>
      </c>
      <c r="Y5175" s="12">
        <f>IF(OR(LEFT(K5175,4)="LVAX",LEFT(K5175,6)="MV15AX",LEFT(K5175,4)="CTAX",LEFT(K5175,2)="W|"),2*N5175*O5175,0)</f>
        <v/>
      </c>
      <c r="Z5175" s="12" t="inlineStr">
        <is>
          <t>18V50 class ~18 MW (typ.)</t>
        </is>
      </c>
      <c r="AA5175" s="12">
        <f>N5175*O5175</f>
        <v/>
      </c>
    </row>
    <row r="5176">
      <c r="A5176" s="12" t="inlineStr">
        <is>
          <t>I-MV-0021</t>
        </is>
      </c>
      <c r="B5176" s="12" t="inlineStr">
        <is>
          <t>I</t>
        </is>
      </c>
      <c r="C5176" s="12" t="inlineStr">
        <is>
          <t>Modular / portable power</t>
        </is>
      </c>
      <c r="D5176" s="12" t="inlineStr">
        <is>
          <t>RICE-6 generator leads to the PCM</t>
        </is>
      </c>
      <c r="E5176" s="12" t="inlineStr">
        <is>
          <t>RICE-6</t>
        </is>
      </c>
      <c r="F5176" s="12" t="inlineStr">
        <is>
          <t>RICE engine-generator 6</t>
        </is>
      </c>
      <c r="G5176" s="12" t="inlineStr"/>
      <c r="H5176" s="12" t="inlineStr">
        <is>
          <t>PCM: power control module</t>
        </is>
      </c>
      <c r="I5176" s="12" t="inlineStr">
        <is>
          <t>MV 15 kV</t>
        </is>
      </c>
      <c r="J5176" s="12" t="inlineStr">
        <is>
          <t>MV-105 15 kV 1/C Cu, EPR 133%, Cu tape shield, PVC jacket (triplexed)</t>
        </is>
      </c>
      <c r="K5176" s="12" t="inlineStr">
        <is>
          <t>MV15|1/C|750</t>
        </is>
      </c>
      <c r="L5176" s="12" t="inlineStr">
        <is>
          <t>1/C</t>
        </is>
      </c>
      <c r="M5176" s="12" t="inlineStr">
        <is>
          <t>750 kcmil</t>
        </is>
      </c>
      <c r="N5176" s="12" t="n">
        <v>2</v>
      </c>
      <c r="O5176" s="12" t="n">
        <v>3</v>
      </c>
      <c r="P5176" s="12" t="n">
        <v>13800</v>
      </c>
      <c r="Q5176" s="12" t="n">
        <v>18400</v>
      </c>
      <c r="R5176" s="12" t="n">
        <v>770</v>
      </c>
      <c r="S5176" s="12" t="inlineStr">
        <is>
          <t>Duct bank</t>
        </is>
      </c>
      <c r="T5176" s="16" t="n">
        <v>469</v>
      </c>
      <c r="U5176" s="16" t="n">
        <v>78</v>
      </c>
      <c r="V5176" s="16">
        <f>ROUNDUP((T5176+U5176+2*'Read Me'!$B$13)*(1+'Read Me'!$B$12),-1)</f>
        <v/>
      </c>
      <c r="W5176" s="16">
        <f>V5176*N5176*O5176</f>
        <v/>
      </c>
      <c r="X5176" s="12">
        <f>IF(LEFT(I5176,2)="MV",2*N5176*IF(L5176="1/C",O5176,1),0)</f>
        <v/>
      </c>
      <c r="Y5176" s="12">
        <f>IF(OR(LEFT(K5176,4)="LVAX",LEFT(K5176,6)="MV15AX",LEFT(K5176,4)="CTAX",LEFT(K5176,2)="W|"),2*N5176*O5176,0)</f>
        <v/>
      </c>
      <c r="Z5176" s="12" t="inlineStr">
        <is>
          <t>18V50 class ~18 MW (typ.)</t>
        </is>
      </c>
      <c r="AA5176" s="12">
        <f>N5176*O5176</f>
        <v/>
      </c>
    </row>
    <row r="5177">
      <c r="A5177" s="12" t="inlineStr">
        <is>
          <t>I-MV-0022</t>
        </is>
      </c>
      <c r="B5177" s="12" t="inlineStr">
        <is>
          <t>I</t>
        </is>
      </c>
      <c r="C5177" s="12" t="inlineStr">
        <is>
          <t>Modular / portable power</t>
        </is>
      </c>
      <c r="D5177" s="12" t="inlineStr">
        <is>
          <t>RICE-7 generator leads to the PCM</t>
        </is>
      </c>
      <c r="E5177" s="12" t="inlineStr">
        <is>
          <t>RICE-7</t>
        </is>
      </c>
      <c r="F5177" s="12" t="inlineStr">
        <is>
          <t>RICE engine-generator 7</t>
        </is>
      </c>
      <c r="G5177" s="12" t="inlineStr"/>
      <c r="H5177" s="12" t="inlineStr">
        <is>
          <t>PCM: power control module</t>
        </is>
      </c>
      <c r="I5177" s="12" t="inlineStr">
        <is>
          <t>MV 15 kV</t>
        </is>
      </c>
      <c r="J5177" s="12" t="inlineStr">
        <is>
          <t>MV-105 15 kV 1/C Cu, EPR 133%, Cu tape shield, PVC jacket (triplexed)</t>
        </is>
      </c>
      <c r="K5177" s="12" t="inlineStr">
        <is>
          <t>MV15|1/C|750</t>
        </is>
      </c>
      <c r="L5177" s="12" t="inlineStr">
        <is>
          <t>1/C</t>
        </is>
      </c>
      <c r="M5177" s="12" t="inlineStr">
        <is>
          <t>750 kcmil</t>
        </is>
      </c>
      <c r="N5177" s="12" t="n">
        <v>2</v>
      </c>
      <c r="O5177" s="12" t="n">
        <v>3</v>
      </c>
      <c r="P5177" s="12" t="n">
        <v>13800</v>
      </c>
      <c r="Q5177" s="12" t="n">
        <v>18400</v>
      </c>
      <c r="R5177" s="12" t="n">
        <v>770</v>
      </c>
      <c r="S5177" s="12" t="inlineStr">
        <is>
          <t>Tray</t>
        </is>
      </c>
      <c r="T5177" s="16" t="n">
        <v>83</v>
      </c>
      <c r="U5177" s="16" t="n">
        <v>106</v>
      </c>
      <c r="V5177" s="16">
        <f>ROUNDUP((T5177+U5177+2*'Read Me'!$B$13)*(1+'Read Me'!$B$12),-1)</f>
        <v/>
      </c>
      <c r="W5177" s="16">
        <f>V5177*N5177*O5177</f>
        <v/>
      </c>
      <c r="X5177" s="12">
        <f>IF(LEFT(I5177,2)="MV",2*N5177*IF(L5177="1/C",O5177,1),0)</f>
        <v/>
      </c>
      <c r="Y5177" s="12">
        <f>IF(OR(LEFT(K5177,4)="LVAX",LEFT(K5177,6)="MV15AX",LEFT(K5177,4)="CTAX",LEFT(K5177,2)="W|"),2*N5177*O5177,0)</f>
        <v/>
      </c>
      <c r="Z5177" s="12" t="inlineStr">
        <is>
          <t>18V50 class ~18 MW (typ.)</t>
        </is>
      </c>
      <c r="AA5177" s="12">
        <f>N5177*O5177</f>
        <v/>
      </c>
    </row>
    <row r="5178">
      <c r="A5178" s="12" t="inlineStr">
        <is>
          <t>I-MV-0023</t>
        </is>
      </c>
      <c r="B5178" s="12" t="inlineStr">
        <is>
          <t>I</t>
        </is>
      </c>
      <c r="C5178" s="12" t="inlineStr">
        <is>
          <t>Modular / portable power</t>
        </is>
      </c>
      <c r="D5178" s="12" t="inlineStr">
        <is>
          <t>RICE-8 generator leads to the PCM</t>
        </is>
      </c>
      <c r="E5178" s="12" t="inlineStr">
        <is>
          <t>RICE-8</t>
        </is>
      </c>
      <c r="F5178" s="12" t="inlineStr">
        <is>
          <t>RICE engine-generator 8</t>
        </is>
      </c>
      <c r="G5178" s="12" t="inlineStr"/>
      <c r="H5178" s="12" t="inlineStr">
        <is>
          <t>PCM: power control module</t>
        </is>
      </c>
      <c r="I5178" s="12" t="inlineStr">
        <is>
          <t>MV 15 kV</t>
        </is>
      </c>
      <c r="J5178" s="12" t="inlineStr">
        <is>
          <t>MV-105 15 kV 1/C Cu, EPR 133%, Cu tape shield, PVC jacket (triplexed)</t>
        </is>
      </c>
      <c r="K5178" s="12" t="inlineStr">
        <is>
          <t>MV15|1/C|750</t>
        </is>
      </c>
      <c r="L5178" s="12" t="inlineStr">
        <is>
          <t>1/C</t>
        </is>
      </c>
      <c r="M5178" s="12" t="inlineStr">
        <is>
          <t>750 kcmil</t>
        </is>
      </c>
      <c r="N5178" s="12" t="n">
        <v>2</v>
      </c>
      <c r="O5178" s="12" t="n">
        <v>3</v>
      </c>
      <c r="P5178" s="12" t="n">
        <v>13800</v>
      </c>
      <c r="Q5178" s="12" t="n">
        <v>18400</v>
      </c>
      <c r="R5178" s="12" t="n">
        <v>770</v>
      </c>
      <c r="S5178" s="12" t="inlineStr">
        <is>
          <t>Tray</t>
        </is>
      </c>
      <c r="T5178" s="16" t="n">
        <v>37</v>
      </c>
      <c r="U5178" s="16" t="n">
        <v>124</v>
      </c>
      <c r="V5178" s="16">
        <f>ROUNDUP((T5178+U5178+2*'Read Me'!$B$13)*(1+'Read Me'!$B$12),-1)</f>
        <v/>
      </c>
      <c r="W5178" s="16">
        <f>V5178*N5178*O5178</f>
        <v/>
      </c>
      <c r="X5178" s="12">
        <f>IF(LEFT(I5178,2)="MV",2*N5178*IF(L5178="1/C",O5178,1),0)</f>
        <v/>
      </c>
      <c r="Y5178" s="12">
        <f>IF(OR(LEFT(K5178,4)="LVAX",LEFT(K5178,6)="MV15AX",LEFT(K5178,4)="CTAX",LEFT(K5178,2)="W|"),2*N5178*O5178,0)</f>
        <v/>
      </c>
      <c r="Z5178" s="12" t="inlineStr">
        <is>
          <t>18V50 class ~18 MW (typ.)</t>
        </is>
      </c>
      <c r="AA5178" s="12">
        <f>N5178*O5178</f>
        <v/>
      </c>
    </row>
    <row r="5179">
      <c r="A5179" s="12" t="inlineStr">
        <is>
          <t>I-MV-0024</t>
        </is>
      </c>
      <c r="B5179" s="12" t="inlineStr">
        <is>
          <t>I</t>
        </is>
      </c>
      <c r="C5179" s="12" t="inlineStr">
        <is>
          <t>Modular / portable power</t>
        </is>
      </c>
      <c r="D5179" s="12" t="inlineStr">
        <is>
          <t>SC-1 (LM6000 class) generator leads to its PCM / GCB</t>
        </is>
      </c>
      <c r="E5179" s="12" t="inlineStr">
        <is>
          <t>SC-1</t>
        </is>
      </c>
      <c r="F5179" s="12" t="inlineStr">
        <is>
          <t>SC-1: aeroderivative simple-cycle unit (LM6000 class)</t>
        </is>
      </c>
      <c r="G5179" s="12" t="inlineStr"/>
      <c r="H5179" s="12" t="inlineStr">
        <is>
          <t>SC-1 PCM + 15 kV GCB</t>
        </is>
      </c>
      <c r="I5179" s="12" t="inlineStr">
        <is>
          <t>MV 15 kV</t>
        </is>
      </c>
      <c r="J5179" s="12" t="inlineStr">
        <is>
          <t>MV-105 15 kV 1/C Cu, EPR 133%, Cu tape shield, PVC jacket (triplexed)</t>
        </is>
      </c>
      <c r="K5179" s="12" t="inlineStr">
        <is>
          <t>MV15|1/C|750</t>
        </is>
      </c>
      <c r="L5179" s="12" t="inlineStr">
        <is>
          <t>1/C</t>
        </is>
      </c>
      <c r="M5179" s="12" t="inlineStr">
        <is>
          <t>750 kcmil</t>
        </is>
      </c>
      <c r="N5179" s="12" t="n">
        <v>5</v>
      </c>
      <c r="O5179" s="12" t="n">
        <v>3</v>
      </c>
      <c r="P5179" s="12" t="n">
        <v>13800</v>
      </c>
      <c r="Q5179" s="12" t="n">
        <v>50000</v>
      </c>
      <c r="R5179" s="12" t="n">
        <v>2092</v>
      </c>
      <c r="S5179" s="12" t="inlineStr">
        <is>
          <t>Tray</t>
        </is>
      </c>
      <c r="T5179" s="16" t="n">
        <v>12</v>
      </c>
      <c r="U5179" s="16" t="n">
        <v>52</v>
      </c>
      <c r="V5179" s="16">
        <f>ROUNDUP((T5179+U5179+2*'Read Me'!$B$13)*(1+'Read Me'!$B$12),-1)</f>
        <v/>
      </c>
      <c r="W5179" s="16">
        <f>V5179*N5179*O5179</f>
        <v/>
      </c>
      <c r="X5179" s="12">
        <f>IF(LEFT(I5179,2)="MV",2*N5179*IF(L5179="1/C",O5179,1),0)</f>
        <v/>
      </c>
      <c r="Y5179" s="12">
        <f>IF(OR(LEFT(K5179,4)="LVAX",LEFT(K5179,6)="MV15AX",LEFT(K5179,4)="CTAX",LEFT(K5179,2)="W|"),2*N5179*O5179,0)</f>
        <v/>
      </c>
      <c r="Z5179" s="12" t="inlineStr"/>
      <c r="AA5179" s="12">
        <f>N5179*O5179</f>
        <v/>
      </c>
    </row>
    <row r="5180">
      <c r="A5180" s="12" t="inlineStr">
        <is>
          <t>I-MV-0025</t>
        </is>
      </c>
      <c r="B5180" s="12" t="inlineStr">
        <is>
          <t>I</t>
        </is>
      </c>
      <c r="C5180" s="12" t="inlineStr">
        <is>
          <t>Modular / portable power</t>
        </is>
      </c>
      <c r="D5180" s="12" t="inlineStr">
        <is>
          <t>SC-2 (LM6000 class) generator leads to its PCM / GCB</t>
        </is>
      </c>
      <c r="E5180" s="12" t="inlineStr">
        <is>
          <t>SC-2</t>
        </is>
      </c>
      <c r="F5180" s="12" t="inlineStr">
        <is>
          <t>SC-2: aeroderivative simple-cycle unit (LM6000 class)</t>
        </is>
      </c>
      <c r="G5180" s="12" t="inlineStr"/>
      <c r="H5180" s="12" t="inlineStr">
        <is>
          <t>SC-2 PCM + 15 kV GCB</t>
        </is>
      </c>
      <c r="I5180" s="12" t="inlineStr">
        <is>
          <t>MV 15 kV</t>
        </is>
      </c>
      <c r="J5180" s="12" t="inlineStr">
        <is>
          <t>MV-105 15 kV 1/C Cu, EPR 133%, Cu tape shield, PVC jacket (triplexed)</t>
        </is>
      </c>
      <c r="K5180" s="12" t="inlineStr">
        <is>
          <t>MV15|1/C|750</t>
        </is>
      </c>
      <c r="L5180" s="12" t="inlineStr">
        <is>
          <t>1/C</t>
        </is>
      </c>
      <c r="M5180" s="12" t="inlineStr">
        <is>
          <t>750 kcmil</t>
        </is>
      </c>
      <c r="N5180" s="12" t="n">
        <v>5</v>
      </c>
      <c r="O5180" s="12" t="n">
        <v>3</v>
      </c>
      <c r="P5180" s="12" t="n">
        <v>13800</v>
      </c>
      <c r="Q5180" s="12" t="n">
        <v>50000</v>
      </c>
      <c r="R5180" s="12" t="n">
        <v>2092</v>
      </c>
      <c r="S5180" s="12" t="inlineStr">
        <is>
          <t>Tray</t>
        </is>
      </c>
      <c r="T5180" s="16" t="n">
        <v>0</v>
      </c>
      <c r="U5180" s="16" t="n">
        <v>62</v>
      </c>
      <c r="V5180" s="16">
        <f>ROUNDUP((T5180+U5180+2*'Read Me'!$B$13)*(1+'Read Me'!$B$12),-1)</f>
        <v/>
      </c>
      <c r="W5180" s="16">
        <f>V5180*N5180*O5180</f>
        <v/>
      </c>
      <c r="X5180" s="12">
        <f>IF(LEFT(I5180,2)="MV",2*N5180*IF(L5180="1/C",O5180,1),0)</f>
        <v/>
      </c>
      <c r="Y5180" s="12">
        <f>IF(OR(LEFT(K5180,4)="LVAX",LEFT(K5180,6)="MV15AX",LEFT(K5180,4)="CTAX",LEFT(K5180,2)="W|"),2*N5180*O5180,0)</f>
        <v/>
      </c>
      <c r="Z5180" s="12" t="inlineStr"/>
      <c r="AA5180" s="12">
        <f>N5180*O5180</f>
        <v/>
      </c>
    </row>
    <row r="5181">
      <c r="A5181" s="12" t="inlineStr">
        <is>
          <t>I-PP-0001</t>
        </is>
      </c>
      <c r="B5181" s="12" t="inlineStr">
        <is>
          <t>I</t>
        </is>
      </c>
      <c r="C5181" s="12" t="inlineStr">
        <is>
          <t>Modular / portable power</t>
        </is>
      </c>
      <c r="D5181" s="12" t="inlineStr">
        <is>
          <t>GEN-E 480 V to PAD-LV (Type W sets, cam-lock)</t>
        </is>
      </c>
      <c r="E5181" s="12" t="inlineStr">
        <is>
          <t>GEN-E</t>
        </is>
      </c>
      <c r="F5181" s="12" t="inlineStr">
        <is>
          <t>GEN-E: enclosed industrial gas genset 2 MW</t>
        </is>
      </c>
      <c r="G5181" s="12" t="inlineStr">
        <is>
          <t>PAD-LV</t>
        </is>
      </c>
      <c r="H5181" s="12" t="inlineStr">
        <is>
          <t>PAD-LV 480 V paralleling switchboard</t>
        </is>
      </c>
      <c r="I5181" s="12" t="inlineStr">
        <is>
          <t>Portable LV</t>
        </is>
      </c>
      <c r="J5181" s="12" t="inlineStr">
        <is>
          <t>Type W 2 kV 1/C Cu, EPDM / CPE (portable, cam-lock)</t>
        </is>
      </c>
      <c r="K5181" s="12" t="inlineStr">
        <is>
          <t>W|1/C|4/0</t>
        </is>
      </c>
      <c r="L5181" s="12" t="inlineStr">
        <is>
          <t>1/C</t>
        </is>
      </c>
      <c r="M5181" s="12" t="inlineStr">
        <is>
          <t>4/0</t>
        </is>
      </c>
      <c r="N5181" s="12" t="n">
        <v>8</v>
      </c>
      <c r="O5181" s="12" t="n">
        <v>4</v>
      </c>
      <c r="P5181" s="12" t="n">
        <v>480</v>
      </c>
      <c r="Q5181" s="12" t="n">
        <v>2000</v>
      </c>
      <c r="R5181" s="12" t="n">
        <v>2406</v>
      </c>
      <c r="S5181" s="12" t="inlineStr">
        <is>
          <t>Surface</t>
        </is>
      </c>
      <c r="T5181" s="16" t="n">
        <v>143</v>
      </c>
      <c r="U5181" s="16" t="n">
        <v>27</v>
      </c>
      <c r="V5181" s="16">
        <f>ROUNDUP((T5181+U5181+2*'Read Me'!$B$13)*(1+'Read Me'!$B$12),-1)</f>
        <v/>
      </c>
      <c r="W5181" s="16">
        <f>V5181*N5181*O5181</f>
        <v/>
      </c>
      <c r="X5181" s="12">
        <f>IF(LEFT(I5181,2)="MV",2*N5181*IF(L5181="1/C",O5181,1),0)</f>
        <v/>
      </c>
      <c r="Y5181" s="12">
        <f>IF(OR(LEFT(K5181,4)="LVAX",LEFT(K5181,6)="MV15AX",LEFT(K5181,4)="CTAX",LEFT(K5181,2)="W|"),2*N5181*O5181,0)</f>
        <v/>
      </c>
      <c r="Z5181" s="12" t="inlineStr">
        <is>
          <t>4 x 1/C per set incl. ground</t>
        </is>
      </c>
      <c r="AA5181" s="12">
        <f>N5181*O5181</f>
        <v/>
      </c>
    </row>
    <row r="5182">
      <c r="A5182" s="12" t="inlineStr">
        <is>
          <t>I-PP-0002</t>
        </is>
      </c>
      <c r="B5182" s="12" t="inlineStr">
        <is>
          <t>I</t>
        </is>
      </c>
      <c r="C5182" s="12" t="inlineStr">
        <is>
          <t>Modular / portable power</t>
        </is>
      </c>
      <c r="D5182" s="12" t="inlineStr">
        <is>
          <t>GEN-O 480 V to PAD-LV (Type W sets, cam-lock)</t>
        </is>
      </c>
      <c r="E5182" s="12" t="inlineStr">
        <is>
          <t>GEN-O</t>
        </is>
      </c>
      <c r="F5182" s="12" t="inlineStr">
        <is>
          <t>GEN-O: open engine-generator skid</t>
        </is>
      </c>
      <c r="G5182" s="12" t="inlineStr">
        <is>
          <t>PAD-LV</t>
        </is>
      </c>
      <c r="H5182" s="12" t="inlineStr">
        <is>
          <t>PAD-LV 480 V paralleling switchboard</t>
        </is>
      </c>
      <c r="I5182" s="12" t="inlineStr">
        <is>
          <t>Portable LV</t>
        </is>
      </c>
      <c r="J5182" s="12" t="inlineStr">
        <is>
          <t>Type W 2 kV 1/C Cu, EPDM / CPE (portable, cam-lock)</t>
        </is>
      </c>
      <c r="K5182" s="12" t="inlineStr">
        <is>
          <t>W|1/C|4/0</t>
        </is>
      </c>
      <c r="L5182" s="12" t="inlineStr">
        <is>
          <t>1/C</t>
        </is>
      </c>
      <c r="M5182" s="12" t="inlineStr">
        <is>
          <t>4/0</t>
        </is>
      </c>
      <c r="N5182" s="12" t="n">
        <v>4</v>
      </c>
      <c r="O5182" s="12" t="n">
        <v>4</v>
      </c>
      <c r="P5182" s="12" t="n">
        <v>480</v>
      </c>
      <c r="Q5182" s="12" t="n">
        <v>1000</v>
      </c>
      <c r="R5182" s="12" t="n">
        <v>1203</v>
      </c>
      <c r="S5182" s="12" t="inlineStr">
        <is>
          <t>Surface</t>
        </is>
      </c>
      <c r="T5182" s="16" t="n">
        <v>132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4 x 1/C per set incl. ground</t>
        </is>
      </c>
      <c r="AA5182" s="12">
        <f>N5182*O5182</f>
        <v/>
      </c>
    </row>
    <row r="5183">
      <c r="A5183" s="12" t="inlineStr">
        <is>
          <t>I-PP-0003</t>
        </is>
      </c>
      <c r="B5183" s="12" t="inlineStr">
        <is>
          <t>I</t>
        </is>
      </c>
      <c r="C5183" s="12" t="inlineStr">
        <is>
          <t>Modular / portable power</t>
        </is>
      </c>
      <c r="D5183" s="12" t="inlineStr">
        <is>
          <t>CONT-1 13.8 kV leads to GSP-1</t>
        </is>
      </c>
      <c r="E5183" s="12" t="inlineStr">
        <is>
          <t>CONT-1</t>
        </is>
      </c>
      <c r="F5183" s="12" t="inlineStr">
        <is>
          <t>CONT-1: containerized genset 13.8 kV (40 ft)</t>
        </is>
      </c>
      <c r="G5183" s="12" t="inlineStr">
        <is>
          <t>GSP-1</t>
        </is>
      </c>
      <c r="H5183" s="12" t="inlineStr">
        <is>
          <t>GSP-1: generator breaker / protection</t>
        </is>
      </c>
      <c r="I5183" s="12" t="inlineStr">
        <is>
          <t>Portable MV</t>
        </is>
      </c>
      <c r="J5183" s="12" t="inlineStr">
        <is>
          <t>Type SHD-GC 15 kV 3/C Cu, 2 grounds + GC, yellow CPE (portable)</t>
        </is>
      </c>
      <c r="K5183" s="12" t="inlineStr">
        <is>
          <t>SHD|3/C|2</t>
        </is>
      </c>
      <c r="L5183" s="12" t="inlineStr">
        <is>
          <t>3/C</t>
        </is>
      </c>
      <c r="M5183" s="12" t="inlineStr">
        <is>
          <t>2</t>
        </is>
      </c>
      <c r="N5183" s="12" t="n">
        <v>1</v>
      </c>
      <c r="O5183" s="12" t="n">
        <v>1</v>
      </c>
      <c r="P5183" s="12" t="n">
        <v>13800</v>
      </c>
      <c r="Q5183" s="12" t="n">
        <v>2000</v>
      </c>
      <c r="R5183" s="12" t="n">
        <v>93</v>
      </c>
      <c r="S5183" s="12" t="inlineStr">
        <is>
          <t>Tray</t>
        </is>
      </c>
      <c r="T5183" s="16" t="n">
        <v>0</v>
      </c>
      <c r="U5183" s="16" t="n">
        <v>29</v>
      </c>
      <c r="V5183" s="16">
        <f>ROUNDUP((T5183+U5183+2*'Read Me'!$B$13)*(1+'Read Me'!$B$12),-1)</f>
        <v/>
      </c>
      <c r="W5183" s="16">
        <f>V5183*N5183*O5183</f>
        <v/>
      </c>
      <c r="X5183" s="12">
        <f>IF(LEFT(I5183,2)="MV",2*N5183*IF(L5183="1/C",O5183,1),0)</f>
        <v/>
      </c>
      <c r="Y5183" s="12">
        <f>IF(OR(LEFT(K5183,4)="LVAX",LEFT(K5183,6)="MV15AX",LEFT(K5183,4)="CTAX",LEFT(K5183,2)="W|"),2*N5183*O5183,0)</f>
        <v/>
      </c>
      <c r="Z5183" s="12" t="inlineStr">
        <is>
          <t>portable, on grade</t>
        </is>
      </c>
      <c r="AA5183" s="12">
        <f>N5183*O5183</f>
        <v/>
      </c>
    </row>
    <row r="5184">
      <c r="A5184" s="12" t="inlineStr">
        <is>
          <t>I-PP-0004</t>
        </is>
      </c>
      <c r="B5184" s="12" t="inlineStr">
        <is>
          <t>I</t>
        </is>
      </c>
      <c r="C5184" s="12" t="inlineStr">
        <is>
          <t>Modular / portable power</t>
        </is>
      </c>
      <c r="D5184" s="12" t="inlineStr">
        <is>
          <t>CONT-2 13.8 kV leads to GSP-2</t>
        </is>
      </c>
      <c r="E5184" s="12" t="inlineStr">
        <is>
          <t>CONT-2</t>
        </is>
      </c>
      <c r="F5184" s="12" t="inlineStr">
        <is>
          <t>CONT-2: containerized genset 13.8 kV (40 ft)</t>
        </is>
      </c>
      <c r="G5184" s="12" t="inlineStr">
        <is>
          <t>GSP-2</t>
        </is>
      </c>
      <c r="H5184" s="12" t="inlineStr">
        <is>
          <t>GSP-2: generator breaker / protection</t>
        </is>
      </c>
      <c r="I5184" s="12" t="inlineStr">
        <is>
          <t>Portable MV</t>
        </is>
      </c>
      <c r="J5184" s="12" t="inlineStr">
        <is>
          <t>Type SHD-GC 15 kV 3/C Cu, 2 grounds + GC, yellow CPE (portable)</t>
        </is>
      </c>
      <c r="K5184" s="12" t="inlineStr">
        <is>
          <t>SHD|3/C|2</t>
        </is>
      </c>
      <c r="L5184" s="12" t="inlineStr">
        <is>
          <t>3/C</t>
        </is>
      </c>
      <c r="M5184" s="12" t="inlineStr">
        <is>
          <t>2</t>
        </is>
      </c>
      <c r="N5184" s="12" t="n">
        <v>1</v>
      </c>
      <c r="O5184" s="12" t="n">
        <v>1</v>
      </c>
      <c r="P5184" s="12" t="n">
        <v>13800</v>
      </c>
      <c r="Q5184" s="12" t="n">
        <v>2000</v>
      </c>
      <c r="R5184" s="12" t="n">
        <v>93</v>
      </c>
      <c r="S5184" s="12" t="inlineStr">
        <is>
          <t>Riser</t>
        </is>
      </c>
      <c r="T5184" s="16" t="n">
        <v>2</v>
      </c>
      <c r="U5184" s="16" t="n">
        <v>27</v>
      </c>
      <c r="V5184" s="16">
        <f>ROUNDUP((T5184+U5184+2*'Read Me'!$B$13)*(1+'Read Me'!$B$12),-1)</f>
        <v/>
      </c>
      <c r="W5184" s="16">
        <f>V5184*N5184*O5184</f>
        <v/>
      </c>
      <c r="X5184" s="12">
        <f>IF(LEFT(I5184,2)="MV",2*N5184*IF(L5184="1/C",O5184,1),0)</f>
        <v/>
      </c>
      <c r="Y5184" s="12">
        <f>IF(OR(LEFT(K5184,4)="LVAX",LEFT(K5184,6)="MV15AX",LEFT(K5184,4)="CTAX",LEFT(K5184,2)="W|"),2*N5184*O5184,0)</f>
        <v/>
      </c>
      <c r="Z5184" s="12" t="inlineStr">
        <is>
          <t>portable, on grade</t>
        </is>
      </c>
      <c r="AA5184" s="12">
        <f>N5184*O5184</f>
        <v/>
      </c>
    </row>
    <row r="5185">
      <c r="A5185" s="12" t="inlineStr">
        <is>
          <t>I-PP-0005</t>
        </is>
      </c>
      <c r="B5185" s="12" t="inlineStr">
        <is>
          <t>I</t>
        </is>
      </c>
      <c r="C5185" s="12" t="inlineStr">
        <is>
          <t>Modular / portable power</t>
        </is>
      </c>
      <c r="D5185" s="12" t="inlineStr">
        <is>
          <t>PIC to commissioning load bank</t>
        </is>
      </c>
      <c r="E5185" s="12" t="inlineStr">
        <is>
          <t>PIC</t>
        </is>
      </c>
      <c r="F5185" s="12" t="inlineStr">
        <is>
          <t>PIC: portable input cabinet</t>
        </is>
      </c>
      <c r="G5185" s="12" t="inlineStr">
        <is>
          <t>LB</t>
        </is>
      </c>
      <c r="H5185" s="12" t="inlineStr">
        <is>
          <t>LB: commissioning load bank (trailer)</t>
        </is>
      </c>
      <c r="I5185" s="12" t="inlineStr">
        <is>
          <t>Portable MV</t>
        </is>
      </c>
      <c r="J5185" s="12" t="inlineStr">
        <is>
          <t>Type SHD-GC 15 kV 3/C Cu, 2 grounds + GC, yellow CPE (portable)</t>
        </is>
      </c>
      <c r="K5185" s="12" t="inlineStr">
        <is>
          <t>SHD|3/C|2</t>
        </is>
      </c>
      <c r="L5185" s="12" t="inlineStr">
        <is>
          <t>3/C</t>
        </is>
      </c>
      <c r="M5185" s="12" t="inlineStr">
        <is>
          <t>2</t>
        </is>
      </c>
      <c r="N5185" s="12" t="n">
        <v>1</v>
      </c>
      <c r="O5185" s="12" t="n">
        <v>1</v>
      </c>
      <c r="P5185" s="12" t="n">
        <v>13800</v>
      </c>
      <c r="Q5185" s="12" t="n">
        <v>2000</v>
      </c>
      <c r="R5185" s="12" t="n">
        <v>93</v>
      </c>
      <c r="S5185" s="12" t="inlineStr">
        <is>
          <t>Surface</t>
        </is>
      </c>
      <c r="T5185" s="16" t="n">
        <v>27</v>
      </c>
      <c r="U5185" s="16" t="n">
        <v>39</v>
      </c>
      <c r="V5185" s="16">
        <f>ROUNDUP((T5185+U5185+2*'Read Me'!$B$13)*(1+'Read Me'!$B$12),-1)</f>
        <v/>
      </c>
      <c r="W5185" s="16">
        <f>V5185*N5185*O5185</f>
        <v/>
      </c>
      <c r="X5185" s="12">
        <f>IF(LEFT(I5185,2)="MV",2*N5185*IF(L5185="1/C",O5185,1),0)</f>
        <v/>
      </c>
      <c r="Y5185" s="12">
        <f>IF(OR(LEFT(K5185,4)="LVAX",LEFT(K5185,6)="MV15AX",LEFT(K5185,4)="CTAX",LEFT(K5185,2)="W|"),2*N5185*O5185,0)</f>
        <v/>
      </c>
      <c r="Z5185" s="12" t="inlineStr">
        <is>
          <t>portable</t>
        </is>
      </c>
      <c r="AA5185" s="12">
        <f>N5185*O5185</f>
        <v/>
      </c>
    </row>
    <row r="5186">
      <c r="A5186" s="12" t="inlineStr">
        <is>
          <t>I-PP-0006</t>
        </is>
      </c>
      <c r="B5186" s="12" t="inlineStr">
        <is>
          <t>I</t>
        </is>
      </c>
      <c r="C5186" s="12" t="inlineStr">
        <is>
          <t>Modular / portable power</t>
        </is>
      </c>
      <c r="D5186" s="12" t="inlineStr">
        <is>
          <t>GSP-1 to PAD-EH</t>
        </is>
      </c>
      <c r="E5186" s="12" t="inlineStr">
        <is>
          <t>GSP-1</t>
        </is>
      </c>
      <c r="F5186" s="12" t="inlineStr">
        <is>
          <t>GSP-1: generator breaker / protection</t>
        </is>
      </c>
      <c r="G5186" s="12" t="inlineStr">
        <is>
          <t>PAD-EH</t>
        </is>
      </c>
      <c r="H5186" s="12" t="inlineStr">
        <is>
          <t>PAD-EH 13.8 kV switchgear e-house</t>
        </is>
      </c>
      <c r="I5186" s="12" t="inlineStr">
        <is>
          <t>Portable MV</t>
        </is>
      </c>
      <c r="J5186" s="12" t="inlineStr">
        <is>
          <t>Type SHD-GC 15 kV 3/C Cu, 2 grounds + GC, yellow CPE (portable)</t>
        </is>
      </c>
      <c r="K5186" s="12" t="inlineStr">
        <is>
          <t>SHD|3/C|2</t>
        </is>
      </c>
      <c r="L5186" s="12" t="inlineStr">
        <is>
          <t>3/C</t>
        </is>
      </c>
      <c r="M5186" s="12" t="inlineStr">
        <is>
          <t>2</t>
        </is>
      </c>
      <c r="N5186" s="12" t="n">
        <v>1</v>
      </c>
      <c r="O5186" s="12" t="n">
        <v>1</v>
      </c>
      <c r="P5186" s="12" t="n">
        <v>13800</v>
      </c>
      <c r="Q5186" s="12" t="n">
        <v>2000</v>
      </c>
      <c r="R5186" s="12" t="n">
        <v>93</v>
      </c>
      <c r="S5186" s="12" t="inlineStr">
        <is>
          <t>Surface</t>
        </is>
      </c>
      <c r="T5186" s="16" t="n">
        <v>342</v>
      </c>
      <c r="U5186" s="16" t="n">
        <v>27</v>
      </c>
      <c r="V5186" s="16">
        <f>ROUNDUP((T5186+U5186+2*'Read Me'!$B$13)*(1+'Read Me'!$B$12),-1)</f>
        <v/>
      </c>
      <c r="W5186" s="16">
        <f>V5186*N5186*O5186</f>
        <v/>
      </c>
      <c r="X5186" s="12">
        <f>IF(LEFT(I5186,2)="MV",2*N5186*IF(L5186="1/C",O5186,1),0)</f>
        <v/>
      </c>
      <c r="Y5186" s="12">
        <f>IF(OR(LEFT(K5186,4)="LVAX",LEFT(K5186,6)="MV15AX",LEFT(K5186,4)="CTAX",LEFT(K5186,2)="W|"),2*N5186*O5186,0)</f>
        <v/>
      </c>
      <c r="Z5186" s="12" t="inlineStr">
        <is>
          <t>portable, on grade</t>
        </is>
      </c>
      <c r="AA5186" s="12">
        <f>N5186*O5186</f>
        <v/>
      </c>
    </row>
    <row r="5187">
      <c r="A5187" s="12" t="inlineStr">
        <is>
          <t>I-PP-0007</t>
        </is>
      </c>
      <c r="B5187" s="12" t="inlineStr">
        <is>
          <t>I</t>
        </is>
      </c>
      <c r="C5187" s="12" t="inlineStr">
        <is>
          <t>Modular / portable power</t>
        </is>
      </c>
      <c r="D5187" s="12" t="inlineStr">
        <is>
          <t>GSP-2 to PAD-EH</t>
        </is>
      </c>
      <c r="E5187" s="12" t="inlineStr">
        <is>
          <t>GSP-2</t>
        </is>
      </c>
      <c r="F5187" s="12" t="inlineStr">
        <is>
          <t>GSP-2: generator breaker / protection</t>
        </is>
      </c>
      <c r="G5187" s="12" t="inlineStr">
        <is>
          <t>PAD-EH</t>
        </is>
      </c>
      <c r="H5187" s="12" t="inlineStr">
        <is>
          <t>PAD-EH 13.8 kV switchgear e-house</t>
        </is>
      </c>
      <c r="I5187" s="12" t="inlineStr">
        <is>
          <t>Portable MV</t>
        </is>
      </c>
      <c r="J5187" s="12" t="inlineStr">
        <is>
          <t>Type SHD-GC 15 kV 3/C Cu, 2 grounds + GC, yellow CPE (portable)</t>
        </is>
      </c>
      <c r="K5187" s="12" t="inlineStr">
        <is>
          <t>SHD|3/C|2</t>
        </is>
      </c>
      <c r="L5187" s="12" t="inlineStr">
        <is>
          <t>3/C</t>
        </is>
      </c>
      <c r="M5187" s="12" t="inlineStr">
        <is>
          <t>2</t>
        </is>
      </c>
      <c r="N5187" s="12" t="n">
        <v>1</v>
      </c>
      <c r="O5187" s="12" t="n">
        <v>1</v>
      </c>
      <c r="P5187" s="12" t="n">
        <v>13800</v>
      </c>
      <c r="Q5187" s="12" t="n">
        <v>2000</v>
      </c>
      <c r="R5187" s="12" t="n">
        <v>93</v>
      </c>
      <c r="S5187" s="12" t="inlineStr">
        <is>
          <t>Surface</t>
        </is>
      </c>
      <c r="T5187" s="16" t="n">
        <v>353</v>
      </c>
      <c r="U5187" s="16" t="n">
        <v>27</v>
      </c>
      <c r="V5187" s="16">
        <f>ROUNDUP((T5187+U5187+2*'Read Me'!$B$13)*(1+'Read Me'!$B$12),-1)</f>
        <v/>
      </c>
      <c r="W5187" s="16">
        <f>V5187*N5187*O5187</f>
        <v/>
      </c>
      <c r="X5187" s="12">
        <f>IF(LEFT(I5187,2)="MV",2*N5187*IF(L5187="1/C",O5187,1),0)</f>
        <v/>
      </c>
      <c r="Y5187" s="12">
        <f>IF(OR(LEFT(K5187,4)="LVAX",LEFT(K5187,6)="MV15AX",LEFT(K5187,4)="CTAX",LEFT(K5187,2)="W|"),2*N5187*O5187,0)</f>
        <v/>
      </c>
      <c r="Z5187" s="12" t="inlineStr">
        <is>
          <t>portable, on grade</t>
        </is>
      </c>
      <c r="AA5187" s="12">
        <f>N5187*O5187</f>
        <v/>
      </c>
    </row>
    <row r="5188">
      <c r="A5188" s="12" t="inlineStr">
        <is>
          <t>I-PP-0008</t>
        </is>
      </c>
      <c r="B5188" s="12" t="inlineStr">
        <is>
          <t>I</t>
        </is>
      </c>
      <c r="C5188" s="12" t="inlineStr">
        <is>
          <t>Modular / portable power</t>
        </is>
      </c>
      <c r="D5188" s="12" t="inlineStr">
        <is>
          <t>MOB-1 13.8 kV to PIC through the C-L01 ramp</t>
        </is>
      </c>
      <c r="E5188" s="12" t="inlineStr">
        <is>
          <t>MOB-1</t>
        </is>
      </c>
      <c r="F5188" s="12" t="inlineStr">
        <is>
          <t>MOB-1: trailer genset</t>
        </is>
      </c>
      <c r="G5188" s="12" t="inlineStr">
        <is>
          <t>PIC</t>
        </is>
      </c>
      <c r="H5188" s="12" t="inlineStr">
        <is>
          <t>PIC: portable input cabinet</t>
        </is>
      </c>
      <c r="I5188" s="12" t="inlineStr">
        <is>
          <t>Portable MV</t>
        </is>
      </c>
      <c r="J5188" s="12" t="inlineStr">
        <is>
          <t>Type SHD-GC 15 kV 3/C Cu, 2 grounds + GC, yellow CPE (portable)</t>
        </is>
      </c>
      <c r="K5188" s="12" t="inlineStr">
        <is>
          <t>SHD|3/C|2</t>
        </is>
      </c>
      <c r="L5188" s="12" t="inlineStr">
        <is>
          <t>3/C</t>
        </is>
      </c>
      <c r="M5188" s="12" t="inlineStr">
        <is>
          <t>2</t>
        </is>
      </c>
      <c r="N5188" s="12" t="n">
        <v>1</v>
      </c>
      <c r="O5188" s="12" t="n">
        <v>1</v>
      </c>
      <c r="P5188" s="12" t="n">
        <v>13800</v>
      </c>
      <c r="Q5188" s="12" t="n">
        <v>2000</v>
      </c>
      <c r="R5188" s="12" t="n">
        <v>93</v>
      </c>
      <c r="S5188" s="12" t="inlineStr">
        <is>
          <t>Surface</t>
        </is>
      </c>
      <c r="T5188" s="16" t="n">
        <v>162</v>
      </c>
      <c r="U5188" s="16" t="n">
        <v>27</v>
      </c>
      <c r="V5188" s="16">
        <f>ROUNDUP((T5188+U5188+2*'Read Me'!$B$13)*(1+'Read Me'!$B$12),-1)</f>
        <v/>
      </c>
      <c r="W5188" s="16">
        <f>V5188*N5188*O5188</f>
        <v/>
      </c>
      <c r="X5188" s="12">
        <f>IF(LEFT(I5188,2)="MV",2*N5188*IF(L5188="1/C",O5188,1),0)</f>
        <v/>
      </c>
      <c r="Y5188" s="12">
        <f>IF(OR(LEFT(K5188,4)="LVAX",LEFT(K5188,6)="MV15AX",LEFT(K5188,4)="CTAX",LEFT(K5188,2)="W|"),2*N5188*O5188,0)</f>
        <v/>
      </c>
      <c r="Z5188" s="12" t="inlineStr">
        <is>
          <t>portable</t>
        </is>
      </c>
      <c r="AA5188" s="12">
        <f>N5188*O5188</f>
        <v/>
      </c>
    </row>
    <row r="5189">
      <c r="A5189" s="12" t="inlineStr">
        <is>
          <t>J-C-0001</t>
        </is>
      </c>
      <c r="B5189" s="12" t="inlineStr">
        <is>
          <t>J</t>
        </is>
      </c>
      <c r="C5189" s="12" t="inlineStr">
        <is>
          <t>GT inlet chilling</t>
        </is>
      </c>
      <c r="D5189" s="12" t="inlineStr">
        <is>
          <t>Motor 1 of 4: control / local station</t>
        </is>
      </c>
      <c r="E5189" s="12" t="inlineStr"/>
      <c r="F5189" s="12" t="inlineStr">
        <is>
          <t>Inlet-chilling e-house / transformer</t>
        </is>
      </c>
      <c r="G5189" s="12" t="inlineStr"/>
      <c r="H5189" s="12" t="inlineStr">
        <is>
          <t>CHW pumps</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Tray</t>
        </is>
      </c>
      <c r="T5189" s="16" t="n">
        <v>214</v>
      </c>
      <c r="U5189" s="16" t="n">
        <v>58</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J-C-0002</t>
        </is>
      </c>
      <c r="B5190" s="12" t="inlineStr">
        <is>
          <t>J</t>
        </is>
      </c>
      <c r="C5190" s="12" t="inlineStr">
        <is>
          <t>GT inlet chilling</t>
        </is>
      </c>
      <c r="D5190" s="12" t="inlineStr">
        <is>
          <t>Motor 2 of 4: control / local station</t>
        </is>
      </c>
      <c r="E5190" s="12" t="inlineStr"/>
      <c r="F5190" s="12" t="inlineStr">
        <is>
          <t>Inlet-chilling e-house / transformer</t>
        </is>
      </c>
      <c r="G5190" s="12" t="inlineStr"/>
      <c r="H5190" s="12" t="inlineStr">
        <is>
          <t>CHW pumps</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Tray</t>
        </is>
      </c>
      <c r="T5190" s="16" t="n">
        <v>214</v>
      </c>
      <c r="U5190" s="16" t="n">
        <v>58</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J-C-0003</t>
        </is>
      </c>
      <c r="B5191" s="12" t="inlineStr">
        <is>
          <t>J</t>
        </is>
      </c>
      <c r="C5191" s="12" t="inlineStr">
        <is>
          <t>GT inlet chilling</t>
        </is>
      </c>
      <c r="D5191" s="12" t="inlineStr">
        <is>
          <t>Motor 3 of 4: control / local station</t>
        </is>
      </c>
      <c r="E5191" s="12" t="inlineStr"/>
      <c r="F5191" s="12" t="inlineStr">
        <is>
          <t>Inlet-chilling e-house / transformer</t>
        </is>
      </c>
      <c r="G5191" s="12" t="inlineStr"/>
      <c r="H5191" s="12" t="inlineStr">
        <is>
          <t>CHW pumps</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Tray</t>
        </is>
      </c>
      <c r="T5191" s="16" t="n">
        <v>214</v>
      </c>
      <c r="U5191" s="16" t="n">
        <v>58</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J-C-0004</t>
        </is>
      </c>
      <c r="B5192" s="12" t="inlineStr">
        <is>
          <t>J</t>
        </is>
      </c>
      <c r="C5192" s="12" t="inlineStr">
        <is>
          <t>GT inlet chilling</t>
        </is>
      </c>
      <c r="D5192" s="12" t="inlineStr">
        <is>
          <t>Motor 4 of 4: control / local station</t>
        </is>
      </c>
      <c r="E5192" s="12" t="inlineStr"/>
      <c r="F5192" s="12" t="inlineStr">
        <is>
          <t>Inlet-chilling e-house / transformer</t>
        </is>
      </c>
      <c r="G5192" s="12" t="inlineStr"/>
      <c r="H5192" s="12" t="inlineStr">
        <is>
          <t>CHW pumps</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Tray</t>
        </is>
      </c>
      <c r="T5192" s="16" t="n">
        <v>214</v>
      </c>
      <c r="U5192" s="16" t="n">
        <v>58</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J-C-0005</t>
        </is>
      </c>
      <c r="B5193" s="12" t="inlineStr">
        <is>
          <t>J</t>
        </is>
      </c>
      <c r="C5193" s="12" t="inlineStr">
        <is>
          <t>GT inlet chilling</t>
        </is>
      </c>
      <c r="D5193" s="12" t="inlineStr">
        <is>
          <t>Motor 1 of 6: control / local station</t>
        </is>
      </c>
      <c r="E5193" s="12" t="inlineStr"/>
      <c r="F5193" s="12" t="inlineStr">
        <is>
          <t>Inlet-chilling e-house / transformer</t>
        </is>
      </c>
      <c r="G5193" s="12" t="inlineStr"/>
      <c r="H5193" s="12" t="inlineStr">
        <is>
          <t>Chillers x6 (water-cooled)</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Duct bank</t>
        </is>
      </c>
      <c r="T5193" s="16" t="n">
        <v>10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J-C-0006</t>
        </is>
      </c>
      <c r="B5194" s="12" t="inlineStr">
        <is>
          <t>J</t>
        </is>
      </c>
      <c r="C5194" s="12" t="inlineStr">
        <is>
          <t>GT inlet chilling</t>
        </is>
      </c>
      <c r="D5194" s="12" t="inlineStr">
        <is>
          <t>Motor 2 of 6: control / local station</t>
        </is>
      </c>
      <c r="E5194" s="12" t="inlineStr"/>
      <c r="F5194" s="12" t="inlineStr">
        <is>
          <t>Inlet-chilling e-house / transformer</t>
        </is>
      </c>
      <c r="G5194" s="12" t="inlineStr"/>
      <c r="H5194" s="12" t="inlineStr">
        <is>
          <t>Chillers x6 (water-cooled)</t>
        </is>
      </c>
      <c r="I5194" s="12" t="inlineStr">
        <is>
          <t>Control</t>
        </is>
      </c>
      <c r="J5194" s="12" t="inlineStr">
        <is>
          <t>Control cable 600 V Type TC-ER, Cu #14 AWG, PVC jacket</t>
        </is>
      </c>
      <c r="K5194" s="12" t="inlineStr">
        <is>
          <t>CT|7/C|14</t>
        </is>
      </c>
      <c r="L5194" s="12" t="inlineStr">
        <is>
          <t>7/C</t>
        </is>
      </c>
      <c r="M5194" s="12" t="inlineStr">
        <is>
          <t>14</t>
        </is>
      </c>
      <c r="N5194" s="12" t="n">
        <v>1</v>
      </c>
      <c r="O5194" s="12" t="n">
        <v>1</v>
      </c>
      <c r="P5194" s="12" t="n"/>
      <c r="Q5194" s="12" t="n"/>
      <c r="R5194" s="12" t="n"/>
      <c r="S5194" s="12" t="inlineStr">
        <is>
          <t>Duct bank</t>
        </is>
      </c>
      <c r="T5194" s="16" t="n">
        <v>10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J-C-0007</t>
        </is>
      </c>
      <c r="B5195" s="12" t="inlineStr">
        <is>
          <t>J</t>
        </is>
      </c>
      <c r="C5195" s="12" t="inlineStr">
        <is>
          <t>GT inlet chilling</t>
        </is>
      </c>
      <c r="D5195" s="12" t="inlineStr">
        <is>
          <t>Motor 3 of 6: control / local station</t>
        </is>
      </c>
      <c r="E5195" s="12" t="inlineStr"/>
      <c r="F5195" s="12" t="inlineStr">
        <is>
          <t>Inlet-chilling e-house / transformer</t>
        </is>
      </c>
      <c r="G5195" s="12" t="inlineStr"/>
      <c r="H5195" s="12" t="inlineStr">
        <is>
          <t>Chillers x6 (water-cooled)</t>
        </is>
      </c>
      <c r="I5195" s="12" t="inlineStr">
        <is>
          <t>Control</t>
        </is>
      </c>
      <c r="J5195" s="12" t="inlineStr">
        <is>
          <t>Control cable 600 V Type TC-ER, Cu #14 AWG, PVC jacket</t>
        </is>
      </c>
      <c r="K5195" s="12" t="inlineStr">
        <is>
          <t>CT|7/C|14</t>
        </is>
      </c>
      <c r="L5195" s="12" t="inlineStr">
        <is>
          <t>7/C</t>
        </is>
      </c>
      <c r="M5195" s="12" t="inlineStr">
        <is>
          <t>14</t>
        </is>
      </c>
      <c r="N5195" s="12" t="n">
        <v>1</v>
      </c>
      <c r="O5195" s="12" t="n">
        <v>1</v>
      </c>
      <c r="P5195" s="12" t="n"/>
      <c r="Q5195" s="12" t="n"/>
      <c r="R5195" s="12" t="n"/>
      <c r="S5195" s="12" t="inlineStr">
        <is>
          <t>Duct bank</t>
        </is>
      </c>
      <c r="T5195" s="16" t="n">
        <v>10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J-C-0008</t>
        </is>
      </c>
      <c r="B5196" s="12" t="inlineStr">
        <is>
          <t>J</t>
        </is>
      </c>
      <c r="C5196" s="12" t="inlineStr">
        <is>
          <t>GT inlet chilling</t>
        </is>
      </c>
      <c r="D5196" s="12" t="inlineStr">
        <is>
          <t>Motor 4 of 6: control / local station</t>
        </is>
      </c>
      <c r="E5196" s="12" t="inlineStr"/>
      <c r="F5196" s="12" t="inlineStr">
        <is>
          <t>Inlet-chilling e-house / transformer</t>
        </is>
      </c>
      <c r="G5196" s="12" t="inlineStr"/>
      <c r="H5196" s="12" t="inlineStr">
        <is>
          <t>Chillers x6 (water-cooled)</t>
        </is>
      </c>
      <c r="I5196" s="12" t="inlineStr">
        <is>
          <t>Control</t>
        </is>
      </c>
      <c r="J5196" s="12" t="inlineStr">
        <is>
          <t>Control cable 600 V Type TC-ER, Cu #14 AWG, PVC jacket</t>
        </is>
      </c>
      <c r="K5196" s="12" t="inlineStr">
        <is>
          <t>CT|7/C|14</t>
        </is>
      </c>
      <c r="L5196" s="12" t="inlineStr">
        <is>
          <t>7/C</t>
        </is>
      </c>
      <c r="M5196" s="12" t="inlineStr">
        <is>
          <t>14</t>
        </is>
      </c>
      <c r="N5196" s="12" t="n">
        <v>1</v>
      </c>
      <c r="O5196" s="12" t="n">
        <v>1</v>
      </c>
      <c r="P5196" s="12" t="n"/>
      <c r="Q5196" s="12" t="n"/>
      <c r="R5196" s="12" t="n"/>
      <c r="S5196" s="12" t="inlineStr">
        <is>
          <t>Duct bank</t>
        </is>
      </c>
      <c r="T5196" s="16" t="n">
        <v>10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J-C-0009</t>
        </is>
      </c>
      <c r="B5197" s="12" t="inlineStr">
        <is>
          <t>J</t>
        </is>
      </c>
      <c r="C5197" s="12" t="inlineStr">
        <is>
          <t>GT inlet chilling</t>
        </is>
      </c>
      <c r="D5197" s="12" t="inlineStr">
        <is>
          <t>Motor 5 of 6: control / local station</t>
        </is>
      </c>
      <c r="E5197" s="12" t="inlineStr"/>
      <c r="F5197" s="12" t="inlineStr">
        <is>
          <t>Inlet-chilling e-house / transformer</t>
        </is>
      </c>
      <c r="G5197" s="12" t="inlineStr"/>
      <c r="H5197" s="12" t="inlineStr">
        <is>
          <t>Chillers x6 (water-cooled)</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10</v>
      </c>
      <c r="U5197" s="16" t="n">
        <v>32</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J-C-0010</t>
        </is>
      </c>
      <c r="B5198" s="12" t="inlineStr">
        <is>
          <t>J</t>
        </is>
      </c>
      <c r="C5198" s="12" t="inlineStr">
        <is>
          <t>GT inlet chilling</t>
        </is>
      </c>
      <c r="D5198" s="12" t="inlineStr">
        <is>
          <t>Motor 6 of 6: control / local station</t>
        </is>
      </c>
      <c r="E5198" s="12" t="inlineStr"/>
      <c r="F5198" s="12" t="inlineStr">
        <is>
          <t>Inlet-chilling e-house / transformer</t>
        </is>
      </c>
      <c r="G5198" s="12" t="inlineStr"/>
      <c r="H5198" s="12" t="inlineStr">
        <is>
          <t>Chillers x6 (water-cooled)</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10</v>
      </c>
      <c r="U5198" s="16" t="n">
        <v>32</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J-C-0011</t>
        </is>
      </c>
      <c r="B5199" s="12" t="inlineStr">
        <is>
          <t>J</t>
        </is>
      </c>
      <c r="C5199" s="12" t="inlineStr">
        <is>
          <t>GT inlet chilling</t>
        </is>
      </c>
      <c r="D5199" s="12" t="inlineStr">
        <is>
          <t>Control</t>
        </is>
      </c>
      <c r="E5199" s="12" t="inlineStr"/>
      <c r="F5199" s="12" t="inlineStr">
        <is>
          <t>Inlet-chilling e-house / transformer</t>
        </is>
      </c>
      <c r="G5199" s="12" t="inlineStr"/>
      <c r="H5199" s="12" t="inlineStr">
        <is>
          <t>Inlet-chilling e-house / transformer</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Tray</t>
        </is>
      </c>
      <c r="T5199" s="16" t="n">
        <v>0</v>
      </c>
      <c r="U5199" s="16" t="n">
        <v>32</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J-C-0012</t>
        </is>
      </c>
      <c r="B5200" s="12" t="inlineStr">
        <is>
          <t>J</t>
        </is>
      </c>
      <c r="C5200" s="12" t="inlineStr">
        <is>
          <t>GT inlet chilling</t>
        </is>
      </c>
      <c r="D5200" s="12" t="inlineStr">
        <is>
          <t>Control</t>
        </is>
      </c>
      <c r="E5200" s="12" t="inlineStr"/>
      <c r="F5200" s="12" t="inlineStr">
        <is>
          <t>Inlet-chilling e-house / transformer</t>
        </is>
      </c>
      <c r="G5200" s="12" t="inlineStr"/>
      <c r="H5200" s="12" t="inlineStr">
        <is>
          <t>Inlet-chilling e-house / transformer</t>
        </is>
      </c>
      <c r="I5200" s="12" t="inlineStr">
        <is>
          <t>Control</t>
        </is>
      </c>
      <c r="J5200" s="12" t="inlineStr">
        <is>
          <t>Control cable 600 V Type TC-ER, Cu #14 AWG, PVC jacket</t>
        </is>
      </c>
      <c r="K5200" s="12" t="inlineStr">
        <is>
          <t>CT|12/C|14</t>
        </is>
      </c>
      <c r="L5200" s="12" t="inlineStr">
        <is>
          <t>12/C</t>
        </is>
      </c>
      <c r="M5200" s="12" t="inlineStr">
        <is>
          <t>14</t>
        </is>
      </c>
      <c r="N5200" s="12" t="n">
        <v>1</v>
      </c>
      <c r="O5200" s="12" t="n">
        <v>1</v>
      </c>
      <c r="P5200" s="12" t="n"/>
      <c r="Q5200" s="12" t="n"/>
      <c r="R5200" s="12" t="n"/>
      <c r="S5200" s="12" t="inlineStr">
        <is>
          <t>Tray</t>
        </is>
      </c>
      <c r="T5200" s="16" t="n">
        <v>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J-C-0013</t>
        </is>
      </c>
      <c r="B5201" s="12" t="inlineStr">
        <is>
          <t>J</t>
        </is>
      </c>
      <c r="C5201" s="12" t="inlineStr">
        <is>
          <t>GT inlet chilling</t>
        </is>
      </c>
      <c r="D5201" s="12" t="inlineStr">
        <is>
          <t>CT / VT</t>
        </is>
      </c>
      <c r="E5201" s="12" t="inlineStr"/>
      <c r="F5201" s="12" t="inlineStr">
        <is>
          <t>Inlet-chilling e-house / transformer</t>
        </is>
      </c>
      <c r="G5201" s="12" t="inlineStr"/>
      <c r="H5201" s="12" t="inlineStr">
        <is>
          <t>Inlet-chilling e-house / transformer</t>
        </is>
      </c>
      <c r="I5201" s="12" t="inlineStr">
        <is>
          <t>Control</t>
        </is>
      </c>
      <c r="J5201" s="12" t="inlineStr">
        <is>
          <t>Control cable 600 V Type TC-ER, Cu #10 AWG (CT / VT circuits)</t>
        </is>
      </c>
      <c r="K5201" s="12" t="inlineStr">
        <is>
          <t>CTCT|4/C|10</t>
        </is>
      </c>
      <c r="L5201" s="12" t="inlineStr">
        <is>
          <t>4/C</t>
        </is>
      </c>
      <c r="M5201" s="12" t="inlineStr">
        <is>
          <t>10</t>
        </is>
      </c>
      <c r="N5201" s="12" t="n">
        <v>1</v>
      </c>
      <c r="O5201" s="12" t="n">
        <v>1</v>
      </c>
      <c r="P5201" s="12" t="n"/>
      <c r="Q5201" s="12" t="n"/>
      <c r="R5201" s="12" t="n"/>
      <c r="S5201" s="12" t="inlineStr">
        <is>
          <t>Tray</t>
        </is>
      </c>
      <c r="T5201" s="16" t="n">
        <v>0</v>
      </c>
      <c r="U5201" s="16" t="n">
        <v>32</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J-C-0014</t>
        </is>
      </c>
      <c r="B5202" s="12" t="inlineStr">
        <is>
          <t>J</t>
        </is>
      </c>
      <c r="C5202" s="12" t="inlineStr">
        <is>
          <t>GT inlet chilling</t>
        </is>
      </c>
      <c r="D5202" s="12" t="inlineStr">
        <is>
          <t>CT / VT</t>
        </is>
      </c>
      <c r="E5202" s="12" t="inlineStr"/>
      <c r="F5202" s="12" t="inlineStr">
        <is>
          <t>Inlet-chilling e-house / transformer</t>
        </is>
      </c>
      <c r="G5202" s="12" t="inlineStr"/>
      <c r="H5202" s="12" t="inlineStr">
        <is>
          <t>Inlet-chilling e-house / transformer</t>
        </is>
      </c>
      <c r="I5202" s="12" t="inlineStr">
        <is>
          <t>Control</t>
        </is>
      </c>
      <c r="J5202" s="12" t="inlineStr">
        <is>
          <t>Control cable 600 V Type TC-ER, Cu #10 AWG (CT / VT circuits)</t>
        </is>
      </c>
      <c r="K5202" s="12" t="inlineStr">
        <is>
          <t>CTCT|4/C|10</t>
        </is>
      </c>
      <c r="L5202" s="12" t="inlineStr">
        <is>
          <t>4/C</t>
        </is>
      </c>
      <c r="M5202" s="12" t="inlineStr">
        <is>
          <t>10</t>
        </is>
      </c>
      <c r="N5202" s="12" t="n">
        <v>1</v>
      </c>
      <c r="O5202" s="12" t="n">
        <v>1</v>
      </c>
      <c r="P5202" s="12" t="n"/>
      <c r="Q5202" s="12" t="n"/>
      <c r="R5202" s="12" t="n"/>
      <c r="S5202" s="12" t="inlineStr">
        <is>
          <t>Tray</t>
        </is>
      </c>
      <c r="T5202" s="16" t="n">
        <v>0</v>
      </c>
      <c r="U5202" s="16" t="n">
        <v>32</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J-C-0015</t>
        </is>
      </c>
      <c r="B5203" s="12" t="inlineStr">
        <is>
          <t>J</t>
        </is>
      </c>
      <c r="C5203" s="12" t="inlineStr">
        <is>
          <t>GT inlet chilling</t>
        </is>
      </c>
      <c r="D5203" s="12" t="inlineStr">
        <is>
          <t>Motor 1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Tray</t>
        </is>
      </c>
      <c r="T5203" s="16" t="n">
        <v>214</v>
      </c>
      <c r="U5203" s="16" t="n">
        <v>47</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J-C-0016</t>
        </is>
      </c>
      <c r="B5204" s="12" t="inlineStr">
        <is>
          <t>J</t>
        </is>
      </c>
      <c r="C5204" s="12" t="inlineStr">
        <is>
          <t>GT inlet chilling</t>
        </is>
      </c>
      <c r="D5204" s="12" t="inlineStr">
        <is>
          <t>Motor 2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Tray</t>
        </is>
      </c>
      <c r="T5204" s="16" t="n">
        <v>214</v>
      </c>
      <c r="U5204" s="16" t="n">
        <v>47</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J-C-0017</t>
        </is>
      </c>
      <c r="B5205" s="12" t="inlineStr">
        <is>
          <t>J</t>
        </is>
      </c>
      <c r="C5205" s="12" t="inlineStr">
        <is>
          <t>GT inlet chilling</t>
        </is>
      </c>
      <c r="D5205" s="12" t="inlineStr">
        <is>
          <t>Motor 3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Tray</t>
        </is>
      </c>
      <c r="T5205" s="16" t="n">
        <v>214</v>
      </c>
      <c r="U5205" s="16" t="n">
        <v>47</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J-C-0018</t>
        </is>
      </c>
      <c r="B5206" s="12" t="inlineStr">
        <is>
          <t>J</t>
        </is>
      </c>
      <c r="C5206" s="12" t="inlineStr">
        <is>
          <t>GT inlet chilling</t>
        </is>
      </c>
      <c r="D5206" s="12" t="inlineStr">
        <is>
          <t>Motor 4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Tray</t>
        </is>
      </c>
      <c r="T5206" s="16" t="n">
        <v>214</v>
      </c>
      <c r="U5206" s="16" t="n">
        <v>47</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J-C-0019</t>
        </is>
      </c>
      <c r="B5207" s="12" t="inlineStr">
        <is>
          <t>J</t>
        </is>
      </c>
      <c r="C5207" s="12" t="inlineStr">
        <is>
          <t>GT inlet chilling</t>
        </is>
      </c>
      <c r="D5207" s="12" t="inlineStr">
        <is>
          <t>Motor 5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Tray</t>
        </is>
      </c>
      <c r="T5207" s="16" t="n">
        <v>214</v>
      </c>
      <c r="U5207" s="16" t="n">
        <v>47</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J-C-0020</t>
        </is>
      </c>
      <c r="B5208" s="12" t="inlineStr">
        <is>
          <t>J</t>
        </is>
      </c>
      <c r="C5208" s="12" t="inlineStr">
        <is>
          <t>GT inlet chilling</t>
        </is>
      </c>
      <c r="D5208" s="12" t="inlineStr">
        <is>
          <t>Motor 6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Tray</t>
        </is>
      </c>
      <c r="T5208" s="16" t="n">
        <v>214</v>
      </c>
      <c r="U5208" s="16" t="n">
        <v>47</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J-C-0021</t>
        </is>
      </c>
      <c r="B5209" s="12" t="inlineStr">
        <is>
          <t>J</t>
        </is>
      </c>
      <c r="C5209" s="12" t="inlineStr">
        <is>
          <t>GT inlet chilling</t>
        </is>
      </c>
      <c r="D5209" s="12" t="inlineStr">
        <is>
          <t>Motor 7 of 12: control / local station</t>
        </is>
      </c>
      <c r="E5209" s="12" t="inlineStr"/>
      <c r="F5209" s="12" t="inlineStr">
        <is>
          <t>Inlet-chilling e-house / transformer</t>
        </is>
      </c>
      <c r="G5209" s="12" t="inlineStr"/>
      <c r="H5209" s="12" t="inlineStr">
        <is>
          <t>Inlet-chilling tower (12 cells): chiller heat rejection</t>
        </is>
      </c>
      <c r="I5209" s="12" t="inlineStr">
        <is>
          <t>Control</t>
        </is>
      </c>
      <c r="J5209" s="12" t="inlineStr">
        <is>
          <t>Control cable 600 V Type TC-ER, Cu #14 AWG, PVC jacket</t>
        </is>
      </c>
      <c r="K5209" s="12" t="inlineStr">
        <is>
          <t>CT|7/C|14</t>
        </is>
      </c>
      <c r="L5209" s="12" t="inlineStr">
        <is>
          <t>7/C</t>
        </is>
      </c>
      <c r="M5209" s="12" t="inlineStr">
        <is>
          <t>14</t>
        </is>
      </c>
      <c r="N5209" s="12" t="n">
        <v>1</v>
      </c>
      <c r="O5209" s="12" t="n">
        <v>1</v>
      </c>
      <c r="P5209" s="12" t="n"/>
      <c r="Q5209" s="12" t="n"/>
      <c r="R5209" s="12" t="n"/>
      <c r="S5209" s="12" t="inlineStr">
        <is>
          <t>Tray</t>
        </is>
      </c>
      <c r="T5209" s="16" t="n">
        <v>214</v>
      </c>
      <c r="U5209" s="16" t="n">
        <v>47</v>
      </c>
      <c r="V5209" s="16">
        <f>ROUNDUP((T5209+U5209+2*'Read Me'!$B$13)*(1+'Read Me'!$B$12),-1)</f>
        <v/>
      </c>
      <c r="W5209" s="16">
        <f>V5209*N5209*O5209</f>
        <v/>
      </c>
      <c r="X5209" s="12">
        <f>IF(LEFT(I5209,2)="MV",2*N5209*IF(L5209="1/C",O5209,1),0)</f>
        <v/>
      </c>
      <c r="Y5209" s="12">
        <f>IF(OR(LEFT(K5209,4)="LVAX",LEFT(K5209,6)="MV15AX",LEFT(K5209,4)="CTAX",LEFT(K5209,2)="W|"),2*N5209*O5209,0)</f>
        <v/>
      </c>
      <c r="Z5209" s="12" t="inlineStr"/>
      <c r="AA5209" s="12">
        <f>N5209*O5209</f>
        <v/>
      </c>
    </row>
    <row r="5210">
      <c r="A5210" s="12" t="inlineStr">
        <is>
          <t>J-C-0022</t>
        </is>
      </c>
      <c r="B5210" s="12" t="inlineStr">
        <is>
          <t>J</t>
        </is>
      </c>
      <c r="C5210" s="12" t="inlineStr">
        <is>
          <t>GT inlet chilling</t>
        </is>
      </c>
      <c r="D5210" s="12" t="inlineStr">
        <is>
          <t>Motor 8 of 12: control / local station</t>
        </is>
      </c>
      <c r="E5210" s="12" t="inlineStr"/>
      <c r="F5210" s="12" t="inlineStr">
        <is>
          <t>Inlet-chilling e-house / transformer</t>
        </is>
      </c>
      <c r="G5210" s="12" t="inlineStr"/>
      <c r="H5210" s="12" t="inlineStr">
        <is>
          <t>Inlet-chilling tower (12 cells): chiller heat rejection</t>
        </is>
      </c>
      <c r="I5210" s="12" t="inlineStr">
        <is>
          <t>Control</t>
        </is>
      </c>
      <c r="J5210" s="12" t="inlineStr">
        <is>
          <t>Control cable 600 V Type TC-ER, Cu #14 AWG, PVC jacket</t>
        </is>
      </c>
      <c r="K5210" s="12" t="inlineStr">
        <is>
          <t>CT|7/C|14</t>
        </is>
      </c>
      <c r="L5210" s="12" t="inlineStr">
        <is>
          <t>7/C</t>
        </is>
      </c>
      <c r="M5210" s="12" t="inlineStr">
        <is>
          <t>14</t>
        </is>
      </c>
      <c r="N5210" s="12" t="n">
        <v>1</v>
      </c>
      <c r="O5210" s="12" t="n">
        <v>1</v>
      </c>
      <c r="P5210" s="12" t="n"/>
      <c r="Q5210" s="12" t="n"/>
      <c r="R5210" s="12" t="n"/>
      <c r="S5210" s="12" t="inlineStr">
        <is>
          <t>Tray</t>
        </is>
      </c>
      <c r="T5210" s="16" t="n">
        <v>214</v>
      </c>
      <c r="U5210" s="16" t="n">
        <v>47</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J-C-0023</t>
        </is>
      </c>
      <c r="B5211" s="12" t="inlineStr">
        <is>
          <t>J</t>
        </is>
      </c>
      <c r="C5211" s="12" t="inlineStr">
        <is>
          <t>GT inlet chilling</t>
        </is>
      </c>
      <c r="D5211" s="12" t="inlineStr">
        <is>
          <t>Motor 9 of 12: control / local station</t>
        </is>
      </c>
      <c r="E5211" s="12" t="inlineStr"/>
      <c r="F5211" s="12" t="inlineStr">
        <is>
          <t>Inlet-chilling e-house / transformer</t>
        </is>
      </c>
      <c r="G5211" s="12" t="inlineStr"/>
      <c r="H5211" s="12" t="inlineStr">
        <is>
          <t>Inlet-chilling tower (12 cells): chiller heat rejection</t>
        </is>
      </c>
      <c r="I5211" s="12" t="inlineStr">
        <is>
          <t>Control</t>
        </is>
      </c>
      <c r="J5211" s="12" t="inlineStr">
        <is>
          <t>Control cable 600 V Type TC-ER, Cu #14 AWG, PVC jacket</t>
        </is>
      </c>
      <c r="K5211" s="12" t="inlineStr">
        <is>
          <t>CT|7/C|14</t>
        </is>
      </c>
      <c r="L5211" s="12" t="inlineStr">
        <is>
          <t>7/C</t>
        </is>
      </c>
      <c r="M5211" s="12" t="inlineStr">
        <is>
          <t>14</t>
        </is>
      </c>
      <c r="N5211" s="12" t="n">
        <v>1</v>
      </c>
      <c r="O5211" s="12" t="n">
        <v>1</v>
      </c>
      <c r="P5211" s="12" t="n"/>
      <c r="Q5211" s="12" t="n"/>
      <c r="R5211" s="12" t="n"/>
      <c r="S5211" s="12" t="inlineStr">
        <is>
          <t>Tray</t>
        </is>
      </c>
      <c r="T5211" s="16" t="n">
        <v>214</v>
      </c>
      <c r="U5211" s="16" t="n">
        <v>47</v>
      </c>
      <c r="V5211" s="16">
        <f>ROUNDUP((T5211+U5211+2*'Read Me'!$B$13)*(1+'Read Me'!$B$12),-1)</f>
        <v/>
      </c>
      <c r="W5211" s="16">
        <f>V5211*N5211*O5211</f>
        <v/>
      </c>
      <c r="X5211" s="12">
        <f>IF(LEFT(I5211,2)="MV",2*N5211*IF(L5211="1/C",O5211,1),0)</f>
        <v/>
      </c>
      <c r="Y5211" s="12">
        <f>IF(OR(LEFT(K5211,4)="LVAX",LEFT(K5211,6)="MV15AX",LEFT(K5211,4)="CTAX",LEFT(K5211,2)="W|"),2*N5211*O5211,0)</f>
        <v/>
      </c>
      <c r="Z5211" s="12" t="inlineStr"/>
      <c r="AA5211" s="12">
        <f>N5211*O5211</f>
        <v/>
      </c>
    </row>
    <row r="5212">
      <c r="A5212" s="12" t="inlineStr">
        <is>
          <t>J-C-0024</t>
        </is>
      </c>
      <c r="B5212" s="12" t="inlineStr">
        <is>
          <t>J</t>
        </is>
      </c>
      <c r="C5212" s="12" t="inlineStr">
        <is>
          <t>GT inlet chilling</t>
        </is>
      </c>
      <c r="D5212" s="12" t="inlineStr">
        <is>
          <t>Motor 10 of 12: control / local station</t>
        </is>
      </c>
      <c r="E5212" s="12" t="inlineStr"/>
      <c r="F5212" s="12" t="inlineStr">
        <is>
          <t>Inlet-chilling e-house / transformer</t>
        </is>
      </c>
      <c r="G5212" s="12" t="inlineStr"/>
      <c r="H5212" s="12" t="inlineStr">
        <is>
          <t>Inlet-chilling tower (12 cells): chiller heat rejection</t>
        </is>
      </c>
      <c r="I5212" s="12" t="inlineStr">
        <is>
          <t>Control</t>
        </is>
      </c>
      <c r="J5212" s="12" t="inlineStr">
        <is>
          <t>Control cable 600 V Type TC-ER, Cu #14 AWG, PVC jacket</t>
        </is>
      </c>
      <c r="K5212" s="12" t="inlineStr">
        <is>
          <t>CT|7/C|14</t>
        </is>
      </c>
      <c r="L5212" s="12" t="inlineStr">
        <is>
          <t>7/C</t>
        </is>
      </c>
      <c r="M5212" s="12" t="inlineStr">
        <is>
          <t>14</t>
        </is>
      </c>
      <c r="N5212" s="12" t="n">
        <v>1</v>
      </c>
      <c r="O5212" s="12" t="n">
        <v>1</v>
      </c>
      <c r="P5212" s="12" t="n"/>
      <c r="Q5212" s="12" t="n"/>
      <c r="R5212" s="12" t="n"/>
      <c r="S5212" s="12" t="inlineStr">
        <is>
          <t>Tray</t>
        </is>
      </c>
      <c r="T5212" s="16" t="n">
        <v>214</v>
      </c>
      <c r="U5212" s="16" t="n">
        <v>47</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J-C-0025</t>
        </is>
      </c>
      <c r="B5213" s="12" t="inlineStr">
        <is>
          <t>J</t>
        </is>
      </c>
      <c r="C5213" s="12" t="inlineStr">
        <is>
          <t>GT inlet chilling</t>
        </is>
      </c>
      <c r="D5213" s="12" t="inlineStr">
        <is>
          <t>Motor 11 of 12: control / local station</t>
        </is>
      </c>
      <c r="E5213" s="12" t="inlineStr"/>
      <c r="F5213" s="12" t="inlineStr">
        <is>
          <t>Inlet-chilling e-house / transformer</t>
        </is>
      </c>
      <c r="G5213" s="12" t="inlineStr"/>
      <c r="H5213" s="12" t="inlineStr">
        <is>
          <t>Inlet-chilling tower (12 cells): chiller heat rejection</t>
        </is>
      </c>
      <c r="I5213" s="12" t="inlineStr">
        <is>
          <t>Control</t>
        </is>
      </c>
      <c r="J5213" s="12" t="inlineStr">
        <is>
          <t>Control cable 600 V Type TC-ER, Cu #14 AWG, PVC jacket</t>
        </is>
      </c>
      <c r="K5213" s="12" t="inlineStr">
        <is>
          <t>CT|7/C|14</t>
        </is>
      </c>
      <c r="L5213" s="12" t="inlineStr">
        <is>
          <t>7/C</t>
        </is>
      </c>
      <c r="M5213" s="12" t="inlineStr">
        <is>
          <t>14</t>
        </is>
      </c>
      <c r="N5213" s="12" t="n">
        <v>1</v>
      </c>
      <c r="O5213" s="12" t="n">
        <v>1</v>
      </c>
      <c r="P5213" s="12" t="n"/>
      <c r="Q5213" s="12" t="n"/>
      <c r="R5213" s="12" t="n"/>
      <c r="S5213" s="12" t="inlineStr">
        <is>
          <t>Tray</t>
        </is>
      </c>
      <c r="T5213" s="16" t="n">
        <v>214</v>
      </c>
      <c r="U5213" s="16" t="n">
        <v>47</v>
      </c>
      <c r="V5213" s="16">
        <f>ROUNDUP((T5213+U5213+2*'Read Me'!$B$13)*(1+'Read Me'!$B$12),-1)</f>
        <v/>
      </c>
      <c r="W5213" s="16">
        <f>V5213*N5213*O5213</f>
        <v/>
      </c>
      <c r="X5213" s="12">
        <f>IF(LEFT(I5213,2)="MV",2*N5213*IF(L5213="1/C",O5213,1),0)</f>
        <v/>
      </c>
      <c r="Y5213" s="12">
        <f>IF(OR(LEFT(K5213,4)="LVAX",LEFT(K5213,6)="MV15AX",LEFT(K5213,4)="CTAX",LEFT(K5213,2)="W|"),2*N5213*O5213,0)</f>
        <v/>
      </c>
      <c r="Z5213" s="12" t="inlineStr"/>
      <c r="AA5213" s="12">
        <f>N5213*O5213</f>
        <v/>
      </c>
    </row>
    <row r="5214">
      <c r="A5214" s="12" t="inlineStr">
        <is>
          <t>J-C-0026</t>
        </is>
      </c>
      <c r="B5214" s="12" t="inlineStr">
        <is>
          <t>J</t>
        </is>
      </c>
      <c r="C5214" s="12" t="inlineStr">
        <is>
          <t>GT inlet chilling</t>
        </is>
      </c>
      <c r="D5214" s="12" t="inlineStr">
        <is>
          <t>Motor 12 of 12: control / local station</t>
        </is>
      </c>
      <c r="E5214" s="12" t="inlineStr"/>
      <c r="F5214" s="12" t="inlineStr">
        <is>
          <t>Inlet-chilling e-house / transformer</t>
        </is>
      </c>
      <c r="G5214" s="12" t="inlineStr"/>
      <c r="H5214" s="12" t="inlineStr">
        <is>
          <t>Inlet-chilling tower (12 cells): chiller heat rejection</t>
        </is>
      </c>
      <c r="I5214" s="12" t="inlineStr">
        <is>
          <t>Control</t>
        </is>
      </c>
      <c r="J5214" s="12" t="inlineStr">
        <is>
          <t>Control cable 600 V Type TC-ER, Cu #14 AWG, PVC jacket</t>
        </is>
      </c>
      <c r="K5214" s="12" t="inlineStr">
        <is>
          <t>CT|7/C|14</t>
        </is>
      </c>
      <c r="L5214" s="12" t="inlineStr">
        <is>
          <t>7/C</t>
        </is>
      </c>
      <c r="M5214" s="12" t="inlineStr">
        <is>
          <t>14</t>
        </is>
      </c>
      <c r="N5214" s="12" t="n">
        <v>1</v>
      </c>
      <c r="O5214" s="12" t="n">
        <v>1</v>
      </c>
      <c r="P5214" s="12" t="n"/>
      <c r="Q5214" s="12" t="n"/>
      <c r="R5214" s="12" t="n"/>
      <c r="S5214" s="12" t="inlineStr">
        <is>
          <t>Tray</t>
        </is>
      </c>
      <c r="T5214" s="16" t="n">
        <v>214</v>
      </c>
      <c r="U5214" s="16" t="n">
        <v>47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J-I-0001</t>
        </is>
      </c>
      <c r="B5215" s="12" t="inlineStr">
        <is>
          <t>J</t>
        </is>
      </c>
      <c r="C5215" s="12" t="inlineStr">
        <is>
          <t>GT inlet chilling</t>
        </is>
      </c>
      <c r="D5215" s="12" t="inlineStr">
        <is>
          <t>Analog instrument to JB JB-CHW pumps-AI01: 12 x 1 pr (field cables)</t>
        </is>
      </c>
      <c r="E5215" s="12" t="inlineStr"/>
      <c r="F5215" s="12" t="inlineStr">
        <is>
          <t>CHW pumps</t>
        </is>
      </c>
      <c r="G5215" s="12" t="inlineStr">
        <is>
          <t>JB-CHW pumps-AI01</t>
        </is>
      </c>
      <c r="H5215" s="12" t="inlineStr">
        <is>
          <t>CHW pumps</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12</v>
      </c>
      <c r="O5215" s="12" t="n">
        <v>1</v>
      </c>
      <c r="P5215" s="12" t="n"/>
      <c r="Q5215" s="12" t="n"/>
      <c r="R5215" s="12" t="n"/>
      <c r="S5215" s="12" t="inlineStr">
        <is>
          <t>Tray / conduit</t>
        </is>
      </c>
      <c r="T5215" s="16" t="n">
        <v>92</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J-I-0002</t>
        </is>
      </c>
      <c r="B5216" s="12" t="inlineStr">
        <is>
          <t>J</t>
        </is>
      </c>
      <c r="C5216" s="12" t="inlineStr">
        <is>
          <t>GT inlet chilling</t>
        </is>
      </c>
      <c r="D5216" s="12" t="inlineStr">
        <is>
          <t>Home run JB-CHW pumps-AI01 to the control / marshalling room</t>
        </is>
      </c>
      <c r="E5216" s="12" t="inlineStr"/>
      <c r="F5216" s="12" t="inlineStr">
        <is>
          <t>Inlet-chilling e-house / transformer</t>
        </is>
      </c>
      <c r="G5216" s="12" t="inlineStr">
        <is>
          <t>JB-CHW pumps-AI01</t>
        </is>
      </c>
      <c r="H5216" s="12" t="inlineStr">
        <is>
          <t>CHW pumps</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Tray</t>
        </is>
      </c>
      <c r="T5216" s="16" t="n">
        <v>214</v>
      </c>
      <c r="U5216" s="16" t="n">
        <v>58</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J-I-0003</t>
        </is>
      </c>
      <c r="B5217" s="12" t="inlineStr">
        <is>
          <t>J</t>
        </is>
      </c>
      <c r="C5217" s="12" t="inlineStr">
        <is>
          <t>GT inlet chilling</t>
        </is>
      </c>
      <c r="D5217" s="12" t="inlineStr">
        <is>
          <t>Discrete device to JB JB-CHW pumps-DI01: 12 x 1 pr (field cables)</t>
        </is>
      </c>
      <c r="E5217" s="12" t="inlineStr"/>
      <c r="F5217" s="12" t="inlineStr">
        <is>
          <t>CHW pumps</t>
        </is>
      </c>
      <c r="G5217" s="12" t="inlineStr">
        <is>
          <t>JB-CHW pumps-DI01</t>
        </is>
      </c>
      <c r="H5217" s="12" t="inlineStr">
        <is>
          <t>CHW pumps</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12</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J-I-0004</t>
        </is>
      </c>
      <c r="B5218" s="12" t="inlineStr">
        <is>
          <t>J</t>
        </is>
      </c>
      <c r="C5218" s="12" t="inlineStr">
        <is>
          <t>GT inlet chilling</t>
        </is>
      </c>
      <c r="D5218" s="12" t="inlineStr">
        <is>
          <t>Home run JB-CHW pumps-DI01 to the control / marshalling room</t>
        </is>
      </c>
      <c r="E5218" s="12" t="inlineStr"/>
      <c r="F5218" s="12" t="inlineStr">
        <is>
          <t>Inlet-chilling e-house / transformer</t>
        </is>
      </c>
      <c r="G5218" s="12" t="inlineStr">
        <is>
          <t>JB-CHW pumps-DI01</t>
        </is>
      </c>
      <c r="H5218" s="12" t="inlineStr">
        <is>
          <t>CHW pumps</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214</v>
      </c>
      <c r="U5218" s="16" t="n">
        <v>58</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J-I-0005</t>
        </is>
      </c>
      <c r="B5219" s="12" t="inlineStr">
        <is>
          <t>J</t>
        </is>
      </c>
      <c r="C5219" s="12" t="inlineStr">
        <is>
          <t>GT inlet chilling</t>
        </is>
      </c>
      <c r="D5219" s="12" t="inlineStr">
        <is>
          <t>Analog instrument to JB JB-CONDITIONAL: TES c-AI01: 4 x 1 pr (field cables)</t>
        </is>
      </c>
      <c r="E5219" s="12" t="inlineStr"/>
      <c r="F5219" s="12" t="inlineStr">
        <is>
          <t>CONDITIONAL: TES chilled-water tank</t>
        </is>
      </c>
      <c r="G5219" s="12" t="inlineStr">
        <is>
          <t>JB-CONDITIONAL: TES c-AI01</t>
        </is>
      </c>
      <c r="H5219" s="12" t="inlineStr">
        <is>
          <t>CONDITIONAL: TES chilled-water tank</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91</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J-I-0006</t>
        </is>
      </c>
      <c r="B5220" s="12" t="inlineStr">
        <is>
          <t>J</t>
        </is>
      </c>
      <c r="C5220" s="12" t="inlineStr">
        <is>
          <t>GT inlet chilling</t>
        </is>
      </c>
      <c r="D5220" s="12" t="inlineStr">
        <is>
          <t>Home run JB-CONDITIONAL: TES c-AI01 to the control / marshalling room</t>
        </is>
      </c>
      <c r="E5220" s="12" t="inlineStr"/>
      <c r="F5220" s="12" t="inlineStr">
        <is>
          <t>Inlet-chilling e-house / transformer</t>
        </is>
      </c>
      <c r="G5220" s="12" t="inlineStr">
        <is>
          <t>JB-CONDITIONAL: TES c-AI01</t>
        </is>
      </c>
      <c r="H5220" s="12" t="inlineStr">
        <is>
          <t>CONDITIONAL: TES chilled-water tank</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214</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J-I-0007</t>
        </is>
      </c>
      <c r="B5221" s="12" t="inlineStr">
        <is>
          <t>J</t>
        </is>
      </c>
      <c r="C5221" s="12" t="inlineStr">
        <is>
          <t>GT inlet chilling</t>
        </is>
      </c>
      <c r="D5221" s="12" t="inlineStr">
        <is>
          <t>Discrete device to JB JB-CONDITIONAL: TES c-DI01: 4 x 1 pr (field cables)</t>
        </is>
      </c>
      <c r="E5221" s="12" t="inlineStr"/>
      <c r="F5221" s="12" t="inlineStr">
        <is>
          <t>CONDITIONAL: TES chilled-water tank</t>
        </is>
      </c>
      <c r="G5221" s="12" t="inlineStr">
        <is>
          <t>JB-CONDITIONAL: TES c-DI01</t>
        </is>
      </c>
      <c r="H5221" s="12" t="inlineStr">
        <is>
          <t>CONDITIONAL: TES chilled-water tank</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4</v>
      </c>
      <c r="O5221" s="12" t="n">
        <v>1</v>
      </c>
      <c r="P5221" s="12" t="n"/>
      <c r="Q5221" s="12" t="n"/>
      <c r="R5221" s="12" t="n"/>
      <c r="S5221" s="12" t="inlineStr">
        <is>
          <t>Tray / conduit</t>
        </is>
      </c>
      <c r="T5221" s="16" t="n">
        <v>91</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J-I-0008</t>
        </is>
      </c>
      <c r="B5222" s="12" t="inlineStr">
        <is>
          <t>J</t>
        </is>
      </c>
      <c r="C5222" s="12" t="inlineStr">
        <is>
          <t>GT inlet chilling</t>
        </is>
      </c>
      <c r="D5222" s="12" t="inlineStr">
        <is>
          <t>Home run JB-CONDITIONAL: TES c-DI01 to the control / marshalling room</t>
        </is>
      </c>
      <c r="E5222" s="12" t="inlineStr"/>
      <c r="F5222" s="12" t="inlineStr">
        <is>
          <t>Inlet-chilling e-house / transformer</t>
        </is>
      </c>
      <c r="G5222" s="12" t="inlineStr">
        <is>
          <t>JB-CONDITIONAL: TES c-DI01</t>
        </is>
      </c>
      <c r="H5222" s="12" t="inlineStr">
        <is>
          <t>CONDITIONAL: TES chilled-water tank</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214</v>
      </c>
      <c r="U5222" s="16" t="n">
        <v>32</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J-I-0009</t>
        </is>
      </c>
      <c r="B5223" s="12" t="inlineStr">
        <is>
          <t>J</t>
        </is>
      </c>
      <c r="C5223" s="12" t="inlineStr">
        <is>
          <t>GT inlet chilling</t>
        </is>
      </c>
      <c r="D5223" s="12" t="inlineStr">
        <is>
          <t>Analog instrument to JB JB-CW pumps (inlet ch-AI01: 20 x 1 pr (field cables)</t>
        </is>
      </c>
      <c r="E5223" s="12" t="inlineStr"/>
      <c r="F5223" s="12" t="inlineStr">
        <is>
          <t>CW pumps (inlet chilling)</t>
        </is>
      </c>
      <c r="G5223" s="12" t="inlineStr">
        <is>
          <t>JB-CW pumps (inlet ch-AI01</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20</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J-I-0010</t>
        </is>
      </c>
      <c r="B5224" s="12" t="inlineStr">
        <is>
          <t>J</t>
        </is>
      </c>
      <c r="C5224" s="12" t="inlineStr">
        <is>
          <t>GT inlet chilling</t>
        </is>
      </c>
      <c r="D5224" s="12" t="inlineStr">
        <is>
          <t>Home run JB-CW pumps (inlet ch-AI01 to the control / marshalling room</t>
        </is>
      </c>
      <c r="E5224" s="12" t="inlineStr"/>
      <c r="F5224" s="12" t="inlineStr">
        <is>
          <t>Inlet-chilling e-house / transformer</t>
        </is>
      </c>
      <c r="G5224" s="12" t="inlineStr">
        <is>
          <t>JB-CW pumps (inlet ch-AI01</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J-I-0011</t>
        </is>
      </c>
      <c r="B5225" s="12" t="inlineStr">
        <is>
          <t>J</t>
        </is>
      </c>
      <c r="C5225" s="12" t="inlineStr">
        <is>
          <t>GT inlet chilling</t>
        </is>
      </c>
      <c r="D5225" s="12" t="inlineStr">
        <is>
          <t>Analog instrument to JB JB-CW pumps (inlet ch-AI02: 4 x 1 pr (field cables)</t>
        </is>
      </c>
      <c r="E5225" s="12" t="inlineStr"/>
      <c r="F5225" s="12" t="inlineStr">
        <is>
          <t>CW pumps (inlet chilling)</t>
        </is>
      </c>
      <c r="G5225" s="12" t="inlineStr">
        <is>
          <t>JB-CW pumps (inlet ch-AI02</t>
        </is>
      </c>
      <c r="H5225" s="12" t="inlineStr">
        <is>
          <t>CW pumps (inlet chilling)</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4</v>
      </c>
      <c r="O5225" s="12" t="n">
        <v>1</v>
      </c>
      <c r="P5225" s="12" t="n"/>
      <c r="Q5225" s="12" t="n"/>
      <c r="R5225" s="12" t="n"/>
      <c r="S5225" s="12" t="inlineStr">
        <is>
          <t>Tray / conduit</t>
        </is>
      </c>
      <c r="T5225" s="16" t="n">
        <v>92</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J-I-0012</t>
        </is>
      </c>
      <c r="B5226" s="12" t="inlineStr">
        <is>
          <t>J</t>
        </is>
      </c>
      <c r="C5226" s="12" t="inlineStr">
        <is>
          <t>GT inlet chilling</t>
        </is>
      </c>
      <c r="D5226" s="12" t="inlineStr">
        <is>
          <t>Home run JB-CW pumps (inlet ch-AI02 to the control / marshalling room</t>
        </is>
      </c>
      <c r="E5226" s="12" t="inlineStr"/>
      <c r="F5226" s="12" t="inlineStr">
        <is>
          <t>Inlet-chilling e-house / transformer</t>
        </is>
      </c>
      <c r="G5226" s="12" t="inlineStr">
        <is>
          <t>JB-CW pumps (inlet ch-AI02</t>
        </is>
      </c>
      <c r="H5226" s="12" t="inlineStr">
        <is>
          <t>CW pumps (inlet chilling)</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Tray</t>
        </is>
      </c>
      <c r="T5226" s="16" t="n">
        <v>0</v>
      </c>
      <c r="U5226" s="16" t="n">
        <v>70</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J-I-0013</t>
        </is>
      </c>
      <c r="B5227" s="12" t="inlineStr">
        <is>
          <t>J</t>
        </is>
      </c>
      <c r="C5227" s="12" t="inlineStr">
        <is>
          <t>GT inlet chilling</t>
        </is>
      </c>
      <c r="D5227" s="12" t="inlineStr">
        <is>
          <t>Discrete device to JB JB-CW pumps (inlet ch-DI01: 20 x 1 pr (field cables)</t>
        </is>
      </c>
      <c r="E5227" s="12" t="inlineStr"/>
      <c r="F5227" s="12" t="inlineStr">
        <is>
          <t>CW pumps (inlet chilling)</t>
        </is>
      </c>
      <c r="G5227" s="12" t="inlineStr">
        <is>
          <t>JB-CW pumps (inlet ch-DI01</t>
        </is>
      </c>
      <c r="H5227" s="12" t="inlineStr">
        <is>
          <t>CW pumps (inlet chilling)</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92</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J-I-0014</t>
        </is>
      </c>
      <c r="B5228" s="12" t="inlineStr">
        <is>
          <t>J</t>
        </is>
      </c>
      <c r="C5228" s="12" t="inlineStr">
        <is>
          <t>GT inlet chilling</t>
        </is>
      </c>
      <c r="D5228" s="12" t="inlineStr">
        <is>
          <t>Home run JB-CW pumps (inlet ch-DI01 to the control / marshalling room</t>
        </is>
      </c>
      <c r="E5228" s="12" t="inlineStr"/>
      <c r="F5228" s="12" t="inlineStr">
        <is>
          <t>Inlet-chilling e-house / transformer</t>
        </is>
      </c>
      <c r="G5228" s="12" t="inlineStr">
        <is>
          <t>JB-CW pumps (inlet ch-DI01</t>
        </is>
      </c>
      <c r="H5228" s="12" t="inlineStr">
        <is>
          <t>CW pumps (inlet chilling)</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Tray</t>
        </is>
      </c>
      <c r="T5228" s="16" t="n">
        <v>0</v>
      </c>
      <c r="U5228" s="16" t="n">
        <v>70</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J-I-0015</t>
        </is>
      </c>
      <c r="B5229" s="12" t="inlineStr">
        <is>
          <t>J</t>
        </is>
      </c>
      <c r="C5229" s="12" t="inlineStr">
        <is>
          <t>GT inlet chilling</t>
        </is>
      </c>
      <c r="D5229" s="12" t="inlineStr">
        <is>
          <t>Discrete device to JB JB-CW pumps (inlet ch-DI02: 4 x 1 pr (field cables)</t>
        </is>
      </c>
      <c r="E5229" s="12" t="inlineStr"/>
      <c r="F5229" s="12" t="inlineStr">
        <is>
          <t>CW pumps (inlet chilling)</t>
        </is>
      </c>
      <c r="G5229" s="12" t="inlineStr">
        <is>
          <t>JB-CW pumps (inlet ch-DI02</t>
        </is>
      </c>
      <c r="H5229" s="12" t="inlineStr">
        <is>
          <t>CW pumps (inlet chilling)</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4</v>
      </c>
      <c r="O5229" s="12" t="n">
        <v>1</v>
      </c>
      <c r="P5229" s="12" t="n"/>
      <c r="Q5229" s="12" t="n"/>
      <c r="R5229" s="12" t="n"/>
      <c r="S5229" s="12" t="inlineStr">
        <is>
          <t>Tray / conduit</t>
        </is>
      </c>
      <c r="T5229" s="16" t="n">
        <v>92</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J-I-0016</t>
        </is>
      </c>
      <c r="B5230" s="12" t="inlineStr">
        <is>
          <t>J</t>
        </is>
      </c>
      <c r="C5230" s="12" t="inlineStr">
        <is>
          <t>GT inlet chilling</t>
        </is>
      </c>
      <c r="D5230" s="12" t="inlineStr">
        <is>
          <t>Home run JB-CW pumps (inlet ch-DI02 to the control / marshalling room</t>
        </is>
      </c>
      <c r="E5230" s="12" t="inlineStr"/>
      <c r="F5230" s="12" t="inlineStr">
        <is>
          <t>Inlet-chilling e-house / transformer</t>
        </is>
      </c>
      <c r="G5230" s="12" t="inlineStr">
        <is>
          <t>JB-CW pumps (inlet ch-DI02</t>
        </is>
      </c>
      <c r="H5230" s="12" t="inlineStr">
        <is>
          <t>CW pumps (inlet chilling)</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Tray</t>
        </is>
      </c>
      <c r="T5230" s="16" t="n">
        <v>0</v>
      </c>
      <c r="U5230" s="16" t="n">
        <v>70</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J-I-0017</t>
        </is>
      </c>
      <c r="B5231" s="12" t="inlineStr">
        <is>
          <t>J</t>
        </is>
      </c>
      <c r="C5231" s="12" t="inlineStr">
        <is>
          <t>GT inlet chilling</t>
        </is>
      </c>
      <c r="D5231" s="12" t="inlineStr">
        <is>
          <t>Analog instrument to JB JB-Chillers x6 (water-AI01: 20 x 1 pr (field cables)</t>
        </is>
      </c>
      <c r="E5231" s="12" t="inlineStr"/>
      <c r="F5231" s="12" t="inlineStr">
        <is>
          <t>Chillers x6 (water-cooled)</t>
        </is>
      </c>
      <c r="G5231" s="12" t="inlineStr">
        <is>
          <t>JB-Chillers x6 (water-AI01</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J-I-0018</t>
        </is>
      </c>
      <c r="B5232" s="12" t="inlineStr">
        <is>
          <t>J</t>
        </is>
      </c>
      <c r="C5232" s="12" t="inlineStr">
        <is>
          <t>GT inlet chilling</t>
        </is>
      </c>
      <c r="D5232" s="12" t="inlineStr">
        <is>
          <t>Home run JB-Chillers x6 (water-AI01 to the control / marshalling room</t>
        </is>
      </c>
      <c r="E5232" s="12" t="inlineStr"/>
      <c r="F5232" s="12" t="inlineStr">
        <is>
          <t>Inlet-chilling e-house / transformer</t>
        </is>
      </c>
      <c r="G5232" s="12" t="inlineStr">
        <is>
          <t>JB-Chillers x6 (water-AI01</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J-I-0019</t>
        </is>
      </c>
      <c r="B5233" s="12" t="inlineStr">
        <is>
          <t>J</t>
        </is>
      </c>
      <c r="C5233" s="12" t="inlineStr">
        <is>
          <t>GT inlet chilling</t>
        </is>
      </c>
      <c r="D5233" s="12" t="inlineStr">
        <is>
          <t>Analog instrument to JB JB-Chillers x6 (water-AI02: 20 x 1 pr (field cables)</t>
        </is>
      </c>
      <c r="E5233" s="12" t="inlineStr"/>
      <c r="F5233" s="12" t="inlineStr">
        <is>
          <t>Chillers x6 (water-cooled)</t>
        </is>
      </c>
      <c r="G5233" s="12" t="inlineStr">
        <is>
          <t>JB-Chillers x6 (water-AI02</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J-I-0020</t>
        </is>
      </c>
      <c r="B5234" s="12" t="inlineStr">
        <is>
          <t>J</t>
        </is>
      </c>
      <c r="C5234" s="12" t="inlineStr">
        <is>
          <t>GT inlet chilling</t>
        </is>
      </c>
      <c r="D5234" s="12" t="inlineStr">
        <is>
          <t>Home run JB-Chillers x6 (water-AI02 to the control / marshalling room</t>
        </is>
      </c>
      <c r="E5234" s="12" t="inlineStr"/>
      <c r="F5234" s="12" t="inlineStr">
        <is>
          <t>Inlet-chilling e-house / transformer</t>
        </is>
      </c>
      <c r="G5234" s="12" t="inlineStr">
        <is>
          <t>JB-Chillers x6 (water-AI02</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J-I-0021</t>
        </is>
      </c>
      <c r="B5235" s="12" t="inlineStr">
        <is>
          <t>J</t>
        </is>
      </c>
      <c r="C5235" s="12" t="inlineStr">
        <is>
          <t>GT inlet chilling</t>
        </is>
      </c>
      <c r="D5235" s="12" t="inlineStr">
        <is>
          <t>Analog instrument to JB JB-Chillers x6 (water-AI03: 20 x 1 pr (field cables)</t>
        </is>
      </c>
      <c r="E5235" s="12" t="inlineStr"/>
      <c r="F5235" s="12" t="inlineStr">
        <is>
          <t>Chillers x6 (water-cooled)</t>
        </is>
      </c>
      <c r="G5235" s="12" t="inlineStr">
        <is>
          <t>JB-Chillers x6 (water-AI03</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J-I-0022</t>
        </is>
      </c>
      <c r="B5236" s="12" t="inlineStr">
        <is>
          <t>J</t>
        </is>
      </c>
      <c r="C5236" s="12" t="inlineStr">
        <is>
          <t>GT inlet chilling</t>
        </is>
      </c>
      <c r="D5236" s="12" t="inlineStr">
        <is>
          <t>Home run JB-Chillers x6 (water-AI03 to the control / marshalling room</t>
        </is>
      </c>
      <c r="E5236" s="12" t="inlineStr"/>
      <c r="F5236" s="12" t="inlineStr">
        <is>
          <t>Inlet-chilling e-house / transformer</t>
        </is>
      </c>
      <c r="G5236" s="12" t="inlineStr">
        <is>
          <t>JB-Chillers x6 (water-AI03</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J-I-0023</t>
        </is>
      </c>
      <c r="B5237" s="12" t="inlineStr">
        <is>
          <t>J</t>
        </is>
      </c>
      <c r="C5237" s="12" t="inlineStr">
        <is>
          <t>GT inlet chilling</t>
        </is>
      </c>
      <c r="D5237" s="12" t="inlineStr">
        <is>
          <t>Analog instrument to JB JB-Chillers x6 (water-AI04: 20 x 1 pr (field cables)</t>
        </is>
      </c>
      <c r="E5237" s="12" t="inlineStr"/>
      <c r="F5237" s="12" t="inlineStr">
        <is>
          <t>Chillers x6 (water-cooled)</t>
        </is>
      </c>
      <c r="G5237" s="12" t="inlineStr">
        <is>
          <t>JB-Chillers x6 (water-AI04</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J-I-0024</t>
        </is>
      </c>
      <c r="B5238" s="12" t="inlineStr">
        <is>
          <t>J</t>
        </is>
      </c>
      <c r="C5238" s="12" t="inlineStr">
        <is>
          <t>GT inlet chilling</t>
        </is>
      </c>
      <c r="D5238" s="12" t="inlineStr">
        <is>
          <t>Home run JB-Chillers x6 (water-AI04 to the control / marshalling room</t>
        </is>
      </c>
      <c r="E5238" s="12" t="inlineStr"/>
      <c r="F5238" s="12" t="inlineStr">
        <is>
          <t>Inlet-chilling e-house / transformer</t>
        </is>
      </c>
      <c r="G5238" s="12" t="inlineStr">
        <is>
          <t>JB-Chillers x6 (water-AI04</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J-I-0025</t>
        </is>
      </c>
      <c r="B5239" s="12" t="inlineStr">
        <is>
          <t>J</t>
        </is>
      </c>
      <c r="C5239" s="12" t="inlineStr">
        <is>
          <t>GT inlet chilling</t>
        </is>
      </c>
      <c r="D5239" s="12" t="inlineStr">
        <is>
          <t>Analog instrument to JB JB-Chillers x6 (water-AI05: 20 x 1 pr (field cables)</t>
        </is>
      </c>
      <c r="E5239" s="12" t="inlineStr"/>
      <c r="F5239" s="12" t="inlineStr">
        <is>
          <t>Chillers x6 (water-cooled)</t>
        </is>
      </c>
      <c r="G5239" s="12" t="inlineStr">
        <is>
          <t>JB-Chillers x6 (water-AI05</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J-I-0026</t>
        </is>
      </c>
      <c r="B5240" s="12" t="inlineStr">
        <is>
          <t>J</t>
        </is>
      </c>
      <c r="C5240" s="12" t="inlineStr">
        <is>
          <t>GT inlet chilling</t>
        </is>
      </c>
      <c r="D5240" s="12" t="inlineStr">
        <is>
          <t>Home run JB-Chillers x6 (water-AI05 to the control / marshalling room</t>
        </is>
      </c>
      <c r="E5240" s="12" t="inlineStr"/>
      <c r="F5240" s="12" t="inlineStr">
        <is>
          <t>Inlet-chilling e-house / transformer</t>
        </is>
      </c>
      <c r="G5240" s="12" t="inlineStr">
        <is>
          <t>JB-Chillers x6 (water-AI05</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J-I-0027</t>
        </is>
      </c>
      <c r="B5241" s="12" t="inlineStr">
        <is>
          <t>J</t>
        </is>
      </c>
      <c r="C5241" s="12" t="inlineStr">
        <is>
          <t>GT inlet chilling</t>
        </is>
      </c>
      <c r="D5241" s="12" t="inlineStr">
        <is>
          <t>Analog instrument to JB JB-Chillers x6 (water-AI06: 20 x 1 pr (field cables)</t>
        </is>
      </c>
      <c r="E5241" s="12" t="inlineStr"/>
      <c r="F5241" s="12" t="inlineStr">
        <is>
          <t>Chillers x6 (water-cooled)</t>
        </is>
      </c>
      <c r="G5241" s="12" t="inlineStr">
        <is>
          <t>JB-Chillers x6 (water-AI06</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J-I-0028</t>
        </is>
      </c>
      <c r="B5242" s="12" t="inlineStr">
        <is>
          <t>J</t>
        </is>
      </c>
      <c r="C5242" s="12" t="inlineStr">
        <is>
          <t>GT inlet chilling</t>
        </is>
      </c>
      <c r="D5242" s="12" t="inlineStr">
        <is>
          <t>Home run JB-Chillers x6 (water-AI06 to the control / marshalling room</t>
        </is>
      </c>
      <c r="E5242" s="12" t="inlineStr"/>
      <c r="F5242" s="12" t="inlineStr">
        <is>
          <t>Inlet-chilling e-house / transformer</t>
        </is>
      </c>
      <c r="G5242" s="12" t="inlineStr">
        <is>
          <t>JB-Chillers x6 (water-AI06</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J-I-0029</t>
        </is>
      </c>
      <c r="B5243" s="12" t="inlineStr">
        <is>
          <t>J</t>
        </is>
      </c>
      <c r="C5243" s="12" t="inlineStr">
        <is>
          <t>GT inlet chilling</t>
        </is>
      </c>
      <c r="D5243" s="12" t="inlineStr">
        <is>
          <t>Discrete device to JB JB-Chillers x6 (water-DI01: 20 x 1 pr (field cables)</t>
        </is>
      </c>
      <c r="E5243" s="12" t="inlineStr"/>
      <c r="F5243" s="12" t="inlineStr">
        <is>
          <t>Chillers x6 (water-cooled)</t>
        </is>
      </c>
      <c r="G5243" s="12" t="inlineStr">
        <is>
          <t>JB-Chillers x6 (water-DI01</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J-I-0030</t>
        </is>
      </c>
      <c r="B5244" s="12" t="inlineStr">
        <is>
          <t>J</t>
        </is>
      </c>
      <c r="C5244" s="12" t="inlineStr">
        <is>
          <t>GT inlet chilling</t>
        </is>
      </c>
      <c r="D5244" s="12" t="inlineStr">
        <is>
          <t>Home run JB-Chillers x6 (water-DI01 to the control / marshalling room</t>
        </is>
      </c>
      <c r="E5244" s="12" t="inlineStr"/>
      <c r="F5244" s="12" t="inlineStr">
        <is>
          <t>Inlet-chilling e-house / transformer</t>
        </is>
      </c>
      <c r="G5244" s="12" t="inlineStr">
        <is>
          <t>JB-Chillers x6 (water-DI01</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J-I-0031</t>
        </is>
      </c>
      <c r="B5245" s="12" t="inlineStr">
        <is>
          <t>J</t>
        </is>
      </c>
      <c r="C5245" s="12" t="inlineStr">
        <is>
          <t>GT inlet chilling</t>
        </is>
      </c>
      <c r="D5245" s="12" t="inlineStr">
        <is>
          <t>Discrete device to JB JB-Chillers x6 (water-DI02: 20 x 1 pr (field cables)</t>
        </is>
      </c>
      <c r="E5245" s="12" t="inlineStr"/>
      <c r="F5245" s="12" t="inlineStr">
        <is>
          <t>Chillers x6 (water-cooled)</t>
        </is>
      </c>
      <c r="G5245" s="12" t="inlineStr">
        <is>
          <t>JB-Chillers x6 (water-DI02</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J-I-0032</t>
        </is>
      </c>
      <c r="B5246" s="12" t="inlineStr">
        <is>
          <t>J</t>
        </is>
      </c>
      <c r="C5246" s="12" t="inlineStr">
        <is>
          <t>GT inlet chilling</t>
        </is>
      </c>
      <c r="D5246" s="12" t="inlineStr">
        <is>
          <t>Home run JB-Chillers x6 (water-DI02 to the control / marshalling room</t>
        </is>
      </c>
      <c r="E5246" s="12" t="inlineStr"/>
      <c r="F5246" s="12" t="inlineStr">
        <is>
          <t>Inlet-chilling e-house / transformer</t>
        </is>
      </c>
      <c r="G5246" s="12" t="inlineStr">
        <is>
          <t>JB-Chillers x6 (water-DI02</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J-I-0033</t>
        </is>
      </c>
      <c r="B5247" s="12" t="inlineStr">
        <is>
          <t>J</t>
        </is>
      </c>
      <c r="C5247" s="12" t="inlineStr">
        <is>
          <t>GT inlet chilling</t>
        </is>
      </c>
      <c r="D5247" s="12" t="inlineStr">
        <is>
          <t>Discrete device to JB JB-Chillers x6 (water-DI03: 20 x 1 pr (field cables)</t>
        </is>
      </c>
      <c r="E5247" s="12" t="inlineStr"/>
      <c r="F5247" s="12" t="inlineStr">
        <is>
          <t>Chillers x6 (water-cooled)</t>
        </is>
      </c>
      <c r="G5247" s="12" t="inlineStr">
        <is>
          <t>JB-Chillers x6 (water-DI03</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J-I-0034</t>
        </is>
      </c>
      <c r="B5248" s="12" t="inlineStr">
        <is>
          <t>J</t>
        </is>
      </c>
      <c r="C5248" s="12" t="inlineStr">
        <is>
          <t>GT inlet chilling</t>
        </is>
      </c>
      <c r="D5248" s="12" t="inlineStr">
        <is>
          <t>Home run JB-Chillers x6 (water-DI03 to the control / marshalling room</t>
        </is>
      </c>
      <c r="E5248" s="12" t="inlineStr"/>
      <c r="F5248" s="12" t="inlineStr">
        <is>
          <t>Inlet-chilling e-house / transformer</t>
        </is>
      </c>
      <c r="G5248" s="12" t="inlineStr">
        <is>
          <t>JB-Chillers x6 (water-DI03</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J-I-0035</t>
        </is>
      </c>
      <c r="B5249" s="12" t="inlineStr">
        <is>
          <t>J</t>
        </is>
      </c>
      <c r="C5249" s="12" t="inlineStr">
        <is>
          <t>GT inlet chilling</t>
        </is>
      </c>
      <c r="D5249" s="12" t="inlineStr">
        <is>
          <t>Discrete device to JB JB-Chillers x6 (water-DI04: 20 x 1 pr (field cables)</t>
        </is>
      </c>
      <c r="E5249" s="12" t="inlineStr"/>
      <c r="F5249" s="12" t="inlineStr">
        <is>
          <t>Chillers x6 (water-cooled)</t>
        </is>
      </c>
      <c r="G5249" s="12" t="inlineStr">
        <is>
          <t>JB-Chillers x6 (water-DI04</t>
        </is>
      </c>
      <c r="H5249" s="12" t="inlineStr">
        <is>
          <t>Chillers x6 (water-cooled)</t>
        </is>
      </c>
      <c r="I5249" s="12" t="inlineStr">
        <is>
          <t>Instrumentation</t>
        </is>
      </c>
      <c r="J5249" s="12" t="inlineStr">
        <is>
          <t>Instrumentation PLTC / TC-ER 300 V, #18 twisted shielded pairs, overall shield</t>
        </is>
      </c>
      <c r="K5249" s="12" t="inlineStr">
        <is>
          <t>PLTC|1 pr|16</t>
        </is>
      </c>
      <c r="L5249" s="12" t="inlineStr">
        <is>
          <t>1 pr</t>
        </is>
      </c>
      <c r="M5249" s="12" t="inlineStr">
        <is>
          <t>16</t>
        </is>
      </c>
      <c r="N5249" s="12" t="n">
        <v>20</v>
      </c>
      <c r="O5249" s="12" t="n">
        <v>1</v>
      </c>
      <c r="P5249" s="12" t="n"/>
      <c r="Q5249" s="12" t="n"/>
      <c r="R5249" s="12" t="n"/>
      <c r="S5249" s="12" t="inlineStr">
        <is>
          <t>Tray / conduit</t>
        </is>
      </c>
      <c r="T5249" s="16" t="n">
        <v>190</v>
      </c>
      <c r="U5249" s="16" t="n">
        <v>10</v>
      </c>
      <c r="V5249" s="16">
        <f>ROUNDUP((T5249+U5249+2*'Read Me'!$B$13)*(1+'Read Me'!$B$12),-1)</f>
        <v/>
      </c>
      <c r="W5249" s="16">
        <f>V5249*N5249*O5249</f>
        <v/>
      </c>
      <c r="X5249" s="12">
        <f>IF(LEFT(I5249,2)="MV",2*N5249*IF(L5249="1/C",O5249,1),0)</f>
        <v/>
      </c>
      <c r="Y5249" s="12">
        <f>IF(OR(LEFT(K5249,4)="LVAX",LEFT(K5249,6)="MV15AX",LEFT(K5249,4)="CTAX",LEFT(K5249,2)="W|"),2*N5249*O5249,0)</f>
        <v/>
      </c>
      <c r="Z5249" s="12" t="inlineStr">
        <is>
          <t>device-to-JB field wiring, one cable per device</t>
        </is>
      </c>
      <c r="AA5249" s="12">
        <f>N5249*O5249</f>
        <v/>
      </c>
    </row>
    <row r="5250">
      <c r="A5250" s="12" t="inlineStr">
        <is>
          <t>J-I-0036</t>
        </is>
      </c>
      <c r="B5250" s="12" t="inlineStr">
        <is>
          <t>J</t>
        </is>
      </c>
      <c r="C5250" s="12" t="inlineStr">
        <is>
          <t>GT inlet chilling</t>
        </is>
      </c>
      <c r="D5250" s="12" t="inlineStr">
        <is>
          <t>Home run JB-Chillers x6 (water-DI04 to the control / marshalling room</t>
        </is>
      </c>
      <c r="E5250" s="12" t="inlineStr"/>
      <c r="F5250" s="12" t="inlineStr">
        <is>
          <t>Inlet-chilling e-house / transformer</t>
        </is>
      </c>
      <c r="G5250" s="12" t="inlineStr">
        <is>
          <t>JB-Chillers x6 (water-DI04</t>
        </is>
      </c>
      <c r="H5250" s="12" t="inlineStr">
        <is>
          <t>Chillers x6 (water-cooled)</t>
        </is>
      </c>
      <c r="I5250" s="12" t="inlineStr">
        <is>
          <t>Instrumentation</t>
        </is>
      </c>
      <c r="J5250" s="12" t="inlineStr">
        <is>
          <t>Instrumentation PLTC / TC-ER 300 V, #18 twisted shielded pairs, overall shield</t>
        </is>
      </c>
      <c r="K5250" s="12" t="inlineStr">
        <is>
          <t>PLTC|24 pr|18</t>
        </is>
      </c>
      <c r="L5250" s="12" t="inlineStr">
        <is>
          <t>24 pr</t>
        </is>
      </c>
      <c r="M5250" s="12" t="inlineStr">
        <is>
          <t>18</t>
        </is>
      </c>
      <c r="N5250" s="12" t="n">
        <v>1</v>
      </c>
      <c r="O5250" s="12" t="n">
        <v>1</v>
      </c>
      <c r="P5250" s="12" t="n"/>
      <c r="Q5250" s="12" t="n"/>
      <c r="R5250" s="12" t="n"/>
      <c r="S5250" s="12" t="inlineStr">
        <is>
          <t>Duct bank</t>
        </is>
      </c>
      <c r="T5250" s="16" t="n">
        <v>10</v>
      </c>
      <c r="U5250" s="16" t="n">
        <v>32</v>
      </c>
      <c r="V5250" s="16">
        <f>ROUNDUP((T5250+U5250+2*'Read Me'!$B$13)*(1+'Read Me'!$B$12),-1)</f>
        <v/>
      </c>
      <c r="W5250" s="16">
        <f>V5250*N5250*O5250</f>
        <v/>
      </c>
      <c r="X5250" s="12">
        <f>IF(LEFT(I5250,2)="MV",2*N5250*IF(L5250="1/C",O5250,1),0)</f>
        <v/>
      </c>
      <c r="Y5250" s="12">
        <f>IF(OR(LEFT(K5250,4)="LVAX",LEFT(K5250,6)="MV15AX",LEFT(K5250,4)="CTAX",LEFT(K5250,2)="W|"),2*N5250*O5250,0)</f>
        <v/>
      </c>
      <c r="Z5250" s="12" t="inlineStr"/>
      <c r="AA5250" s="12">
        <f>N5250*O5250</f>
        <v/>
      </c>
    </row>
    <row r="5251">
      <c r="A5251" s="12" t="inlineStr">
        <is>
          <t>J-I-0037</t>
        </is>
      </c>
      <c r="B5251" s="12" t="inlineStr">
        <is>
          <t>J</t>
        </is>
      </c>
      <c r="C5251" s="12" t="inlineStr">
        <is>
          <t>GT inlet chilling</t>
        </is>
      </c>
      <c r="D5251" s="12" t="inlineStr">
        <is>
          <t>Discrete device to JB JB-Chillers x6 (water-DI05: 20 x 1 pr (field cables)</t>
        </is>
      </c>
      <c r="E5251" s="12" t="inlineStr"/>
      <c r="F5251" s="12" t="inlineStr">
        <is>
          <t>Chillers x6 (water-cooled)</t>
        </is>
      </c>
      <c r="G5251" s="12" t="inlineStr">
        <is>
          <t>JB-Chillers x6 (water-DI05</t>
        </is>
      </c>
      <c r="H5251" s="12" t="inlineStr">
        <is>
          <t>Chillers x6 (water-cooled)</t>
        </is>
      </c>
      <c r="I5251" s="12" t="inlineStr">
        <is>
          <t>Instrumentation</t>
        </is>
      </c>
      <c r="J5251" s="12" t="inlineStr">
        <is>
          <t>Instrumentation PLTC / TC-ER 300 V, #18 twisted shielded pairs, overall shield</t>
        </is>
      </c>
      <c r="K5251" s="12" t="inlineStr">
        <is>
          <t>PLTC|1 pr|16</t>
        </is>
      </c>
      <c r="L5251" s="12" t="inlineStr">
        <is>
          <t>1 pr</t>
        </is>
      </c>
      <c r="M5251" s="12" t="inlineStr">
        <is>
          <t>16</t>
        </is>
      </c>
      <c r="N5251" s="12" t="n">
        <v>20</v>
      </c>
      <c r="O5251" s="12" t="n">
        <v>1</v>
      </c>
      <c r="P5251" s="12" t="n"/>
      <c r="Q5251" s="12" t="n"/>
      <c r="R5251" s="12" t="n"/>
      <c r="S5251" s="12" t="inlineStr">
        <is>
          <t>Tray / conduit</t>
        </is>
      </c>
      <c r="T5251" s="16" t="n">
        <v>190</v>
      </c>
      <c r="U5251" s="16" t="n">
        <v>10</v>
      </c>
      <c r="V5251" s="16">
        <f>ROUNDUP((T5251+U5251+2*'Read Me'!$B$13)*(1+'Read Me'!$B$12),-1)</f>
        <v/>
      </c>
      <c r="W5251" s="16">
        <f>V5251*N5251*O5251</f>
        <v/>
      </c>
      <c r="X5251" s="12">
        <f>IF(LEFT(I5251,2)="MV",2*N5251*IF(L5251="1/C",O5251,1),0)</f>
        <v/>
      </c>
      <c r="Y5251" s="12">
        <f>IF(OR(LEFT(K5251,4)="LVAX",LEFT(K5251,6)="MV15AX",LEFT(K5251,4)="CTAX",LEFT(K5251,2)="W|"),2*N5251*O5251,0)</f>
        <v/>
      </c>
      <c r="Z5251" s="12" t="inlineStr">
        <is>
          <t>device-to-JB field wiring, one cable per device</t>
        </is>
      </c>
      <c r="AA5251" s="12">
        <f>N5251*O5251</f>
        <v/>
      </c>
    </row>
    <row r="5252">
      <c r="A5252" s="12" t="inlineStr">
        <is>
          <t>J-I-0038</t>
        </is>
      </c>
      <c r="B5252" s="12" t="inlineStr">
        <is>
          <t>J</t>
        </is>
      </c>
      <c r="C5252" s="12" t="inlineStr">
        <is>
          <t>GT inlet chilling</t>
        </is>
      </c>
      <c r="D5252" s="12" t="inlineStr">
        <is>
          <t>Home run JB-Chillers x6 (water-DI05 to the control / marshalling room</t>
        </is>
      </c>
      <c r="E5252" s="12" t="inlineStr"/>
      <c r="F5252" s="12" t="inlineStr">
        <is>
          <t>Inlet-chilling e-house / transformer</t>
        </is>
      </c>
      <c r="G5252" s="12" t="inlineStr">
        <is>
          <t>JB-Chillers x6 (water-DI05</t>
        </is>
      </c>
      <c r="H5252" s="12" t="inlineStr">
        <is>
          <t>Chillers x6 (water-cooled)</t>
        </is>
      </c>
      <c r="I5252" s="12" t="inlineStr">
        <is>
          <t>Instrumentation</t>
        </is>
      </c>
      <c r="J5252" s="12" t="inlineStr">
        <is>
          <t>Instrumentation PLTC / TC-ER 300 V, #18 twisted shielded pairs, overall shield</t>
        </is>
      </c>
      <c r="K5252" s="12" t="inlineStr">
        <is>
          <t>PLTC|24 pr|18</t>
        </is>
      </c>
      <c r="L5252" s="12" t="inlineStr">
        <is>
          <t>24 pr</t>
        </is>
      </c>
      <c r="M5252" s="12" t="inlineStr">
        <is>
          <t>18</t>
        </is>
      </c>
      <c r="N5252" s="12" t="n">
        <v>1</v>
      </c>
      <c r="O5252" s="12" t="n">
        <v>1</v>
      </c>
      <c r="P5252" s="12" t="n"/>
      <c r="Q5252" s="12" t="n"/>
      <c r="R5252" s="12" t="n"/>
      <c r="S5252" s="12" t="inlineStr">
        <is>
          <t>Duct bank</t>
        </is>
      </c>
      <c r="T5252" s="16" t="n">
        <v>10</v>
      </c>
      <c r="U5252" s="16" t="n">
        <v>32</v>
      </c>
      <c r="V5252" s="16">
        <f>ROUNDUP((T5252+U5252+2*'Read Me'!$B$13)*(1+'Read Me'!$B$12),-1)</f>
        <v/>
      </c>
      <c r="W5252" s="16">
        <f>V5252*N5252*O5252</f>
        <v/>
      </c>
      <c r="X5252" s="12">
        <f>IF(LEFT(I5252,2)="MV",2*N5252*IF(L5252="1/C",O5252,1),0)</f>
        <v/>
      </c>
      <c r="Y5252" s="12">
        <f>IF(OR(LEFT(K5252,4)="LVAX",LEFT(K5252,6)="MV15AX",LEFT(K5252,4)="CTAX",LEFT(K5252,2)="W|"),2*N5252*O5252,0)</f>
        <v/>
      </c>
      <c r="Z5252" s="12" t="inlineStr"/>
      <c r="AA5252" s="12">
        <f>N5252*O5252</f>
        <v/>
      </c>
    </row>
    <row r="5253">
      <c r="A5253" s="12" t="inlineStr">
        <is>
          <t>J-I-0039</t>
        </is>
      </c>
      <c r="B5253" s="12" t="inlineStr">
        <is>
          <t>J</t>
        </is>
      </c>
      <c r="C5253" s="12" t="inlineStr">
        <is>
          <t>GT inlet chilling</t>
        </is>
      </c>
      <c r="D5253" s="12" t="inlineStr">
        <is>
          <t>Discrete device to JB JB-Chillers x6 (water-DI06: 20 x 1 pr (field cables)</t>
        </is>
      </c>
      <c r="E5253" s="12" t="inlineStr"/>
      <c r="F5253" s="12" t="inlineStr">
        <is>
          <t>Chillers x6 (water-cooled)</t>
        </is>
      </c>
      <c r="G5253" s="12" t="inlineStr">
        <is>
          <t>JB-Chillers x6 (water-DI06</t>
        </is>
      </c>
      <c r="H5253" s="12" t="inlineStr">
        <is>
          <t>Chillers x6 (water-cooled)</t>
        </is>
      </c>
      <c r="I5253" s="12" t="inlineStr">
        <is>
          <t>Instrumentation</t>
        </is>
      </c>
      <c r="J5253" s="12" t="inlineStr">
        <is>
          <t>Instrumentation PLTC / TC-ER 300 V, #18 twisted shielded pairs, overall shield</t>
        </is>
      </c>
      <c r="K5253" s="12" t="inlineStr">
        <is>
          <t>PLTC|1 pr|16</t>
        </is>
      </c>
      <c r="L5253" s="12" t="inlineStr">
        <is>
          <t>1 pr</t>
        </is>
      </c>
      <c r="M5253" s="12" t="inlineStr">
        <is>
          <t>16</t>
        </is>
      </c>
      <c r="N5253" s="12" t="n">
        <v>20</v>
      </c>
      <c r="O5253" s="12" t="n">
        <v>1</v>
      </c>
      <c r="P5253" s="12" t="n"/>
      <c r="Q5253" s="12" t="n"/>
      <c r="R5253" s="12" t="n"/>
      <c r="S5253" s="12" t="inlineStr">
        <is>
          <t>Tray / conduit</t>
        </is>
      </c>
      <c r="T5253" s="16" t="n">
        <v>190</v>
      </c>
      <c r="U5253" s="16" t="n">
        <v>10</v>
      </c>
      <c r="V5253" s="16">
        <f>ROUNDUP((T5253+U5253+2*'Read Me'!$B$13)*(1+'Read Me'!$B$12),-1)</f>
        <v/>
      </c>
      <c r="W5253" s="16">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J-I-0040</t>
        </is>
      </c>
      <c r="B5254" s="12" t="inlineStr">
        <is>
          <t>J</t>
        </is>
      </c>
      <c r="C5254" s="12" t="inlineStr">
        <is>
          <t>GT inlet chilling</t>
        </is>
      </c>
      <c r="D5254" s="12" t="inlineStr">
        <is>
          <t>Home run JB-Chillers x6 (water-DI06 to the control / marshalling room</t>
        </is>
      </c>
      <c r="E5254" s="12" t="inlineStr"/>
      <c r="F5254" s="12" t="inlineStr">
        <is>
          <t>Inlet-chilling e-house / transformer</t>
        </is>
      </c>
      <c r="G5254" s="12" t="inlineStr">
        <is>
          <t>JB-Chillers x6 (water-DI06</t>
        </is>
      </c>
      <c r="H5254" s="12" t="inlineStr">
        <is>
          <t>Chillers x6 (water-cooled)</t>
        </is>
      </c>
      <c r="I5254" s="12" t="inlineStr">
        <is>
          <t>Instrumentation</t>
        </is>
      </c>
      <c r="J5254" s="12" t="inlineStr">
        <is>
          <t>Instrumentation PLTC / TC-ER 300 V, #18 twisted shielded pairs, overall shield</t>
        </is>
      </c>
      <c r="K5254" s="12" t="inlineStr">
        <is>
          <t>PLTC|24 pr|18</t>
        </is>
      </c>
      <c r="L5254" s="12" t="inlineStr">
        <is>
          <t>24 pr</t>
        </is>
      </c>
      <c r="M5254" s="12" t="inlineStr">
        <is>
          <t>18</t>
        </is>
      </c>
      <c r="N5254" s="12" t="n">
        <v>1</v>
      </c>
      <c r="O5254" s="12" t="n">
        <v>1</v>
      </c>
      <c r="P5254" s="12" t="n"/>
      <c r="Q5254" s="12" t="n"/>
      <c r="R5254" s="12" t="n"/>
      <c r="S5254" s="12" t="inlineStr">
        <is>
          <t>Duct bank</t>
        </is>
      </c>
      <c r="T5254" s="16" t="n">
        <v>10</v>
      </c>
      <c r="U5254" s="16" t="n">
        <v>32</v>
      </c>
      <c r="V5254" s="16">
        <f>ROUNDUP((T5254+U5254+2*'Read Me'!$B$13)*(1+'Read Me'!$B$12),-1)</f>
        <v/>
      </c>
      <c r="W5254" s="16">
        <f>V5254*N5254*O5254</f>
        <v/>
      </c>
      <c r="X5254" s="12">
        <f>IF(LEFT(I5254,2)="MV",2*N5254*IF(L5254="1/C",O5254,1),0)</f>
        <v/>
      </c>
      <c r="Y5254" s="12">
        <f>IF(OR(LEFT(K5254,4)="LVAX",LEFT(K5254,6)="MV15AX",LEFT(K5254,4)="CTAX",LEFT(K5254,2)="W|"),2*N5254*O5254,0)</f>
        <v/>
      </c>
      <c r="Z5254" s="12" t="inlineStr"/>
      <c r="AA5254" s="12">
        <f>N5254*O5254</f>
        <v/>
      </c>
    </row>
    <row r="5255">
      <c r="A5255" s="12" t="inlineStr">
        <is>
          <t>J-I-0041</t>
        </is>
      </c>
      <c r="B5255" s="12" t="inlineStr">
        <is>
          <t>J</t>
        </is>
      </c>
      <c r="C5255" s="12" t="inlineStr">
        <is>
          <t>GT inlet chilling</t>
        </is>
      </c>
      <c r="D5255" s="12" t="inlineStr">
        <is>
          <t>Instrumentation</t>
        </is>
      </c>
      <c r="E5255" s="12" t="inlineStr"/>
      <c r="F5255" s="12" t="inlineStr">
        <is>
          <t>Inlet-chilling e-house / transformer</t>
        </is>
      </c>
      <c r="G5255" s="12" t="inlineStr"/>
      <c r="H5255" s="12" t="inlineStr">
        <is>
          <t>Inlet-chilling e-house / transformer</t>
        </is>
      </c>
      <c r="I5255" s="12" t="inlineStr">
        <is>
          <t>Instrumentation</t>
        </is>
      </c>
      <c r="J5255" s="12" t="inlineStr">
        <is>
          <t>Instrumentation PLTC / TC-ER 300 V, #18 twisted shielded pairs, overall shield</t>
        </is>
      </c>
      <c r="K5255" s="12" t="inlineStr">
        <is>
          <t>PLTC|4 pr|18</t>
        </is>
      </c>
      <c r="L5255" s="12" t="inlineStr">
        <is>
          <t>4 pr</t>
        </is>
      </c>
      <c r="M5255" s="12" t="inlineStr">
        <is>
          <t>18</t>
        </is>
      </c>
      <c r="N5255" s="12" t="n">
        <v>1</v>
      </c>
      <c r="O5255" s="12" t="n">
        <v>1</v>
      </c>
      <c r="P5255" s="12" t="n"/>
      <c r="Q5255" s="12" t="n"/>
      <c r="R5255" s="12" t="n"/>
      <c r="S5255" s="12" t="inlineStr">
        <is>
          <t>Tray</t>
        </is>
      </c>
      <c r="T5255" s="16" t="n">
        <v>0</v>
      </c>
      <c r="U5255" s="16" t="n">
        <v>32</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J-I-0042</t>
        </is>
      </c>
      <c r="B5256" s="12" t="inlineStr">
        <is>
          <t>J</t>
        </is>
      </c>
      <c r="C5256" s="12" t="inlineStr">
        <is>
          <t>GT inlet chilling</t>
        </is>
      </c>
      <c r="D5256" s="12" t="inlineStr">
        <is>
          <t>Analog instrument to JB JB-Inlet-chilling tow-AI01: 12 x 1 pr (field cables)</t>
        </is>
      </c>
      <c r="E5256" s="12" t="inlineStr"/>
      <c r="F5256" s="12" t="inlineStr">
        <is>
          <t>Inlet-chilling tower (12 cells): chiller heat rejection</t>
        </is>
      </c>
      <c r="G5256" s="12" t="inlineStr">
        <is>
          <t>JB-Inlet-chilling tow-AI01</t>
        </is>
      </c>
      <c r="H5256" s="12" t="inlineStr">
        <is>
          <t>Inlet-chilling tower (12 cells): chiller heat rejection</t>
        </is>
      </c>
      <c r="I5256" s="12" t="inlineStr">
        <is>
          <t>Instrumentation</t>
        </is>
      </c>
      <c r="J5256" s="12" t="inlineStr">
        <is>
          <t>Instrumentation PLTC / TC-ER 300 V, #18 twisted shielded pairs, overall shield</t>
        </is>
      </c>
      <c r="K5256" s="12" t="inlineStr">
        <is>
          <t>PLTC|1 pr|16</t>
        </is>
      </c>
      <c r="L5256" s="12" t="inlineStr">
        <is>
          <t>1 pr</t>
        </is>
      </c>
      <c r="M5256" s="12" t="inlineStr">
        <is>
          <t>16</t>
        </is>
      </c>
      <c r="N5256" s="12" t="n">
        <v>12</v>
      </c>
      <c r="O5256" s="12" t="n">
        <v>1</v>
      </c>
      <c r="P5256" s="12" t="n"/>
      <c r="Q5256" s="12" t="n"/>
      <c r="R5256" s="12" t="n"/>
      <c r="S5256" s="12" t="inlineStr">
        <is>
          <t>Tray / conduit</t>
        </is>
      </c>
      <c r="T5256" s="16" t="n">
        <v>205</v>
      </c>
      <c r="U5256" s="16" t="n">
        <v>10</v>
      </c>
      <c r="V5256" s="16">
        <f>ROUNDUP((T5256+U5256+2*'Read Me'!$B$13)*(1+'Read Me'!$B$12),-1)</f>
        <v/>
      </c>
      <c r="W5256" s="16">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J-I-0043</t>
        </is>
      </c>
      <c r="B5257" s="12" t="inlineStr">
        <is>
          <t>J</t>
        </is>
      </c>
      <c r="C5257" s="12" t="inlineStr">
        <is>
          <t>GT inlet chilling</t>
        </is>
      </c>
      <c r="D5257" s="12" t="inlineStr">
        <is>
          <t>Home run JB-Inlet-chilling tow-AI01 to the control / marshalling room</t>
        </is>
      </c>
      <c r="E5257" s="12" t="inlineStr"/>
      <c r="F5257" s="12" t="inlineStr">
        <is>
          <t>Inlet-chilling e-house / transformer</t>
        </is>
      </c>
      <c r="G5257" s="12" t="inlineStr">
        <is>
          <t>JB-Inlet-chilling tow-AI01</t>
        </is>
      </c>
      <c r="H5257" s="12" t="inlineStr">
        <is>
          <t>Inlet-chilling tower (12 cells): chiller heat rejection</t>
        </is>
      </c>
      <c r="I5257" s="12" t="inlineStr">
        <is>
          <t>Instrumentation</t>
        </is>
      </c>
      <c r="J5257" s="12" t="inlineStr">
        <is>
          <t>Instrumentation PLTC / TC-ER 300 V, #18 twisted shielded pairs, overall shield</t>
        </is>
      </c>
      <c r="K5257" s="12" t="inlineStr">
        <is>
          <t>PLTC|24 pr|18</t>
        </is>
      </c>
      <c r="L5257" s="12" t="inlineStr">
        <is>
          <t>24 pr</t>
        </is>
      </c>
      <c r="M5257" s="12" t="inlineStr">
        <is>
          <t>18</t>
        </is>
      </c>
      <c r="N5257" s="12" t="n">
        <v>1</v>
      </c>
      <c r="O5257" s="12" t="n">
        <v>1</v>
      </c>
      <c r="P5257" s="12" t="n"/>
      <c r="Q5257" s="12" t="n"/>
      <c r="R5257" s="12" t="n"/>
      <c r="S5257" s="12" t="inlineStr">
        <is>
          <t>Tray</t>
        </is>
      </c>
      <c r="T5257" s="16" t="n">
        <v>214</v>
      </c>
      <c r="U5257" s="16" t="n">
        <v>47</v>
      </c>
      <c r="V5257" s="16">
        <f>ROUNDUP((T5257+U5257+2*'Read Me'!$B$13)*(1+'Read Me'!$B$12),-1)</f>
        <v/>
      </c>
      <c r="W5257" s="16">
        <f>V5257*N5257*O5257</f>
        <v/>
      </c>
      <c r="X5257" s="12">
        <f>IF(LEFT(I5257,2)="MV",2*N5257*IF(L5257="1/C",O5257,1),0)</f>
        <v/>
      </c>
      <c r="Y5257" s="12">
        <f>IF(OR(LEFT(K5257,4)="LVAX",LEFT(K5257,6)="MV15AX",LEFT(K5257,4)="CTAX",LEFT(K5257,2)="W|"),2*N5257*O5257,0)</f>
        <v/>
      </c>
      <c r="Z5257" s="12" t="inlineStr"/>
      <c r="AA5257" s="12">
        <f>N5257*O5257</f>
        <v/>
      </c>
    </row>
    <row r="5258">
      <c r="A5258" s="12" t="inlineStr">
        <is>
          <t>J-I-0044</t>
        </is>
      </c>
      <c r="B5258" s="12" t="inlineStr">
        <is>
          <t>J</t>
        </is>
      </c>
      <c r="C5258" s="12" t="inlineStr">
        <is>
          <t>GT inlet chilling</t>
        </is>
      </c>
      <c r="D5258" s="12" t="inlineStr">
        <is>
          <t>Discrete device to JB JB-Inlet-chilling tow-DI01: 20 x 1 pr (field cables)</t>
        </is>
      </c>
      <c r="E5258" s="12" t="inlineStr"/>
      <c r="F5258" s="12" t="inlineStr">
        <is>
          <t>Inlet-chilling tower (12 cells): chiller heat rejection</t>
        </is>
      </c>
      <c r="G5258" s="12" t="inlineStr">
        <is>
          <t>JB-Inlet-chilling tow-DI01</t>
        </is>
      </c>
      <c r="H5258" s="12" t="inlineStr">
        <is>
          <t>Inlet-chilling tower (12 cells): chiller heat rejection</t>
        </is>
      </c>
      <c r="I5258" s="12" t="inlineStr">
        <is>
          <t>Instrumentation</t>
        </is>
      </c>
      <c r="J5258" s="12" t="inlineStr">
        <is>
          <t>Instrumentation PLTC / TC-ER 300 V, #18 twisted shielded pairs, overall shield</t>
        </is>
      </c>
      <c r="K5258" s="12" t="inlineStr">
        <is>
          <t>PLTC|1 pr|16</t>
        </is>
      </c>
      <c r="L5258" s="12" t="inlineStr">
        <is>
          <t>1 pr</t>
        </is>
      </c>
      <c r="M5258" s="12" t="inlineStr">
        <is>
          <t>16</t>
        </is>
      </c>
      <c r="N5258" s="12" t="n">
        <v>20</v>
      </c>
      <c r="O5258" s="12" t="n">
        <v>1</v>
      </c>
      <c r="P5258" s="12" t="n"/>
      <c r="Q5258" s="12" t="n"/>
      <c r="R5258" s="12" t="n"/>
      <c r="S5258" s="12" t="inlineStr">
        <is>
          <t>Tray / conduit</t>
        </is>
      </c>
      <c r="T5258" s="16" t="n">
        <v>205</v>
      </c>
      <c r="U5258" s="16" t="n">
        <v>10</v>
      </c>
      <c r="V5258" s="16">
        <f>ROUNDUP((T5258+U5258+2*'Read Me'!$B$13)*(1+'Read Me'!$B$12),-1)</f>
        <v/>
      </c>
      <c r="W5258" s="16">
        <f>V5258*N5258*O5258</f>
        <v/>
      </c>
      <c r="X5258" s="12">
        <f>IF(LEFT(I5258,2)="MV",2*N5258*IF(L5258="1/C",O5258,1),0)</f>
        <v/>
      </c>
      <c r="Y5258" s="12">
        <f>IF(OR(LEFT(K5258,4)="LVAX",LEFT(K5258,6)="MV15AX",LEFT(K5258,4)="CTAX",LEFT(K5258,2)="W|"),2*N5258*O5258,0)</f>
        <v/>
      </c>
      <c r="Z5258" s="12" t="inlineStr">
        <is>
          <t>device-to-JB field wiring, one cable per device</t>
        </is>
      </c>
      <c r="AA5258" s="12">
        <f>N5258*O5258</f>
        <v/>
      </c>
    </row>
    <row r="5259">
      <c r="A5259" s="12" t="inlineStr">
        <is>
          <t>J-I-0045</t>
        </is>
      </c>
      <c r="B5259" s="12" t="inlineStr">
        <is>
          <t>J</t>
        </is>
      </c>
      <c r="C5259" s="12" t="inlineStr">
        <is>
          <t>GT inlet chilling</t>
        </is>
      </c>
      <c r="D5259" s="12" t="inlineStr">
        <is>
          <t>Home run JB-Inlet-chilling tow-DI01 to the control / marshalling room</t>
        </is>
      </c>
      <c r="E5259" s="12" t="inlineStr"/>
      <c r="F5259" s="12" t="inlineStr">
        <is>
          <t>Inlet-chilling e-house / transformer</t>
        </is>
      </c>
      <c r="G5259" s="12" t="inlineStr">
        <is>
          <t>JB-Inlet-chilling tow-DI01</t>
        </is>
      </c>
      <c r="H5259" s="12" t="inlineStr">
        <is>
          <t>Inlet-chilling tower (12 cells): chiller heat rejection</t>
        </is>
      </c>
      <c r="I5259" s="12" t="inlineStr">
        <is>
          <t>Instrumentation</t>
        </is>
      </c>
      <c r="J5259" s="12" t="inlineStr">
        <is>
          <t>Instrumentation PLTC / TC-ER 300 V, #18 twisted shielded pairs, overall shield</t>
        </is>
      </c>
      <c r="K5259" s="12" t="inlineStr">
        <is>
          <t>PLTC|24 pr|18</t>
        </is>
      </c>
      <c r="L5259" s="12" t="inlineStr">
        <is>
          <t>24 pr</t>
        </is>
      </c>
      <c r="M5259" s="12" t="inlineStr">
        <is>
          <t>18</t>
        </is>
      </c>
      <c r="N5259" s="12" t="n">
        <v>1</v>
      </c>
      <c r="O5259" s="12" t="n">
        <v>1</v>
      </c>
      <c r="P5259" s="12" t="n"/>
      <c r="Q5259" s="12" t="n"/>
      <c r="R5259" s="12" t="n"/>
      <c r="S5259" s="12" t="inlineStr">
        <is>
          <t>Tray</t>
        </is>
      </c>
      <c r="T5259" s="16" t="n">
        <v>214</v>
      </c>
      <c r="U5259" s="16" t="n">
        <v>47</v>
      </c>
      <c r="V5259" s="16">
        <f>ROUNDUP((T5259+U5259+2*'Read Me'!$B$13)*(1+'Read Me'!$B$12),-1)</f>
        <v/>
      </c>
      <c r="W5259" s="16">
        <f>V5259*N5259*O5259</f>
        <v/>
      </c>
      <c r="X5259" s="12">
        <f>IF(LEFT(I5259,2)="MV",2*N5259*IF(L5259="1/C",O5259,1),0)</f>
        <v/>
      </c>
      <c r="Y5259" s="12">
        <f>IF(OR(LEFT(K5259,4)="LVAX",LEFT(K5259,6)="MV15AX",LEFT(K5259,4)="CTAX",LEFT(K5259,2)="W|"),2*N5259*O5259,0)</f>
        <v/>
      </c>
      <c r="Z5259" s="12" t="inlineStr"/>
      <c r="AA5259" s="12">
        <f>N5259*O5259</f>
        <v/>
      </c>
    </row>
    <row r="5260">
      <c r="A5260" s="12" t="inlineStr">
        <is>
          <t>J-I-0046</t>
        </is>
      </c>
      <c r="B5260" s="12" t="inlineStr">
        <is>
          <t>J</t>
        </is>
      </c>
      <c r="C5260" s="12" t="inlineStr">
        <is>
          <t>GT inlet chilling</t>
        </is>
      </c>
      <c r="D5260" s="12" t="inlineStr">
        <is>
          <t>Discrete device to JB JB-Inlet-chilling tow-DI02: 4 x 1 pr (field cables)</t>
        </is>
      </c>
      <c r="E5260" s="12" t="inlineStr"/>
      <c r="F5260" s="12" t="inlineStr">
        <is>
          <t>Inlet-chilling tower (12 cells): chiller heat rejection</t>
        </is>
      </c>
      <c r="G5260" s="12" t="inlineStr">
        <is>
          <t>JB-Inlet-chilling tow-DI02</t>
        </is>
      </c>
      <c r="H5260" s="12" t="inlineStr">
        <is>
          <t>Inlet-chilling tower (12 cells): chiller heat rejection</t>
        </is>
      </c>
      <c r="I5260" s="12" t="inlineStr">
        <is>
          <t>Instrumentation</t>
        </is>
      </c>
      <c r="J5260" s="12" t="inlineStr">
        <is>
          <t>Instrumentation PLTC / TC-ER 300 V, #18 twisted shielded pairs, overall shield</t>
        </is>
      </c>
      <c r="K5260" s="12" t="inlineStr">
        <is>
          <t>PLTC|1 pr|16</t>
        </is>
      </c>
      <c r="L5260" s="12" t="inlineStr">
        <is>
          <t>1 pr</t>
        </is>
      </c>
      <c r="M5260" s="12" t="inlineStr">
        <is>
          <t>16</t>
        </is>
      </c>
      <c r="N5260" s="12" t="n">
        <v>4</v>
      </c>
      <c r="O5260" s="12" t="n">
        <v>1</v>
      </c>
      <c r="P5260" s="12" t="n"/>
      <c r="Q5260" s="12" t="n"/>
      <c r="R5260" s="12" t="n"/>
      <c r="S5260" s="12" t="inlineStr">
        <is>
          <t>Tray / conduit</t>
        </is>
      </c>
      <c r="T5260" s="16" t="n">
        <v>205</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device-to-JB field wiring, one cable per device</t>
        </is>
      </c>
      <c r="AA5260" s="12">
        <f>N5260*O5260</f>
        <v/>
      </c>
    </row>
    <row r="5261">
      <c r="A5261" s="12" t="inlineStr">
        <is>
          <t>J-I-0047</t>
        </is>
      </c>
      <c r="B5261" s="12" t="inlineStr">
        <is>
          <t>J</t>
        </is>
      </c>
      <c r="C5261" s="12" t="inlineStr">
        <is>
          <t>GT inlet chilling</t>
        </is>
      </c>
      <c r="D5261" s="12" t="inlineStr">
        <is>
          <t>Home run JB-Inlet-chilling tow-DI02 to the control / marshalling room</t>
        </is>
      </c>
      <c r="E5261" s="12" t="inlineStr"/>
      <c r="F5261" s="12" t="inlineStr">
        <is>
          <t>Inlet-chilling e-house / transformer</t>
        </is>
      </c>
      <c r="G5261" s="12" t="inlineStr">
        <is>
          <t>JB-Inlet-chilling tow-DI02</t>
        </is>
      </c>
      <c r="H5261" s="12" t="inlineStr">
        <is>
          <t>Inlet-chilling tower (12 cells): chiller heat rejection</t>
        </is>
      </c>
      <c r="I5261" s="12" t="inlineStr">
        <is>
          <t>Instrumentation</t>
        </is>
      </c>
      <c r="J5261" s="12" t="inlineStr">
        <is>
          <t>Instrumentation PLTC / TC-ER 300 V, #18 twisted shielded pairs, overall shield</t>
        </is>
      </c>
      <c r="K5261" s="12" t="inlineStr">
        <is>
          <t>PLTC|24 pr|18</t>
        </is>
      </c>
      <c r="L5261" s="12" t="inlineStr">
        <is>
          <t>24 pr</t>
        </is>
      </c>
      <c r="M5261" s="12" t="inlineStr">
        <is>
          <t>18</t>
        </is>
      </c>
      <c r="N5261" s="12" t="n">
        <v>1</v>
      </c>
      <c r="O5261" s="12" t="n">
        <v>1</v>
      </c>
      <c r="P5261" s="12" t="n"/>
      <c r="Q5261" s="12" t="n"/>
      <c r="R5261" s="12" t="n"/>
      <c r="S5261" s="12" t="inlineStr">
        <is>
          <t>Tray</t>
        </is>
      </c>
      <c r="T5261" s="16" t="n">
        <v>214</v>
      </c>
      <c r="U5261" s="16" t="n">
        <v>47</v>
      </c>
      <c r="V5261" s="16">
        <f>ROUNDUP((T5261+U5261+2*'Read Me'!$B$13)*(1+'Read Me'!$B$12),-1)</f>
        <v/>
      </c>
      <c r="W5261" s="16">
        <f>V5261*N5261*O5261</f>
        <v/>
      </c>
      <c r="X5261" s="12">
        <f>IF(LEFT(I5261,2)="MV",2*N5261*IF(L5261="1/C",O5261,1),0)</f>
        <v/>
      </c>
      <c r="Y5261" s="12">
        <f>IF(OR(LEFT(K5261,4)="LVAX",LEFT(K5261,6)="MV15AX",LEFT(K5261,4)="CTAX",LEFT(K5261,2)="W|"),2*N5261*O5261,0)</f>
        <v/>
      </c>
      <c r="Z5261" s="12" t="inlineStr"/>
      <c r="AA5261" s="12">
        <f>N5261*O5261</f>
        <v/>
      </c>
    </row>
    <row r="5262">
      <c r="A5262" s="12" t="inlineStr">
        <is>
          <t>J-P-0001</t>
        </is>
      </c>
      <c r="B5262" s="12" t="inlineStr">
        <is>
          <t>J</t>
        </is>
      </c>
      <c r="C5262" s="12" t="inlineStr">
        <is>
          <t>GT inlet chilling</t>
        </is>
      </c>
      <c r="D5262" s="12" t="inlineStr">
        <is>
          <t>Motor 1 of 4, 150 kW</t>
        </is>
      </c>
      <c r="E5262" s="12" t="inlineStr"/>
      <c r="F5262" s="12" t="inlineStr">
        <is>
          <t>Inlet-chilling e-house / transformer</t>
        </is>
      </c>
      <c r="G5262" s="12" t="inlineStr"/>
      <c r="H5262" s="12" t="inlineStr">
        <is>
          <t>CHW pumps</t>
        </is>
      </c>
      <c r="I5262" s="12" t="inlineStr">
        <is>
          <t>LV 600 V</t>
        </is>
      </c>
      <c r="J5262" s="12" t="inlineStr">
        <is>
          <t>Type TC-ER 600 V 3/C Cu XHHW-2 + ground, PVC jacket</t>
        </is>
      </c>
      <c r="K5262" s="12" t="inlineStr">
        <is>
          <t>LV|3/C+G|350</t>
        </is>
      </c>
      <c r="L5262" s="12" t="inlineStr">
        <is>
          <t>3/C+G</t>
        </is>
      </c>
      <c r="M5262" s="12" t="inlineStr">
        <is>
          <t>350 kcmil</t>
        </is>
      </c>
      <c r="N5262" s="12" t="n">
        <v>1</v>
      </c>
      <c r="O5262" s="12" t="n">
        <v>1</v>
      </c>
      <c r="P5262" s="12" t="n">
        <v>480</v>
      </c>
      <c r="Q5262" s="12" t="n">
        <v>150</v>
      </c>
      <c r="R5262" s="12" t="n">
        <v>212.3</v>
      </c>
      <c r="S5262" s="12" t="inlineStr">
        <is>
          <t>Tray</t>
        </is>
      </c>
      <c r="T5262" s="16" t="n">
        <v>214</v>
      </c>
      <c r="U5262" s="16" t="n">
        <v>58</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J-P-0002</t>
        </is>
      </c>
      <c r="B5263" s="12" t="inlineStr">
        <is>
          <t>J</t>
        </is>
      </c>
      <c r="C5263" s="12" t="inlineStr">
        <is>
          <t>GT inlet chilling</t>
        </is>
      </c>
      <c r="D5263" s="12" t="inlineStr">
        <is>
          <t>Motor 2 of 4, 150 kW</t>
        </is>
      </c>
      <c r="E5263" s="12" t="inlineStr"/>
      <c r="F5263" s="12" t="inlineStr">
        <is>
          <t>Inlet-chilling e-house / transformer</t>
        </is>
      </c>
      <c r="G5263" s="12" t="inlineStr"/>
      <c r="H5263" s="12" t="inlineStr">
        <is>
          <t>CHW pumps</t>
        </is>
      </c>
      <c r="I5263" s="12" t="inlineStr">
        <is>
          <t>LV 600 V</t>
        </is>
      </c>
      <c r="J5263" s="12" t="inlineStr">
        <is>
          <t>Type TC-ER 600 V 3/C Cu XHHW-2 + ground, PVC jacket</t>
        </is>
      </c>
      <c r="K5263" s="12" t="inlineStr">
        <is>
          <t>LV|3/C+G|350</t>
        </is>
      </c>
      <c r="L5263" s="12" t="inlineStr">
        <is>
          <t>3/C+G</t>
        </is>
      </c>
      <c r="M5263" s="12" t="inlineStr">
        <is>
          <t>350 kcmil</t>
        </is>
      </c>
      <c r="N5263" s="12" t="n">
        <v>1</v>
      </c>
      <c r="O5263" s="12" t="n">
        <v>1</v>
      </c>
      <c r="P5263" s="12" t="n">
        <v>480</v>
      </c>
      <c r="Q5263" s="12" t="n">
        <v>150</v>
      </c>
      <c r="R5263" s="12" t="n">
        <v>212.3</v>
      </c>
      <c r="S5263" s="12" t="inlineStr">
        <is>
          <t>Tray</t>
        </is>
      </c>
      <c r="T5263" s="16" t="n">
        <v>214</v>
      </c>
      <c r="U5263" s="16" t="n">
        <v>58</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J-P-0003</t>
        </is>
      </c>
      <c r="B5264" s="12" t="inlineStr">
        <is>
          <t>J</t>
        </is>
      </c>
      <c r="C5264" s="12" t="inlineStr">
        <is>
          <t>GT inlet chilling</t>
        </is>
      </c>
      <c r="D5264" s="12" t="inlineStr">
        <is>
          <t>Motor 3 of 4, 150 kW</t>
        </is>
      </c>
      <c r="E5264" s="12" t="inlineStr"/>
      <c r="F5264" s="12" t="inlineStr">
        <is>
          <t>Inlet-chilling e-house / transformer</t>
        </is>
      </c>
      <c r="G5264" s="12" t="inlineStr"/>
      <c r="H5264" s="12" t="inlineStr">
        <is>
          <t>CHW pumps</t>
        </is>
      </c>
      <c r="I5264" s="12" t="inlineStr">
        <is>
          <t>LV 600 V</t>
        </is>
      </c>
      <c r="J5264" s="12" t="inlineStr">
        <is>
          <t>Type TC-ER 600 V 3/C Cu XHHW-2 + ground, PVC jacket</t>
        </is>
      </c>
      <c r="K5264" s="12" t="inlineStr">
        <is>
          <t>LV|3/C+G|350</t>
        </is>
      </c>
      <c r="L5264" s="12" t="inlineStr">
        <is>
          <t>3/C+G</t>
        </is>
      </c>
      <c r="M5264" s="12" t="inlineStr">
        <is>
          <t>350 kcmil</t>
        </is>
      </c>
      <c r="N5264" s="12" t="n">
        <v>1</v>
      </c>
      <c r="O5264" s="12" t="n">
        <v>1</v>
      </c>
      <c r="P5264" s="12" t="n">
        <v>480</v>
      </c>
      <c r="Q5264" s="12" t="n">
        <v>150</v>
      </c>
      <c r="R5264" s="12" t="n">
        <v>212.3</v>
      </c>
      <c r="S5264" s="12" t="inlineStr">
        <is>
          <t>Tray</t>
        </is>
      </c>
      <c r="T5264" s="16" t="n">
        <v>214</v>
      </c>
      <c r="U5264" s="16" t="n">
        <v>58</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J-P-0004</t>
        </is>
      </c>
      <c r="B5265" s="12" t="inlineStr">
        <is>
          <t>J</t>
        </is>
      </c>
      <c r="C5265" s="12" t="inlineStr">
        <is>
          <t>GT inlet chilling</t>
        </is>
      </c>
      <c r="D5265" s="12" t="inlineStr">
        <is>
          <t>Motor 4 of 4, 150 kW</t>
        </is>
      </c>
      <c r="E5265" s="12" t="inlineStr"/>
      <c r="F5265" s="12" t="inlineStr">
        <is>
          <t>Inlet-chilling e-house / transformer</t>
        </is>
      </c>
      <c r="G5265" s="12" t="inlineStr"/>
      <c r="H5265" s="12" t="inlineStr">
        <is>
          <t>CHW pumps</t>
        </is>
      </c>
      <c r="I5265" s="12" t="inlineStr">
        <is>
          <t>LV 600 V</t>
        </is>
      </c>
      <c r="J5265" s="12" t="inlineStr">
        <is>
          <t>Type TC-ER 600 V 3/C Cu XHHW-2 + ground, PVC jacket</t>
        </is>
      </c>
      <c r="K5265" s="12" t="inlineStr">
        <is>
          <t>LV|3/C+G|350</t>
        </is>
      </c>
      <c r="L5265" s="12" t="inlineStr">
        <is>
          <t>3/C+G</t>
        </is>
      </c>
      <c r="M5265" s="12" t="inlineStr">
        <is>
          <t>350 kcmil</t>
        </is>
      </c>
      <c r="N5265" s="12" t="n">
        <v>1</v>
      </c>
      <c r="O5265" s="12" t="n">
        <v>1</v>
      </c>
      <c r="P5265" s="12" t="n">
        <v>480</v>
      </c>
      <c r="Q5265" s="12" t="n">
        <v>150</v>
      </c>
      <c r="R5265" s="12" t="n">
        <v>212.3</v>
      </c>
      <c r="S5265" s="12" t="inlineStr">
        <is>
          <t>Tray</t>
        </is>
      </c>
      <c r="T5265" s="16" t="n">
        <v>214</v>
      </c>
      <c r="U5265" s="16" t="n">
        <v>58</v>
      </c>
      <c r="V5265" s="16">
        <f>ROUNDUP((T5265+U5265+2*'Read Me'!$B$13)*(1+'Read Me'!$B$12),-1)</f>
        <v/>
      </c>
      <c r="W5265" s="16">
        <f>V5265*N5265*O5265</f>
        <v/>
      </c>
      <c r="X5265" s="12">
        <f>IF(LEFT(I5265,2)="MV",2*N5265*IF(L5265="1/C",O5265,1),0)</f>
        <v/>
      </c>
      <c r="Y5265" s="12">
        <f>IF(OR(LEFT(K5265,4)="LVAX",LEFT(K5265,6)="MV15AX",LEFT(K5265,4)="CTAX",LEFT(K5265,2)="W|"),2*N5265*O5265,0)</f>
        <v/>
      </c>
      <c r="Z5265" s="12" t="inlineStr">
        <is>
          <t>VD 0.8 %</t>
        </is>
      </c>
      <c r="AA5265" s="12">
        <f>N5265*O5265</f>
        <v/>
      </c>
    </row>
    <row r="5266">
      <c r="A5266" s="12" t="inlineStr">
        <is>
          <t>J-P-0005</t>
        </is>
      </c>
      <c r="B5266" s="12" t="inlineStr">
        <is>
          <t>J</t>
        </is>
      </c>
      <c r="C5266" s="12" t="inlineStr">
        <is>
          <t>GT inlet chilling</t>
        </is>
      </c>
      <c r="D5266" s="12" t="inlineStr">
        <is>
          <t>LV power feeder</t>
        </is>
      </c>
      <c r="E5266" s="12" t="inlineStr"/>
      <c r="F5266" s="12" t="inlineStr">
        <is>
          <t>Inlet-chilling e-house / transformer</t>
        </is>
      </c>
      <c r="G5266" s="12" t="inlineStr"/>
      <c r="H5266" s="12" t="inlineStr">
        <is>
          <t>CONDITIONAL: TES chilled-water tank</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10</v>
      </c>
      <c r="R5266" s="12" t="n">
        <v>14.2</v>
      </c>
      <c r="S5266" s="12" t="inlineStr">
        <is>
          <t>Tray</t>
        </is>
      </c>
      <c r="T5266" s="16" t="n">
        <v>214</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1.7 %</t>
        </is>
      </c>
      <c r="AA5266" s="12">
        <f>N5266*O5266</f>
        <v/>
      </c>
    </row>
    <row r="5267">
      <c r="A5267" s="12" t="inlineStr">
        <is>
          <t>J-P-0006</t>
        </is>
      </c>
      <c r="B5267" s="12" t="inlineStr">
        <is>
          <t>J</t>
        </is>
      </c>
      <c r="C5267" s="12" t="inlineStr">
        <is>
          <t>GT inlet chilling</t>
        </is>
      </c>
      <c r="D5267" s="12" t="inlineStr">
        <is>
          <t>Motor 1 of 6, 7 kW</t>
        </is>
      </c>
      <c r="E5267" s="12" t="inlineStr"/>
      <c r="F5267" s="12" t="inlineStr">
        <is>
          <t>Inlet-chilling e-house / transformer</t>
        </is>
      </c>
      <c r="G5267" s="12" t="inlineStr"/>
      <c r="H5267" s="12" t="inlineStr">
        <is>
          <t>Chillers x6 (water-cooled)</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7</v>
      </c>
      <c r="R5267" s="12" t="n">
        <v>9.9</v>
      </c>
      <c r="S5267" s="12" t="inlineStr">
        <is>
          <t>Duct bank</t>
        </is>
      </c>
      <c r="T5267" s="16" t="n">
        <v>10</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VD 0.2 %</t>
        </is>
      </c>
      <c r="AA5267" s="12">
        <f>N5267*O5267</f>
        <v/>
      </c>
    </row>
    <row r="5268">
      <c r="A5268" s="12" t="inlineStr">
        <is>
          <t>J-P-0007</t>
        </is>
      </c>
      <c r="B5268" s="12" t="inlineStr">
        <is>
          <t>J</t>
        </is>
      </c>
      <c r="C5268" s="12" t="inlineStr">
        <is>
          <t>GT inlet chilling</t>
        </is>
      </c>
      <c r="D5268" s="12" t="inlineStr">
        <is>
          <t>Motor 2 of 6, 7 kW</t>
        </is>
      </c>
      <c r="E5268" s="12" t="inlineStr"/>
      <c r="F5268" s="12" t="inlineStr">
        <is>
          <t>Inlet-chilling e-house / transformer</t>
        </is>
      </c>
      <c r="G5268" s="12" t="inlineStr"/>
      <c r="H5268" s="12" t="inlineStr">
        <is>
          <t>Chillers x6 (water-cooled)</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7</v>
      </c>
      <c r="R5268" s="12" t="n">
        <v>9.9</v>
      </c>
      <c r="S5268" s="12" t="inlineStr">
        <is>
          <t>Duct bank</t>
        </is>
      </c>
      <c r="T5268" s="16" t="n">
        <v>10</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is>
          <t>VD 0.2 %</t>
        </is>
      </c>
      <c r="AA5268" s="12">
        <f>N5268*O5268</f>
        <v/>
      </c>
    </row>
    <row r="5269">
      <c r="A5269" s="12" t="inlineStr">
        <is>
          <t>J-P-0008</t>
        </is>
      </c>
      <c r="B5269" s="12" t="inlineStr">
        <is>
          <t>J</t>
        </is>
      </c>
      <c r="C5269" s="12" t="inlineStr">
        <is>
          <t>GT inlet chilling</t>
        </is>
      </c>
      <c r="D5269" s="12" t="inlineStr">
        <is>
          <t>Motor 3 of 6, 7 kW</t>
        </is>
      </c>
      <c r="E5269" s="12" t="inlineStr"/>
      <c r="F5269" s="12" t="inlineStr">
        <is>
          <t>Inlet-chilling e-house / transformer</t>
        </is>
      </c>
      <c r="G5269" s="12" t="inlineStr"/>
      <c r="H5269" s="12" t="inlineStr">
        <is>
          <t>Chillers x6 (water-cooled)</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7</v>
      </c>
      <c r="R5269" s="12" t="n">
        <v>9.9</v>
      </c>
      <c r="S5269" s="12" t="inlineStr">
        <is>
          <t>Duct bank</t>
        </is>
      </c>
      <c r="T5269" s="16" t="n">
        <v>10</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VD 0.2 %</t>
        </is>
      </c>
      <c r="AA5269" s="12">
        <f>N5269*O5269</f>
        <v/>
      </c>
    </row>
    <row r="5270">
      <c r="A5270" s="12" t="inlineStr">
        <is>
          <t>J-P-0009</t>
        </is>
      </c>
      <c r="B5270" s="12" t="inlineStr">
        <is>
          <t>J</t>
        </is>
      </c>
      <c r="C5270" s="12" t="inlineStr">
        <is>
          <t>GT inlet chilling</t>
        </is>
      </c>
      <c r="D5270" s="12" t="inlineStr">
        <is>
          <t>Motor 4 of 6, 7 kW</t>
        </is>
      </c>
      <c r="E5270" s="12" t="inlineStr"/>
      <c r="F5270" s="12" t="inlineStr">
        <is>
          <t>Inlet-chilling e-house / transformer</t>
        </is>
      </c>
      <c r="G5270" s="12" t="inlineStr"/>
      <c r="H5270" s="12" t="inlineStr">
        <is>
          <t>Chillers x6 (water-cooled)</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7</v>
      </c>
      <c r="R5270" s="12" t="n">
        <v>9.9</v>
      </c>
      <c r="S5270" s="12" t="inlineStr">
        <is>
          <t>Duct bank</t>
        </is>
      </c>
      <c r="T5270" s="16" t="n">
        <v>10</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0.2 %</t>
        </is>
      </c>
      <c r="AA5270" s="12">
        <f>N5270*O5270</f>
        <v/>
      </c>
    </row>
    <row r="5271">
      <c r="A5271" s="12" t="inlineStr">
        <is>
          <t>J-P-0010</t>
        </is>
      </c>
      <c r="B5271" s="12" t="inlineStr">
        <is>
          <t>J</t>
        </is>
      </c>
      <c r="C5271" s="12" t="inlineStr">
        <is>
          <t>GT inlet chilling</t>
        </is>
      </c>
      <c r="D5271" s="12" t="inlineStr">
        <is>
          <t>Motor 5 of 6, 7 kW</t>
        </is>
      </c>
      <c r="E5271" s="12" t="inlineStr"/>
      <c r="F5271" s="12" t="inlineStr">
        <is>
          <t>Inlet-chilling e-house / transformer</t>
        </is>
      </c>
      <c r="G5271" s="12" t="inlineStr"/>
      <c r="H5271" s="12" t="inlineStr">
        <is>
          <t>Chillers x6 (water-cooled)</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7</v>
      </c>
      <c r="R5271" s="12" t="n">
        <v>9.9</v>
      </c>
      <c r="S5271" s="12" t="inlineStr">
        <is>
          <t>Duct bank</t>
        </is>
      </c>
      <c r="T5271" s="16" t="n">
        <v>10</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0.2 %</t>
        </is>
      </c>
      <c r="AA5271" s="12">
        <f>N5271*O5271</f>
        <v/>
      </c>
    </row>
    <row r="5272">
      <c r="A5272" s="12" t="inlineStr">
        <is>
          <t>J-P-0011</t>
        </is>
      </c>
      <c r="B5272" s="12" t="inlineStr">
        <is>
          <t>J</t>
        </is>
      </c>
      <c r="C5272" s="12" t="inlineStr">
        <is>
          <t>GT inlet chilling</t>
        </is>
      </c>
      <c r="D5272" s="12" t="inlineStr">
        <is>
          <t>Motor 6 of 6, 7 kW</t>
        </is>
      </c>
      <c r="E5272" s="12" t="inlineStr"/>
      <c r="F5272" s="12" t="inlineStr">
        <is>
          <t>Inlet-chilling e-house / transformer</t>
        </is>
      </c>
      <c r="G5272" s="12" t="inlineStr"/>
      <c r="H5272" s="12" t="inlineStr">
        <is>
          <t>Chillers x6 (water-cooled)</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7</v>
      </c>
      <c r="R5272" s="12" t="n">
        <v>9.9</v>
      </c>
      <c r="S5272" s="12" t="inlineStr">
        <is>
          <t>Duct bank</t>
        </is>
      </c>
      <c r="T5272" s="16" t="n">
        <v>10</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0.2 %</t>
        </is>
      </c>
      <c r="AA5272" s="12">
        <f>N5272*O5272</f>
        <v/>
      </c>
    </row>
    <row r="5273">
      <c r="A5273" s="12" t="inlineStr">
        <is>
          <t>J-P-0012</t>
        </is>
      </c>
      <c r="B5273" s="12" t="inlineStr">
        <is>
          <t>J</t>
        </is>
      </c>
      <c r="C5273" s="12" t="inlineStr">
        <is>
          <t>GT inlet chilling</t>
        </is>
      </c>
      <c r="D5273" s="12" t="inlineStr">
        <is>
          <t>Motor 1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VFD|3/C+3G|1/0</t>
        </is>
      </c>
      <c r="L5273" s="12" t="inlineStr">
        <is>
          <t>3/C+3G</t>
        </is>
      </c>
      <c r="M5273" s="12" t="inlineStr">
        <is>
          <t>1/0</t>
        </is>
      </c>
      <c r="N5273" s="12" t="n">
        <v>1</v>
      </c>
      <c r="O5273" s="12" t="n">
        <v>1</v>
      </c>
      <c r="P5273" s="12" t="n">
        <v>480</v>
      </c>
      <c r="Q5273" s="12" t="n">
        <v>75</v>
      </c>
      <c r="R5273" s="12" t="n">
        <v>106</v>
      </c>
      <c r="S5273" s="12" t="inlineStr">
        <is>
          <t>Tray</t>
        </is>
      </c>
      <c r="T5273" s="16" t="n">
        <v>419</v>
      </c>
      <c r="U5273" s="16" t="n">
        <v>47</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J-P-0013</t>
        </is>
      </c>
      <c r="B5274" s="12" t="inlineStr">
        <is>
          <t>J</t>
        </is>
      </c>
      <c r="C5274" s="12" t="inlineStr">
        <is>
          <t>GT inlet chilling</t>
        </is>
      </c>
      <c r="D5274" s="12" t="inlineStr">
        <is>
          <t>Motor 2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VFD|3/C+3G|1/0</t>
        </is>
      </c>
      <c r="L5274" s="12" t="inlineStr">
        <is>
          <t>3/C+3G</t>
        </is>
      </c>
      <c r="M5274" s="12" t="inlineStr">
        <is>
          <t>1/0</t>
        </is>
      </c>
      <c r="N5274" s="12" t="n">
        <v>1</v>
      </c>
      <c r="O5274" s="12" t="n">
        <v>1</v>
      </c>
      <c r="P5274" s="12" t="n">
        <v>480</v>
      </c>
      <c r="Q5274" s="12" t="n">
        <v>75</v>
      </c>
      <c r="R5274" s="12" t="n">
        <v>106</v>
      </c>
      <c r="S5274" s="12" t="inlineStr">
        <is>
          <t>Tray</t>
        </is>
      </c>
      <c r="T5274" s="16" t="n">
        <v>419</v>
      </c>
      <c r="U5274" s="16" t="n">
        <v>47</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J-P-0014</t>
        </is>
      </c>
      <c r="B5275" s="12" t="inlineStr">
        <is>
          <t>J</t>
        </is>
      </c>
      <c r="C5275" s="12" t="inlineStr">
        <is>
          <t>GT inlet chilling</t>
        </is>
      </c>
      <c r="D5275" s="12" t="inlineStr">
        <is>
          <t>Motor 3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VFD|3/C+3G|1/0</t>
        </is>
      </c>
      <c r="L5275" s="12" t="inlineStr">
        <is>
          <t>3/C+3G</t>
        </is>
      </c>
      <c r="M5275" s="12" t="inlineStr">
        <is>
          <t>1/0</t>
        </is>
      </c>
      <c r="N5275" s="12" t="n">
        <v>1</v>
      </c>
      <c r="O5275" s="12" t="n">
        <v>1</v>
      </c>
      <c r="P5275" s="12" t="n">
        <v>480</v>
      </c>
      <c r="Q5275" s="12" t="n">
        <v>75</v>
      </c>
      <c r="R5275" s="12" t="n">
        <v>106</v>
      </c>
      <c r="S5275" s="12" t="inlineStr">
        <is>
          <t>Tray</t>
        </is>
      </c>
      <c r="T5275" s="16" t="n">
        <v>419</v>
      </c>
      <c r="U5275" s="16" t="n">
        <v>47</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J-P-0015</t>
        </is>
      </c>
      <c r="B5276" s="12" t="inlineStr">
        <is>
          <t>J</t>
        </is>
      </c>
      <c r="C5276" s="12" t="inlineStr">
        <is>
          <t>GT inlet chilling</t>
        </is>
      </c>
      <c r="D5276" s="12" t="inlineStr">
        <is>
          <t>Motor 4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VFD|3/C+3G|1/0</t>
        </is>
      </c>
      <c r="L5276" s="12" t="inlineStr">
        <is>
          <t>3/C+3G</t>
        </is>
      </c>
      <c r="M5276" s="12" t="inlineStr">
        <is>
          <t>1/0</t>
        </is>
      </c>
      <c r="N5276" s="12" t="n">
        <v>1</v>
      </c>
      <c r="O5276" s="12" t="n">
        <v>1</v>
      </c>
      <c r="P5276" s="12" t="n">
        <v>480</v>
      </c>
      <c r="Q5276" s="12" t="n">
        <v>75</v>
      </c>
      <c r="R5276" s="12" t="n">
        <v>106</v>
      </c>
      <c r="S5276" s="12" t="inlineStr">
        <is>
          <t>Tray</t>
        </is>
      </c>
      <c r="T5276" s="16" t="n">
        <v>419</v>
      </c>
      <c r="U5276" s="16" t="n">
        <v>47</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J-P-0016</t>
        </is>
      </c>
      <c r="B5277" s="12" t="inlineStr">
        <is>
          <t>J</t>
        </is>
      </c>
      <c r="C5277" s="12" t="inlineStr">
        <is>
          <t>GT inlet chilling</t>
        </is>
      </c>
      <c r="D5277" s="12" t="inlineStr">
        <is>
          <t>Motor 5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VFD|3/C+3G|1/0</t>
        </is>
      </c>
      <c r="L5277" s="12" t="inlineStr">
        <is>
          <t>3/C+3G</t>
        </is>
      </c>
      <c r="M5277" s="12" t="inlineStr">
        <is>
          <t>1/0</t>
        </is>
      </c>
      <c r="N5277" s="12" t="n">
        <v>1</v>
      </c>
      <c r="O5277" s="12" t="n">
        <v>1</v>
      </c>
      <c r="P5277" s="12" t="n">
        <v>480</v>
      </c>
      <c r="Q5277" s="12" t="n">
        <v>75</v>
      </c>
      <c r="R5277" s="12" t="n">
        <v>106</v>
      </c>
      <c r="S5277" s="12" t="inlineStr">
        <is>
          <t>Tray</t>
        </is>
      </c>
      <c r="T5277" s="16" t="n">
        <v>419</v>
      </c>
      <c r="U5277" s="16" t="n">
        <v>47</v>
      </c>
      <c r="V5277" s="16">
        <f>ROUNDUP((T5277+U5277+2*'Read Me'!$B$13)*(1+'Read Me'!$B$12),-1)</f>
        <v/>
      </c>
      <c r="W5277" s="16">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J-P-0017</t>
        </is>
      </c>
      <c r="B5278" s="12" t="inlineStr">
        <is>
          <t>J</t>
        </is>
      </c>
      <c r="C5278" s="12" t="inlineStr">
        <is>
          <t>GT inlet chilling</t>
        </is>
      </c>
      <c r="D5278" s="12" t="inlineStr">
        <is>
          <t>Motor 6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VFD|3/C+3G|1/0</t>
        </is>
      </c>
      <c r="L5278" s="12" t="inlineStr">
        <is>
          <t>3/C+3G</t>
        </is>
      </c>
      <c r="M5278" s="12" t="inlineStr">
        <is>
          <t>1/0</t>
        </is>
      </c>
      <c r="N5278" s="12" t="n">
        <v>1</v>
      </c>
      <c r="O5278" s="12" t="n">
        <v>1</v>
      </c>
      <c r="P5278" s="12" t="n">
        <v>480</v>
      </c>
      <c r="Q5278" s="12" t="n">
        <v>75</v>
      </c>
      <c r="R5278" s="12" t="n">
        <v>106</v>
      </c>
      <c r="S5278" s="12" t="inlineStr">
        <is>
          <t>Tray</t>
        </is>
      </c>
      <c r="T5278" s="16" t="n">
        <v>419</v>
      </c>
      <c r="U5278" s="16" t="n">
        <v>47</v>
      </c>
      <c r="V5278" s="16">
        <f>ROUNDUP((T5278+U5278+2*'Read Me'!$B$13)*(1+'Read Me'!$B$12),-1)</f>
        <v/>
      </c>
      <c r="W5278" s="16">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J-P-0018</t>
        </is>
      </c>
      <c r="B5279" s="12" t="inlineStr">
        <is>
          <t>J</t>
        </is>
      </c>
      <c r="C5279" s="12" t="inlineStr">
        <is>
          <t>GT inlet chilling</t>
        </is>
      </c>
      <c r="D5279" s="12" t="inlineStr">
        <is>
          <t>Motor 7 of 12, 75 kW (VFD output)</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VFD cable 600 V 3/C Cu XHHW-2, 3 symmetrical grounds, overall Cu tape shield, TC-ER</t>
        </is>
      </c>
      <c r="K5279" s="12" t="inlineStr">
        <is>
          <t>VFD|3/C+3G|1/0</t>
        </is>
      </c>
      <c r="L5279" s="12" t="inlineStr">
        <is>
          <t>3/C+3G</t>
        </is>
      </c>
      <c r="M5279" s="12" t="inlineStr">
        <is>
          <t>1/0</t>
        </is>
      </c>
      <c r="N5279" s="12" t="n">
        <v>1</v>
      </c>
      <c r="O5279" s="12" t="n">
        <v>1</v>
      </c>
      <c r="P5279" s="12" t="n">
        <v>480</v>
      </c>
      <c r="Q5279" s="12" t="n">
        <v>75</v>
      </c>
      <c r="R5279" s="12" t="n">
        <v>106</v>
      </c>
      <c r="S5279" s="12" t="inlineStr">
        <is>
          <t>Tray</t>
        </is>
      </c>
      <c r="T5279" s="16" t="n">
        <v>419</v>
      </c>
      <c r="U5279" s="16" t="n">
        <v>47</v>
      </c>
      <c r="V5279" s="16">
        <f>ROUNDUP((T5279+U5279+2*'Read Me'!$B$13)*(1+'Read Me'!$B$12),-1)</f>
        <v/>
      </c>
      <c r="W5279" s="16">
        <f>V5279*N5279*O5279</f>
        <v/>
      </c>
      <c r="X5279" s="12">
        <f>IF(LEFT(I5279,2)="MV",2*N5279*IF(L5279="1/C",O5279,1),0)</f>
        <v/>
      </c>
      <c r="Y5279" s="12">
        <f>IF(OR(LEFT(K5279,4)="LVAX",LEFT(K5279,6)="MV15AX",LEFT(K5279,4)="CTAX",LEFT(K5279,2)="W|"),2*N5279*O5279,0)</f>
        <v/>
      </c>
      <c r="Z5279" s="12" t="inlineStr">
        <is>
          <t>VD 2.4 %</t>
        </is>
      </c>
      <c r="AA5279" s="12">
        <f>N5279*O5279</f>
        <v/>
      </c>
    </row>
    <row r="5280">
      <c r="A5280" s="12" t="inlineStr">
        <is>
          <t>J-P-0019</t>
        </is>
      </c>
      <c r="B5280" s="12" t="inlineStr">
        <is>
          <t>J</t>
        </is>
      </c>
      <c r="C5280" s="12" t="inlineStr">
        <is>
          <t>GT inlet chilling</t>
        </is>
      </c>
      <c r="D5280" s="12" t="inlineStr">
        <is>
          <t>Motor 8 of 12, 75 kW (VFD output)</t>
        </is>
      </c>
      <c r="E5280" s="12" t="inlineStr"/>
      <c r="F5280" s="12" t="inlineStr">
        <is>
          <t>Inlet-chilling e-house / transformer</t>
        </is>
      </c>
      <c r="G5280" s="12" t="inlineStr"/>
      <c r="H5280" s="12" t="inlineStr">
        <is>
          <t>Inlet-chilling tower (12 cells): chiller heat rejection</t>
        </is>
      </c>
      <c r="I5280" s="12" t="inlineStr">
        <is>
          <t>LV 600 V</t>
        </is>
      </c>
      <c r="J5280" s="12" t="inlineStr">
        <is>
          <t>VFD cable 600 V 3/C Cu XHHW-2, 3 symmetrical grounds, overall Cu tape shield, TC-ER</t>
        </is>
      </c>
      <c r="K5280" s="12" t="inlineStr">
        <is>
          <t>VFD|3/C+3G|1/0</t>
        </is>
      </c>
      <c r="L5280" s="12" t="inlineStr">
        <is>
          <t>3/C+3G</t>
        </is>
      </c>
      <c r="M5280" s="12" t="inlineStr">
        <is>
          <t>1/0</t>
        </is>
      </c>
      <c r="N5280" s="12" t="n">
        <v>1</v>
      </c>
      <c r="O5280" s="12" t="n">
        <v>1</v>
      </c>
      <c r="P5280" s="12" t="n">
        <v>480</v>
      </c>
      <c r="Q5280" s="12" t="n">
        <v>75</v>
      </c>
      <c r="R5280" s="12" t="n">
        <v>106</v>
      </c>
      <c r="S5280" s="12" t="inlineStr">
        <is>
          <t>Tray</t>
        </is>
      </c>
      <c r="T5280" s="16" t="n">
        <v>419</v>
      </c>
      <c r="U5280" s="16" t="n">
        <v>47</v>
      </c>
      <c r="V5280" s="16">
        <f>ROUNDUP((T5280+U5280+2*'Read Me'!$B$13)*(1+'Read Me'!$B$12),-1)</f>
        <v/>
      </c>
      <c r="W5280" s="16">
        <f>V5280*N5280*O5280</f>
        <v/>
      </c>
      <c r="X5280" s="12">
        <f>IF(LEFT(I5280,2)="MV",2*N5280*IF(L5280="1/C",O5280,1),0)</f>
        <v/>
      </c>
      <c r="Y5280" s="12">
        <f>IF(OR(LEFT(K5280,4)="LVAX",LEFT(K5280,6)="MV15AX",LEFT(K5280,4)="CTAX",LEFT(K5280,2)="W|"),2*N5280*O5280,0)</f>
        <v/>
      </c>
      <c r="Z5280" s="12" t="inlineStr">
        <is>
          <t>VD 2.4 %</t>
        </is>
      </c>
      <c r="AA5280" s="12">
        <f>N5280*O5280</f>
        <v/>
      </c>
    </row>
    <row r="5281">
      <c r="A5281" s="12" t="inlineStr">
        <is>
          <t>J-P-0020</t>
        </is>
      </c>
      <c r="B5281" s="12" t="inlineStr">
        <is>
          <t>J</t>
        </is>
      </c>
      <c r="C5281" s="12" t="inlineStr">
        <is>
          <t>GT inlet chilling</t>
        </is>
      </c>
      <c r="D5281" s="12" t="inlineStr">
        <is>
          <t>Motor 9 of 12, 75 kW (VFD output)</t>
        </is>
      </c>
      <c r="E5281" s="12" t="inlineStr"/>
      <c r="F5281" s="12" t="inlineStr">
        <is>
          <t>Inlet-chilling e-house / transformer</t>
        </is>
      </c>
      <c r="G5281" s="12" t="inlineStr"/>
      <c r="H5281" s="12" t="inlineStr">
        <is>
          <t>Inlet-chilling tower (12 cells): chiller heat rejection</t>
        </is>
      </c>
      <c r="I5281" s="12" t="inlineStr">
        <is>
          <t>LV 600 V</t>
        </is>
      </c>
      <c r="J5281" s="12" t="inlineStr">
        <is>
          <t>VFD cable 600 V 3/C Cu XHHW-2, 3 symmetrical grounds, overall Cu tape shield, TC-ER</t>
        </is>
      </c>
      <c r="K5281" s="12" t="inlineStr">
        <is>
          <t>VFD|3/C+3G|1/0</t>
        </is>
      </c>
      <c r="L5281" s="12" t="inlineStr">
        <is>
          <t>3/C+3G</t>
        </is>
      </c>
      <c r="M5281" s="12" t="inlineStr">
        <is>
          <t>1/0</t>
        </is>
      </c>
      <c r="N5281" s="12" t="n">
        <v>1</v>
      </c>
      <c r="O5281" s="12" t="n">
        <v>1</v>
      </c>
      <c r="P5281" s="12" t="n">
        <v>480</v>
      </c>
      <c r="Q5281" s="12" t="n">
        <v>75</v>
      </c>
      <c r="R5281" s="12" t="n">
        <v>106</v>
      </c>
      <c r="S5281" s="12" t="inlineStr">
        <is>
          <t>Tray</t>
        </is>
      </c>
      <c r="T5281" s="16" t="n">
        <v>419</v>
      </c>
      <c r="U5281" s="16" t="n">
        <v>47</v>
      </c>
      <c r="V5281" s="16">
        <f>ROUNDUP((T5281+U5281+2*'Read Me'!$B$13)*(1+'Read Me'!$B$12),-1)</f>
        <v/>
      </c>
      <c r="W5281" s="16">
        <f>V5281*N5281*O5281</f>
        <v/>
      </c>
      <c r="X5281" s="12">
        <f>IF(LEFT(I5281,2)="MV",2*N5281*IF(L5281="1/C",O5281,1),0)</f>
        <v/>
      </c>
      <c r="Y5281" s="12">
        <f>IF(OR(LEFT(K5281,4)="LVAX",LEFT(K5281,6)="MV15AX",LEFT(K5281,4)="CTAX",LEFT(K5281,2)="W|"),2*N5281*O5281,0)</f>
        <v/>
      </c>
      <c r="Z5281" s="12" t="inlineStr">
        <is>
          <t>VD 2.4 %</t>
        </is>
      </c>
      <c r="AA5281" s="12">
        <f>N5281*O5281</f>
        <v/>
      </c>
    </row>
    <row r="5282">
      <c r="A5282" s="12" t="inlineStr">
        <is>
          <t>J-P-0021</t>
        </is>
      </c>
      <c r="B5282" s="12" t="inlineStr">
        <is>
          <t>J</t>
        </is>
      </c>
      <c r="C5282" s="12" t="inlineStr">
        <is>
          <t>GT inlet chilling</t>
        </is>
      </c>
      <c r="D5282" s="12" t="inlineStr">
        <is>
          <t>Motor 10 of 12, 75 kW (VFD output)</t>
        </is>
      </c>
      <c r="E5282" s="12" t="inlineStr"/>
      <c r="F5282" s="12" t="inlineStr">
        <is>
          <t>Inlet-chilling e-house / transformer</t>
        </is>
      </c>
      <c r="G5282" s="12" t="inlineStr"/>
      <c r="H5282" s="12" t="inlineStr">
        <is>
          <t>Inlet-chilling tower (12 cells): chiller heat rejection</t>
        </is>
      </c>
      <c r="I5282" s="12" t="inlineStr">
        <is>
          <t>LV 600 V</t>
        </is>
      </c>
      <c r="J5282" s="12" t="inlineStr">
        <is>
          <t>VFD cable 600 V 3/C Cu XHHW-2, 3 symmetrical grounds, overall Cu tape shield, TC-ER</t>
        </is>
      </c>
      <c r="K5282" s="12" t="inlineStr">
        <is>
          <t>VFD|3/C+3G|1/0</t>
        </is>
      </c>
      <c r="L5282" s="12" t="inlineStr">
        <is>
          <t>3/C+3G</t>
        </is>
      </c>
      <c r="M5282" s="12" t="inlineStr">
        <is>
          <t>1/0</t>
        </is>
      </c>
      <c r="N5282" s="12" t="n">
        <v>1</v>
      </c>
      <c r="O5282" s="12" t="n">
        <v>1</v>
      </c>
      <c r="P5282" s="12" t="n">
        <v>480</v>
      </c>
      <c r="Q5282" s="12" t="n">
        <v>75</v>
      </c>
      <c r="R5282" s="12" t="n">
        <v>106</v>
      </c>
      <c r="S5282" s="12" t="inlineStr">
        <is>
          <t>Tray</t>
        </is>
      </c>
      <c r="T5282" s="16" t="n">
        <v>419</v>
      </c>
      <c r="U5282" s="16" t="n">
        <v>47</v>
      </c>
      <c r="V5282" s="16">
        <f>ROUNDUP((T5282+U5282+2*'Read Me'!$B$13)*(1+'Read Me'!$B$12),-1)</f>
        <v/>
      </c>
      <c r="W5282" s="16">
        <f>V5282*N5282*O5282</f>
        <v/>
      </c>
      <c r="X5282" s="12">
        <f>IF(LEFT(I5282,2)="MV",2*N5282*IF(L5282="1/C",O5282,1),0)</f>
        <v/>
      </c>
      <c r="Y5282" s="12">
        <f>IF(OR(LEFT(K5282,4)="LVAX",LEFT(K5282,6)="MV15AX",LEFT(K5282,4)="CTAX",LEFT(K5282,2)="W|"),2*N5282*O5282,0)</f>
        <v/>
      </c>
      <c r="Z5282" s="12" t="inlineStr">
        <is>
          <t>VD 2.4 %</t>
        </is>
      </c>
      <c r="AA5282" s="12">
        <f>N5282*O5282</f>
        <v/>
      </c>
    </row>
    <row r="5283">
      <c r="A5283" s="12" t="inlineStr">
        <is>
          <t>J-P-0022</t>
        </is>
      </c>
      <c r="B5283" s="12" t="inlineStr">
        <is>
          <t>J</t>
        </is>
      </c>
      <c r="C5283" s="12" t="inlineStr">
        <is>
          <t>GT inlet chilling</t>
        </is>
      </c>
      <c r="D5283" s="12" t="inlineStr">
        <is>
          <t>Motor 11 of 12, 75 kW (VFD output)</t>
        </is>
      </c>
      <c r="E5283" s="12" t="inlineStr"/>
      <c r="F5283" s="12" t="inlineStr">
        <is>
          <t>Inlet-chilling e-house / transformer</t>
        </is>
      </c>
      <c r="G5283" s="12" t="inlineStr"/>
      <c r="H5283" s="12" t="inlineStr">
        <is>
          <t>Inlet-chilling tower (12 cells): chiller heat rejection</t>
        </is>
      </c>
      <c r="I5283" s="12" t="inlineStr">
        <is>
          <t>LV 600 V</t>
        </is>
      </c>
      <c r="J5283" s="12" t="inlineStr">
        <is>
          <t>VFD cable 600 V 3/C Cu XHHW-2, 3 symmetrical grounds, overall Cu tape shield, TC-ER</t>
        </is>
      </c>
      <c r="K5283" s="12" t="inlineStr">
        <is>
          <t>VFD|3/C+3G|1/0</t>
        </is>
      </c>
      <c r="L5283" s="12" t="inlineStr">
        <is>
          <t>3/C+3G</t>
        </is>
      </c>
      <c r="M5283" s="12" t="inlineStr">
        <is>
          <t>1/0</t>
        </is>
      </c>
      <c r="N5283" s="12" t="n">
        <v>1</v>
      </c>
      <c r="O5283" s="12" t="n">
        <v>1</v>
      </c>
      <c r="P5283" s="12" t="n">
        <v>480</v>
      </c>
      <c r="Q5283" s="12" t="n">
        <v>75</v>
      </c>
      <c r="R5283" s="12" t="n">
        <v>106</v>
      </c>
      <c r="S5283" s="12" t="inlineStr">
        <is>
          <t>Tray</t>
        </is>
      </c>
      <c r="T5283" s="16" t="n">
        <v>419</v>
      </c>
      <c r="U5283" s="16" t="n">
        <v>47</v>
      </c>
      <c r="V5283" s="16">
        <f>ROUNDUP((T5283+U5283+2*'Read Me'!$B$13)*(1+'Read Me'!$B$12),-1)</f>
        <v/>
      </c>
      <c r="W5283" s="16">
        <f>V5283*N5283*O5283</f>
        <v/>
      </c>
      <c r="X5283" s="12">
        <f>IF(LEFT(I5283,2)="MV",2*N5283*IF(L5283="1/C",O5283,1),0)</f>
        <v/>
      </c>
      <c r="Y5283" s="12">
        <f>IF(OR(LEFT(K5283,4)="LVAX",LEFT(K5283,6)="MV15AX",LEFT(K5283,4)="CTAX",LEFT(K5283,2)="W|"),2*N5283*O5283,0)</f>
        <v/>
      </c>
      <c r="Z5283" s="12" t="inlineStr">
        <is>
          <t>VD 2.4 %</t>
        </is>
      </c>
      <c r="AA5283" s="12">
        <f>N5283*O5283</f>
        <v/>
      </c>
    </row>
    <row r="5284">
      <c r="A5284" s="12" t="inlineStr">
        <is>
          <t>J-P-0023</t>
        </is>
      </c>
      <c r="B5284" s="12" t="inlineStr">
        <is>
          <t>J</t>
        </is>
      </c>
      <c r="C5284" s="12" t="inlineStr">
        <is>
          <t>GT inlet chilling</t>
        </is>
      </c>
      <c r="D5284" s="12" t="inlineStr">
        <is>
          <t>Motor 12 of 12, 75 kW (VFD output)</t>
        </is>
      </c>
      <c r="E5284" s="12" t="inlineStr"/>
      <c r="F5284" s="12" t="inlineStr">
        <is>
          <t>Inlet-chilling e-house / transformer</t>
        </is>
      </c>
      <c r="G5284" s="12" t="inlineStr"/>
      <c r="H5284" s="12" t="inlineStr">
        <is>
          <t>Inlet-chilling tower (12 cells): chiller heat rejection</t>
        </is>
      </c>
      <c r="I5284" s="12" t="inlineStr">
        <is>
          <t>LV 600 V</t>
        </is>
      </c>
      <c r="J5284" s="12" t="inlineStr">
        <is>
          <t>VFD cable 600 V 3/C Cu XHHW-2, 3 symmetrical grounds, overall Cu tape shield, TC-ER</t>
        </is>
      </c>
      <c r="K5284" s="12" t="inlineStr">
        <is>
          <t>VFD|3/C+3G|1/0</t>
        </is>
      </c>
      <c r="L5284" s="12" t="inlineStr">
        <is>
          <t>3/C+3G</t>
        </is>
      </c>
      <c r="M5284" s="12" t="inlineStr">
        <is>
          <t>1/0</t>
        </is>
      </c>
      <c r="N5284" s="12" t="n">
        <v>1</v>
      </c>
      <c r="O5284" s="12" t="n">
        <v>1</v>
      </c>
      <c r="P5284" s="12" t="n">
        <v>480</v>
      </c>
      <c r="Q5284" s="12" t="n">
        <v>75</v>
      </c>
      <c r="R5284" s="12" t="n">
        <v>106</v>
      </c>
      <c r="S5284" s="12" t="inlineStr">
        <is>
          <t>Tray</t>
        </is>
      </c>
      <c r="T5284" s="16" t="n">
        <v>419</v>
      </c>
      <c r="U5284" s="16" t="n">
        <v>47</v>
      </c>
      <c r="V5284" s="16">
        <f>ROUNDUP((T5284+U5284+2*'Read Me'!$B$13)*(1+'Read Me'!$B$12),-1)</f>
        <v/>
      </c>
      <c r="W5284" s="16">
        <f>V5284*N5284*O5284</f>
        <v/>
      </c>
      <c r="X5284" s="12">
        <f>IF(LEFT(I5284,2)="MV",2*N5284*IF(L5284="1/C",O5284,1),0)</f>
        <v/>
      </c>
      <c r="Y5284" s="12">
        <f>IF(OR(LEFT(K5284,4)="LVAX",LEFT(K5284,6)="MV15AX",LEFT(K5284,4)="CTAX",LEFT(K5284,2)="W|"),2*N5284*O5284,0)</f>
        <v/>
      </c>
      <c r="Z5284" s="12" t="inlineStr">
        <is>
          <t>VD 2.4 %</t>
        </is>
      </c>
      <c r="AA5284" s="12">
        <f>N5284*O5284</f>
        <v/>
      </c>
    </row>
    <row r="5285">
      <c r="A5285" s="12" t="inlineStr">
        <is>
          <t>J-P-0024</t>
        </is>
      </c>
      <c r="B5285" s="12" t="inlineStr">
        <is>
          <t>J</t>
        </is>
      </c>
      <c r="C5285" s="12" t="inlineStr">
        <is>
          <t>GT inlet chilling</t>
        </is>
      </c>
      <c r="D5285" s="12" t="inlineStr">
        <is>
          <t>Area / platform lighting circuit 1 (12 fixtures)</t>
        </is>
      </c>
      <c r="E5285" s="12" t="inlineStr"/>
      <c r="F5285" s="12" t="inlineStr">
        <is>
          <t>Inlet-chilling e-house / transformer</t>
        </is>
      </c>
      <c r="G5285" s="12" t="inlineStr"/>
      <c r="H5285" s="12" t="inlineStr">
        <is>
          <t>Inlet-chilling tower (12 cells): chiller heat rejection</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3</v>
      </c>
      <c r="R5285" s="12" t="n">
        <v>5</v>
      </c>
      <c r="S5285" s="12" t="inlineStr">
        <is>
          <t>Tray</t>
        </is>
      </c>
      <c r="T5285" s="16" t="n">
        <v>514</v>
      </c>
      <c r="U5285" s="16" t="n">
        <v>47</v>
      </c>
      <c r="V5285" s="16">
        <f>ROUNDUP((T5285+U5285+2*'Read Me'!$B$13)*(1+'Read Me'!$B$12),-1)</f>
        <v/>
      </c>
      <c r="W5285" s="16">
        <f>V5285*N5285*O5285</f>
        <v/>
      </c>
      <c r="X5285" s="12">
        <f>IF(LEFT(I5285,2)="MV",2*N5285*IF(L5285="1/C",O5285,1),0)</f>
        <v/>
      </c>
      <c r="Y5285" s="12">
        <f>IF(OR(LEFT(K5285,4)="LVAX",LEFT(K5285,6)="MV15AX",LEFT(K5285,4)="CTAX",LEFT(K5285,2)="W|"),2*N5285*O5285,0)</f>
        <v/>
      </c>
      <c r="Z5285" s="12" t="inlineStr">
        <is>
          <t>fixture-to-fixture run included</t>
        </is>
      </c>
      <c r="AA5285" s="12">
        <f>N5285*O5285</f>
        <v/>
      </c>
    </row>
    <row r="5286">
      <c r="A5286" s="12" t="inlineStr">
        <is>
          <t>J-MV-0001</t>
        </is>
      </c>
      <c r="B5286" s="12" t="inlineStr">
        <is>
          <t>J</t>
        </is>
      </c>
      <c r="C5286" s="12" t="inlineStr">
        <is>
          <t>GT inlet chilling</t>
        </is>
      </c>
      <c r="D5286" s="12" t="inlineStr">
        <is>
          <t>Inlet-chilling e-house / transformer</t>
        </is>
      </c>
      <c r="E5286" s="12" t="inlineStr">
        <is>
          <t>SWGR-13.8-1</t>
        </is>
      </c>
      <c r="F5286" s="12" t="inlineStr">
        <is>
          <t>R1 SWGR-13.8-1 (11 x 36 in cubicles, 15 kV metal-clad)</t>
        </is>
      </c>
      <c r="G5286" s="12" t="inlineStr"/>
      <c r="H5286" s="12" t="inlineStr">
        <is>
          <t>Inlet-chilling e-house / transformer</t>
        </is>
      </c>
      <c r="I5286" s="12" t="inlineStr">
        <is>
          <t>MV 15 kV</t>
        </is>
      </c>
      <c r="J5286" s="12" t="inlineStr">
        <is>
          <t>MV-105 15 kV 1/C Cu, EPR 133%, Cu tape shield, PVC jacket (triplexed)</t>
        </is>
      </c>
      <c r="K5286" s="12" t="inlineStr">
        <is>
          <t>MV15|1/C|1000</t>
        </is>
      </c>
      <c r="L5286" s="12" t="inlineStr">
        <is>
          <t>1/C</t>
        </is>
      </c>
      <c r="M5286" s="12" t="inlineStr">
        <is>
          <t>1000 kcmil</t>
        </is>
      </c>
      <c r="N5286" s="12" t="n">
        <v>1</v>
      </c>
      <c r="O5286" s="12" t="n">
        <v>3</v>
      </c>
      <c r="P5286" s="12" t="n">
        <v>13800</v>
      </c>
      <c r="Q5286" s="12" t="n">
        <v>12000</v>
      </c>
      <c r="R5286" s="12" t="n">
        <v>502</v>
      </c>
      <c r="S5286" s="12" t="inlineStr">
        <is>
          <t>Estimated</t>
        </is>
      </c>
      <c r="T5286" s="16" t="n">
        <v>598</v>
      </c>
      <c r="U5286" s="16" t="n">
        <v>40</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J-MV-0002</t>
        </is>
      </c>
      <c r="B5287" s="12" t="inlineStr">
        <is>
          <t>J</t>
        </is>
      </c>
      <c r="C5287" s="12" t="inlineStr">
        <is>
          <t>GT inlet chilling</t>
        </is>
      </c>
      <c r="D5287" s="12" t="inlineStr">
        <is>
          <t>Inlet-chilling CW pump 1</t>
        </is>
      </c>
      <c r="E5287" s="12" t="inlineStr"/>
      <c r="F5287" s="12" t="inlineStr">
        <is>
          <t>Inlet-chilling e-house / transformer</t>
        </is>
      </c>
      <c r="G5287" s="12" t="inlineStr"/>
      <c r="H5287" s="12" t="inlineStr">
        <is>
          <t>CW pumps (inlet chilling)</t>
        </is>
      </c>
      <c r="I5287" s="12" t="inlineStr">
        <is>
          <t>MV 5 kV</t>
        </is>
      </c>
      <c r="J5287" s="12" t="inlineStr">
        <is>
          <t>MV-105 5 kV 3/C Cu, EPR 133%, tape shield, gnd, PVC jacket</t>
        </is>
      </c>
      <c r="K5287" s="12" t="inlineStr">
        <is>
          <t>MV5|3/C|2</t>
        </is>
      </c>
      <c r="L5287" s="12" t="inlineStr">
        <is>
          <t>3/C</t>
        </is>
      </c>
      <c r="M5287" s="12" t="inlineStr">
        <is>
          <t>2</t>
        </is>
      </c>
      <c r="N5287" s="12" t="n">
        <v>1</v>
      </c>
      <c r="O5287" s="12" t="n">
        <v>1</v>
      </c>
      <c r="P5287" s="12" t="n">
        <v>4160</v>
      </c>
      <c r="Q5287" s="12" t="n">
        <v>450</v>
      </c>
      <c r="R5287" s="12" t="n">
        <v>69</v>
      </c>
      <c r="S5287" s="12" t="inlineStr">
        <is>
          <t>Tray</t>
        </is>
      </c>
      <c r="T5287" s="16" t="n">
        <v>0</v>
      </c>
      <c r="U5287" s="16" t="n">
        <v>70</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J-MV-0003</t>
        </is>
      </c>
      <c r="B5288" s="12" t="inlineStr">
        <is>
          <t>J</t>
        </is>
      </c>
      <c r="C5288" s="12" t="inlineStr">
        <is>
          <t>GT inlet chilling</t>
        </is>
      </c>
      <c r="D5288" s="12" t="inlineStr">
        <is>
          <t>Inlet-chilling CW pump 2</t>
        </is>
      </c>
      <c r="E5288" s="12" t="inlineStr"/>
      <c r="F5288" s="12" t="inlineStr">
        <is>
          <t>Inlet-chilling e-house / transformer</t>
        </is>
      </c>
      <c r="G5288" s="12" t="inlineStr"/>
      <c r="H5288" s="12" t="inlineStr">
        <is>
          <t>CW pumps (inlet chilling)</t>
        </is>
      </c>
      <c r="I5288" s="12" t="inlineStr">
        <is>
          <t>MV 5 kV</t>
        </is>
      </c>
      <c r="J5288" s="12" t="inlineStr">
        <is>
          <t>MV-105 5 kV 3/C Cu, EPR 133%, tape shield, gnd, PVC jacket</t>
        </is>
      </c>
      <c r="K5288" s="12" t="inlineStr">
        <is>
          <t>MV5|3/C|2</t>
        </is>
      </c>
      <c r="L5288" s="12" t="inlineStr">
        <is>
          <t>3/C</t>
        </is>
      </c>
      <c r="M5288" s="12" t="inlineStr">
        <is>
          <t>2</t>
        </is>
      </c>
      <c r="N5288" s="12" t="n">
        <v>1</v>
      </c>
      <c r="O5288" s="12" t="n">
        <v>1</v>
      </c>
      <c r="P5288" s="12" t="n">
        <v>4160</v>
      </c>
      <c r="Q5288" s="12" t="n">
        <v>450</v>
      </c>
      <c r="R5288" s="12" t="n">
        <v>69</v>
      </c>
      <c r="S5288" s="12" t="inlineStr">
        <is>
          <t>Tray</t>
        </is>
      </c>
      <c r="T5288" s="16" t="n">
        <v>0</v>
      </c>
      <c r="U5288" s="16" t="n">
        <v>70</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J-MV-0004</t>
        </is>
      </c>
      <c r="B5289" s="12" t="inlineStr">
        <is>
          <t>J</t>
        </is>
      </c>
      <c r="C5289" s="12" t="inlineStr">
        <is>
          <t>GT inlet chilling</t>
        </is>
      </c>
      <c r="D5289" s="12" t="inlineStr">
        <is>
          <t>Inlet-chilling CW pump 3</t>
        </is>
      </c>
      <c r="E5289" s="12" t="inlineStr"/>
      <c r="F5289" s="12" t="inlineStr">
        <is>
          <t>Inlet-chilling e-house / transformer</t>
        </is>
      </c>
      <c r="G5289" s="12" t="inlineStr"/>
      <c r="H5289" s="12" t="inlineStr">
        <is>
          <t>CW pumps (inlet chilling)</t>
        </is>
      </c>
      <c r="I5289" s="12" t="inlineStr">
        <is>
          <t>MV 5 kV</t>
        </is>
      </c>
      <c r="J5289" s="12" t="inlineStr">
        <is>
          <t>MV-105 5 kV 3/C Cu, EPR 133%, tape shield, gnd, PVC jacket</t>
        </is>
      </c>
      <c r="K5289" s="12" t="inlineStr">
        <is>
          <t>MV5|3/C|2</t>
        </is>
      </c>
      <c r="L5289" s="12" t="inlineStr">
        <is>
          <t>3/C</t>
        </is>
      </c>
      <c r="M5289" s="12" t="inlineStr">
        <is>
          <t>2</t>
        </is>
      </c>
      <c r="N5289" s="12" t="n">
        <v>1</v>
      </c>
      <c r="O5289" s="12" t="n">
        <v>1</v>
      </c>
      <c r="P5289" s="12" t="n">
        <v>4160</v>
      </c>
      <c r="Q5289" s="12" t="n">
        <v>450</v>
      </c>
      <c r="R5289" s="12" t="n">
        <v>69</v>
      </c>
      <c r="S5289" s="12" t="inlineStr">
        <is>
          <t>Tray</t>
        </is>
      </c>
      <c r="T5289" s="16" t="n">
        <v>0</v>
      </c>
      <c r="U5289" s="16" t="n">
        <v>70</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J-MV-0005</t>
        </is>
      </c>
      <c r="B5290" s="12" t="inlineStr">
        <is>
          <t>J</t>
        </is>
      </c>
      <c r="C5290" s="12" t="inlineStr">
        <is>
          <t>GT inlet chilling</t>
        </is>
      </c>
      <c r="D5290" s="12" t="inlineStr">
        <is>
          <t>Inlet-chilling CW pump 4</t>
        </is>
      </c>
      <c r="E5290" s="12" t="inlineStr"/>
      <c r="F5290" s="12" t="inlineStr">
        <is>
          <t>Inlet-chilling e-house / transformer</t>
        </is>
      </c>
      <c r="G5290" s="12" t="inlineStr"/>
      <c r="H5290" s="12" t="inlineStr">
        <is>
          <t>CW pumps (inlet chilling)</t>
        </is>
      </c>
      <c r="I5290" s="12" t="inlineStr">
        <is>
          <t>MV 5 kV</t>
        </is>
      </c>
      <c r="J5290" s="12" t="inlineStr">
        <is>
          <t>MV-105 5 kV 3/C Cu, EPR 133%, tape shield, gnd, PVC jacket</t>
        </is>
      </c>
      <c r="K5290" s="12" t="inlineStr">
        <is>
          <t>MV5|3/C|2</t>
        </is>
      </c>
      <c r="L5290" s="12" t="inlineStr">
        <is>
          <t>3/C</t>
        </is>
      </c>
      <c r="M5290" s="12" t="inlineStr">
        <is>
          <t>2</t>
        </is>
      </c>
      <c r="N5290" s="12" t="n">
        <v>1</v>
      </c>
      <c r="O5290" s="12" t="n">
        <v>1</v>
      </c>
      <c r="P5290" s="12" t="n">
        <v>4160</v>
      </c>
      <c r="Q5290" s="12" t="n">
        <v>450</v>
      </c>
      <c r="R5290" s="12" t="n">
        <v>69</v>
      </c>
      <c r="S5290" s="12" t="inlineStr">
        <is>
          <t>Tray</t>
        </is>
      </c>
      <c r="T5290" s="16" t="n">
        <v>0</v>
      </c>
      <c r="U5290" s="16" t="n">
        <v>70</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J-MV-0006</t>
        </is>
      </c>
      <c r="B5291" s="12" t="inlineStr">
        <is>
          <t>J</t>
        </is>
      </c>
      <c r="C5291" s="12" t="inlineStr">
        <is>
          <t>GT inlet chilling</t>
        </is>
      </c>
      <c r="D5291" s="12" t="inlineStr">
        <is>
          <t>Water-cooled chiller CH-1</t>
        </is>
      </c>
      <c r="E5291" s="12" t="inlineStr"/>
      <c r="F5291" s="12" t="inlineStr">
        <is>
          <t>Inlet-chilling e-house / transformer</t>
        </is>
      </c>
      <c r="G5291" s="12" t="inlineStr"/>
      <c r="H5291" s="12" t="inlineStr">
        <is>
          <t>Chillers x6 (water-cooled)</t>
        </is>
      </c>
      <c r="I5291" s="12" t="inlineStr">
        <is>
          <t>MV 5 kV</t>
        </is>
      </c>
      <c r="J5291" s="12" t="inlineStr">
        <is>
          <t>MV-105 5 kV 3/C Cu, EPR 133%, tape shield, gnd, PVC jacket</t>
        </is>
      </c>
      <c r="K5291" s="12" t="inlineStr">
        <is>
          <t>MV5|3/C|250</t>
        </is>
      </c>
      <c r="L5291" s="12" t="inlineStr">
        <is>
          <t>3/C</t>
        </is>
      </c>
      <c r="M5291" s="12" t="inlineStr">
        <is>
          <t>250 kcmil</t>
        </is>
      </c>
      <c r="N5291" s="12" t="n">
        <v>1</v>
      </c>
      <c r="O5291" s="12" t="n">
        <v>1</v>
      </c>
      <c r="P5291" s="12" t="n">
        <v>4160</v>
      </c>
      <c r="Q5291" s="12" t="n">
        <v>1500</v>
      </c>
      <c r="R5291" s="12" t="n">
        <v>231</v>
      </c>
      <c r="S5291" s="12" t="inlineStr">
        <is>
          <t>Duct bank</t>
        </is>
      </c>
      <c r="T5291" s="16" t="n">
        <v>10</v>
      </c>
      <c r="U5291" s="16" t="n">
        <v>32</v>
      </c>
      <c r="V5291" s="16">
        <f>ROUNDUP((T5291+U5291+2*'Read Me'!$B$13)*(1+'Read Me'!$B$12),-1)</f>
        <v/>
      </c>
      <c r="W5291" s="16">
        <f>V5291*N5291*O5291</f>
        <v/>
      </c>
      <c r="X5291" s="12">
        <f>IF(LEFT(I5291,2)="MV",2*N5291*IF(L5291="1/C",O5291,1),0)</f>
        <v/>
      </c>
      <c r="Y5291" s="12">
        <f>IF(OR(LEFT(K5291,4)="LVAX",LEFT(K5291,6)="MV15AX",LEFT(K5291,4)="CTAX",LEFT(K5291,2)="W|"),2*N5291*O5291,0)</f>
        <v/>
      </c>
      <c r="Z5291" s="12" t="inlineStr"/>
      <c r="AA5291" s="12">
        <f>N5291*O5291</f>
        <v/>
      </c>
    </row>
    <row r="5292">
      <c r="A5292" s="12" t="inlineStr">
        <is>
          <t>J-MV-0007</t>
        </is>
      </c>
      <c r="B5292" s="12" t="inlineStr">
        <is>
          <t>J</t>
        </is>
      </c>
      <c r="C5292" s="12" t="inlineStr">
        <is>
          <t>GT inlet chilling</t>
        </is>
      </c>
      <c r="D5292" s="12" t="inlineStr">
        <is>
          <t>Water-cooled chiller CH-2</t>
        </is>
      </c>
      <c r="E5292" s="12" t="inlineStr"/>
      <c r="F5292" s="12" t="inlineStr">
        <is>
          <t>Inlet-chilling e-house / transformer</t>
        </is>
      </c>
      <c r="G5292" s="12" t="inlineStr"/>
      <c r="H5292" s="12" t="inlineStr">
        <is>
          <t>Chillers x6 (water-cooled)</t>
        </is>
      </c>
      <c r="I5292" s="12" t="inlineStr">
        <is>
          <t>MV 5 kV</t>
        </is>
      </c>
      <c r="J5292" s="12" t="inlineStr">
        <is>
          <t>MV-105 5 kV 3/C Cu, EPR 133%, tape shield, gnd, PVC jacket</t>
        </is>
      </c>
      <c r="K5292" s="12" t="inlineStr">
        <is>
          <t>MV5|3/C|250</t>
        </is>
      </c>
      <c r="L5292" s="12" t="inlineStr">
        <is>
          <t>3/C</t>
        </is>
      </c>
      <c r="M5292" s="12" t="inlineStr">
        <is>
          <t>250 kcmil</t>
        </is>
      </c>
      <c r="N5292" s="12" t="n">
        <v>1</v>
      </c>
      <c r="O5292" s="12" t="n">
        <v>1</v>
      </c>
      <c r="P5292" s="12" t="n">
        <v>4160</v>
      </c>
      <c r="Q5292" s="12" t="n">
        <v>1500</v>
      </c>
      <c r="R5292" s="12" t="n">
        <v>231</v>
      </c>
      <c r="S5292" s="12" t="inlineStr">
        <is>
          <t>Duct bank</t>
        </is>
      </c>
      <c r="T5292" s="16" t="n">
        <v>10</v>
      </c>
      <c r="U5292" s="16" t="n">
        <v>32</v>
      </c>
      <c r="V5292" s="16">
        <f>ROUNDUP((T5292+U5292+2*'Read Me'!$B$13)*(1+'Read Me'!$B$12),-1)</f>
        <v/>
      </c>
      <c r="W5292" s="16">
        <f>V5292*N5292*O5292</f>
        <v/>
      </c>
      <c r="X5292" s="12">
        <f>IF(LEFT(I5292,2)="MV",2*N5292*IF(L5292="1/C",O5292,1),0)</f>
        <v/>
      </c>
      <c r="Y5292" s="12">
        <f>IF(OR(LEFT(K5292,4)="LVAX",LEFT(K5292,6)="MV15AX",LEFT(K5292,4)="CTAX",LEFT(K5292,2)="W|"),2*N5292*O5292,0)</f>
        <v/>
      </c>
      <c r="Z5292" s="12" t="inlineStr"/>
      <c r="AA5292" s="12">
        <f>N5292*O5292</f>
        <v/>
      </c>
    </row>
    <row r="5293">
      <c r="A5293" s="12" t="inlineStr">
        <is>
          <t>J-MV-0008</t>
        </is>
      </c>
      <c r="B5293" s="12" t="inlineStr">
        <is>
          <t>J</t>
        </is>
      </c>
      <c r="C5293" s="12" t="inlineStr">
        <is>
          <t>GT inlet chilling</t>
        </is>
      </c>
      <c r="D5293" s="12" t="inlineStr">
        <is>
          <t>Water-cooled chiller CH-3</t>
        </is>
      </c>
      <c r="E5293" s="12" t="inlineStr"/>
      <c r="F5293" s="12" t="inlineStr">
        <is>
          <t>Inlet-chilling e-house / transformer</t>
        </is>
      </c>
      <c r="G5293" s="12" t="inlineStr"/>
      <c r="H5293" s="12" t="inlineStr">
        <is>
          <t>Chillers x6 (water-cooled)</t>
        </is>
      </c>
      <c r="I5293" s="12" t="inlineStr">
        <is>
          <t>MV 5 kV</t>
        </is>
      </c>
      <c r="J5293" s="12" t="inlineStr">
        <is>
          <t>MV-105 5 kV 3/C Cu, EPR 133%, tape shield, gnd, PVC jacket</t>
        </is>
      </c>
      <c r="K5293" s="12" t="inlineStr">
        <is>
          <t>MV5|3/C|250</t>
        </is>
      </c>
      <c r="L5293" s="12" t="inlineStr">
        <is>
          <t>3/C</t>
        </is>
      </c>
      <c r="M5293" s="12" t="inlineStr">
        <is>
          <t>250 kcmil</t>
        </is>
      </c>
      <c r="N5293" s="12" t="n">
        <v>1</v>
      </c>
      <c r="O5293" s="12" t="n">
        <v>1</v>
      </c>
      <c r="P5293" s="12" t="n">
        <v>4160</v>
      </c>
      <c r="Q5293" s="12" t="n">
        <v>1500</v>
      </c>
      <c r="R5293" s="12" t="n">
        <v>231</v>
      </c>
      <c r="S5293" s="12" t="inlineStr">
        <is>
          <t>Duct bank</t>
        </is>
      </c>
      <c r="T5293" s="16" t="n">
        <v>10</v>
      </c>
      <c r="U5293" s="16" t="n">
        <v>32</v>
      </c>
      <c r="V5293" s="16">
        <f>ROUNDUP((T5293+U5293+2*'Read Me'!$B$13)*(1+'Read Me'!$B$12),-1)</f>
        <v/>
      </c>
      <c r="W5293" s="16">
        <f>V5293*N5293*O5293</f>
        <v/>
      </c>
      <c r="X5293" s="12">
        <f>IF(LEFT(I5293,2)="MV",2*N5293*IF(L5293="1/C",O5293,1),0)</f>
        <v/>
      </c>
      <c r="Y5293" s="12">
        <f>IF(OR(LEFT(K5293,4)="LVAX",LEFT(K5293,6)="MV15AX",LEFT(K5293,4)="CTAX",LEFT(K5293,2)="W|"),2*N5293*O5293,0)</f>
        <v/>
      </c>
      <c r="Z5293" s="12" t="inlineStr"/>
      <c r="AA5293" s="12">
        <f>N5293*O5293</f>
        <v/>
      </c>
    </row>
    <row r="5294">
      <c r="A5294" s="12" t="inlineStr">
        <is>
          <t>J-MV-0009</t>
        </is>
      </c>
      <c r="B5294" s="12" t="inlineStr">
        <is>
          <t>J</t>
        </is>
      </c>
      <c r="C5294" s="12" t="inlineStr">
        <is>
          <t>GT inlet chilling</t>
        </is>
      </c>
      <c r="D5294" s="12" t="inlineStr">
        <is>
          <t>Water-cooled chiller CH-4</t>
        </is>
      </c>
      <c r="E5294" s="12" t="inlineStr"/>
      <c r="F5294" s="12" t="inlineStr">
        <is>
          <t>Inlet-chilling e-house / transformer</t>
        </is>
      </c>
      <c r="G5294" s="12" t="inlineStr"/>
      <c r="H5294" s="12" t="inlineStr">
        <is>
          <t>Chillers x6 (water-cooled)</t>
        </is>
      </c>
      <c r="I5294" s="12" t="inlineStr">
        <is>
          <t>MV 5 kV</t>
        </is>
      </c>
      <c r="J5294" s="12" t="inlineStr">
        <is>
          <t>MV-105 5 kV 3/C Cu, EPR 133%, tape shield, gnd, PVC jacket</t>
        </is>
      </c>
      <c r="K5294" s="12" t="inlineStr">
        <is>
          <t>MV5|3/C|250</t>
        </is>
      </c>
      <c r="L5294" s="12" t="inlineStr">
        <is>
          <t>3/C</t>
        </is>
      </c>
      <c r="M5294" s="12" t="inlineStr">
        <is>
          <t>250 kcmil</t>
        </is>
      </c>
      <c r="N5294" s="12" t="n">
        <v>1</v>
      </c>
      <c r="O5294" s="12" t="n">
        <v>1</v>
      </c>
      <c r="P5294" s="12" t="n">
        <v>4160</v>
      </c>
      <c r="Q5294" s="12" t="n">
        <v>1500</v>
      </c>
      <c r="R5294" s="12" t="n">
        <v>231</v>
      </c>
      <c r="S5294" s="12" t="inlineStr">
        <is>
          <t>Duct bank</t>
        </is>
      </c>
      <c r="T5294" s="16" t="n">
        <v>10</v>
      </c>
      <c r="U5294" s="16" t="n">
        <v>32</v>
      </c>
      <c r="V5294" s="16">
        <f>ROUNDUP((T5294+U5294+2*'Read Me'!$B$13)*(1+'Read Me'!$B$12),-1)</f>
        <v/>
      </c>
      <c r="W5294" s="16">
        <f>V5294*N5294*O5294</f>
        <v/>
      </c>
      <c r="X5294" s="12">
        <f>IF(LEFT(I5294,2)="MV",2*N5294*IF(L5294="1/C",O5294,1),0)</f>
        <v/>
      </c>
      <c r="Y5294" s="12">
        <f>IF(OR(LEFT(K5294,4)="LVAX",LEFT(K5294,6)="MV15AX",LEFT(K5294,4)="CTAX",LEFT(K5294,2)="W|"),2*N5294*O5294,0)</f>
        <v/>
      </c>
      <c r="Z5294" s="12" t="inlineStr"/>
      <c r="AA5294" s="12">
        <f>N5294*O5294</f>
        <v/>
      </c>
    </row>
    <row r="5295">
      <c r="A5295" s="12" t="inlineStr">
        <is>
          <t>J-MV-0010</t>
        </is>
      </c>
      <c r="B5295" s="12" t="inlineStr">
        <is>
          <t>J</t>
        </is>
      </c>
      <c r="C5295" s="12" t="inlineStr">
        <is>
          <t>GT inlet chilling</t>
        </is>
      </c>
      <c r="D5295" s="12" t="inlineStr">
        <is>
          <t>Water-cooled chiller CH-5</t>
        </is>
      </c>
      <c r="E5295" s="12" t="inlineStr"/>
      <c r="F5295" s="12" t="inlineStr">
        <is>
          <t>Inlet-chilling e-house / transformer</t>
        </is>
      </c>
      <c r="G5295" s="12" t="inlineStr"/>
      <c r="H5295" s="12" t="inlineStr">
        <is>
          <t>Chillers x6 (water-cooled)</t>
        </is>
      </c>
      <c r="I5295" s="12" t="inlineStr">
        <is>
          <t>MV 5 kV</t>
        </is>
      </c>
      <c r="J5295" s="12" t="inlineStr">
        <is>
          <t>MV-105 5 kV 3/C Cu, EPR 133%, tape shield, gnd, PVC jacket</t>
        </is>
      </c>
      <c r="K5295" s="12" t="inlineStr">
        <is>
          <t>MV5|3/C|250</t>
        </is>
      </c>
      <c r="L5295" s="12" t="inlineStr">
        <is>
          <t>3/C</t>
        </is>
      </c>
      <c r="M5295" s="12" t="inlineStr">
        <is>
          <t>250 kcmil</t>
        </is>
      </c>
      <c r="N5295" s="12" t="n">
        <v>1</v>
      </c>
      <c r="O5295" s="12" t="n">
        <v>1</v>
      </c>
      <c r="P5295" s="12" t="n">
        <v>4160</v>
      </c>
      <c r="Q5295" s="12" t="n">
        <v>1500</v>
      </c>
      <c r="R5295" s="12" t="n">
        <v>231</v>
      </c>
      <c r="S5295" s="12" t="inlineStr">
        <is>
          <t>Duct bank</t>
        </is>
      </c>
      <c r="T5295" s="16" t="n">
        <v>10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J-MV-0011</t>
        </is>
      </c>
      <c r="B5296" s="12" t="inlineStr">
        <is>
          <t>J</t>
        </is>
      </c>
      <c r="C5296" s="12" t="inlineStr">
        <is>
          <t>GT inlet chilling</t>
        </is>
      </c>
      <c r="D5296" s="12" t="inlineStr">
        <is>
          <t>Water-cooled chiller CH-6</t>
        </is>
      </c>
      <c r="E5296" s="12" t="inlineStr"/>
      <c r="F5296" s="12" t="inlineStr">
        <is>
          <t>Inlet-chilling e-house / transformer</t>
        </is>
      </c>
      <c r="G5296" s="12" t="inlineStr"/>
      <c r="H5296" s="12" t="inlineStr">
        <is>
          <t>Chillers x6 (water-cooled)</t>
        </is>
      </c>
      <c r="I5296" s="12" t="inlineStr">
        <is>
          <t>MV 5 kV</t>
        </is>
      </c>
      <c r="J5296" s="12" t="inlineStr">
        <is>
          <t>MV-105 5 kV 3/C Cu, EPR 133%, tape shield, gnd, PVC jacket</t>
        </is>
      </c>
      <c r="K5296" s="12" t="inlineStr">
        <is>
          <t>MV5|3/C|250</t>
        </is>
      </c>
      <c r="L5296" s="12" t="inlineStr">
        <is>
          <t>3/C</t>
        </is>
      </c>
      <c r="M5296" s="12" t="inlineStr">
        <is>
          <t>250 kcmil</t>
        </is>
      </c>
      <c r="N5296" s="12" t="n">
        <v>1</v>
      </c>
      <c r="O5296" s="12" t="n">
        <v>1</v>
      </c>
      <c r="P5296" s="12" t="n">
        <v>4160</v>
      </c>
      <c r="Q5296" s="12" t="n">
        <v>1500</v>
      </c>
      <c r="R5296" s="12" t="n">
        <v>231</v>
      </c>
      <c r="S5296" s="12" t="inlineStr">
        <is>
          <t>Duct bank</t>
        </is>
      </c>
      <c r="T5296" s="16" t="n">
        <v>10</v>
      </c>
      <c r="U5296" s="16" t="n">
        <v>32</v>
      </c>
      <c r="V5296" s="16">
        <f>ROUNDUP((T5296+U5296+2*'Read Me'!$B$13)*(1+'Read Me'!$B$12),-1)</f>
        <v/>
      </c>
      <c r="W5296" s="16">
        <f>V5296*N5296*O5296</f>
        <v/>
      </c>
      <c r="X5296" s="12">
        <f>IF(LEFT(I5296,2)="MV",2*N5296*IF(L5296="1/C",O5296,1),0)</f>
        <v/>
      </c>
      <c r="Y5296" s="12">
        <f>IF(OR(LEFT(K5296,4)="LVAX",LEFT(K5296,6)="MV15AX",LEFT(K5296,4)="CTAX",LEFT(K5296,2)="W|"),2*N5296*O5296,0)</f>
        <v/>
      </c>
      <c r="Z5296" s="12" t="inlineStr"/>
      <c r="AA5296" s="12">
        <f>N5296*O5296</f>
        <v/>
      </c>
    </row>
    <row r="5297">
      <c r="A5297" s="12" t="inlineStr">
        <is>
          <t>K-L-0001</t>
        </is>
      </c>
      <c r="B5297" s="12" t="inlineStr">
        <is>
          <t>K</t>
        </is>
      </c>
      <c r="C5297" s="12" t="inlineStr">
        <is>
          <t>Fuel supply (adjacent market)</t>
        </is>
      </c>
      <c r="D5297" s="12" t="inlineStr">
        <is>
          <t>Lighting, receptacles and small power branch circuits (allowance)</t>
        </is>
      </c>
      <c r="E5297" s="12" t="inlineStr"/>
      <c r="F5297" s="12" t="inlineStr">
        <is>
          <t>H2 20: 13.8 kV e-house</t>
        </is>
      </c>
      <c r="G5297" s="12" t="inlineStr"/>
      <c r="H5297" s="12" t="inlineStr">
        <is>
          <t>H2 20: 13.8 kV e-house</t>
        </is>
      </c>
      <c r="I5297" s="12" t="inlineStr">
        <is>
          <t>Building wire</t>
        </is>
      </c>
      <c r="J5297" s="12" t="inlineStr">
        <is>
          <t>SIMpull THHN/THWN-2 600 V 1/C Cu (lighting, receptacles, small power)</t>
        </is>
      </c>
      <c r="K5297" s="12" t="inlineStr">
        <is>
          <t>THHN|1/C|12</t>
        </is>
      </c>
      <c r="L5297" s="12" t="inlineStr">
        <is>
          <t>1/C</t>
        </is>
      </c>
      <c r="M5297" s="12" t="inlineStr">
        <is>
          <t>12</t>
        </is>
      </c>
      <c r="N5297" s="12" t="n">
        <v>1</v>
      </c>
      <c r="O5297" s="12" t="n">
        <v>1</v>
      </c>
      <c r="P5297" s="12" t="n">
        <v>277</v>
      </c>
      <c r="Q5297" s="12" t="n"/>
      <c r="R5297" s="12" t="n"/>
      <c r="S5297" s="12" t="inlineStr">
        <is>
          <t>Conduit</t>
        </is>
      </c>
      <c r="T5297" s="16" t="n">
        <v>1536</v>
      </c>
      <c r="U5297" s="16" t="n">
        <v>0</v>
      </c>
      <c r="V5297" s="16">
        <f>ROUNDUP((T5297+U5297+2*'Read Me'!$B$13)*(1+'Read Me'!$B$12),-1)</f>
        <v/>
      </c>
      <c r="W5297" s="16">
        <f>V5297*N5297*O5297</f>
        <v/>
      </c>
      <c r="X5297" s="12">
        <f>IF(LEFT(I5297,2)="MV",2*N5297*IF(L5297="1/C",O5297,1),0)</f>
        <v/>
      </c>
      <c r="Y5297" s="12">
        <f>IF(OR(LEFT(K5297,4)="LVAX",LEFT(K5297,6)="MV15AX",LEFT(K5297,4)="CTAX",LEFT(K5297,2)="W|"),2*N5297*O5297,0)</f>
        <v/>
      </c>
      <c r="Z5297" s="12" t="inlineStr">
        <is>
          <t>allowance: 1.6 ft of conductor per ft2 of floor</t>
        </is>
      </c>
      <c r="AA5297" s="12">
        <f>N5297*O5297</f>
        <v/>
      </c>
    </row>
    <row r="5298">
      <c r="A5298" s="12" t="inlineStr">
        <is>
          <t>K-L-0002</t>
        </is>
      </c>
      <c r="B5298" s="12" t="inlineStr">
        <is>
          <t>K</t>
        </is>
      </c>
      <c r="C5298" s="12" t="inlineStr">
        <is>
          <t>Fuel supply (adjacent market)</t>
        </is>
      </c>
      <c r="D5298" s="12" t="inlineStr">
        <is>
          <t>Lighting, receptacles and small power branch circuits (allowance)</t>
        </is>
      </c>
      <c r="E5298" s="12" t="inlineStr"/>
      <c r="F5298" s="12" t="inlineStr">
        <is>
          <t>LNG 17: LNG e-house (13.8 kV / 480 V)</t>
        </is>
      </c>
      <c r="G5298" s="12" t="inlineStr"/>
      <c r="H5298" s="12" t="inlineStr">
        <is>
          <t>LNG 17: LNG e-house (13.8 kV / 480 V)</t>
        </is>
      </c>
      <c r="I5298" s="12" t="inlineStr">
        <is>
          <t>Building wire</t>
        </is>
      </c>
      <c r="J5298" s="12" t="inlineStr">
        <is>
          <t>SIMpull THHN/THWN-2 600 V 1/C Cu (lighting, receptacles, small power)</t>
        </is>
      </c>
      <c r="K5298" s="12" t="inlineStr">
        <is>
          <t>THHN|1/C|12</t>
        </is>
      </c>
      <c r="L5298" s="12" t="inlineStr">
        <is>
          <t>1/C</t>
        </is>
      </c>
      <c r="M5298" s="12" t="inlineStr">
        <is>
          <t>12</t>
        </is>
      </c>
      <c r="N5298" s="12" t="n">
        <v>1</v>
      </c>
      <c r="O5298" s="12" t="n">
        <v>1</v>
      </c>
      <c r="P5298" s="12" t="n">
        <v>277</v>
      </c>
      <c r="Q5298" s="12" t="n"/>
      <c r="R5298" s="12" t="n"/>
      <c r="S5298" s="12" t="inlineStr">
        <is>
          <t>Conduit</t>
        </is>
      </c>
      <c r="T5298" s="16" t="n">
        <v>896</v>
      </c>
      <c r="U5298" s="16" t="n">
        <v>0</v>
      </c>
      <c r="V5298" s="16">
        <f>ROUNDUP((T5298+U5298+2*'Read Me'!$B$13)*(1+'Read Me'!$B$12),-1)</f>
        <v/>
      </c>
      <c r="W5298" s="16">
        <f>V5298*N5298*O5298</f>
        <v/>
      </c>
      <c r="X5298" s="12">
        <f>IF(LEFT(I5298,2)="MV",2*N5298*IF(L5298="1/C",O5298,1),0)</f>
        <v/>
      </c>
      <c r="Y5298" s="12">
        <f>IF(OR(LEFT(K5298,4)="LVAX",LEFT(K5298,6)="MV15AX",LEFT(K5298,4)="CTAX",LEFT(K5298,2)="W|"),2*N5298*O5298,0)</f>
        <v/>
      </c>
      <c r="Z5298" s="12" t="inlineStr">
        <is>
          <t>allowance: 1.6 ft of conductor per ft2 of floor</t>
        </is>
      </c>
      <c r="AA5298" s="12">
        <f>N5298*O5298</f>
        <v/>
      </c>
    </row>
    <row r="5299">
      <c r="A5299" s="12" t="inlineStr">
        <is>
          <t>K-L-0003</t>
        </is>
      </c>
      <c r="B5299" s="12" t="inlineStr">
        <is>
          <t>K</t>
        </is>
      </c>
      <c r="C5299" s="12" t="inlineStr">
        <is>
          <t>Fuel supply (adjacent market)</t>
        </is>
      </c>
      <c r="D5299" s="12" t="inlineStr">
        <is>
          <t>Lighting, receptacles and small power branch circuits (allowance)</t>
        </is>
      </c>
      <c r="E5299" s="12" t="inlineStr"/>
      <c r="F5299" s="12" t="inlineStr">
        <is>
          <t>M&amp;R 6: regulation / flow control building</t>
        </is>
      </c>
      <c r="G5299" s="12" t="inlineStr"/>
      <c r="H5299" s="12" t="inlineStr">
        <is>
          <t>M&amp;R 6: regulation / flow control building</t>
        </is>
      </c>
      <c r="I5299" s="12" t="inlineStr">
        <is>
          <t>Building wire</t>
        </is>
      </c>
      <c r="J5299" s="12" t="inlineStr">
        <is>
          <t>SIMpull THHN/THWN-2 600 V 1/C Cu (lighting, receptacles, small power)</t>
        </is>
      </c>
      <c r="K5299" s="12" t="inlineStr">
        <is>
          <t>THHN|1/C|12</t>
        </is>
      </c>
      <c r="L5299" s="12" t="inlineStr">
        <is>
          <t>1/C</t>
        </is>
      </c>
      <c r="M5299" s="12" t="inlineStr">
        <is>
          <t>12</t>
        </is>
      </c>
      <c r="N5299" s="12" t="n">
        <v>1</v>
      </c>
      <c r="O5299" s="12" t="n">
        <v>1</v>
      </c>
      <c r="P5299" s="12" t="n">
        <v>277</v>
      </c>
      <c r="Q5299" s="12" t="n"/>
      <c r="R5299" s="12" t="n"/>
      <c r="S5299" s="12" t="inlineStr">
        <is>
          <t>Conduit</t>
        </is>
      </c>
      <c r="T5299" s="16" t="n">
        <v>1440</v>
      </c>
      <c r="U5299" s="16" t="n">
        <v>0</v>
      </c>
      <c r="V5299" s="16">
        <f>ROUNDUP((T5299+U5299+2*'Read Me'!$B$13)*(1+'Read Me'!$B$12),-1)</f>
        <v/>
      </c>
      <c r="W5299" s="16">
        <f>V5299*N5299*O5299</f>
        <v/>
      </c>
      <c r="X5299" s="12">
        <f>IF(LEFT(I5299,2)="MV",2*N5299*IF(L5299="1/C",O5299,1),0)</f>
        <v/>
      </c>
      <c r="Y5299" s="12">
        <f>IF(OR(LEFT(K5299,4)="LVAX",LEFT(K5299,6)="MV15AX",LEFT(K5299,4)="CTAX",LEFT(K5299,2)="W|"),2*N5299*O5299,0)</f>
        <v/>
      </c>
      <c r="Z5299" s="12" t="inlineStr">
        <is>
          <t>allowance: 1.6 ft of conductor per ft2 of floor</t>
        </is>
      </c>
      <c r="AA5299" s="12">
        <f>N5299*O5299</f>
        <v/>
      </c>
    </row>
    <row r="5300">
      <c r="A5300" s="12" t="inlineStr">
        <is>
          <t>K-L-0004</t>
        </is>
      </c>
      <c r="B5300" s="12" t="inlineStr">
        <is>
          <t>K</t>
        </is>
      </c>
      <c r="C5300" s="12" t="inlineStr">
        <is>
          <t>Fuel supply (adjacent market)</t>
        </is>
      </c>
      <c r="D5300" s="12" t="inlineStr">
        <is>
          <t>Lighting, receptacles and small power branch circuits (allowance)</t>
        </is>
      </c>
      <c r="E5300" s="12" t="inlineStr"/>
      <c r="F5300" s="12" t="inlineStr">
        <is>
          <t>M&amp;R 7: gas quality + measurement building</t>
        </is>
      </c>
      <c r="G5300" s="12" t="inlineStr"/>
      <c r="H5300" s="12" t="inlineStr">
        <is>
          <t>M&amp;R 7: gas quality + measurement building</t>
        </is>
      </c>
      <c r="I5300" s="12" t="inlineStr">
        <is>
          <t>Building wire</t>
        </is>
      </c>
      <c r="J5300" s="12" t="inlineStr">
        <is>
          <t>SIMpull THHN/THWN-2 600 V 1/C Cu (lighting, receptacles, small power)</t>
        </is>
      </c>
      <c r="K5300" s="12" t="inlineStr">
        <is>
          <t>THHN|1/C|12</t>
        </is>
      </c>
      <c r="L5300" s="12" t="inlineStr">
        <is>
          <t>1/C</t>
        </is>
      </c>
      <c r="M5300" s="12" t="inlineStr">
        <is>
          <t>12</t>
        </is>
      </c>
      <c r="N5300" s="12" t="n">
        <v>1</v>
      </c>
      <c r="O5300" s="12" t="n">
        <v>1</v>
      </c>
      <c r="P5300" s="12" t="n">
        <v>277</v>
      </c>
      <c r="Q5300" s="12" t="n"/>
      <c r="R5300" s="12" t="n"/>
      <c r="S5300" s="12" t="inlineStr">
        <is>
          <t>Conduit</t>
        </is>
      </c>
      <c r="T5300" s="16" t="n">
        <v>205</v>
      </c>
      <c r="U5300" s="16" t="n">
        <v>0</v>
      </c>
      <c r="V5300" s="16">
        <f>ROUNDUP((T5300+U5300+2*'Read Me'!$B$13)*(1+'Read Me'!$B$12),-1)</f>
        <v/>
      </c>
      <c r="W5300" s="16">
        <f>V5300*N5300*O5300</f>
        <v/>
      </c>
      <c r="X5300" s="12">
        <f>IF(LEFT(I5300,2)="MV",2*N5300*IF(L5300="1/C",O5300,1),0)</f>
        <v/>
      </c>
      <c r="Y5300" s="12">
        <f>IF(OR(LEFT(K5300,4)="LVAX",LEFT(K5300,6)="MV15AX",LEFT(K5300,4)="CTAX",LEFT(K5300,2)="W|"),2*N5300*O5300,0)</f>
        <v/>
      </c>
      <c r="Z5300" s="12" t="inlineStr">
        <is>
          <t>allowance: 1.6 ft of conductor per ft2 of floor</t>
        </is>
      </c>
      <c r="AA5300" s="12">
        <f>N5300*O5300</f>
        <v/>
      </c>
    </row>
    <row r="5301">
      <c r="A5301" s="12" t="inlineStr">
        <is>
          <t>K-C-0001</t>
        </is>
      </c>
      <c r="B5301" s="12" t="inlineStr">
        <is>
          <t>K</t>
        </is>
      </c>
      <c r="C5301" s="12" t="inlineStr">
        <is>
          <t>Fuel supply (adjacent market)</t>
        </is>
      </c>
      <c r="D5301" s="12" t="inlineStr">
        <is>
          <t>Motor 1 of 1: control / local station</t>
        </is>
      </c>
      <c r="E5301" s="12" t="inlineStr"/>
      <c r="F5301" s="12" t="inlineStr">
        <is>
          <t>H2 20: 13.8 kV e-house</t>
        </is>
      </c>
      <c r="G5301" s="12" t="inlineStr">
        <is>
          <t>T-H2</t>
        </is>
      </c>
      <c r="H5301" s="12" t="inlineStr">
        <is>
          <t>H2 19: T-H2 230/13.8 kV (about 40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Conduit link</t>
        </is>
      </c>
      <c r="T5301" s="16" t="n">
        <v>30</v>
      </c>
      <c r="U5301" s="16" t="n">
        <v>32</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K-C-0002</t>
        </is>
      </c>
      <c r="B5302" s="12" t="inlineStr">
        <is>
          <t>K</t>
        </is>
      </c>
      <c r="C5302" s="12" t="inlineStr">
        <is>
          <t>Fuel supply (adjacent market)</t>
        </is>
      </c>
      <c r="D5302" s="12" t="inlineStr">
        <is>
          <t>Solenoid to JB JB-T-H2-SOL01: 2 x 2/C (field cables)</t>
        </is>
      </c>
      <c r="E5302" s="12" t="inlineStr">
        <is>
          <t>T-H2</t>
        </is>
      </c>
      <c r="F5302" s="12" t="inlineStr">
        <is>
          <t>H2 19: T-H2 230/13.8 kV (about 40 MVA)</t>
        </is>
      </c>
      <c r="G5302" s="12" t="inlineStr">
        <is>
          <t>JB-T-H2-SOL01</t>
        </is>
      </c>
      <c r="H5302" s="12" t="inlineStr">
        <is>
          <t>H2 19: T-H2 230/13.8 kV (about 40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80</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K-C-0003</t>
        </is>
      </c>
      <c r="B5303" s="12" t="inlineStr">
        <is>
          <t>K</t>
        </is>
      </c>
      <c r="C5303" s="12" t="inlineStr">
        <is>
          <t>Fuel supply (adjacent market)</t>
        </is>
      </c>
      <c r="D5303" s="12" t="inlineStr">
        <is>
          <t>Home run JB-T-H2-SOL01 to the control / marshalling room</t>
        </is>
      </c>
      <c r="E5303" s="12" t="inlineStr"/>
      <c r="F5303" s="12" t="inlineStr">
        <is>
          <t>H2 20: 13.8 kV e-house</t>
        </is>
      </c>
      <c r="G5303" s="12" t="inlineStr">
        <is>
          <t>JB-T-H2-SOL01</t>
        </is>
      </c>
      <c r="H5303" s="12" t="inlineStr">
        <is>
          <t>H2 19: T-H2 230/13.8 kV (about 40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Conduit link</t>
        </is>
      </c>
      <c r="T5303" s="16" t="n">
        <v>30</v>
      </c>
      <c r="U5303" s="16" t="n">
        <v>32</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K-C-0004</t>
        </is>
      </c>
      <c r="B5304" s="12" t="inlineStr">
        <is>
          <t>K</t>
        </is>
      </c>
      <c r="C5304" s="12" t="inlineStr">
        <is>
          <t>Fuel supply (adjacent market)</t>
        </is>
      </c>
      <c r="D5304" s="12" t="inlineStr">
        <is>
          <t>Motor 1 of 1: control / local station</t>
        </is>
      </c>
      <c r="E5304" s="12" t="inlineStr"/>
      <c r="F5304" s="12" t="inlineStr">
        <is>
          <t>H2 20: 13.8 kV e-house</t>
        </is>
      </c>
      <c r="G5304" s="12" t="inlineStr"/>
      <c r="H5304" s="12" t="inlineStr">
        <is>
          <t>H2 20: 13.8 kV e-house</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Tray</t>
        </is>
      </c>
      <c r="T5304" s="16" t="n">
        <v>0</v>
      </c>
      <c r="U5304" s="16" t="n">
        <v>32</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K-C-0005</t>
        </is>
      </c>
      <c r="B5305" s="12" t="inlineStr">
        <is>
          <t>K</t>
        </is>
      </c>
      <c r="C5305" s="12" t="inlineStr">
        <is>
          <t>Fuel supply (adjacent market)</t>
        </is>
      </c>
      <c r="D5305" s="12" t="inlineStr">
        <is>
          <t>Solenoid to JB JB-H2 20: 13.8 kV e-h-SOL01: 2 x 2/C (field cables)</t>
        </is>
      </c>
      <c r="E5305" s="12" t="inlineStr"/>
      <c r="F5305" s="12" t="inlineStr">
        <is>
          <t>H2 20: 13.8 kV e-house</t>
        </is>
      </c>
      <c r="G5305" s="12" t="inlineStr">
        <is>
          <t>JB-H2 20: 13.8 kV e-h-SOL01</t>
        </is>
      </c>
      <c r="H5305" s="12" t="inlineStr">
        <is>
          <t>H2 20: 13.8 kV e-house</t>
        </is>
      </c>
      <c r="I5305" s="12" t="inlineStr">
        <is>
          <t>Control</t>
        </is>
      </c>
      <c r="J5305" s="12" t="inlineStr">
        <is>
          <t>ARMOR-X MC-HL 600 V control, Cu #14 AWG (Class I Div 2)</t>
        </is>
      </c>
      <c r="K5305" s="12" t="inlineStr">
        <is>
          <t>CTAX|2/C|14</t>
        </is>
      </c>
      <c r="L5305" s="12" t="inlineStr">
        <is>
          <t>2/C</t>
        </is>
      </c>
      <c r="M5305" s="12" t="inlineStr">
        <is>
          <t>14</t>
        </is>
      </c>
      <c r="N5305" s="12" t="n">
        <v>2</v>
      </c>
      <c r="O5305" s="12" t="n">
        <v>1</v>
      </c>
      <c r="P5305" s="12" t="n"/>
      <c r="Q5305" s="12" t="n"/>
      <c r="R5305" s="12" t="n"/>
      <c r="S5305" s="12" t="inlineStr">
        <is>
          <t>Tray / conduit</t>
        </is>
      </c>
      <c r="T5305" s="16" t="n">
        <v>69</v>
      </c>
      <c r="U5305" s="16" t="n">
        <v>10</v>
      </c>
      <c r="V5305" s="16">
        <f>ROUNDUP((T5305+U5305+2*'Read Me'!$B$13)*(1+'Read Me'!$B$12),-1)</f>
        <v/>
      </c>
      <c r="W5305" s="16">
        <f>V5305*N5305*O5305</f>
        <v/>
      </c>
      <c r="X5305" s="12">
        <f>IF(LEFT(I5305,2)="MV",2*N5305*IF(L5305="1/C",O5305,1),0)</f>
        <v/>
      </c>
      <c r="Y5305" s="12">
        <f>IF(OR(LEFT(K5305,4)="LVAX",LEFT(K5305,6)="MV15AX",LEFT(K5305,4)="CTAX",LEFT(K5305,2)="W|"),2*N5305*O5305,0)</f>
        <v/>
      </c>
      <c r="Z5305" s="12" t="inlineStr">
        <is>
          <t>device-to-JB field wiring, one cable per device</t>
        </is>
      </c>
      <c r="AA5305" s="12">
        <f>N5305*O5305</f>
        <v/>
      </c>
    </row>
    <row r="5306">
      <c r="A5306" s="12" t="inlineStr">
        <is>
          <t>K-C-0006</t>
        </is>
      </c>
      <c r="B5306" s="12" t="inlineStr">
        <is>
          <t>K</t>
        </is>
      </c>
      <c r="C5306" s="12" t="inlineStr">
        <is>
          <t>Fuel supply (adjacent market)</t>
        </is>
      </c>
      <c r="D5306" s="12" t="inlineStr">
        <is>
          <t>Home run JB-H2 20: 13.8 kV e-h-SOL01 to the control / marshalling room</t>
        </is>
      </c>
      <c r="E5306" s="12" t="inlineStr"/>
      <c r="F5306" s="12" t="inlineStr">
        <is>
          <t>H2 20: 13.8 kV e-house</t>
        </is>
      </c>
      <c r="G5306" s="12" t="inlineStr">
        <is>
          <t>JB-H2 20: 13.8 kV e-h-SOL01</t>
        </is>
      </c>
      <c r="H5306" s="12" t="inlineStr">
        <is>
          <t>H2 20: 13.8 kV e-house</t>
        </is>
      </c>
      <c r="I5306" s="12" t="inlineStr">
        <is>
          <t>Control</t>
        </is>
      </c>
      <c r="J5306" s="12" t="inlineStr">
        <is>
          <t>ARMOR-X MC-HL 600 V control, Cu #14 AWG (Class I Div 2)</t>
        </is>
      </c>
      <c r="K5306" s="12" t="inlineStr">
        <is>
          <t>CTAX|25/C|14</t>
        </is>
      </c>
      <c r="L5306" s="12" t="inlineStr">
        <is>
          <t>25/C</t>
        </is>
      </c>
      <c r="M5306" s="12" t="inlineStr">
        <is>
          <t>14</t>
        </is>
      </c>
      <c r="N5306" s="12" t="n">
        <v>1</v>
      </c>
      <c r="O5306" s="12" t="n">
        <v>1</v>
      </c>
      <c r="P5306" s="12" t="n"/>
      <c r="Q5306" s="12" t="n"/>
      <c r="R5306" s="12" t="n"/>
      <c r="S5306" s="12" t="inlineStr">
        <is>
          <t>Tray</t>
        </is>
      </c>
      <c r="T5306" s="16" t="n">
        <v>0</v>
      </c>
      <c r="U5306" s="16" t="n">
        <v>32</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K-C-0007</t>
        </is>
      </c>
      <c r="B5307" s="12" t="inlineStr">
        <is>
          <t>K</t>
        </is>
      </c>
      <c r="C5307" s="12" t="inlineStr">
        <is>
          <t>Fuel supply (adjacent market)</t>
        </is>
      </c>
      <c r="D5307" s="12" t="inlineStr">
        <is>
          <t>Motor 1 of 1: control / local station</t>
        </is>
      </c>
      <c r="E5307" s="12" t="inlineStr"/>
      <c r="F5307" s="12" t="inlineStr">
        <is>
          <t>H2 20: 13.8 kV e-house</t>
        </is>
      </c>
      <c r="G5307" s="12" t="inlineStr"/>
      <c r="H5307" s="12" t="inlineStr">
        <is>
          <t>H2 21: rectifier transformer 1 (7 MVA)</t>
        </is>
      </c>
      <c r="I5307" s="12" t="inlineStr">
        <is>
          <t>Control</t>
        </is>
      </c>
      <c r="J5307" s="12" t="inlineStr">
        <is>
          <t>ARMOR-X MC-HL 600 V control, Cu #14 AWG (Class I Div 2)</t>
        </is>
      </c>
      <c r="K5307" s="12" t="inlineStr">
        <is>
          <t>CTAX|7/C|14</t>
        </is>
      </c>
      <c r="L5307" s="12" t="inlineStr">
        <is>
          <t>7/C</t>
        </is>
      </c>
      <c r="M5307" s="12" t="inlineStr">
        <is>
          <t>14</t>
        </is>
      </c>
      <c r="N5307" s="12" t="n">
        <v>1</v>
      </c>
      <c r="O5307" s="12" t="n">
        <v>1</v>
      </c>
      <c r="P5307" s="12" t="n"/>
      <c r="Q5307" s="12" t="n"/>
      <c r="R5307" s="12" t="n"/>
      <c r="S5307" s="12" t="inlineStr">
        <is>
          <t>Duct bank</t>
        </is>
      </c>
      <c r="T5307" s="16" t="n">
        <v>348</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K-C-0008</t>
        </is>
      </c>
      <c r="B5308" s="12" t="inlineStr">
        <is>
          <t>K</t>
        </is>
      </c>
      <c r="C5308" s="12" t="inlineStr">
        <is>
          <t>Fuel supply (adjacent market)</t>
        </is>
      </c>
      <c r="D5308" s="12" t="inlineStr">
        <is>
          <t>Solenoid to JB JB-H2 21: rectifier t-SOL01: 2 x 2/C (field cables)</t>
        </is>
      </c>
      <c r="E5308" s="12" t="inlineStr"/>
      <c r="F5308" s="12" t="inlineStr">
        <is>
          <t>H2 21: rectifier transformer 1 (7 MVA)</t>
        </is>
      </c>
      <c r="G5308" s="12" t="inlineStr">
        <is>
          <t>JB-H2 21: rectifier t-SOL01</t>
        </is>
      </c>
      <c r="H5308" s="12" t="inlineStr">
        <is>
          <t>H2 21: rectifier transformer 1 (7 MVA)</t>
        </is>
      </c>
      <c r="I5308" s="12" t="inlineStr">
        <is>
          <t>Control</t>
        </is>
      </c>
      <c r="J5308" s="12" t="inlineStr">
        <is>
          <t>ARMOR-X MC-HL 600 V control, Cu #14 AWG (Class I Div 2)</t>
        </is>
      </c>
      <c r="K5308" s="12" t="inlineStr">
        <is>
          <t>CTAX|2/C|14</t>
        </is>
      </c>
      <c r="L5308" s="12" t="inlineStr">
        <is>
          <t>2/C</t>
        </is>
      </c>
      <c r="M5308" s="12" t="inlineStr">
        <is>
          <t>14</t>
        </is>
      </c>
      <c r="N5308" s="12" t="n">
        <v>2</v>
      </c>
      <c r="O5308" s="12" t="n">
        <v>1</v>
      </c>
      <c r="P5308" s="12" t="n"/>
      <c r="Q5308" s="12" t="n"/>
      <c r="R5308" s="12" t="n"/>
      <c r="S5308" s="12" t="inlineStr">
        <is>
          <t>Tray / conduit</t>
        </is>
      </c>
      <c r="T5308" s="16" t="n">
        <v>41</v>
      </c>
      <c r="U5308" s="16" t="n">
        <v>10</v>
      </c>
      <c r="V5308" s="16">
        <f>ROUNDUP((T5308+U5308+2*'Read Me'!$B$13)*(1+'Read Me'!$B$12),-1)</f>
        <v/>
      </c>
      <c r="W5308" s="16">
        <f>V5308*N5308*O5308</f>
        <v/>
      </c>
      <c r="X5308" s="12">
        <f>IF(LEFT(I5308,2)="MV",2*N5308*IF(L5308="1/C",O5308,1),0)</f>
        <v/>
      </c>
      <c r="Y5308" s="12">
        <f>IF(OR(LEFT(K5308,4)="LVAX",LEFT(K5308,6)="MV15AX",LEFT(K5308,4)="CTAX",LEFT(K5308,2)="W|"),2*N5308*O5308,0)</f>
        <v/>
      </c>
      <c r="Z5308" s="12" t="inlineStr">
        <is>
          <t>device-to-JB field wiring, one cable per device</t>
        </is>
      </c>
      <c r="AA5308" s="12">
        <f>N5308*O5308</f>
        <v/>
      </c>
    </row>
    <row r="5309">
      <c r="A5309" s="12" t="inlineStr">
        <is>
          <t>K-C-0009</t>
        </is>
      </c>
      <c r="B5309" s="12" t="inlineStr">
        <is>
          <t>K</t>
        </is>
      </c>
      <c r="C5309" s="12" t="inlineStr">
        <is>
          <t>Fuel supply (adjacent market)</t>
        </is>
      </c>
      <c r="D5309" s="12" t="inlineStr">
        <is>
          <t>Home run JB-H2 21: rectifier t-SOL01 to the control / marshalling room</t>
        </is>
      </c>
      <c r="E5309" s="12" t="inlineStr"/>
      <c r="F5309" s="12" t="inlineStr">
        <is>
          <t>H2 20: 13.8 kV e-house</t>
        </is>
      </c>
      <c r="G5309" s="12" t="inlineStr">
        <is>
          <t>JB-H2 21: rectifier t-SOL01</t>
        </is>
      </c>
      <c r="H5309" s="12" t="inlineStr">
        <is>
          <t>H2 21: rectifier transformer 1 (7 MVA)</t>
        </is>
      </c>
      <c r="I5309" s="12" t="inlineStr">
        <is>
          <t>Control</t>
        </is>
      </c>
      <c r="J5309" s="12" t="inlineStr">
        <is>
          <t>ARMOR-X MC-HL 600 V control, Cu #14 AWG (Class I Div 2)</t>
        </is>
      </c>
      <c r="K5309" s="12" t="inlineStr">
        <is>
          <t>CTAX|25/C|14</t>
        </is>
      </c>
      <c r="L5309" s="12" t="inlineStr">
        <is>
          <t>25/C</t>
        </is>
      </c>
      <c r="M5309" s="12" t="inlineStr">
        <is>
          <t>14</t>
        </is>
      </c>
      <c r="N5309" s="12" t="n">
        <v>1</v>
      </c>
      <c r="O5309" s="12" t="n">
        <v>1</v>
      </c>
      <c r="P5309" s="12" t="n"/>
      <c r="Q5309" s="12" t="n"/>
      <c r="R5309" s="12" t="n"/>
      <c r="S5309" s="12" t="inlineStr">
        <is>
          <t>Duct bank</t>
        </is>
      </c>
      <c r="T5309" s="16" t="n">
        <v>348</v>
      </c>
      <c r="U5309" s="16" t="n">
        <v>48</v>
      </c>
      <c r="V5309" s="16">
        <f>ROUNDUP((T5309+U5309+2*'Read Me'!$B$13)*(1+'Read Me'!$B$12),-1)</f>
        <v/>
      </c>
      <c r="W5309" s="16">
        <f>V5309*N5309*O5309</f>
        <v/>
      </c>
      <c r="X5309" s="12">
        <f>IF(LEFT(I5309,2)="MV",2*N5309*IF(L5309="1/C",O5309,1),0)</f>
        <v/>
      </c>
      <c r="Y5309" s="12">
        <f>IF(OR(LEFT(K5309,4)="LVAX",LEFT(K5309,6)="MV15AX",LEFT(K5309,4)="CTAX",LEFT(K5309,2)="W|"),2*N5309*O5309,0)</f>
        <v/>
      </c>
      <c r="Z5309" s="12" t="inlineStr"/>
      <c r="AA5309" s="12">
        <f>N5309*O5309</f>
        <v/>
      </c>
    </row>
    <row r="5310">
      <c r="A5310" s="12" t="inlineStr">
        <is>
          <t>K-C-0010</t>
        </is>
      </c>
      <c r="B5310" s="12" t="inlineStr">
        <is>
          <t>K</t>
        </is>
      </c>
      <c r="C5310" s="12" t="inlineStr">
        <is>
          <t>Fuel supply (adjacent market)</t>
        </is>
      </c>
      <c r="D5310" s="12" t="inlineStr">
        <is>
          <t>Control</t>
        </is>
      </c>
      <c r="E5310" s="12" t="inlineStr"/>
      <c r="F5310" s="12" t="inlineStr">
        <is>
          <t>H2 20: 13.8 kV e-house</t>
        </is>
      </c>
      <c r="G5310" s="12" t="inlineStr"/>
      <c r="H5310" s="12" t="inlineStr">
        <is>
          <t>H2 21: rectifier transformer 1 (7 MVA)</t>
        </is>
      </c>
      <c r="I5310" s="12" t="inlineStr">
        <is>
          <t>Control</t>
        </is>
      </c>
      <c r="J5310" s="12" t="inlineStr">
        <is>
          <t>ARMOR-X MC-HL 600 V control, Cu #14 AWG (Class I Div 2)</t>
        </is>
      </c>
      <c r="K5310" s="12" t="inlineStr">
        <is>
          <t>CTAX|7/C|14</t>
        </is>
      </c>
      <c r="L5310" s="12" t="inlineStr">
        <is>
          <t>7/C</t>
        </is>
      </c>
      <c r="M5310" s="12" t="inlineStr">
        <is>
          <t>14</t>
        </is>
      </c>
      <c r="N5310" s="12" t="n">
        <v>1</v>
      </c>
      <c r="O5310" s="12" t="n">
        <v>1</v>
      </c>
      <c r="P5310" s="12" t="n"/>
      <c r="Q5310" s="12" t="n"/>
      <c r="R5310" s="12" t="n"/>
      <c r="S5310" s="12" t="inlineStr">
        <is>
          <t>Duct bank</t>
        </is>
      </c>
      <c r="T5310" s="16" t="n">
        <v>348</v>
      </c>
      <c r="U5310" s="16" t="n">
        <v>48</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K-C-0011</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1 (7 MVA)</t>
        </is>
      </c>
      <c r="I5311" s="12" t="inlineStr">
        <is>
          <t>Control</t>
        </is>
      </c>
      <c r="J5311" s="12" t="inlineStr">
        <is>
          <t>ARMOR-X MC-HL 600 V control, Cu #14 AWG (Class I Div 2)</t>
        </is>
      </c>
      <c r="K5311" s="12" t="inlineStr">
        <is>
          <t>CTAX|12/C|14</t>
        </is>
      </c>
      <c r="L5311" s="12" t="inlineStr">
        <is>
          <t>12/C</t>
        </is>
      </c>
      <c r="M5311" s="12" t="inlineStr">
        <is>
          <t>14</t>
        </is>
      </c>
      <c r="N5311" s="12" t="n">
        <v>1</v>
      </c>
      <c r="O5311" s="12" t="n">
        <v>1</v>
      </c>
      <c r="P5311" s="12" t="n"/>
      <c r="Q5311" s="12" t="n"/>
      <c r="R5311" s="12" t="n"/>
      <c r="S5311" s="12" t="inlineStr">
        <is>
          <t>Duct bank</t>
        </is>
      </c>
      <c r="T5311" s="16" t="n">
        <v>348</v>
      </c>
      <c r="U5311" s="16" t="n">
        <v>48</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K-C-0012</t>
        </is>
      </c>
      <c r="B5312" s="12" t="inlineStr">
        <is>
          <t>K</t>
        </is>
      </c>
      <c r="C5312" s="12" t="inlineStr">
        <is>
          <t>Fuel supply (adjacent market)</t>
        </is>
      </c>
      <c r="D5312" s="12" t="inlineStr">
        <is>
          <t>CT / VT</t>
        </is>
      </c>
      <c r="E5312" s="12" t="inlineStr"/>
      <c r="F5312" s="12" t="inlineStr">
        <is>
          <t>H2 20: 13.8 kV e-house</t>
        </is>
      </c>
      <c r="G5312" s="12" t="inlineStr"/>
      <c r="H5312" s="12" t="inlineStr">
        <is>
          <t>H2 21: rectifier transformer 1 (7 MVA)</t>
        </is>
      </c>
      <c r="I5312" s="12" t="inlineStr">
        <is>
          <t>Control</t>
        </is>
      </c>
      <c r="J5312" s="12" t="inlineStr">
        <is>
          <t>Control cable 600 V Type TC-ER, Cu #10 AWG (CT / VT circuits)</t>
        </is>
      </c>
      <c r="K5312" s="12" t="inlineStr">
        <is>
          <t>CTCT|4/C|10</t>
        </is>
      </c>
      <c r="L5312" s="12" t="inlineStr">
        <is>
          <t>4/C</t>
        </is>
      </c>
      <c r="M5312" s="12" t="inlineStr">
        <is>
          <t>10</t>
        </is>
      </c>
      <c r="N5312" s="12" t="n">
        <v>1</v>
      </c>
      <c r="O5312" s="12" t="n">
        <v>1</v>
      </c>
      <c r="P5312" s="12" t="n"/>
      <c r="Q5312" s="12" t="n"/>
      <c r="R5312" s="12" t="n"/>
      <c r="S5312" s="12" t="inlineStr">
        <is>
          <t>Duct bank</t>
        </is>
      </c>
      <c r="T5312" s="16" t="n">
        <v>348</v>
      </c>
      <c r="U5312" s="16" t="n">
        <v>48</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K-C-0013</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1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348</v>
      </c>
      <c r="U5313" s="16" t="n">
        <v>48</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K-C-0014</t>
        </is>
      </c>
      <c r="B5314" s="12" t="inlineStr">
        <is>
          <t>K</t>
        </is>
      </c>
      <c r="C5314" s="12" t="inlineStr">
        <is>
          <t>Fuel supply (adjacent market)</t>
        </is>
      </c>
      <c r="D5314" s="12" t="inlineStr">
        <is>
          <t>Motor 1 of 1: control / local station</t>
        </is>
      </c>
      <c r="E5314" s="12" t="inlineStr"/>
      <c r="F5314" s="12" t="inlineStr">
        <is>
          <t>H2 20: 13.8 kV e-house</t>
        </is>
      </c>
      <c r="G5314" s="12" t="inlineStr"/>
      <c r="H5314" s="12" t="inlineStr">
        <is>
          <t>H2 21: rectifier transformer 2 (7 MVA)</t>
        </is>
      </c>
      <c r="I5314" s="12" t="inlineStr">
        <is>
          <t>Control</t>
        </is>
      </c>
      <c r="J5314" s="12" t="inlineStr">
        <is>
          <t>ARMOR-X MC-HL 600 V control, Cu #14 AWG (Class I Div 2)</t>
        </is>
      </c>
      <c r="K5314" s="12" t="inlineStr">
        <is>
          <t>CTAX|7/C|14</t>
        </is>
      </c>
      <c r="L5314" s="12" t="inlineStr">
        <is>
          <t>7/C</t>
        </is>
      </c>
      <c r="M5314" s="12" t="inlineStr">
        <is>
          <t>14</t>
        </is>
      </c>
      <c r="N5314" s="12" t="n">
        <v>1</v>
      </c>
      <c r="O5314" s="12" t="n">
        <v>1</v>
      </c>
      <c r="P5314" s="12" t="n"/>
      <c r="Q5314" s="12" t="n"/>
      <c r="R5314" s="12" t="n"/>
      <c r="S5314" s="12" t="inlineStr">
        <is>
          <t>Duct bank</t>
        </is>
      </c>
      <c r="T5314" s="16" t="n">
        <v>348</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K-C-0015</t>
        </is>
      </c>
      <c r="B5315" s="12" t="inlineStr">
        <is>
          <t>K</t>
        </is>
      </c>
      <c r="C5315" s="12" t="inlineStr">
        <is>
          <t>Fuel supply (adjacent market)</t>
        </is>
      </c>
      <c r="D5315" s="12" t="inlineStr">
        <is>
          <t>Solenoid to JB JB-H2 21: rectifier t-SOL01: 2 x 2/C (field cables)</t>
        </is>
      </c>
      <c r="E5315" s="12" t="inlineStr"/>
      <c r="F5315" s="12" t="inlineStr">
        <is>
          <t>H2 21: rectifier transformer 2 (7 MVA)</t>
        </is>
      </c>
      <c r="G5315" s="12" t="inlineStr">
        <is>
          <t>JB-H2 21: rectifier t-SOL01</t>
        </is>
      </c>
      <c r="H5315" s="12" t="inlineStr">
        <is>
          <t>H2 21: rectifier transformer 2 (7 MVA)</t>
        </is>
      </c>
      <c r="I5315" s="12" t="inlineStr">
        <is>
          <t>Control</t>
        </is>
      </c>
      <c r="J5315" s="12" t="inlineStr">
        <is>
          <t>ARMOR-X MC-HL 600 V control, Cu #14 AWG (Class I Div 2)</t>
        </is>
      </c>
      <c r="K5315" s="12" t="inlineStr">
        <is>
          <t>CTAX|2/C|14</t>
        </is>
      </c>
      <c r="L5315" s="12" t="inlineStr">
        <is>
          <t>2/C</t>
        </is>
      </c>
      <c r="M5315" s="12" t="inlineStr">
        <is>
          <t>14</t>
        </is>
      </c>
      <c r="N5315" s="12" t="n">
        <v>2</v>
      </c>
      <c r="O5315" s="12" t="n">
        <v>1</v>
      </c>
      <c r="P5315" s="12" t="n"/>
      <c r="Q5315" s="12" t="n"/>
      <c r="R5315" s="12" t="n"/>
      <c r="S5315" s="12" t="inlineStr">
        <is>
          <t>Tray / conduit</t>
        </is>
      </c>
      <c r="T5315" s="16" t="n">
        <v>41</v>
      </c>
      <c r="U5315" s="16" t="n">
        <v>10</v>
      </c>
      <c r="V5315" s="16">
        <f>ROUNDUP((T5315+U5315+2*'Read Me'!$B$13)*(1+'Read Me'!$B$12),-1)</f>
        <v/>
      </c>
      <c r="W5315" s="16">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K-C-0016</t>
        </is>
      </c>
      <c r="B5316" s="12" t="inlineStr">
        <is>
          <t>K</t>
        </is>
      </c>
      <c r="C5316" s="12" t="inlineStr">
        <is>
          <t>Fuel supply (adjacent market)</t>
        </is>
      </c>
      <c r="D5316" s="12" t="inlineStr">
        <is>
          <t>Home run JB-H2 21: rectifier t-SOL01 to the control / marshalling room</t>
        </is>
      </c>
      <c r="E5316" s="12" t="inlineStr"/>
      <c r="F5316" s="12" t="inlineStr">
        <is>
          <t>H2 20: 13.8 kV e-house</t>
        </is>
      </c>
      <c r="G5316" s="12" t="inlineStr">
        <is>
          <t>JB-H2 21: rectifier t-SOL01</t>
        </is>
      </c>
      <c r="H5316" s="12" t="inlineStr">
        <is>
          <t>H2 21: rectifier transformer 2 (7 MVA)</t>
        </is>
      </c>
      <c r="I5316" s="12" t="inlineStr">
        <is>
          <t>Control</t>
        </is>
      </c>
      <c r="J5316" s="12" t="inlineStr">
        <is>
          <t>ARMOR-X MC-HL 600 V control, Cu #14 AWG (Class I Div 2)</t>
        </is>
      </c>
      <c r="K5316" s="12" t="inlineStr">
        <is>
          <t>CTAX|25/C|14</t>
        </is>
      </c>
      <c r="L5316" s="12" t="inlineStr">
        <is>
          <t>25/C</t>
        </is>
      </c>
      <c r="M5316" s="12" t="inlineStr">
        <is>
          <t>14</t>
        </is>
      </c>
      <c r="N5316" s="12" t="n">
        <v>1</v>
      </c>
      <c r="O5316" s="12" t="n">
        <v>1</v>
      </c>
      <c r="P5316" s="12" t="n"/>
      <c r="Q5316" s="12" t="n"/>
      <c r="R5316" s="12" t="n"/>
      <c r="S5316" s="12" t="inlineStr">
        <is>
          <t>Duct bank</t>
        </is>
      </c>
      <c r="T5316" s="16" t="n">
        <v>348</v>
      </c>
      <c r="U5316" s="16" t="n">
        <v>32</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K-C-0017</t>
        </is>
      </c>
      <c r="B5317" s="12" t="inlineStr">
        <is>
          <t>K</t>
        </is>
      </c>
      <c r="C5317" s="12" t="inlineStr">
        <is>
          <t>Fuel supply (adjacent market)</t>
        </is>
      </c>
      <c r="D5317" s="12" t="inlineStr">
        <is>
          <t>Control</t>
        </is>
      </c>
      <c r="E5317" s="12" t="inlineStr"/>
      <c r="F5317" s="12" t="inlineStr">
        <is>
          <t>H2 20: 13.8 kV e-house</t>
        </is>
      </c>
      <c r="G5317" s="12" t="inlineStr"/>
      <c r="H5317" s="12" t="inlineStr">
        <is>
          <t>H2 21: rectifier transformer 2 (7 MVA)</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6" t="n">
        <v>348</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K-C-0018</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2 (7 MVA)</t>
        </is>
      </c>
      <c r="I5318" s="12" t="inlineStr">
        <is>
          <t>Control</t>
        </is>
      </c>
      <c r="J5318" s="12" t="inlineStr">
        <is>
          <t>ARMOR-X MC-HL 600 V control, Cu #14 AWG (Class I Div 2)</t>
        </is>
      </c>
      <c r="K5318" s="12" t="inlineStr">
        <is>
          <t>CTAX|12/C|14</t>
        </is>
      </c>
      <c r="L5318" s="12" t="inlineStr">
        <is>
          <t>12/C</t>
        </is>
      </c>
      <c r="M5318" s="12" t="inlineStr">
        <is>
          <t>14</t>
        </is>
      </c>
      <c r="N5318" s="12" t="n">
        <v>1</v>
      </c>
      <c r="O5318" s="12" t="n">
        <v>1</v>
      </c>
      <c r="P5318" s="12" t="n"/>
      <c r="Q5318" s="12" t="n"/>
      <c r="R5318" s="12" t="n"/>
      <c r="S5318" s="12" t="inlineStr">
        <is>
          <t>Duct bank</t>
        </is>
      </c>
      <c r="T5318" s="16" t="n">
        <v>348</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K-C-0019</t>
        </is>
      </c>
      <c r="B5319" s="12" t="inlineStr">
        <is>
          <t>K</t>
        </is>
      </c>
      <c r="C5319" s="12" t="inlineStr">
        <is>
          <t>Fuel supply (adjacent market)</t>
        </is>
      </c>
      <c r="D5319" s="12" t="inlineStr">
        <is>
          <t>CT / VT</t>
        </is>
      </c>
      <c r="E5319" s="12" t="inlineStr"/>
      <c r="F5319" s="12" t="inlineStr">
        <is>
          <t>H2 20: 13.8 kV e-house</t>
        </is>
      </c>
      <c r="G5319" s="12" t="inlineStr"/>
      <c r="H5319" s="12" t="inlineStr">
        <is>
          <t>H2 21: rectifier transformer 2 (7 MVA)</t>
        </is>
      </c>
      <c r="I5319" s="12" t="inlineStr">
        <is>
          <t>Control</t>
        </is>
      </c>
      <c r="J5319" s="12" t="inlineStr">
        <is>
          <t>Control cable 600 V Type TC-ER, Cu #10 AWG (CT / VT circuits)</t>
        </is>
      </c>
      <c r="K5319" s="12" t="inlineStr">
        <is>
          <t>CTCT|4/C|10</t>
        </is>
      </c>
      <c r="L5319" s="12" t="inlineStr">
        <is>
          <t>4/C</t>
        </is>
      </c>
      <c r="M5319" s="12" t="inlineStr">
        <is>
          <t>10</t>
        </is>
      </c>
      <c r="N5319" s="12" t="n">
        <v>1</v>
      </c>
      <c r="O5319" s="12" t="n">
        <v>1</v>
      </c>
      <c r="P5319" s="12" t="n"/>
      <c r="Q5319" s="12" t="n"/>
      <c r="R5319" s="12" t="n"/>
      <c r="S5319" s="12" t="inlineStr">
        <is>
          <t>Duct bank</t>
        </is>
      </c>
      <c r="T5319" s="16" t="n">
        <v>348</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K-C-0020</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2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348</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K-C-0021</t>
        </is>
      </c>
      <c r="B5321" s="12" t="inlineStr">
        <is>
          <t>K</t>
        </is>
      </c>
      <c r="C5321" s="12" t="inlineStr">
        <is>
          <t>Fuel supply (adjacent market)</t>
        </is>
      </c>
      <c r="D5321" s="12" t="inlineStr">
        <is>
          <t>Motor 1 of 1: control / local station</t>
        </is>
      </c>
      <c r="E5321" s="12" t="inlineStr"/>
      <c r="F5321" s="12" t="inlineStr">
        <is>
          <t>H2 20: 13.8 kV e-house</t>
        </is>
      </c>
      <c r="G5321" s="12" t="inlineStr"/>
      <c r="H5321" s="12" t="inlineStr">
        <is>
          <t>H2 21: rectifier transformer 3 (7 MVA)</t>
        </is>
      </c>
      <c r="I5321" s="12" t="inlineStr">
        <is>
          <t>Control</t>
        </is>
      </c>
      <c r="J5321" s="12" t="inlineStr">
        <is>
          <t>ARMOR-X MC-HL 600 V control, Cu #14 AWG (Class I Div 2)</t>
        </is>
      </c>
      <c r="K5321" s="12" t="inlineStr">
        <is>
          <t>CTAX|7/C|14</t>
        </is>
      </c>
      <c r="L5321" s="12" t="inlineStr">
        <is>
          <t>7/C</t>
        </is>
      </c>
      <c r="M5321" s="12" t="inlineStr">
        <is>
          <t>14</t>
        </is>
      </c>
      <c r="N5321" s="12" t="n">
        <v>1</v>
      </c>
      <c r="O5321" s="12" t="n">
        <v>1</v>
      </c>
      <c r="P5321" s="12" t="n"/>
      <c r="Q5321" s="12" t="n"/>
      <c r="R5321" s="12" t="n"/>
      <c r="S5321" s="12" t="inlineStr">
        <is>
          <t>Duct bank</t>
        </is>
      </c>
      <c r="T5321" s="16" t="n">
        <v>321</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K-C-0022</t>
        </is>
      </c>
      <c r="B5322" s="12" t="inlineStr">
        <is>
          <t>K</t>
        </is>
      </c>
      <c r="C5322" s="12" t="inlineStr">
        <is>
          <t>Fuel supply (adjacent market)</t>
        </is>
      </c>
      <c r="D5322" s="12" t="inlineStr">
        <is>
          <t>Solenoid to JB JB-H2 21: rectifier t-SOL01: 2 x 2/C (field cables)</t>
        </is>
      </c>
      <c r="E5322" s="12" t="inlineStr"/>
      <c r="F5322" s="12" t="inlineStr">
        <is>
          <t>H2 21: rectifier transformer 3 (7 MVA)</t>
        </is>
      </c>
      <c r="G5322" s="12" t="inlineStr">
        <is>
          <t>JB-H2 21: rectifier t-SOL01</t>
        </is>
      </c>
      <c r="H5322" s="12" t="inlineStr">
        <is>
          <t>H2 21: rectifier transformer 3 (7 MVA)</t>
        </is>
      </c>
      <c r="I5322" s="12" t="inlineStr">
        <is>
          <t>Control</t>
        </is>
      </c>
      <c r="J5322" s="12" t="inlineStr">
        <is>
          <t>ARMOR-X MC-HL 600 V control, Cu #14 AWG (Class I Div 2)</t>
        </is>
      </c>
      <c r="K5322" s="12" t="inlineStr">
        <is>
          <t>CTAX|2/C|14</t>
        </is>
      </c>
      <c r="L5322" s="12" t="inlineStr">
        <is>
          <t>2/C</t>
        </is>
      </c>
      <c r="M5322" s="12" t="inlineStr">
        <is>
          <t>14</t>
        </is>
      </c>
      <c r="N5322" s="12" t="n">
        <v>2</v>
      </c>
      <c r="O5322" s="12" t="n">
        <v>1</v>
      </c>
      <c r="P5322" s="12" t="n"/>
      <c r="Q5322" s="12" t="n"/>
      <c r="R5322" s="12" t="n"/>
      <c r="S5322" s="12" t="inlineStr">
        <is>
          <t>Tray / conduit</t>
        </is>
      </c>
      <c r="T5322" s="16" t="n">
        <v>41</v>
      </c>
      <c r="U5322" s="16" t="n">
        <v>10</v>
      </c>
      <c r="V5322" s="16">
        <f>ROUNDUP((T5322+U5322+2*'Read Me'!$B$13)*(1+'Read Me'!$B$12),-1)</f>
        <v/>
      </c>
      <c r="W5322" s="16">
        <f>V5322*N5322*O5322</f>
        <v/>
      </c>
      <c r="X5322" s="12">
        <f>IF(LEFT(I5322,2)="MV",2*N5322*IF(L5322="1/C",O5322,1),0)</f>
        <v/>
      </c>
      <c r="Y5322" s="12">
        <f>IF(OR(LEFT(K5322,4)="LVAX",LEFT(K5322,6)="MV15AX",LEFT(K5322,4)="CTAX",LEFT(K5322,2)="W|"),2*N5322*O5322,0)</f>
        <v/>
      </c>
      <c r="Z5322" s="12" t="inlineStr">
        <is>
          <t>device-to-JB field wiring, one cable per device</t>
        </is>
      </c>
      <c r="AA5322" s="12">
        <f>N5322*O5322</f>
        <v/>
      </c>
    </row>
    <row r="5323">
      <c r="A5323" s="12" t="inlineStr">
        <is>
          <t>K-C-0023</t>
        </is>
      </c>
      <c r="B5323" s="12" t="inlineStr">
        <is>
          <t>K</t>
        </is>
      </c>
      <c r="C5323" s="12" t="inlineStr">
        <is>
          <t>Fuel supply (adjacent market)</t>
        </is>
      </c>
      <c r="D5323" s="12" t="inlineStr">
        <is>
          <t>Home run JB-H2 21: rectifier t-SOL01 to the control / marshalling room</t>
        </is>
      </c>
      <c r="E5323" s="12" t="inlineStr"/>
      <c r="F5323" s="12" t="inlineStr">
        <is>
          <t>H2 20: 13.8 kV e-house</t>
        </is>
      </c>
      <c r="G5323" s="12" t="inlineStr">
        <is>
          <t>JB-H2 21: rectifier t-SOL01</t>
        </is>
      </c>
      <c r="H5323" s="12" t="inlineStr">
        <is>
          <t>H2 21: rectifier transformer 3 (7 MVA)</t>
        </is>
      </c>
      <c r="I5323" s="12" t="inlineStr">
        <is>
          <t>Control</t>
        </is>
      </c>
      <c r="J5323" s="12" t="inlineStr">
        <is>
          <t>ARMOR-X MC-HL 600 V control, Cu #14 AWG (Class I Div 2)</t>
        </is>
      </c>
      <c r="K5323" s="12" t="inlineStr">
        <is>
          <t>CTAX|25/C|14</t>
        </is>
      </c>
      <c r="L5323" s="12" t="inlineStr">
        <is>
          <t>25/C</t>
        </is>
      </c>
      <c r="M5323" s="12" t="inlineStr">
        <is>
          <t>14</t>
        </is>
      </c>
      <c r="N5323" s="12" t="n">
        <v>1</v>
      </c>
      <c r="O5323" s="12" t="n">
        <v>1</v>
      </c>
      <c r="P5323" s="12" t="n"/>
      <c r="Q5323" s="12" t="n"/>
      <c r="R5323" s="12" t="n"/>
      <c r="S5323" s="12" t="inlineStr">
        <is>
          <t>Duct bank</t>
        </is>
      </c>
      <c r="T5323" s="16" t="n">
        <v>321</v>
      </c>
      <c r="U5323" s="16" t="n">
        <v>32</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K-C-0024</t>
        </is>
      </c>
      <c r="B5324" s="12" t="inlineStr">
        <is>
          <t>K</t>
        </is>
      </c>
      <c r="C5324" s="12" t="inlineStr">
        <is>
          <t>Fuel supply (adjacent market)</t>
        </is>
      </c>
      <c r="D5324" s="12" t="inlineStr">
        <is>
          <t>Control</t>
        </is>
      </c>
      <c r="E5324" s="12" t="inlineStr"/>
      <c r="F5324" s="12" t="inlineStr">
        <is>
          <t>H2 20: 13.8 kV e-house</t>
        </is>
      </c>
      <c r="G5324" s="12" t="inlineStr"/>
      <c r="H5324" s="12" t="inlineStr">
        <is>
          <t>H2 21: rectifier transformer 3 (7 MVA)</t>
        </is>
      </c>
      <c r="I5324" s="12" t="inlineStr">
        <is>
          <t>Control</t>
        </is>
      </c>
      <c r="J5324" s="12" t="inlineStr">
        <is>
          <t>ARMOR-X MC-HL 600 V control, Cu #14 AWG (Class I Div 2)</t>
        </is>
      </c>
      <c r="K5324" s="12" t="inlineStr">
        <is>
          <t>CTAX|7/C|14</t>
        </is>
      </c>
      <c r="L5324" s="12" t="inlineStr">
        <is>
          <t>7/C</t>
        </is>
      </c>
      <c r="M5324" s="12" t="inlineStr">
        <is>
          <t>14</t>
        </is>
      </c>
      <c r="N5324" s="12" t="n">
        <v>1</v>
      </c>
      <c r="O5324" s="12" t="n">
        <v>1</v>
      </c>
      <c r="P5324" s="12" t="n"/>
      <c r="Q5324" s="12" t="n"/>
      <c r="R5324" s="12" t="n"/>
      <c r="S5324" s="12" t="inlineStr">
        <is>
          <t>Duct bank</t>
        </is>
      </c>
      <c r="T5324" s="16" t="n">
        <v>321</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K-C-0025</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3 (7 MVA)</t>
        </is>
      </c>
      <c r="I5325" s="12" t="inlineStr">
        <is>
          <t>Control</t>
        </is>
      </c>
      <c r="J5325" s="12" t="inlineStr">
        <is>
          <t>ARMOR-X MC-HL 600 V control, Cu #14 AWG (Class I Div 2)</t>
        </is>
      </c>
      <c r="K5325" s="12" t="inlineStr">
        <is>
          <t>CTAX|12/C|14</t>
        </is>
      </c>
      <c r="L5325" s="12" t="inlineStr">
        <is>
          <t>12/C</t>
        </is>
      </c>
      <c r="M5325" s="12" t="inlineStr">
        <is>
          <t>14</t>
        </is>
      </c>
      <c r="N5325" s="12" t="n">
        <v>1</v>
      </c>
      <c r="O5325" s="12" t="n">
        <v>1</v>
      </c>
      <c r="P5325" s="12" t="n"/>
      <c r="Q5325" s="12" t="n"/>
      <c r="R5325" s="12" t="n"/>
      <c r="S5325" s="12" t="inlineStr">
        <is>
          <t>Duct bank</t>
        </is>
      </c>
      <c r="T5325" s="16" t="n">
        <v>321</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K-C-0026</t>
        </is>
      </c>
      <c r="B5326" s="12" t="inlineStr">
        <is>
          <t>K</t>
        </is>
      </c>
      <c r="C5326" s="12" t="inlineStr">
        <is>
          <t>Fuel supply (adjacent market)</t>
        </is>
      </c>
      <c r="D5326" s="12" t="inlineStr">
        <is>
          <t>CT / VT</t>
        </is>
      </c>
      <c r="E5326" s="12" t="inlineStr"/>
      <c r="F5326" s="12" t="inlineStr">
        <is>
          <t>H2 20: 13.8 kV e-house</t>
        </is>
      </c>
      <c r="G5326" s="12" t="inlineStr"/>
      <c r="H5326" s="12" t="inlineStr">
        <is>
          <t>H2 21: rectifier transformer 3 (7 MVA)</t>
        </is>
      </c>
      <c r="I5326" s="12" t="inlineStr">
        <is>
          <t>Control</t>
        </is>
      </c>
      <c r="J5326" s="12" t="inlineStr">
        <is>
          <t>Control cable 600 V Type TC-ER, Cu #10 AWG (CT / VT circuits)</t>
        </is>
      </c>
      <c r="K5326" s="12" t="inlineStr">
        <is>
          <t>CTCT|4/C|10</t>
        </is>
      </c>
      <c r="L5326" s="12" t="inlineStr">
        <is>
          <t>4/C</t>
        </is>
      </c>
      <c r="M5326" s="12" t="inlineStr">
        <is>
          <t>10</t>
        </is>
      </c>
      <c r="N5326" s="12" t="n">
        <v>1</v>
      </c>
      <c r="O5326" s="12" t="n">
        <v>1</v>
      </c>
      <c r="P5326" s="12" t="n"/>
      <c r="Q5326" s="12" t="n"/>
      <c r="R5326" s="12" t="n"/>
      <c r="S5326" s="12" t="inlineStr">
        <is>
          <t>Duct bank</t>
        </is>
      </c>
      <c r="T5326" s="16" t="n">
        <v>321</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K-C-0027</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3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321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K-C-0028</t>
        </is>
      </c>
      <c r="B5328" s="12" t="inlineStr">
        <is>
          <t>K</t>
        </is>
      </c>
      <c r="C5328" s="12" t="inlineStr">
        <is>
          <t>Fuel supply (adjacent market)</t>
        </is>
      </c>
      <c r="D5328" s="12" t="inlineStr">
        <is>
          <t>Motor 1 of 1: control / local station</t>
        </is>
      </c>
      <c r="E5328" s="12" t="inlineStr"/>
      <c r="F5328" s="12" t="inlineStr">
        <is>
          <t>H2 20: 13.8 kV e-house</t>
        </is>
      </c>
      <c r="G5328" s="12" t="inlineStr"/>
      <c r="H5328" s="12" t="inlineStr">
        <is>
          <t>H2 21: rectifier transformer 4 (7 MVA)</t>
        </is>
      </c>
      <c r="I5328" s="12" t="inlineStr">
        <is>
          <t>Control</t>
        </is>
      </c>
      <c r="J5328" s="12" t="inlineStr">
        <is>
          <t>ARMOR-X MC-HL 600 V control, Cu #14 AWG (Class I Div 2)</t>
        </is>
      </c>
      <c r="K5328" s="12" t="inlineStr">
        <is>
          <t>CTAX|7/C|14</t>
        </is>
      </c>
      <c r="L5328" s="12" t="inlineStr">
        <is>
          <t>7/C</t>
        </is>
      </c>
      <c r="M5328" s="12" t="inlineStr">
        <is>
          <t>14</t>
        </is>
      </c>
      <c r="N5328" s="12" t="n">
        <v>1</v>
      </c>
      <c r="O5328" s="12" t="n">
        <v>1</v>
      </c>
      <c r="P5328" s="12" t="n"/>
      <c r="Q5328" s="12" t="n"/>
      <c r="R5328" s="12" t="n"/>
      <c r="S5328" s="12" t="inlineStr">
        <is>
          <t>Duct bank</t>
        </is>
      </c>
      <c r="T5328" s="16" t="n">
        <v>295</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K-C-0029</t>
        </is>
      </c>
      <c r="B5329" s="12" t="inlineStr">
        <is>
          <t>K</t>
        </is>
      </c>
      <c r="C5329" s="12" t="inlineStr">
        <is>
          <t>Fuel supply (adjacent market)</t>
        </is>
      </c>
      <c r="D5329" s="12" t="inlineStr">
        <is>
          <t>Solenoid to JB JB-H2 21: rectifier t-SOL01: 2 x 2/C (field cables)</t>
        </is>
      </c>
      <c r="E5329" s="12" t="inlineStr"/>
      <c r="F5329" s="12" t="inlineStr">
        <is>
          <t>H2 21: rectifier transformer 4 (7 MVA)</t>
        </is>
      </c>
      <c r="G5329" s="12" t="inlineStr">
        <is>
          <t>JB-H2 21: rectifier t-SOL01</t>
        </is>
      </c>
      <c r="H5329" s="12" t="inlineStr">
        <is>
          <t>H2 21: rectifier transformer 4 (7 MVA)</t>
        </is>
      </c>
      <c r="I5329" s="12" t="inlineStr">
        <is>
          <t>Control</t>
        </is>
      </c>
      <c r="J5329" s="12" t="inlineStr">
        <is>
          <t>ARMOR-X MC-HL 600 V control, Cu #14 AWG (Class I Div 2)</t>
        </is>
      </c>
      <c r="K5329" s="12" t="inlineStr">
        <is>
          <t>CTAX|2/C|14</t>
        </is>
      </c>
      <c r="L5329" s="12" t="inlineStr">
        <is>
          <t>2/C</t>
        </is>
      </c>
      <c r="M5329" s="12" t="inlineStr">
        <is>
          <t>14</t>
        </is>
      </c>
      <c r="N5329" s="12" t="n">
        <v>2</v>
      </c>
      <c r="O5329" s="12" t="n">
        <v>1</v>
      </c>
      <c r="P5329" s="12" t="n"/>
      <c r="Q5329" s="12" t="n"/>
      <c r="R5329" s="12" t="n"/>
      <c r="S5329" s="12" t="inlineStr">
        <is>
          <t>Tray / conduit</t>
        </is>
      </c>
      <c r="T5329" s="16" t="n">
        <v>41</v>
      </c>
      <c r="U5329" s="16" t="n">
        <v>10</v>
      </c>
      <c r="V5329" s="16">
        <f>ROUNDUP((T5329+U5329+2*'Read Me'!$B$13)*(1+'Read Me'!$B$12),-1)</f>
        <v/>
      </c>
      <c r="W5329" s="16">
        <f>V5329*N5329*O5329</f>
        <v/>
      </c>
      <c r="X5329" s="12">
        <f>IF(LEFT(I5329,2)="MV",2*N5329*IF(L5329="1/C",O5329,1),0)</f>
        <v/>
      </c>
      <c r="Y5329" s="12">
        <f>IF(OR(LEFT(K5329,4)="LVAX",LEFT(K5329,6)="MV15AX",LEFT(K5329,4)="CTAX",LEFT(K5329,2)="W|"),2*N5329*O5329,0)</f>
        <v/>
      </c>
      <c r="Z5329" s="12" t="inlineStr">
        <is>
          <t>device-to-JB field wiring, one cable per device</t>
        </is>
      </c>
      <c r="AA5329" s="12">
        <f>N5329*O5329</f>
        <v/>
      </c>
    </row>
    <row r="5330">
      <c r="A5330" s="12" t="inlineStr">
        <is>
          <t>K-C-0030</t>
        </is>
      </c>
      <c r="B5330" s="12" t="inlineStr">
        <is>
          <t>K</t>
        </is>
      </c>
      <c r="C5330" s="12" t="inlineStr">
        <is>
          <t>Fuel supply (adjacent market)</t>
        </is>
      </c>
      <c r="D5330" s="12" t="inlineStr">
        <is>
          <t>Home run JB-H2 21: rectifier t-SOL01 to the control / marshalling room</t>
        </is>
      </c>
      <c r="E5330" s="12" t="inlineStr"/>
      <c r="F5330" s="12" t="inlineStr">
        <is>
          <t>H2 20: 13.8 kV e-house</t>
        </is>
      </c>
      <c r="G5330" s="12" t="inlineStr">
        <is>
          <t>JB-H2 21: rectifier t-SOL01</t>
        </is>
      </c>
      <c r="H5330" s="12" t="inlineStr">
        <is>
          <t>H2 21: rectifier transformer 4 (7 MVA)</t>
        </is>
      </c>
      <c r="I5330" s="12" t="inlineStr">
        <is>
          <t>Control</t>
        </is>
      </c>
      <c r="J5330" s="12" t="inlineStr">
        <is>
          <t>ARMOR-X MC-HL 600 V control, Cu #14 AWG (Class I Div 2)</t>
        </is>
      </c>
      <c r="K5330" s="12" t="inlineStr">
        <is>
          <t>CTAX|25/C|14</t>
        </is>
      </c>
      <c r="L5330" s="12" t="inlineStr">
        <is>
          <t>25/C</t>
        </is>
      </c>
      <c r="M5330" s="12" t="inlineStr">
        <is>
          <t>14</t>
        </is>
      </c>
      <c r="N5330" s="12" t="n">
        <v>1</v>
      </c>
      <c r="O5330" s="12" t="n">
        <v>1</v>
      </c>
      <c r="P5330" s="12" t="n"/>
      <c r="Q5330" s="12" t="n"/>
      <c r="R5330" s="12" t="n"/>
      <c r="S5330" s="12" t="inlineStr">
        <is>
          <t>Duct bank</t>
        </is>
      </c>
      <c r="T5330" s="16" t="n">
        <v>295</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K-C-0031</t>
        </is>
      </c>
      <c r="B5331" s="12" t="inlineStr">
        <is>
          <t>K</t>
        </is>
      </c>
      <c r="C5331" s="12" t="inlineStr">
        <is>
          <t>Fuel supply (adjacent market)</t>
        </is>
      </c>
      <c r="D5331" s="12" t="inlineStr">
        <is>
          <t>Control</t>
        </is>
      </c>
      <c r="E5331" s="12" t="inlineStr"/>
      <c r="F5331" s="12" t="inlineStr">
        <is>
          <t>H2 20: 13.8 kV e-house</t>
        </is>
      </c>
      <c r="G5331" s="12" t="inlineStr"/>
      <c r="H5331" s="12" t="inlineStr">
        <is>
          <t>H2 21: rectifier transformer 4 (7 MVA)</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6" t="n">
        <v>295</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K-C-0032</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4 (7 MVA)</t>
        </is>
      </c>
      <c r="I5332" s="12" t="inlineStr">
        <is>
          <t>Control</t>
        </is>
      </c>
      <c r="J5332" s="12" t="inlineStr">
        <is>
          <t>ARMOR-X MC-HL 600 V control, Cu #14 AWG (Class I Div 2)</t>
        </is>
      </c>
      <c r="K5332" s="12" t="inlineStr">
        <is>
          <t>CTAX|12/C|14</t>
        </is>
      </c>
      <c r="L5332" s="12" t="inlineStr">
        <is>
          <t>12/C</t>
        </is>
      </c>
      <c r="M5332" s="12" t="inlineStr">
        <is>
          <t>14</t>
        </is>
      </c>
      <c r="N5332" s="12" t="n">
        <v>1</v>
      </c>
      <c r="O5332" s="12" t="n">
        <v>1</v>
      </c>
      <c r="P5332" s="12" t="n"/>
      <c r="Q5332" s="12" t="n"/>
      <c r="R5332" s="12" t="n"/>
      <c r="S5332" s="12" t="inlineStr">
        <is>
          <t>Duct bank</t>
        </is>
      </c>
      <c r="T5332" s="16" t="n">
        <v>295</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K-C-0033</t>
        </is>
      </c>
      <c r="B5333" s="12" t="inlineStr">
        <is>
          <t>K</t>
        </is>
      </c>
      <c r="C5333" s="12" t="inlineStr">
        <is>
          <t>Fuel supply (adjacent market)</t>
        </is>
      </c>
      <c r="D5333" s="12" t="inlineStr">
        <is>
          <t>CT / VT</t>
        </is>
      </c>
      <c r="E5333" s="12" t="inlineStr"/>
      <c r="F5333" s="12" t="inlineStr">
        <is>
          <t>H2 20: 13.8 kV e-house</t>
        </is>
      </c>
      <c r="G5333" s="12" t="inlineStr"/>
      <c r="H5333" s="12" t="inlineStr">
        <is>
          <t>H2 21: rectifier transformer 4 (7 MVA)</t>
        </is>
      </c>
      <c r="I5333" s="12" t="inlineStr">
        <is>
          <t>Control</t>
        </is>
      </c>
      <c r="J5333" s="12" t="inlineStr">
        <is>
          <t>Control cable 600 V Type TC-ER, Cu #10 AWG (CT / VT circuits)</t>
        </is>
      </c>
      <c r="K5333" s="12" t="inlineStr">
        <is>
          <t>CTCT|4/C|10</t>
        </is>
      </c>
      <c r="L5333" s="12" t="inlineStr">
        <is>
          <t>4/C</t>
        </is>
      </c>
      <c r="M5333" s="12" t="inlineStr">
        <is>
          <t>10</t>
        </is>
      </c>
      <c r="N5333" s="12" t="n">
        <v>1</v>
      </c>
      <c r="O5333" s="12" t="n">
        <v>1</v>
      </c>
      <c r="P5333" s="12" t="n"/>
      <c r="Q5333" s="12" t="n"/>
      <c r="R5333" s="12" t="n"/>
      <c r="S5333" s="12" t="inlineStr">
        <is>
          <t>Duct bank</t>
        </is>
      </c>
      <c r="T5333" s="16" t="n">
        <v>295</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K-C-0034</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4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295</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K-C-0035</t>
        </is>
      </c>
      <c r="B5335" s="12" t="inlineStr">
        <is>
          <t>K</t>
        </is>
      </c>
      <c r="C5335" s="12" t="inlineStr">
        <is>
          <t>Fuel supply (adjacent market)</t>
        </is>
      </c>
      <c r="D5335" s="12" t="inlineStr">
        <is>
          <t>Motor 1 of 1: control / local station</t>
        </is>
      </c>
      <c r="E5335" s="12" t="inlineStr"/>
      <c r="F5335" s="12" t="inlineStr">
        <is>
          <t>H2 20: 13.8 kV e-house</t>
        </is>
      </c>
      <c r="G5335" s="12" t="inlineStr"/>
      <c r="H5335" s="12" t="inlineStr">
        <is>
          <t>H2 21: rectifier transformer 5 (7 MVA)</t>
        </is>
      </c>
      <c r="I5335" s="12" t="inlineStr">
        <is>
          <t>Control</t>
        </is>
      </c>
      <c r="J5335" s="12" t="inlineStr">
        <is>
          <t>ARMOR-X MC-HL 600 V control, Cu #14 AWG (Class I Div 2)</t>
        </is>
      </c>
      <c r="K5335" s="12" t="inlineStr">
        <is>
          <t>CTAX|7/C|14</t>
        </is>
      </c>
      <c r="L5335" s="12" t="inlineStr">
        <is>
          <t>7/C</t>
        </is>
      </c>
      <c r="M5335" s="12" t="inlineStr">
        <is>
          <t>14</t>
        </is>
      </c>
      <c r="N5335" s="12" t="n">
        <v>1</v>
      </c>
      <c r="O5335" s="12" t="n">
        <v>1</v>
      </c>
      <c r="P5335" s="12" t="n"/>
      <c r="Q5335" s="12" t="n"/>
      <c r="R5335" s="12" t="n"/>
      <c r="S5335" s="12" t="inlineStr">
        <is>
          <t>Conduit link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K-C-0036</t>
        </is>
      </c>
      <c r="B5336" s="12" t="inlineStr">
        <is>
          <t>K</t>
        </is>
      </c>
      <c r="C5336" s="12" t="inlineStr">
        <is>
          <t>Fuel supply (adjacent market)</t>
        </is>
      </c>
      <c r="D5336" s="12" t="inlineStr">
        <is>
          <t>Solenoid to JB JB-H2 21: rectifier t-SOL01: 2 x 2/C (field cables)</t>
        </is>
      </c>
      <c r="E5336" s="12" t="inlineStr"/>
      <c r="F5336" s="12" t="inlineStr">
        <is>
          <t>H2 21: rectifier transformer 5 (7 MVA)</t>
        </is>
      </c>
      <c r="G5336" s="12" t="inlineStr">
        <is>
          <t>JB-H2 21: rectifier t-SOL01</t>
        </is>
      </c>
      <c r="H5336" s="12" t="inlineStr">
        <is>
          <t>H2 21: rectifier transformer 5 (7 MVA)</t>
        </is>
      </c>
      <c r="I5336" s="12" t="inlineStr">
        <is>
          <t>Control</t>
        </is>
      </c>
      <c r="J5336" s="12" t="inlineStr">
        <is>
          <t>ARMOR-X MC-HL 600 V control, Cu #14 AWG (Class I Div 2)</t>
        </is>
      </c>
      <c r="K5336" s="12" t="inlineStr">
        <is>
          <t>CTAX|2/C|14</t>
        </is>
      </c>
      <c r="L5336" s="12" t="inlineStr">
        <is>
          <t>2/C</t>
        </is>
      </c>
      <c r="M5336" s="12" t="inlineStr">
        <is>
          <t>14</t>
        </is>
      </c>
      <c r="N5336" s="12" t="n">
        <v>2</v>
      </c>
      <c r="O5336" s="12" t="n">
        <v>1</v>
      </c>
      <c r="P5336" s="12" t="n"/>
      <c r="Q5336" s="12" t="n"/>
      <c r="R5336" s="12" t="n"/>
      <c r="S5336" s="12" t="inlineStr">
        <is>
          <t>Tray / conduit</t>
        </is>
      </c>
      <c r="T5336" s="16" t="n">
        <v>41</v>
      </c>
      <c r="U5336" s="16" t="n">
        <v>10</v>
      </c>
      <c r="V5336" s="16">
        <f>ROUNDUP((T5336+U5336+2*'Read Me'!$B$13)*(1+'Read Me'!$B$12),-1)</f>
        <v/>
      </c>
      <c r="W5336" s="16">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K-C-0037</t>
        </is>
      </c>
      <c r="B5337" s="12" t="inlineStr">
        <is>
          <t>K</t>
        </is>
      </c>
      <c r="C5337" s="12" t="inlineStr">
        <is>
          <t>Fuel supply (adjacent market)</t>
        </is>
      </c>
      <c r="D5337" s="12" t="inlineStr">
        <is>
          <t>Home run JB-H2 21: rectifier t-SOL01 to the control / marshalling room</t>
        </is>
      </c>
      <c r="E5337" s="12" t="inlineStr"/>
      <c r="F5337" s="12" t="inlineStr">
        <is>
          <t>H2 20: 13.8 kV e-house</t>
        </is>
      </c>
      <c r="G5337" s="12" t="inlineStr">
        <is>
          <t>JB-H2 21: rectifier t-SOL01</t>
        </is>
      </c>
      <c r="H5337" s="12" t="inlineStr">
        <is>
          <t>H2 21: rectifier transformer 5 (7 MVA)</t>
        </is>
      </c>
      <c r="I5337" s="12" t="inlineStr">
        <is>
          <t>Control</t>
        </is>
      </c>
      <c r="J5337" s="12" t="inlineStr">
        <is>
          <t>ARMOR-X MC-HL 600 V control, Cu #14 AWG (Class I Div 2)</t>
        </is>
      </c>
      <c r="K5337" s="12" t="inlineStr">
        <is>
          <t>CTAX|25/C|14</t>
        </is>
      </c>
      <c r="L5337" s="12" t="inlineStr">
        <is>
          <t>25/C</t>
        </is>
      </c>
      <c r="M5337" s="12" t="inlineStr">
        <is>
          <t>14</t>
        </is>
      </c>
      <c r="N5337" s="12" t="n">
        <v>1</v>
      </c>
      <c r="O5337" s="12" t="n">
        <v>1</v>
      </c>
      <c r="P5337" s="12" t="n"/>
      <c r="Q5337" s="12" t="n"/>
      <c r="R5337" s="12" t="n"/>
      <c r="S5337" s="12" t="inlineStr">
        <is>
          <t>Conduit link</t>
        </is>
      </c>
      <c r="T5337" s="16" t="n">
        <v>254</v>
      </c>
      <c r="U5337" s="16" t="n">
        <v>32</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K-C-0038</t>
        </is>
      </c>
      <c r="B5338" s="12" t="inlineStr">
        <is>
          <t>K</t>
        </is>
      </c>
      <c r="C5338" s="12" t="inlineStr">
        <is>
          <t>Fuel supply (adjacent market)</t>
        </is>
      </c>
      <c r="D5338" s="12" t="inlineStr">
        <is>
          <t>Control</t>
        </is>
      </c>
      <c r="E5338" s="12" t="inlineStr"/>
      <c r="F5338" s="12" t="inlineStr">
        <is>
          <t>H2 20: 13.8 kV e-house</t>
        </is>
      </c>
      <c r="G5338" s="12" t="inlineStr"/>
      <c r="H5338" s="12" t="inlineStr">
        <is>
          <t>H2 21: rectifier transformer 5 (7 MVA)</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Conduit link</t>
        </is>
      </c>
      <c r="T5338" s="16" t="n">
        <v>254</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K-C-0039</t>
        </is>
      </c>
      <c r="B5339" s="12" t="inlineStr">
        <is>
          <t>K</t>
        </is>
      </c>
      <c r="C5339" s="12" t="inlineStr">
        <is>
          <t>Fuel supply (adjacent market)</t>
        </is>
      </c>
      <c r="D5339" s="12" t="inlineStr">
        <is>
          <t>Control</t>
        </is>
      </c>
      <c r="E5339" s="12" t="inlineStr"/>
      <c r="F5339" s="12" t="inlineStr">
        <is>
          <t>H2 20: 13.8 kV e-house</t>
        </is>
      </c>
      <c r="G5339" s="12" t="inlineStr"/>
      <c r="H5339" s="12" t="inlineStr">
        <is>
          <t>H2 21: rectifier transformer 5 (7 MVA)</t>
        </is>
      </c>
      <c r="I5339" s="12" t="inlineStr">
        <is>
          <t>Control</t>
        </is>
      </c>
      <c r="J5339" s="12" t="inlineStr">
        <is>
          <t>ARMOR-X MC-HL 600 V control, Cu #14 AWG (Class I Div 2)</t>
        </is>
      </c>
      <c r="K5339" s="12" t="inlineStr">
        <is>
          <t>CTAX|12/C|14</t>
        </is>
      </c>
      <c r="L5339" s="12" t="inlineStr">
        <is>
          <t>12/C</t>
        </is>
      </c>
      <c r="M5339" s="12" t="inlineStr">
        <is>
          <t>14</t>
        </is>
      </c>
      <c r="N5339" s="12" t="n">
        <v>1</v>
      </c>
      <c r="O5339" s="12" t="n">
        <v>1</v>
      </c>
      <c r="P5339" s="12" t="n"/>
      <c r="Q5339" s="12" t="n"/>
      <c r="R5339" s="12" t="n"/>
      <c r="S5339" s="12" t="inlineStr">
        <is>
          <t>Conduit link</t>
        </is>
      </c>
      <c r="T5339" s="16" t="n">
        <v>254</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K-C-0040</t>
        </is>
      </c>
      <c r="B5340" s="12" t="inlineStr">
        <is>
          <t>K</t>
        </is>
      </c>
      <c r="C5340" s="12" t="inlineStr">
        <is>
          <t>Fuel supply (adjacent market)</t>
        </is>
      </c>
      <c r="D5340" s="12" t="inlineStr">
        <is>
          <t>CT / VT</t>
        </is>
      </c>
      <c r="E5340" s="12" t="inlineStr"/>
      <c r="F5340" s="12" t="inlineStr">
        <is>
          <t>H2 20: 13.8 kV e-house</t>
        </is>
      </c>
      <c r="G5340" s="12" t="inlineStr"/>
      <c r="H5340" s="12" t="inlineStr">
        <is>
          <t>H2 21: rectifier transformer 5 (7 MVA)</t>
        </is>
      </c>
      <c r="I5340" s="12" t="inlineStr">
        <is>
          <t>Control</t>
        </is>
      </c>
      <c r="J5340" s="12" t="inlineStr">
        <is>
          <t>Control cable 600 V Type TC-ER, Cu #10 AWG (CT / VT circuits)</t>
        </is>
      </c>
      <c r="K5340" s="12" t="inlineStr">
        <is>
          <t>CTCT|4/C|10</t>
        </is>
      </c>
      <c r="L5340" s="12" t="inlineStr">
        <is>
          <t>4/C</t>
        </is>
      </c>
      <c r="M5340" s="12" t="inlineStr">
        <is>
          <t>10</t>
        </is>
      </c>
      <c r="N5340" s="12" t="n">
        <v>1</v>
      </c>
      <c r="O5340" s="12" t="n">
        <v>1</v>
      </c>
      <c r="P5340" s="12" t="n"/>
      <c r="Q5340" s="12" t="n"/>
      <c r="R5340" s="12" t="n"/>
      <c r="S5340" s="12" t="inlineStr">
        <is>
          <t>Conduit link</t>
        </is>
      </c>
      <c r="T5340" s="16" t="n">
        <v>254</v>
      </c>
      <c r="U5340" s="16" t="n">
        <v>32</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K-C-0041</t>
        </is>
      </c>
      <c r="B5341" s="12" t="inlineStr">
        <is>
          <t>K</t>
        </is>
      </c>
      <c r="C5341" s="12" t="inlineStr">
        <is>
          <t>Fuel supply (adjacent market)</t>
        </is>
      </c>
      <c r="D5341" s="12" t="inlineStr">
        <is>
          <t>CT / VT</t>
        </is>
      </c>
      <c r="E5341" s="12" t="inlineStr"/>
      <c r="F5341" s="12" t="inlineStr">
        <is>
          <t>H2 20: 13.8 kV e-house</t>
        </is>
      </c>
      <c r="G5341" s="12" t="inlineStr"/>
      <c r="H5341" s="12" t="inlineStr">
        <is>
          <t>H2 21: rectifier transformer 5 (7 MVA)</t>
        </is>
      </c>
      <c r="I5341" s="12" t="inlineStr">
        <is>
          <t>Control</t>
        </is>
      </c>
      <c r="J5341" s="12" t="inlineStr">
        <is>
          <t>Control cable 600 V Type TC-ER, Cu #10 AWG (CT / VT circuits)</t>
        </is>
      </c>
      <c r="K5341" s="12" t="inlineStr">
        <is>
          <t>CTCT|4/C|10</t>
        </is>
      </c>
      <c r="L5341" s="12" t="inlineStr">
        <is>
          <t>4/C</t>
        </is>
      </c>
      <c r="M5341" s="12" t="inlineStr">
        <is>
          <t>10</t>
        </is>
      </c>
      <c r="N5341" s="12" t="n">
        <v>1</v>
      </c>
      <c r="O5341" s="12" t="n">
        <v>1</v>
      </c>
      <c r="P5341" s="12" t="n"/>
      <c r="Q5341" s="12" t="n"/>
      <c r="R5341" s="12" t="n"/>
      <c r="S5341" s="12" t="inlineStr">
        <is>
          <t>Conduit link</t>
        </is>
      </c>
      <c r="T5341" s="16" t="n">
        <v>254</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K-C-0042</t>
        </is>
      </c>
      <c r="B5342" s="12" t="inlineStr">
        <is>
          <t>K</t>
        </is>
      </c>
      <c r="C5342" s="12" t="inlineStr">
        <is>
          <t>Fuel supply (adjacent market)</t>
        </is>
      </c>
      <c r="D5342" s="12" t="inlineStr">
        <is>
          <t>Motor 1 of 1: control / local station</t>
        </is>
      </c>
      <c r="E5342" s="12" t="inlineStr"/>
      <c r="F5342" s="12" t="inlineStr">
        <is>
          <t>H2 20: 13.8 kV e-house</t>
        </is>
      </c>
      <c r="G5342" s="12" t="inlineStr">
        <is>
          <t>H2-EL</t>
        </is>
      </c>
      <c r="H5342" s="12" t="inlineStr">
        <is>
          <t>H2 22: electrolyzer building (5 x HyLYZER-1000 + 5 rectifiers)</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358</v>
      </c>
      <c r="U5342" s="16" t="n">
        <v>33</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K-C-0043</t>
        </is>
      </c>
      <c r="B5343" s="12" t="inlineStr">
        <is>
          <t>K</t>
        </is>
      </c>
      <c r="C5343" s="12" t="inlineStr">
        <is>
          <t>Fuel supply (adjacent market)</t>
        </is>
      </c>
      <c r="D5343" s="12" t="inlineStr">
        <is>
          <t>Solenoid to JB JB-H2-EL-SOL01: 2 x 2/C (field cables)</t>
        </is>
      </c>
      <c r="E5343" s="12" t="inlineStr">
        <is>
          <t>H2-EL</t>
        </is>
      </c>
      <c r="F5343" s="12" t="inlineStr">
        <is>
          <t>H2 22: electrolyzer building (5 x HyLYZER-1000 + 5 rectifiers)</t>
        </is>
      </c>
      <c r="G5343" s="12" t="inlineStr">
        <is>
          <t>JB-H2-EL-SOL01</t>
        </is>
      </c>
      <c r="H5343" s="12" t="inlineStr">
        <is>
          <t>H2 22: electrolyzer building (5 x HyLYZER-1000 + 5 rectifiers)</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157</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K-C-0044</t>
        </is>
      </c>
      <c r="B5344" s="12" t="inlineStr">
        <is>
          <t>K</t>
        </is>
      </c>
      <c r="C5344" s="12" t="inlineStr">
        <is>
          <t>Fuel supply (adjacent market)</t>
        </is>
      </c>
      <c r="D5344" s="12" t="inlineStr">
        <is>
          <t>Home run JB-H2-EL-SOL01 to the control / marshalling room</t>
        </is>
      </c>
      <c r="E5344" s="12" t="inlineStr"/>
      <c r="F5344" s="12" t="inlineStr">
        <is>
          <t>H2 20: 13.8 kV e-house</t>
        </is>
      </c>
      <c r="G5344" s="12" t="inlineStr">
        <is>
          <t>JB-H2-EL-SOL01</t>
        </is>
      </c>
      <c r="H5344" s="12" t="inlineStr">
        <is>
          <t>H2 22: electrolyzer building (5 x HyLYZER-1000 + 5 rectifiers)</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358</v>
      </c>
      <c r="U5344" s="16" t="n">
        <v>33</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K-C-0045</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23: dry coolers</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124</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K-C-0046</t>
        </is>
      </c>
      <c r="B5346" s="12" t="inlineStr">
        <is>
          <t>K</t>
        </is>
      </c>
      <c r="C5346" s="12" t="inlineStr">
        <is>
          <t>Fuel supply (adjacent market)</t>
        </is>
      </c>
      <c r="D5346" s="12" t="inlineStr">
        <is>
          <t>Solenoid to JB JB-H2 23: dry coolers-SOL01: 2 x 2/C (field cables)</t>
        </is>
      </c>
      <c r="E5346" s="12" t="inlineStr"/>
      <c r="F5346" s="12" t="inlineStr">
        <is>
          <t>H2 23: dry coolers</t>
        </is>
      </c>
      <c r="G5346" s="12" t="inlineStr">
        <is>
          <t>JB-H2 23: dry coolers-SOL01</t>
        </is>
      </c>
      <c r="H5346" s="12" t="inlineStr">
        <is>
          <t>H2 23: dry coolers</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111</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K-C-0047</t>
        </is>
      </c>
      <c r="B5347" s="12" t="inlineStr">
        <is>
          <t>K</t>
        </is>
      </c>
      <c r="C5347" s="12" t="inlineStr">
        <is>
          <t>Fuel supply (adjacent market)</t>
        </is>
      </c>
      <c r="D5347" s="12" t="inlineStr">
        <is>
          <t>Home run JB-H2 23: dry coolers-SOL01 to the control / marshalling room</t>
        </is>
      </c>
      <c r="E5347" s="12" t="inlineStr"/>
      <c r="F5347" s="12" t="inlineStr">
        <is>
          <t>H2 20: 13.8 kV e-house</t>
        </is>
      </c>
      <c r="G5347" s="12" t="inlineStr">
        <is>
          <t>JB-H2 23: dry coolers-SOL01</t>
        </is>
      </c>
      <c r="H5347" s="12" t="inlineStr">
        <is>
          <t>H2 23: dry coolers</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124</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K-C-0048</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24: water purification (RO / EDI)</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146</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K-C-0049</t>
        </is>
      </c>
      <c r="B5349" s="12" t="inlineStr">
        <is>
          <t>K</t>
        </is>
      </c>
      <c r="C5349" s="12" t="inlineStr">
        <is>
          <t>Fuel supply (adjacent market)</t>
        </is>
      </c>
      <c r="D5349" s="12" t="inlineStr">
        <is>
          <t>Solenoid to JB JB-H2 24: water purif-SOL01: 2 x 2/C (field cables)</t>
        </is>
      </c>
      <c r="E5349" s="12" t="inlineStr"/>
      <c r="F5349" s="12" t="inlineStr">
        <is>
          <t>H2 24: water purification (RO / EDI)</t>
        </is>
      </c>
      <c r="G5349" s="12" t="inlineStr">
        <is>
          <t>JB-H2 24: water purif-SOL01</t>
        </is>
      </c>
      <c r="H5349" s="12" t="inlineStr">
        <is>
          <t>H2 24: water purification (RO / EDI)</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60</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K-C-0050</t>
        </is>
      </c>
      <c r="B5350" s="12" t="inlineStr">
        <is>
          <t>K</t>
        </is>
      </c>
      <c r="C5350" s="12" t="inlineStr">
        <is>
          <t>Fuel supply (adjacent market)</t>
        </is>
      </c>
      <c r="D5350" s="12" t="inlineStr">
        <is>
          <t>Home run JB-H2 24: water purif-SOL01 to the control / marshalling room</t>
        </is>
      </c>
      <c r="E5350" s="12" t="inlineStr"/>
      <c r="F5350" s="12" t="inlineStr">
        <is>
          <t>H2 20: 13.8 kV e-house</t>
        </is>
      </c>
      <c r="G5350" s="12" t="inlineStr">
        <is>
          <t>JB-H2 24: water purif-SOL01</t>
        </is>
      </c>
      <c r="H5350" s="12" t="inlineStr">
        <is>
          <t>H2 24: water purification (RO / EDI)</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146</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K-C-0051</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25: H2 dryer / purification</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Conduit link</t>
        </is>
      </c>
      <c r="T5351" s="16" t="n">
        <v>0</v>
      </c>
      <c r="U5351" s="16" t="n">
        <v>49</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K-C-0052</t>
        </is>
      </c>
      <c r="B5352" s="12" t="inlineStr">
        <is>
          <t>K</t>
        </is>
      </c>
      <c r="C5352" s="12" t="inlineStr">
        <is>
          <t>Fuel supply (adjacent market)</t>
        </is>
      </c>
      <c r="D5352" s="12" t="inlineStr">
        <is>
          <t>Solenoid to JB JB-H2 25: H2 dryer / -SOL01: 2 x 2/C (field cables)</t>
        </is>
      </c>
      <c r="E5352" s="12" t="inlineStr"/>
      <c r="F5352" s="12" t="inlineStr">
        <is>
          <t>H2 25: H2 dryer / purification</t>
        </is>
      </c>
      <c r="G5352" s="12" t="inlineStr">
        <is>
          <t>JB-H2 25: H2 dryer / -SOL01</t>
        </is>
      </c>
      <c r="H5352" s="12" t="inlineStr">
        <is>
          <t>H2 25: H2 dryer / purification</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60</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K-C-0053</t>
        </is>
      </c>
      <c r="B5353" s="12" t="inlineStr">
        <is>
          <t>K</t>
        </is>
      </c>
      <c r="C5353" s="12" t="inlineStr">
        <is>
          <t>Fuel supply (adjacent market)</t>
        </is>
      </c>
      <c r="D5353" s="12" t="inlineStr">
        <is>
          <t>Home run JB-H2 25: H2 dryer / -SOL01 to the control / marshalling room</t>
        </is>
      </c>
      <c r="E5353" s="12" t="inlineStr"/>
      <c r="F5353" s="12" t="inlineStr">
        <is>
          <t>H2 20: 13.8 kV e-house</t>
        </is>
      </c>
      <c r="G5353" s="12" t="inlineStr">
        <is>
          <t>JB-H2 25: H2 dryer / -SOL01</t>
        </is>
      </c>
      <c r="H5353" s="12" t="inlineStr">
        <is>
          <t>H2 25: H2 dryer / purification</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Conduit link</t>
        </is>
      </c>
      <c r="T5353" s="16" t="n">
        <v>0</v>
      </c>
      <c r="U5353" s="16" t="n">
        <v>49</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K-C-0054</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26: H2 compressor 1 (40 ft ISO)</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Conduit link</t>
        </is>
      </c>
      <c r="T5354" s="16" t="n">
        <v>44</v>
      </c>
      <c r="U5354" s="16" t="n">
        <v>32</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K-C-0055</t>
        </is>
      </c>
      <c r="B5355" s="12" t="inlineStr">
        <is>
          <t>K</t>
        </is>
      </c>
      <c r="C5355" s="12" t="inlineStr">
        <is>
          <t>Fuel supply (adjacent market)</t>
        </is>
      </c>
      <c r="D5355" s="12" t="inlineStr">
        <is>
          <t>Solenoid to JB JB-H2 26: H2 compress-SOL01: 2 x 2/C (field cables)</t>
        </is>
      </c>
      <c r="E5355" s="12" t="inlineStr"/>
      <c r="F5355" s="12" t="inlineStr">
        <is>
          <t>H2 26: H2 compressor 1 (40 ft ISO)</t>
        </is>
      </c>
      <c r="G5355" s="12" t="inlineStr">
        <is>
          <t>JB-H2 26: H2 compress-SOL01</t>
        </is>
      </c>
      <c r="H5355" s="12" t="inlineStr">
        <is>
          <t>H2 26: H2 compressor 1 (40 ft ISO)</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53</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K-C-0056</t>
        </is>
      </c>
      <c r="B5356" s="12" t="inlineStr">
        <is>
          <t>K</t>
        </is>
      </c>
      <c r="C5356" s="12" t="inlineStr">
        <is>
          <t>Fuel supply (adjacent market)</t>
        </is>
      </c>
      <c r="D5356" s="12" t="inlineStr">
        <is>
          <t>Home run JB-H2 26: H2 compress-SOL01 to the control / marshalling room</t>
        </is>
      </c>
      <c r="E5356" s="12" t="inlineStr"/>
      <c r="F5356" s="12" t="inlineStr">
        <is>
          <t>H2 20: 13.8 kV e-house</t>
        </is>
      </c>
      <c r="G5356" s="12" t="inlineStr">
        <is>
          <t>JB-H2 26: H2 compress-SOL01</t>
        </is>
      </c>
      <c r="H5356" s="12" t="inlineStr">
        <is>
          <t>H2 26: H2 compressor 1 (40 ft ISO)</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Conduit link</t>
        </is>
      </c>
      <c r="T5356" s="16" t="n">
        <v>44</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K-C-0057</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26: H2 compressor 2 (40 ft ISO)</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Conduit link</t>
        </is>
      </c>
      <c r="T5357" s="16" t="n">
        <v>44</v>
      </c>
      <c r="U5357" s="16" t="n">
        <v>47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K-C-0058</t>
        </is>
      </c>
      <c r="B5358" s="12" t="inlineStr">
        <is>
          <t>K</t>
        </is>
      </c>
      <c r="C5358" s="12" t="inlineStr">
        <is>
          <t>Fuel supply (adjacent market)</t>
        </is>
      </c>
      <c r="D5358" s="12" t="inlineStr">
        <is>
          <t>Solenoid to JB JB-H2 26: H2 compress-SOL01: 2 x 2/C (field cables)</t>
        </is>
      </c>
      <c r="E5358" s="12" t="inlineStr"/>
      <c r="F5358" s="12" t="inlineStr">
        <is>
          <t>H2 26: H2 compressor 2 (40 ft ISO)</t>
        </is>
      </c>
      <c r="G5358" s="12" t="inlineStr">
        <is>
          <t>JB-H2 26: H2 compress-SOL01</t>
        </is>
      </c>
      <c r="H5358" s="12" t="inlineStr">
        <is>
          <t>H2 26: H2 compressor 2 (40 ft ISO)</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53</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K-C-0059</t>
        </is>
      </c>
      <c r="B5359" s="12" t="inlineStr">
        <is>
          <t>K</t>
        </is>
      </c>
      <c r="C5359" s="12" t="inlineStr">
        <is>
          <t>Fuel supply (adjacent market)</t>
        </is>
      </c>
      <c r="D5359" s="12" t="inlineStr">
        <is>
          <t>Home run JB-H2 26: H2 compress-SOL01 to the control / marshalling room</t>
        </is>
      </c>
      <c r="E5359" s="12" t="inlineStr"/>
      <c r="F5359" s="12" t="inlineStr">
        <is>
          <t>H2 20: 13.8 kV e-house</t>
        </is>
      </c>
      <c r="G5359" s="12" t="inlineStr">
        <is>
          <t>JB-H2 26: H2 compress-SOL01</t>
        </is>
      </c>
      <c r="H5359" s="12" t="inlineStr">
        <is>
          <t>H2 26: H2 compressor 2 (40 ft ISO)</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Conduit link</t>
        </is>
      </c>
      <c r="T5359" s="16" t="n">
        <v>44</v>
      </c>
      <c r="U5359" s="16" t="n">
        <v>47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K-C-0060</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Conduit link</t>
        </is>
      </c>
      <c r="T5360" s="16" t="n">
        <v>44</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K-C-0061</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K-C-0062</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Conduit link</t>
        </is>
      </c>
      <c r="T5362" s="16" t="n">
        <v>44</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K-C-0063</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Conduit link</t>
        </is>
      </c>
      <c r="T5363" s="16" t="n">
        <v>44</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K-C-0064</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K-C-0065</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Conduit link</t>
        </is>
      </c>
      <c r="T5365" s="16" t="n">
        <v>44</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K-C-0066</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27: storage tube bank (~40 ft tubes)</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Conduit link</t>
        </is>
      </c>
      <c r="T5366" s="16" t="n">
        <v>44</v>
      </c>
      <c r="U5366" s="16" t="n">
        <v>97</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K-C-0067</t>
        </is>
      </c>
      <c r="B5367" s="12" t="inlineStr">
        <is>
          <t>K</t>
        </is>
      </c>
      <c r="C5367" s="12" t="inlineStr">
        <is>
          <t>Fuel supply (adjacent market)</t>
        </is>
      </c>
      <c r="D5367" s="12" t="inlineStr">
        <is>
          <t>Solenoid to JB JB-H2 27: storage tub-SOL01: 2 x 2/C (field cables)</t>
        </is>
      </c>
      <c r="E5367" s="12" t="inlineStr"/>
      <c r="F5367" s="12" t="inlineStr">
        <is>
          <t>H2 27: storage tube bank (~40 ft tubes)</t>
        </is>
      </c>
      <c r="G5367" s="12" t="inlineStr">
        <is>
          <t>JB-H2 27: storage tub-SOL01</t>
        </is>
      </c>
      <c r="H5367" s="12" t="inlineStr">
        <is>
          <t>H2 27: storage tube bank (~40 ft tubes)</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54</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K-C-0068</t>
        </is>
      </c>
      <c r="B5368" s="12" t="inlineStr">
        <is>
          <t>K</t>
        </is>
      </c>
      <c r="C5368" s="12" t="inlineStr">
        <is>
          <t>Fuel supply (adjacent market)</t>
        </is>
      </c>
      <c r="D5368" s="12" t="inlineStr">
        <is>
          <t>Home run JB-H2 27: storage tub-SOL01 to the control / marshalling room</t>
        </is>
      </c>
      <c r="E5368" s="12" t="inlineStr"/>
      <c r="F5368" s="12" t="inlineStr">
        <is>
          <t>H2 20: 13.8 kV e-house</t>
        </is>
      </c>
      <c r="G5368" s="12" t="inlineStr">
        <is>
          <t>JB-H2 27: storage tub-SOL01</t>
        </is>
      </c>
      <c r="H5368" s="12" t="inlineStr">
        <is>
          <t>H2 27: storage tube bank (~40 ft tubes)</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Conduit link</t>
        </is>
      </c>
      <c r="T5368" s="16" t="n">
        <v>44</v>
      </c>
      <c r="U5368" s="16" t="n">
        <v>97</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K-C-0069</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27: storage tube bank (~40 ft tubes)</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Conduit link</t>
        </is>
      </c>
      <c r="T5369" s="16" t="n">
        <v>44</v>
      </c>
      <c r="U5369" s="16" t="n">
        <v>117</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K-C-0070</t>
        </is>
      </c>
      <c r="B5370" s="12" t="inlineStr">
        <is>
          <t>K</t>
        </is>
      </c>
      <c r="C5370" s="12" t="inlineStr">
        <is>
          <t>Fuel supply (adjacent market)</t>
        </is>
      </c>
      <c r="D5370" s="12" t="inlineStr">
        <is>
          <t>Solenoid to JB JB-H2 27: storage tub-SOL01: 2 x 2/C (field cables)</t>
        </is>
      </c>
      <c r="E5370" s="12" t="inlineStr"/>
      <c r="F5370" s="12" t="inlineStr">
        <is>
          <t>H2 27: storage tube bank (~40 ft tubes)</t>
        </is>
      </c>
      <c r="G5370" s="12" t="inlineStr">
        <is>
          <t>JB-H2 27: storage tub-SOL01</t>
        </is>
      </c>
      <c r="H5370" s="12" t="inlineStr">
        <is>
          <t>H2 27: storage tube bank (~40 ft tubes)</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54</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K-C-0071</t>
        </is>
      </c>
      <c r="B5371" s="12" t="inlineStr">
        <is>
          <t>K</t>
        </is>
      </c>
      <c r="C5371" s="12" t="inlineStr">
        <is>
          <t>Fuel supply (adjacent market)</t>
        </is>
      </c>
      <c r="D5371" s="12" t="inlineStr">
        <is>
          <t>Home run JB-H2 27: storage tub-SOL01 to the control / marshalling room</t>
        </is>
      </c>
      <c r="E5371" s="12" t="inlineStr"/>
      <c r="F5371" s="12" t="inlineStr">
        <is>
          <t>H2 20: 13.8 kV e-house</t>
        </is>
      </c>
      <c r="G5371" s="12" t="inlineStr">
        <is>
          <t>JB-H2 27: storage tub-SOL01</t>
        </is>
      </c>
      <c r="H5371" s="12" t="inlineStr">
        <is>
          <t>H2 27: storage tube bank (~40 ft tubes)</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Conduit link</t>
        </is>
      </c>
      <c r="T5371" s="16" t="n">
        <v>44</v>
      </c>
      <c r="U5371" s="16" t="n">
        <v>117</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K-C-0072</t>
        </is>
      </c>
      <c r="B5372" s="12" t="inlineStr">
        <is>
          <t>K</t>
        </is>
      </c>
      <c r="C5372" s="12" t="inlineStr">
        <is>
          <t>Fuel supply (adjacent market)</t>
        </is>
      </c>
      <c r="D5372" s="12" t="inlineStr">
        <is>
          <t>Motor 1 of 1: control / local station</t>
        </is>
      </c>
      <c r="E5372" s="12" t="inlineStr"/>
      <c r="F5372" s="12" t="inlineStr">
        <is>
          <t>H2 20: 13.8 kV e-house</t>
        </is>
      </c>
      <c r="G5372" s="12" t="inlineStr"/>
      <c r="H5372" s="12" t="inlineStr">
        <is>
          <t>H2 28: N2 purge supply</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53</v>
      </c>
      <c r="U5372" s="16" t="n">
        <v>36</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K-C-0073</t>
        </is>
      </c>
      <c r="B5373" s="12" t="inlineStr">
        <is>
          <t>K</t>
        </is>
      </c>
      <c r="C5373" s="12" t="inlineStr">
        <is>
          <t>Fuel supply (adjacent market)</t>
        </is>
      </c>
      <c r="D5373" s="12" t="inlineStr">
        <is>
          <t>Solenoid to JB JB-H2 28: N2 purge su-SOL01: 2 x 2/C (field cables)</t>
        </is>
      </c>
      <c r="E5373" s="12" t="inlineStr"/>
      <c r="F5373" s="12" t="inlineStr">
        <is>
          <t>H2 28: N2 purge supply</t>
        </is>
      </c>
      <c r="G5373" s="12" t="inlineStr">
        <is>
          <t>JB-H2 28: N2 purge su-SOL01</t>
        </is>
      </c>
      <c r="H5373" s="12" t="inlineStr">
        <is>
          <t>H2 28: N2 purge supply</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56</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K-C-0074</t>
        </is>
      </c>
      <c r="B5374" s="12" t="inlineStr">
        <is>
          <t>K</t>
        </is>
      </c>
      <c r="C5374" s="12" t="inlineStr">
        <is>
          <t>Fuel supply (adjacent market)</t>
        </is>
      </c>
      <c r="D5374" s="12" t="inlineStr">
        <is>
          <t>Home run JB-H2 28: N2 purge su-SOL01 to the control / marshalling room</t>
        </is>
      </c>
      <c r="E5374" s="12" t="inlineStr"/>
      <c r="F5374" s="12" t="inlineStr">
        <is>
          <t>H2 20: 13.8 kV e-house</t>
        </is>
      </c>
      <c r="G5374" s="12" t="inlineStr">
        <is>
          <t>JB-H2 28: N2 purge su-SOL01</t>
        </is>
      </c>
      <c r="H5374" s="12" t="inlineStr">
        <is>
          <t>H2 28: N2 purge supply</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53</v>
      </c>
      <c r="U5374" s="16" t="n">
        <v>36</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K-C-0075</t>
        </is>
      </c>
      <c r="B5375" s="12" t="inlineStr">
        <is>
          <t>K</t>
        </is>
      </c>
      <c r="C5375" s="12" t="inlineStr">
        <is>
          <t>Fuel supply (adjacent market)</t>
        </is>
      </c>
      <c r="D5375" s="12" t="inlineStr">
        <is>
          <t>Motor 1 of 1: control / local station</t>
        </is>
      </c>
      <c r="E5375" s="12" t="inlineStr"/>
      <c r="F5375" s="12" t="inlineStr">
        <is>
          <t>H2 20: 13.8 kV e-house</t>
        </is>
      </c>
      <c r="G5375" s="12" t="inlineStr"/>
      <c r="H5375" s="12" t="inlineStr">
        <is>
          <t>H2 29: vent stack</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Conduit link</t>
        </is>
      </c>
      <c r="T5375" s="16" t="n">
        <v>44</v>
      </c>
      <c r="U5375" s="16" t="n">
        <v>210</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K-C-0076</t>
        </is>
      </c>
      <c r="B5376" s="12" t="inlineStr">
        <is>
          <t>K</t>
        </is>
      </c>
      <c r="C5376" s="12" t="inlineStr">
        <is>
          <t>Fuel supply (adjacent market)</t>
        </is>
      </c>
      <c r="D5376" s="12" t="inlineStr">
        <is>
          <t>Solenoid to JB JB-H2 29: vent stack-SOL01: 2 x 2/C (field cables)</t>
        </is>
      </c>
      <c r="E5376" s="12" t="inlineStr"/>
      <c r="F5376" s="12" t="inlineStr">
        <is>
          <t>H2 29: vent stack</t>
        </is>
      </c>
      <c r="G5376" s="12" t="inlineStr">
        <is>
          <t>JB-H2 29: vent stack-SOL01</t>
        </is>
      </c>
      <c r="H5376" s="12" t="inlineStr">
        <is>
          <t>H2 29: vent stack</t>
        </is>
      </c>
      <c r="I5376" s="12" t="inlineStr">
        <is>
          <t>Control</t>
        </is>
      </c>
      <c r="J5376" s="12" t="inlineStr">
        <is>
          <t>ARMOR-X MC-HL 600 V control, Cu #14 AWG (Class I Div 2)</t>
        </is>
      </c>
      <c r="K5376" s="12" t="inlineStr">
        <is>
          <t>CTAX|2/C|14</t>
        </is>
      </c>
      <c r="L5376" s="12" t="inlineStr">
        <is>
          <t>2/C</t>
        </is>
      </c>
      <c r="M5376" s="12" t="inlineStr">
        <is>
          <t>14</t>
        </is>
      </c>
      <c r="N5376" s="12" t="n">
        <v>2</v>
      </c>
      <c r="O5376" s="12" t="n">
        <v>1</v>
      </c>
      <c r="P5376" s="12" t="n"/>
      <c r="Q5376" s="12" t="n"/>
      <c r="R5376" s="12" t="n"/>
      <c r="S5376" s="12" t="inlineStr">
        <is>
          <t>Tray / conduit</t>
        </is>
      </c>
      <c r="T5376" s="16" t="n">
        <v>45</v>
      </c>
      <c r="U5376" s="16" t="n">
        <v>10</v>
      </c>
      <c r="V5376" s="16">
        <f>ROUNDUP((T5376+U5376+2*'Read Me'!$B$13)*(1+'Read Me'!$B$12),-1)</f>
        <v/>
      </c>
      <c r="W5376" s="16">
        <f>V5376*N5376*O5376</f>
        <v/>
      </c>
      <c r="X5376" s="12">
        <f>IF(LEFT(I5376,2)="MV",2*N5376*IF(L5376="1/C",O5376,1),0)</f>
        <v/>
      </c>
      <c r="Y5376" s="12">
        <f>IF(OR(LEFT(K5376,4)="LVAX",LEFT(K5376,6)="MV15AX",LEFT(K5376,4)="CTAX",LEFT(K5376,2)="W|"),2*N5376*O5376,0)</f>
        <v/>
      </c>
      <c r="Z5376" s="12" t="inlineStr">
        <is>
          <t>device-to-JB field wiring, one cable per device</t>
        </is>
      </c>
      <c r="AA5376" s="12">
        <f>N5376*O5376</f>
        <v/>
      </c>
    </row>
    <row r="5377">
      <c r="A5377" s="12" t="inlineStr">
        <is>
          <t>K-C-0077</t>
        </is>
      </c>
      <c r="B5377" s="12" t="inlineStr">
        <is>
          <t>K</t>
        </is>
      </c>
      <c r="C5377" s="12" t="inlineStr">
        <is>
          <t>Fuel supply (adjacent market)</t>
        </is>
      </c>
      <c r="D5377" s="12" t="inlineStr">
        <is>
          <t>Home run JB-H2 29: vent stack-SOL01 to the control / marshalling room</t>
        </is>
      </c>
      <c r="E5377" s="12" t="inlineStr"/>
      <c r="F5377" s="12" t="inlineStr">
        <is>
          <t>H2 20: 13.8 kV e-house</t>
        </is>
      </c>
      <c r="G5377" s="12" t="inlineStr">
        <is>
          <t>JB-H2 29: vent stack-SOL01</t>
        </is>
      </c>
      <c r="H5377" s="12" t="inlineStr">
        <is>
          <t>H2 29: vent stack</t>
        </is>
      </c>
      <c r="I5377" s="12" t="inlineStr">
        <is>
          <t>Control</t>
        </is>
      </c>
      <c r="J5377" s="12" t="inlineStr">
        <is>
          <t>ARMOR-X MC-HL 600 V control, Cu #14 AWG (Class I Div 2)</t>
        </is>
      </c>
      <c r="K5377" s="12" t="inlineStr">
        <is>
          <t>CTAX|25/C|14</t>
        </is>
      </c>
      <c r="L5377" s="12" t="inlineStr">
        <is>
          <t>25/C</t>
        </is>
      </c>
      <c r="M5377" s="12" t="inlineStr">
        <is>
          <t>14</t>
        </is>
      </c>
      <c r="N5377" s="12" t="n">
        <v>1</v>
      </c>
      <c r="O5377" s="12" t="n">
        <v>1</v>
      </c>
      <c r="P5377" s="12" t="n"/>
      <c r="Q5377" s="12" t="n"/>
      <c r="R5377" s="12" t="n"/>
      <c r="S5377" s="12" t="inlineStr">
        <is>
          <t>Conduit link</t>
        </is>
      </c>
      <c r="T5377" s="16" t="n">
        <v>44</v>
      </c>
      <c r="U5377" s="16" t="n">
        <v>210</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K-C-0078</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H2 30: H2 / gas blending station (plant gas yard)</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1017</v>
      </c>
      <c r="U5378" s="16" t="n">
        <v>114</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K-C-0079</t>
        </is>
      </c>
      <c r="B5379" s="12" t="inlineStr">
        <is>
          <t>K</t>
        </is>
      </c>
      <c r="C5379" s="12" t="inlineStr">
        <is>
          <t>Fuel supply (adjacent market)</t>
        </is>
      </c>
      <c r="D5379" s="12" t="inlineStr">
        <is>
          <t>Solenoid to JB JB-H2 30: H2 / gas bl-SOL01: 2 x 2/C (field cables)</t>
        </is>
      </c>
      <c r="E5379" s="12" t="inlineStr"/>
      <c r="F5379" s="12" t="inlineStr">
        <is>
          <t>H2 30: H2 / gas blending station (plant gas yard)</t>
        </is>
      </c>
      <c r="G5379" s="12" t="inlineStr">
        <is>
          <t>JB-H2 30: H2 / gas bl-SOL01</t>
        </is>
      </c>
      <c r="H5379" s="12" t="inlineStr">
        <is>
          <t>H2 30: H2 / gas blending station (plant gas yard)</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129</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K-C-0080</t>
        </is>
      </c>
      <c r="B5380" s="12" t="inlineStr">
        <is>
          <t>K</t>
        </is>
      </c>
      <c r="C5380" s="12" t="inlineStr">
        <is>
          <t>Fuel supply (adjacent market)</t>
        </is>
      </c>
      <c r="D5380" s="12" t="inlineStr">
        <is>
          <t>Home run JB-H2 30: H2 / gas bl-SOL01 to the control / marshalling room</t>
        </is>
      </c>
      <c r="E5380" s="12" t="inlineStr"/>
      <c r="F5380" s="12" t="inlineStr">
        <is>
          <t>LNG 17: LNG e-house (13.8 kV / 480 V)</t>
        </is>
      </c>
      <c r="G5380" s="12" t="inlineStr">
        <is>
          <t>JB-H2 30: H2 / gas bl-SOL01</t>
        </is>
      </c>
      <c r="H5380" s="12" t="inlineStr">
        <is>
          <t>H2 30: H2 / gas blending station (plant gas yard)</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1017</v>
      </c>
      <c r="U5380" s="16" t="n">
        <v>114</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K-C-0081</t>
        </is>
      </c>
      <c r="B5381" s="12" t="inlineStr">
        <is>
          <t>K</t>
        </is>
      </c>
      <c r="C5381" s="12" t="inlineStr">
        <is>
          <t>Fuel supply (adjacent market)</t>
        </is>
      </c>
      <c r="D5381" s="12" t="inlineStr">
        <is>
          <t>Motor 1 of 2: control / local station</t>
        </is>
      </c>
      <c r="E5381" s="12" t="inlineStr"/>
      <c r="F5381" s="12" t="inlineStr">
        <is>
          <t>H2 20: 13.8 kV e-house</t>
        </is>
      </c>
      <c r="G5381" s="12" t="inlineStr"/>
      <c r="H5381" s="12" t="inlineStr">
        <is>
          <t>H2 pipe track and cable trench, hall -&gt; dryer / compressors (N2, instr</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53</v>
      </c>
      <c r="U5381" s="16" t="n">
        <v>62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K-C-0082</t>
        </is>
      </c>
      <c r="B5382" s="12" t="inlineStr">
        <is>
          <t>K</t>
        </is>
      </c>
      <c r="C5382" s="12" t="inlineStr">
        <is>
          <t>Fuel supply (adjacent market)</t>
        </is>
      </c>
      <c r="D5382" s="12" t="inlineStr">
        <is>
          <t>Motor 2 of 2: control / local station</t>
        </is>
      </c>
      <c r="E5382" s="12" t="inlineStr"/>
      <c r="F5382" s="12" t="inlineStr">
        <is>
          <t>H2 20: 13.8 kV e-house</t>
        </is>
      </c>
      <c r="G5382" s="12" t="inlineStr"/>
      <c r="H5382" s="12" t="inlineStr">
        <is>
          <t>H2 pipe track and cable trench, hall -&gt; dryer / compressors (N2, instr</t>
        </is>
      </c>
      <c r="I5382" s="12" t="inlineStr">
        <is>
          <t>Control</t>
        </is>
      </c>
      <c r="J5382" s="12" t="inlineStr">
        <is>
          <t>ARMOR-X MC-HL 600 V control, Cu #14 AWG (Class I Div 2)</t>
        </is>
      </c>
      <c r="K5382" s="12" t="inlineStr">
        <is>
          <t>CTAX|7/C|14</t>
        </is>
      </c>
      <c r="L5382" s="12" t="inlineStr">
        <is>
          <t>7/C</t>
        </is>
      </c>
      <c r="M5382" s="12" t="inlineStr">
        <is>
          <t>14</t>
        </is>
      </c>
      <c r="N5382" s="12" t="n">
        <v>1</v>
      </c>
      <c r="O5382" s="12" t="n">
        <v>1</v>
      </c>
      <c r="P5382" s="12" t="n"/>
      <c r="Q5382" s="12" t="n"/>
      <c r="R5382" s="12" t="n"/>
      <c r="S5382" s="12" t="inlineStr">
        <is>
          <t>Duct bank</t>
        </is>
      </c>
      <c r="T5382" s="16" t="n">
        <v>53</v>
      </c>
      <c r="U5382" s="16" t="n">
        <v>62</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K-C-0083</t>
        </is>
      </c>
      <c r="B5383" s="12" t="inlineStr">
        <is>
          <t>K</t>
        </is>
      </c>
      <c r="C5383" s="12" t="inlineStr">
        <is>
          <t>Fuel supply (adjacent market)</t>
        </is>
      </c>
      <c r="D5383" s="12" t="inlineStr">
        <is>
          <t>Control</t>
        </is>
      </c>
      <c r="E5383" s="12" t="inlineStr"/>
      <c r="F5383" s="12" t="inlineStr">
        <is>
          <t>H2 20: 13.8 kV e-house</t>
        </is>
      </c>
      <c r="G5383" s="12" t="inlineStr">
        <is>
          <t>H2-ST</t>
        </is>
      </c>
      <c r="H5383" s="12" t="inlineStr">
        <is>
          <t>H2 storage tube banks x4</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Conduit link</t>
        </is>
      </c>
      <c r="T5383" s="16" t="n">
        <v>44</v>
      </c>
      <c r="U5383" s="16" t="n">
        <v>92</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K-C-0084</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truck unloading bay 1</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61</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K-C-0085</t>
        </is>
      </c>
      <c r="B5385" s="12" t="inlineStr">
        <is>
          <t>K</t>
        </is>
      </c>
      <c r="C5385" s="12" t="inlineStr">
        <is>
          <t>Fuel supply (adjacent market)</t>
        </is>
      </c>
      <c r="D5385" s="12" t="inlineStr">
        <is>
          <t>Solenoid to JB JB-LNG 10: truck unlo-SOL01: 2 x 2/C (field cables)</t>
        </is>
      </c>
      <c r="E5385" s="12" t="inlineStr"/>
      <c r="F5385" s="12" t="inlineStr">
        <is>
          <t>LNG 10: truck unloading bay 1</t>
        </is>
      </c>
      <c r="G5385" s="12" t="inlineStr">
        <is>
          <t>JB-LNG 10: truck unlo-SOL01</t>
        </is>
      </c>
      <c r="H5385" s="12" t="inlineStr">
        <is>
          <t>LNG 10: truck unloading bay 1</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72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K-C-0086</t>
        </is>
      </c>
      <c r="B5386" s="12" t="inlineStr">
        <is>
          <t>K</t>
        </is>
      </c>
      <c r="C5386" s="12" t="inlineStr">
        <is>
          <t>Fuel supply (adjacent market)</t>
        </is>
      </c>
      <c r="D5386" s="12" t="inlineStr">
        <is>
          <t>Home run JB-LNG 10: truck unlo-SOL01 to the control / marshalling room</t>
        </is>
      </c>
      <c r="E5386" s="12" t="inlineStr"/>
      <c r="F5386" s="12" t="inlineStr">
        <is>
          <t>LNG 17: LNG e-house (13.8 kV / 480 V)</t>
        </is>
      </c>
      <c r="G5386" s="12" t="inlineStr">
        <is>
          <t>JB-LNG 10: truck unlo-SOL01</t>
        </is>
      </c>
      <c r="H5386" s="12" t="inlineStr">
        <is>
          <t>LNG 10: truck unloading bay 1</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61</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K-C-0087</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10: truck unloading bay 2</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147</v>
      </c>
      <c r="U5387" s="16" t="n">
        <v>66</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K-C-0088</t>
        </is>
      </c>
      <c r="B5388" s="12" t="inlineStr">
        <is>
          <t>K</t>
        </is>
      </c>
      <c r="C5388" s="12" t="inlineStr">
        <is>
          <t>Fuel supply (adjacent market)</t>
        </is>
      </c>
      <c r="D5388" s="12" t="inlineStr">
        <is>
          <t>Solenoid to JB JB-LNG 10: truck unlo-SOL01: 2 x 2/C (field cables)</t>
        </is>
      </c>
      <c r="E5388" s="12" t="inlineStr"/>
      <c r="F5388" s="12" t="inlineStr">
        <is>
          <t>LNG 10: truck unloading bay 2</t>
        </is>
      </c>
      <c r="G5388" s="12" t="inlineStr">
        <is>
          <t>JB-LNG 10: truck unlo-SOL01</t>
        </is>
      </c>
      <c r="H5388" s="12" t="inlineStr">
        <is>
          <t>LNG 10: truck unloading bay 2</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72</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K-C-0089</t>
        </is>
      </c>
      <c r="B5389" s="12" t="inlineStr">
        <is>
          <t>K</t>
        </is>
      </c>
      <c r="C5389" s="12" t="inlineStr">
        <is>
          <t>Fuel supply (adjacent market)</t>
        </is>
      </c>
      <c r="D5389" s="12" t="inlineStr">
        <is>
          <t>Home run JB-LNG 10: truck unlo-SOL01 to the control / marshalling room</t>
        </is>
      </c>
      <c r="E5389" s="12" t="inlineStr"/>
      <c r="F5389" s="12" t="inlineStr">
        <is>
          <t>LNG 17: LNG e-house (13.8 kV / 480 V)</t>
        </is>
      </c>
      <c r="G5389" s="12" t="inlineStr">
        <is>
          <t>JB-LNG 10: truck unlo-SOL01</t>
        </is>
      </c>
      <c r="H5389" s="12" t="inlineStr">
        <is>
          <t>LNG 10: truck unloading bay 2</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147</v>
      </c>
      <c r="U5389" s="16" t="n">
        <v>66</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K-C-0090</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10: unloading skid</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237</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K-C-0091</t>
        </is>
      </c>
      <c r="B5391" s="12" t="inlineStr">
        <is>
          <t>K</t>
        </is>
      </c>
      <c r="C5391" s="12" t="inlineStr">
        <is>
          <t>Fuel supply (adjacent market)</t>
        </is>
      </c>
      <c r="D5391" s="12" t="inlineStr">
        <is>
          <t>Solenoid to JB JB-LNG 10: unloading -SOL01: 2 x 2/C (field cables)</t>
        </is>
      </c>
      <c r="E5391" s="12" t="inlineStr"/>
      <c r="F5391" s="12" t="inlineStr">
        <is>
          <t>LNG 10: unloading skid</t>
        </is>
      </c>
      <c r="G5391" s="12" t="inlineStr">
        <is>
          <t>JB-LNG 10: unloading -SOL01</t>
        </is>
      </c>
      <c r="H5391" s="12" t="inlineStr">
        <is>
          <t>LNG 10: unloading skid</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54</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K-C-0092</t>
        </is>
      </c>
      <c r="B5392" s="12" t="inlineStr">
        <is>
          <t>K</t>
        </is>
      </c>
      <c r="C5392" s="12" t="inlineStr">
        <is>
          <t>Fuel supply (adjacent market)</t>
        </is>
      </c>
      <c r="D5392" s="12" t="inlineStr">
        <is>
          <t>Home run JB-LNG 10: unloading -SOL01 to the control / marshalling room</t>
        </is>
      </c>
      <c r="E5392" s="12" t="inlineStr"/>
      <c r="F5392" s="12" t="inlineStr">
        <is>
          <t>LNG 17: LNG e-house (13.8 kV / 480 V)</t>
        </is>
      </c>
      <c r="G5392" s="12" t="inlineStr">
        <is>
          <t>JB-LNG 10: unloading -SOL01</t>
        </is>
      </c>
      <c r="H5392" s="12" t="inlineStr">
        <is>
          <t>LNG 10: unloading skid</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237</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K-C-0093</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12: spill impoundment (NFPA 59A, to verify)</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230</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K-C-0094</t>
        </is>
      </c>
      <c r="B5394" s="12" t="inlineStr">
        <is>
          <t>K</t>
        </is>
      </c>
      <c r="C5394" s="12" t="inlineStr">
        <is>
          <t>Fuel supply (adjacent market)</t>
        </is>
      </c>
      <c r="D5394" s="12" t="inlineStr">
        <is>
          <t>Solenoid to JB JB-LNG 12: spill impo-SOL01: 2 x 2/C (field cables)</t>
        </is>
      </c>
      <c r="E5394" s="12" t="inlineStr"/>
      <c r="F5394" s="12" t="inlineStr">
        <is>
          <t>LNG 12: spill impoundment (NFPA 59A, to verify)</t>
        </is>
      </c>
      <c r="G5394" s="12" t="inlineStr">
        <is>
          <t>JB-LNG 12: spill impo-SOL01</t>
        </is>
      </c>
      <c r="H5394" s="12" t="inlineStr">
        <is>
          <t>LNG 12: spill impoundment (NFPA 59A, to verify)</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170</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K-C-0095</t>
        </is>
      </c>
      <c r="B5395" s="12" t="inlineStr">
        <is>
          <t>K</t>
        </is>
      </c>
      <c r="C5395" s="12" t="inlineStr">
        <is>
          <t>Fuel supply (adjacent market)</t>
        </is>
      </c>
      <c r="D5395" s="12" t="inlineStr">
        <is>
          <t>Home run JB-LNG 12: spill impo-SOL01 to the control / marshalling room</t>
        </is>
      </c>
      <c r="E5395" s="12" t="inlineStr"/>
      <c r="F5395" s="12" t="inlineStr">
        <is>
          <t>LNG 17: LNG e-house (13.8 kV / 480 V)</t>
        </is>
      </c>
      <c r="G5395" s="12" t="inlineStr">
        <is>
          <t>JB-LNG 12: spill impo-SOL01</t>
        </is>
      </c>
      <c r="H5395" s="12" t="inlineStr">
        <is>
          <t>LNG 12: spill impoundment (NFPA 59A, to verify)</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230</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K-C-0096</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13: send-out pumps 2 x 100%</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110</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K-C-0097</t>
        </is>
      </c>
      <c r="B5397" s="12" t="inlineStr">
        <is>
          <t>K</t>
        </is>
      </c>
      <c r="C5397" s="12" t="inlineStr">
        <is>
          <t>Fuel supply (adjacent market)</t>
        </is>
      </c>
      <c r="D5397" s="12" t="inlineStr">
        <is>
          <t>Solenoid to JB JB-LNG 13: send-out p-SOL01: 2 x 2/C (field cables)</t>
        </is>
      </c>
      <c r="E5397" s="12" t="inlineStr"/>
      <c r="F5397" s="12" t="inlineStr">
        <is>
          <t>LNG 13: send-out pumps 2 x 100%</t>
        </is>
      </c>
      <c r="G5397" s="12" t="inlineStr">
        <is>
          <t>JB-LNG 13: send-out p-SOL01</t>
        </is>
      </c>
      <c r="H5397" s="12" t="inlineStr">
        <is>
          <t>LNG 13: send-out pumps 2 x 100%</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63</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K-C-0098</t>
        </is>
      </c>
      <c r="B5398" s="12" t="inlineStr">
        <is>
          <t>K</t>
        </is>
      </c>
      <c r="C5398" s="12" t="inlineStr">
        <is>
          <t>Fuel supply (adjacent market)</t>
        </is>
      </c>
      <c r="D5398" s="12" t="inlineStr">
        <is>
          <t>Home run JB-LNG 13: send-out p-SOL01 to the control / marshalling room</t>
        </is>
      </c>
      <c r="E5398" s="12" t="inlineStr"/>
      <c r="F5398" s="12" t="inlineStr">
        <is>
          <t>LNG 17: LNG e-house (13.8 kV / 480 V)</t>
        </is>
      </c>
      <c r="G5398" s="12" t="inlineStr">
        <is>
          <t>JB-LNG 13: send-out p-SOL01</t>
        </is>
      </c>
      <c r="H5398" s="12" t="inlineStr">
        <is>
          <t>LNG 13: send-out pumps 2 x 100%</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110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K-C-0099</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14: vaporizers + glycol heater</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259</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K-C-0100</t>
        </is>
      </c>
      <c r="B5400" s="12" t="inlineStr">
        <is>
          <t>K</t>
        </is>
      </c>
      <c r="C5400" s="12" t="inlineStr">
        <is>
          <t>Fuel supply (adjacent market)</t>
        </is>
      </c>
      <c r="D5400" s="12" t="inlineStr">
        <is>
          <t>Solenoid to JB JB-LNG 14: vaporizers-SOL01: 2 x 2/C (field cables)</t>
        </is>
      </c>
      <c r="E5400" s="12" t="inlineStr"/>
      <c r="F5400" s="12" t="inlineStr">
        <is>
          <t>LNG 14: vaporizers + glycol heater</t>
        </is>
      </c>
      <c r="G5400" s="12" t="inlineStr">
        <is>
          <t>JB-LNG 14: vaporizers-SOL01</t>
        </is>
      </c>
      <c r="H5400" s="12" t="inlineStr">
        <is>
          <t>LNG 14: vaporizers + glycol heater</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122</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K-C-0101</t>
        </is>
      </c>
      <c r="B5401" s="12" t="inlineStr">
        <is>
          <t>K</t>
        </is>
      </c>
      <c r="C5401" s="12" t="inlineStr">
        <is>
          <t>Fuel supply (adjacent market)</t>
        </is>
      </c>
      <c r="D5401" s="12" t="inlineStr">
        <is>
          <t>Home run JB-LNG 14: vaporizers-SOL01 to the control / marshalling room</t>
        </is>
      </c>
      <c r="E5401" s="12" t="inlineStr"/>
      <c r="F5401" s="12" t="inlineStr">
        <is>
          <t>LNG 17: LNG e-house (13.8 kV / 480 V)</t>
        </is>
      </c>
      <c r="G5401" s="12" t="inlineStr">
        <is>
          <t>JB-LNG 14: vaporizers-SOL01</t>
        </is>
      </c>
      <c r="H5401" s="12" t="inlineStr">
        <is>
          <t>LNG 14: vaporizers + glycol heater</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259</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K-C-0102</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15: boil-off gas compressor</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Duct bank</t>
        </is>
      </c>
      <c r="T5402" s="16" t="n">
        <v>25</v>
      </c>
      <c r="U5402" s="16" t="n">
        <v>54</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K-C-0103</t>
        </is>
      </c>
      <c r="B5403" s="12" t="inlineStr">
        <is>
          <t>K</t>
        </is>
      </c>
      <c r="C5403" s="12" t="inlineStr">
        <is>
          <t>Fuel supply (adjacent market)</t>
        </is>
      </c>
      <c r="D5403" s="12" t="inlineStr">
        <is>
          <t>Solenoid to JB JB-LNG 15: boil-off g-SOL01: 2 x 2/C (field cables)</t>
        </is>
      </c>
      <c r="E5403" s="12" t="inlineStr"/>
      <c r="F5403" s="12" t="inlineStr">
        <is>
          <t>LNG 15: boil-off gas compressor</t>
        </is>
      </c>
      <c r="G5403" s="12" t="inlineStr">
        <is>
          <t>JB-LNG 15: boil-off g-SOL01</t>
        </is>
      </c>
      <c r="H5403" s="12" t="inlineStr">
        <is>
          <t>LNG 15: boil-off gas compressor</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67</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K-C-0104</t>
        </is>
      </c>
      <c r="B5404" s="12" t="inlineStr">
        <is>
          <t>K</t>
        </is>
      </c>
      <c r="C5404" s="12" t="inlineStr">
        <is>
          <t>Fuel supply (adjacent market)</t>
        </is>
      </c>
      <c r="D5404" s="12" t="inlineStr">
        <is>
          <t>Home run JB-LNG 15: boil-off g-SOL01 to the control / marshalling room</t>
        </is>
      </c>
      <c r="E5404" s="12" t="inlineStr"/>
      <c r="F5404" s="12" t="inlineStr">
        <is>
          <t>LNG 17: LNG e-house (13.8 kV / 480 V)</t>
        </is>
      </c>
      <c r="G5404" s="12" t="inlineStr">
        <is>
          <t>JB-LNG 15: boil-off g-SOL01</t>
        </is>
      </c>
      <c r="H5404" s="12" t="inlineStr">
        <is>
          <t>LNG 15: boil-off gas compressor</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Duct bank</t>
        </is>
      </c>
      <c r="T5404" s="16" t="n">
        <v>25</v>
      </c>
      <c r="U5404" s="16" t="n">
        <v>54</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K-C-0105</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16: send-out metering + pressure control</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20</v>
      </c>
      <c r="U5405" s="16" t="n">
        <v>32</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K-C-0106</t>
        </is>
      </c>
      <c r="B5406" s="12" t="inlineStr">
        <is>
          <t>K</t>
        </is>
      </c>
      <c r="C5406" s="12" t="inlineStr">
        <is>
          <t>Fuel supply (adjacent market)</t>
        </is>
      </c>
      <c r="D5406" s="12" t="inlineStr">
        <is>
          <t>Solenoid to JB JB-LNG 16: send-out m-SOL01: 2 x 2/C (field cables)</t>
        </is>
      </c>
      <c r="E5406" s="12" t="inlineStr"/>
      <c r="F5406" s="12" t="inlineStr">
        <is>
          <t>LNG 16: send-out metering + pressure control</t>
        </is>
      </c>
      <c r="G5406" s="12" t="inlineStr">
        <is>
          <t>JB-LNG 16: send-out m-SOL01</t>
        </is>
      </c>
      <c r="H5406" s="12" t="inlineStr">
        <is>
          <t>LNG 16: send-out metering + pressure control</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74</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K-C-0107</t>
        </is>
      </c>
      <c r="B5407" s="12" t="inlineStr">
        <is>
          <t>K</t>
        </is>
      </c>
      <c r="C5407" s="12" t="inlineStr">
        <is>
          <t>Fuel supply (adjacent market)</t>
        </is>
      </c>
      <c r="D5407" s="12" t="inlineStr">
        <is>
          <t>Home run JB-LNG 16: send-out m-SOL01 to the control / marshalling room</t>
        </is>
      </c>
      <c r="E5407" s="12" t="inlineStr"/>
      <c r="F5407" s="12" t="inlineStr">
        <is>
          <t>LNG 17: LNG e-house (13.8 kV / 480 V)</t>
        </is>
      </c>
      <c r="G5407" s="12" t="inlineStr">
        <is>
          <t>JB-LNG 16: send-out m-SOL01</t>
        </is>
      </c>
      <c r="H5407" s="12" t="inlineStr">
        <is>
          <t>LNG 16: send-out metering + pressure control</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20</v>
      </c>
      <c r="U5407" s="16" t="n">
        <v>32</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K-C-0108</t>
        </is>
      </c>
      <c r="B5408" s="12" t="inlineStr">
        <is>
          <t>K</t>
        </is>
      </c>
      <c r="C5408" s="12" t="inlineStr">
        <is>
          <t>Fuel supply (adjacent market)</t>
        </is>
      </c>
      <c r="D5408" s="12" t="inlineStr">
        <is>
          <t>Motor 1 of 1: control / local station</t>
        </is>
      </c>
      <c r="E5408" s="12" t="inlineStr"/>
      <c r="F5408" s="12" t="inlineStr">
        <is>
          <t>LNG 17: LNG e-house (13.8 kV / 480 V)</t>
        </is>
      </c>
      <c r="G5408" s="12" t="inlineStr"/>
      <c r="H5408" s="12" t="inlineStr">
        <is>
          <t>LNG 17: LNG e-house (13.8 kV / 480 V)</t>
        </is>
      </c>
      <c r="I5408" s="12" t="inlineStr">
        <is>
          <t>Control</t>
        </is>
      </c>
      <c r="J5408" s="12" t="inlineStr">
        <is>
          <t>ARMOR-X MC-HL 600 V control, Cu #14 AWG (Class I Div 2)</t>
        </is>
      </c>
      <c r="K5408" s="12" t="inlineStr">
        <is>
          <t>CTAX|7/C|14</t>
        </is>
      </c>
      <c r="L5408" s="12" t="inlineStr">
        <is>
          <t>7/C</t>
        </is>
      </c>
      <c r="M5408" s="12" t="inlineStr">
        <is>
          <t>14</t>
        </is>
      </c>
      <c r="N5408" s="12" t="n">
        <v>1</v>
      </c>
      <c r="O5408" s="12" t="n">
        <v>1</v>
      </c>
      <c r="P5408" s="12" t="n"/>
      <c r="Q5408" s="12" t="n"/>
      <c r="R5408" s="12" t="n"/>
      <c r="S5408" s="12" t="inlineStr">
        <is>
          <t>Tray</t>
        </is>
      </c>
      <c r="T5408" s="16" t="n">
        <v>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K-C-0109</t>
        </is>
      </c>
      <c r="B5409" s="12" t="inlineStr">
        <is>
          <t>K</t>
        </is>
      </c>
      <c r="C5409" s="12" t="inlineStr">
        <is>
          <t>Fuel supply (adjacent market)</t>
        </is>
      </c>
      <c r="D5409" s="12" t="inlineStr">
        <is>
          <t>Solenoid to JB JB-LNG 17: LNG e-hous-SOL01: 2 x 2/C (field cables)</t>
        </is>
      </c>
      <c r="E5409" s="12" t="inlineStr"/>
      <c r="F5409" s="12" t="inlineStr">
        <is>
          <t>LNG 17: LNG e-house (13.8 kV / 480 V)</t>
        </is>
      </c>
      <c r="G5409" s="12" t="inlineStr">
        <is>
          <t>JB-LNG 17: LNG e-hous-SOL01</t>
        </is>
      </c>
      <c r="H5409" s="12" t="inlineStr">
        <is>
          <t>LNG 17: LNG e-house (13.8 kV / 480 V)</t>
        </is>
      </c>
      <c r="I5409" s="12" t="inlineStr">
        <is>
          <t>Control</t>
        </is>
      </c>
      <c r="J5409" s="12" t="inlineStr">
        <is>
          <t>ARMOR-X MC-HL 600 V control, Cu #14 AWG (Class I Div 2)</t>
        </is>
      </c>
      <c r="K5409" s="12" t="inlineStr">
        <is>
          <t>CTAX|2/C|14</t>
        </is>
      </c>
      <c r="L5409" s="12" t="inlineStr">
        <is>
          <t>2/C</t>
        </is>
      </c>
      <c r="M5409" s="12" t="inlineStr">
        <is>
          <t>14</t>
        </is>
      </c>
      <c r="N5409" s="12" t="n">
        <v>2</v>
      </c>
      <c r="O5409" s="12" t="n">
        <v>1</v>
      </c>
      <c r="P5409" s="12" t="n"/>
      <c r="Q5409" s="12" t="n"/>
      <c r="R5409" s="12" t="n"/>
      <c r="S5409" s="12" t="inlineStr">
        <is>
          <t>Tray / conduit</t>
        </is>
      </c>
      <c r="T5409" s="16" t="n">
        <v>58</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K-C-0110</t>
        </is>
      </c>
      <c r="B5410" s="12" t="inlineStr">
        <is>
          <t>K</t>
        </is>
      </c>
      <c r="C5410" s="12" t="inlineStr">
        <is>
          <t>Fuel supply (adjacent market)</t>
        </is>
      </c>
      <c r="D5410" s="12" t="inlineStr">
        <is>
          <t>Home run JB-LNG 17: LNG e-hous-SOL01 to the control / marshalling room</t>
        </is>
      </c>
      <c r="E5410" s="12" t="inlineStr"/>
      <c r="F5410" s="12" t="inlineStr">
        <is>
          <t>LNG 17: LNG e-house (13.8 kV / 480 V)</t>
        </is>
      </c>
      <c r="G5410" s="12" t="inlineStr">
        <is>
          <t>JB-LNG 17: LNG e-hous-SOL01</t>
        </is>
      </c>
      <c r="H5410" s="12" t="inlineStr">
        <is>
          <t>LNG 17: LNG e-house (13.8 kV / 480 V)</t>
        </is>
      </c>
      <c r="I5410" s="12" t="inlineStr">
        <is>
          <t>Control</t>
        </is>
      </c>
      <c r="J5410" s="12" t="inlineStr">
        <is>
          <t>ARMOR-X MC-HL 600 V control, Cu #14 AWG (Class I Div 2)</t>
        </is>
      </c>
      <c r="K5410" s="12" t="inlineStr">
        <is>
          <t>CTAX|25/C|14</t>
        </is>
      </c>
      <c r="L5410" s="12" t="inlineStr">
        <is>
          <t>25/C</t>
        </is>
      </c>
      <c r="M5410" s="12" t="inlineStr">
        <is>
          <t>14</t>
        </is>
      </c>
      <c r="N5410" s="12" t="n">
        <v>1</v>
      </c>
      <c r="O5410" s="12" t="n">
        <v>1</v>
      </c>
      <c r="P5410" s="12" t="n"/>
      <c r="Q5410" s="12" t="n"/>
      <c r="R5410" s="12" t="n"/>
      <c r="S5410" s="12" t="inlineStr">
        <is>
          <t>Tray</t>
        </is>
      </c>
      <c r="T5410" s="16" t="n">
        <v>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K-C-0111</t>
        </is>
      </c>
      <c r="B5411" s="12" t="inlineStr">
        <is>
          <t>K</t>
        </is>
      </c>
      <c r="C5411" s="12" t="inlineStr">
        <is>
          <t>Fuel supply (adjacent market)</t>
        </is>
      </c>
      <c r="D5411" s="12" t="inlineStr">
        <is>
          <t>Motor 1 of 1: control / local station</t>
        </is>
      </c>
      <c r="E5411" s="12" t="inlineStr"/>
      <c r="F5411" s="12" t="inlineStr">
        <is>
          <t>LNG 17: LNG e-house (13.8 kV / 480 V)</t>
        </is>
      </c>
      <c r="G5411" s="12" t="inlineStr"/>
      <c r="H5411" s="12" t="inlineStr">
        <is>
          <t>LNG 18: vent stack</t>
        </is>
      </c>
      <c r="I5411" s="12" t="inlineStr">
        <is>
          <t>Control</t>
        </is>
      </c>
      <c r="J5411" s="12" t="inlineStr">
        <is>
          <t>ARMOR-X MC-HL 600 V control, Cu #14 AWG (Class I Div 2)</t>
        </is>
      </c>
      <c r="K5411" s="12" t="inlineStr">
        <is>
          <t>CTAX|7/C|14</t>
        </is>
      </c>
      <c r="L5411" s="12" t="inlineStr">
        <is>
          <t>7/C</t>
        </is>
      </c>
      <c r="M5411" s="12" t="inlineStr">
        <is>
          <t>14</t>
        </is>
      </c>
      <c r="N5411" s="12" t="n">
        <v>1</v>
      </c>
      <c r="O5411" s="12" t="n">
        <v>1</v>
      </c>
      <c r="P5411" s="12" t="n"/>
      <c r="Q5411" s="12" t="n"/>
      <c r="R5411" s="12" t="n"/>
      <c r="S5411" s="12" t="inlineStr">
        <is>
          <t>Duct bank</t>
        </is>
      </c>
      <c r="T5411" s="16" t="n">
        <v>25</v>
      </c>
      <c r="U5411" s="16" t="n">
        <v>117</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K-C-0112</t>
        </is>
      </c>
      <c r="B5412" s="12" t="inlineStr">
        <is>
          <t>K</t>
        </is>
      </c>
      <c r="C5412" s="12" t="inlineStr">
        <is>
          <t>Fuel supply (adjacent market)</t>
        </is>
      </c>
      <c r="D5412" s="12" t="inlineStr">
        <is>
          <t>Solenoid to JB JB-LNG 18: vent stack-SOL01: 2 x 2/C (field cables)</t>
        </is>
      </c>
      <c r="E5412" s="12" t="inlineStr"/>
      <c r="F5412" s="12" t="inlineStr">
        <is>
          <t>LNG 18: vent stack</t>
        </is>
      </c>
      <c r="G5412" s="12" t="inlineStr">
        <is>
          <t>JB-LNG 18: vent stack-SOL01</t>
        </is>
      </c>
      <c r="H5412" s="12" t="inlineStr">
        <is>
          <t>LNG 18: vent stack</t>
        </is>
      </c>
      <c r="I5412" s="12" t="inlineStr">
        <is>
          <t>Control</t>
        </is>
      </c>
      <c r="J5412" s="12" t="inlineStr">
        <is>
          <t>ARMOR-X MC-HL 600 V control, Cu #14 AWG (Class I Div 2)</t>
        </is>
      </c>
      <c r="K5412" s="12" t="inlineStr">
        <is>
          <t>CTAX|2/C|14</t>
        </is>
      </c>
      <c r="L5412" s="12" t="inlineStr">
        <is>
          <t>2/C</t>
        </is>
      </c>
      <c r="M5412" s="12" t="inlineStr">
        <is>
          <t>14</t>
        </is>
      </c>
      <c r="N5412" s="12" t="n">
        <v>2</v>
      </c>
      <c r="O5412" s="12" t="n">
        <v>1</v>
      </c>
      <c r="P5412" s="12" t="n"/>
      <c r="Q5412" s="12" t="n"/>
      <c r="R5412" s="12" t="n"/>
      <c r="S5412" s="12" t="inlineStr">
        <is>
          <t>Tray / conduit</t>
        </is>
      </c>
      <c r="T5412" s="16" t="n">
        <v>55</v>
      </c>
      <c r="U5412" s="16" t="n">
        <v>10</v>
      </c>
      <c r="V5412" s="16">
        <f>ROUNDUP((T5412+U5412+2*'Read Me'!$B$13)*(1+'Read Me'!$B$12),-1)</f>
        <v/>
      </c>
      <c r="W5412" s="16">
        <f>V5412*N5412*O5412</f>
        <v/>
      </c>
      <c r="X5412" s="12">
        <f>IF(LEFT(I5412,2)="MV",2*N5412*IF(L5412="1/C",O5412,1),0)</f>
        <v/>
      </c>
      <c r="Y5412" s="12">
        <f>IF(OR(LEFT(K5412,4)="LVAX",LEFT(K5412,6)="MV15AX",LEFT(K5412,4)="CTAX",LEFT(K5412,2)="W|"),2*N5412*O5412,0)</f>
        <v/>
      </c>
      <c r="Z5412" s="12" t="inlineStr">
        <is>
          <t>device-to-JB field wiring, one cable per device</t>
        </is>
      </c>
      <c r="AA5412" s="12">
        <f>N5412*O5412</f>
        <v/>
      </c>
    </row>
    <row r="5413">
      <c r="A5413" s="12" t="inlineStr">
        <is>
          <t>K-C-0113</t>
        </is>
      </c>
      <c r="B5413" s="12" t="inlineStr">
        <is>
          <t>K</t>
        </is>
      </c>
      <c r="C5413" s="12" t="inlineStr">
        <is>
          <t>Fuel supply (adjacent market)</t>
        </is>
      </c>
      <c r="D5413" s="12" t="inlineStr">
        <is>
          <t>Home run JB-LNG 18: vent stack-SOL01 to the control / marshalling room</t>
        </is>
      </c>
      <c r="E5413" s="12" t="inlineStr"/>
      <c r="F5413" s="12" t="inlineStr">
        <is>
          <t>LNG 17: LNG e-house (13.8 kV / 480 V)</t>
        </is>
      </c>
      <c r="G5413" s="12" t="inlineStr">
        <is>
          <t>JB-LNG 18: vent stack-SOL01</t>
        </is>
      </c>
      <c r="H5413" s="12" t="inlineStr">
        <is>
          <t>LNG 18: vent stack</t>
        </is>
      </c>
      <c r="I5413" s="12" t="inlineStr">
        <is>
          <t>Control</t>
        </is>
      </c>
      <c r="J5413" s="12" t="inlineStr">
        <is>
          <t>ARMOR-X MC-HL 600 V control, Cu #14 AWG (Class I Div 2)</t>
        </is>
      </c>
      <c r="K5413" s="12" t="inlineStr">
        <is>
          <t>CTAX|25/C|14</t>
        </is>
      </c>
      <c r="L5413" s="12" t="inlineStr">
        <is>
          <t>25/C</t>
        </is>
      </c>
      <c r="M5413" s="12" t="inlineStr">
        <is>
          <t>14</t>
        </is>
      </c>
      <c r="N5413" s="12" t="n">
        <v>1</v>
      </c>
      <c r="O5413" s="12" t="n">
        <v>1</v>
      </c>
      <c r="P5413" s="12" t="n"/>
      <c r="Q5413" s="12" t="n"/>
      <c r="R5413" s="12" t="n"/>
      <c r="S5413" s="12" t="inlineStr">
        <is>
          <t>Duct bank</t>
        </is>
      </c>
      <c r="T5413" s="16" t="n">
        <v>25</v>
      </c>
      <c r="U5413" s="16" t="n">
        <v>117</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K-C-0114</t>
        </is>
      </c>
      <c r="B5414" s="12" t="inlineStr">
        <is>
          <t>K</t>
        </is>
      </c>
      <c r="C5414" s="12" t="inlineStr">
        <is>
          <t>Fuel supply (adjacent market)</t>
        </is>
      </c>
      <c r="D5414" s="12" t="inlineStr">
        <is>
          <t>Solenoid to JB JB-M&amp;R 2: insulating -SOL01: 4 x 2/C (field cables)</t>
        </is>
      </c>
      <c r="E5414" s="12" t="inlineStr"/>
      <c r="F5414" s="12" t="inlineStr">
        <is>
          <t>M&amp;R 2: insulating joint + ESD valve</t>
        </is>
      </c>
      <c r="G5414" s="12" t="inlineStr">
        <is>
          <t>JB-M&amp;R 2: insulating -SOL01</t>
        </is>
      </c>
      <c r="H5414" s="12" t="inlineStr">
        <is>
          <t>M&amp;R 2: insulating joint + ESD valve</t>
        </is>
      </c>
      <c r="I5414" s="12" t="inlineStr">
        <is>
          <t>Control</t>
        </is>
      </c>
      <c r="J5414" s="12" t="inlineStr">
        <is>
          <t>ARMOR-X MC-HL 600 V control, Cu #14 AWG (Class I Div 2)</t>
        </is>
      </c>
      <c r="K5414" s="12" t="inlineStr">
        <is>
          <t>CTAX|2/C|14</t>
        </is>
      </c>
      <c r="L5414" s="12" t="inlineStr">
        <is>
          <t>2/C</t>
        </is>
      </c>
      <c r="M5414" s="12" t="inlineStr">
        <is>
          <t>14</t>
        </is>
      </c>
      <c r="N5414" s="12" t="n">
        <v>4</v>
      </c>
      <c r="O5414" s="12" t="n">
        <v>1</v>
      </c>
      <c r="P5414" s="12" t="n"/>
      <c r="Q5414" s="12" t="n"/>
      <c r="R5414" s="12" t="n"/>
      <c r="S5414" s="12" t="inlineStr">
        <is>
          <t>Tray / conduit</t>
        </is>
      </c>
      <c r="T5414" s="16" t="n">
        <v>40</v>
      </c>
      <c r="U5414" s="16" t="n">
        <v>10</v>
      </c>
      <c r="V5414" s="16">
        <f>ROUNDUP((T5414+U5414+2*'Read Me'!$B$13)*(1+'Read Me'!$B$12),-1)</f>
        <v/>
      </c>
      <c r="W5414" s="16">
        <f>V5414*N5414*O5414</f>
        <v/>
      </c>
      <c r="X5414" s="12">
        <f>IF(LEFT(I5414,2)="MV",2*N5414*IF(L5414="1/C",O5414,1),0)</f>
        <v/>
      </c>
      <c r="Y5414" s="12">
        <f>IF(OR(LEFT(K5414,4)="LVAX",LEFT(K5414,6)="MV15AX",LEFT(K5414,4)="CTAX",LEFT(K5414,2)="W|"),2*N5414*O5414,0)</f>
        <v/>
      </c>
      <c r="Z5414" s="12" t="inlineStr">
        <is>
          <t>device-to-JB field wiring, one cable per device</t>
        </is>
      </c>
      <c r="AA5414" s="12">
        <f>N5414*O5414</f>
        <v/>
      </c>
    </row>
    <row r="5415">
      <c r="A5415" s="12" t="inlineStr">
        <is>
          <t>K-C-0115</t>
        </is>
      </c>
      <c r="B5415" s="12" t="inlineStr">
        <is>
          <t>K</t>
        </is>
      </c>
      <c r="C5415" s="12" t="inlineStr">
        <is>
          <t>Fuel supply (adjacent market)</t>
        </is>
      </c>
      <c r="D5415" s="12" t="inlineStr">
        <is>
          <t>Home run JB-M&amp;R 2: insulating -SOL01 to the control / marshalling room</t>
        </is>
      </c>
      <c r="E5415" s="12" t="inlineStr"/>
      <c r="F5415" s="12" t="inlineStr">
        <is>
          <t>LNG 17: LNG e-house (13.8 kV / 480 V)</t>
        </is>
      </c>
      <c r="G5415" s="12" t="inlineStr">
        <is>
          <t>JB-M&amp;R 2: insulating -SOL01</t>
        </is>
      </c>
      <c r="H5415" s="12" t="inlineStr">
        <is>
          <t>M&amp;R 2: insulating joint + ESD valve</t>
        </is>
      </c>
      <c r="I5415" s="12" t="inlineStr">
        <is>
          <t>Control</t>
        </is>
      </c>
      <c r="J5415" s="12" t="inlineStr">
        <is>
          <t>ARMOR-X MC-HL 600 V control, Cu #14 AWG (Class I Div 2)</t>
        </is>
      </c>
      <c r="K5415" s="12" t="inlineStr">
        <is>
          <t>CTAX|25/C|14</t>
        </is>
      </c>
      <c r="L5415" s="12" t="inlineStr">
        <is>
          <t>25/C</t>
        </is>
      </c>
      <c r="M5415" s="12" t="inlineStr">
        <is>
          <t>14</t>
        </is>
      </c>
      <c r="N5415" s="12" t="n">
        <v>1</v>
      </c>
      <c r="O5415" s="12" t="n">
        <v>1</v>
      </c>
      <c r="P5415" s="12" t="n"/>
      <c r="Q5415" s="12" t="n"/>
      <c r="R5415" s="12" t="n"/>
      <c r="S5415" s="12" t="inlineStr">
        <is>
          <t>Duct bank</t>
        </is>
      </c>
      <c r="T5415" s="16" t="n">
        <v>781</v>
      </c>
      <c r="U5415" s="16" t="n">
        <v>32</v>
      </c>
      <c r="V5415" s="16">
        <f>ROUNDUP((T5415+U5415+2*'Read Me'!$B$13)*(1+'Read Me'!$B$12),-1)</f>
        <v/>
      </c>
      <c r="W5415" s="16">
        <f>V5415*N5415*O5415</f>
        <v/>
      </c>
      <c r="X5415" s="12">
        <f>IF(LEFT(I5415,2)="MV",2*N5415*IF(L5415="1/C",O5415,1),0)</f>
        <v/>
      </c>
      <c r="Y5415" s="12">
        <f>IF(OR(LEFT(K5415,4)="LVAX",LEFT(K5415,6)="MV15AX",LEFT(K5415,4)="CTAX",LEFT(K5415,2)="W|"),2*N5415*O5415,0)</f>
        <v/>
      </c>
      <c r="Z5415" s="12" t="inlineStr"/>
      <c r="AA5415" s="12">
        <f>N5415*O5415</f>
        <v/>
      </c>
    </row>
    <row r="5416">
      <c r="A5416" s="12" t="inlineStr">
        <is>
          <t>K-C-0116</t>
        </is>
      </c>
      <c r="B5416" s="12" t="inlineStr">
        <is>
          <t>K</t>
        </is>
      </c>
      <c r="C5416" s="12" t="inlineStr">
        <is>
          <t>Fuel supply (adjacent market)</t>
        </is>
      </c>
      <c r="D5416" s="12" t="inlineStr">
        <is>
          <t>Solenoid to JB JB-M&amp;R 3: horizontal -SOL01: 4 x 2/C (field cables)</t>
        </is>
      </c>
      <c r="E5416" s="12" t="inlineStr"/>
      <c r="F5416" s="12" t="inlineStr">
        <is>
          <t>M&amp;R 3: horizontal filter-separator</t>
        </is>
      </c>
      <c r="G5416" s="12" t="inlineStr">
        <is>
          <t>JB-M&amp;R 3: horizontal -SOL01</t>
        </is>
      </c>
      <c r="H5416" s="12" t="inlineStr">
        <is>
          <t>M&amp;R 3: horizontal filter-separator</t>
        </is>
      </c>
      <c r="I5416" s="12" t="inlineStr">
        <is>
          <t>Control</t>
        </is>
      </c>
      <c r="J5416" s="12" t="inlineStr">
        <is>
          <t>ARMOR-X MC-HL 600 V control, Cu #14 AWG (Class I Div 2)</t>
        </is>
      </c>
      <c r="K5416" s="12" t="inlineStr">
        <is>
          <t>CTAX|2/C|14</t>
        </is>
      </c>
      <c r="L5416" s="12" t="inlineStr">
        <is>
          <t>2/C</t>
        </is>
      </c>
      <c r="M5416" s="12" t="inlineStr">
        <is>
          <t>14</t>
        </is>
      </c>
      <c r="N5416" s="12" t="n">
        <v>4</v>
      </c>
      <c r="O5416" s="12" t="n">
        <v>1</v>
      </c>
      <c r="P5416" s="12" t="n"/>
      <c r="Q5416" s="12" t="n"/>
      <c r="R5416" s="12" t="n"/>
      <c r="S5416" s="12" t="inlineStr">
        <is>
          <t>Tray / conduit</t>
        </is>
      </c>
      <c r="T5416" s="16" t="n">
        <v>53</v>
      </c>
      <c r="U5416" s="16" t="n">
        <v>10</v>
      </c>
      <c r="V5416" s="16">
        <f>ROUNDUP((T5416+U5416+2*'Read Me'!$B$13)*(1+'Read Me'!$B$12),-1)</f>
        <v/>
      </c>
      <c r="W5416" s="16">
        <f>V5416*N5416*O5416</f>
        <v/>
      </c>
      <c r="X5416" s="12">
        <f>IF(LEFT(I5416,2)="MV",2*N5416*IF(L5416="1/C",O5416,1),0)</f>
        <v/>
      </c>
      <c r="Y5416" s="12">
        <f>IF(OR(LEFT(K5416,4)="LVAX",LEFT(K5416,6)="MV15AX",LEFT(K5416,4)="CTAX",LEFT(K5416,2)="W|"),2*N5416*O5416,0)</f>
        <v/>
      </c>
      <c r="Z5416" s="12" t="inlineStr">
        <is>
          <t>device-to-JB field wiring, one cable per device</t>
        </is>
      </c>
      <c r="AA5416" s="12">
        <f>N5416*O5416</f>
        <v/>
      </c>
    </row>
    <row r="5417">
      <c r="A5417" s="12" t="inlineStr">
        <is>
          <t>K-C-0117</t>
        </is>
      </c>
      <c r="B5417" s="12" t="inlineStr">
        <is>
          <t>K</t>
        </is>
      </c>
      <c r="C5417" s="12" t="inlineStr">
        <is>
          <t>Fuel supply (adjacent market)</t>
        </is>
      </c>
      <c r="D5417" s="12" t="inlineStr">
        <is>
          <t>Home run JB-M&amp;R 3: horizontal -SOL01 to the control / marshalling room</t>
        </is>
      </c>
      <c r="E5417" s="12" t="inlineStr"/>
      <c r="F5417" s="12" t="inlineStr">
        <is>
          <t>LNG 17: LNG e-house (13.8 kV / 480 V)</t>
        </is>
      </c>
      <c r="G5417" s="12" t="inlineStr">
        <is>
          <t>JB-M&amp;R 3: horizontal -SOL01</t>
        </is>
      </c>
      <c r="H5417" s="12" t="inlineStr">
        <is>
          <t>M&amp;R 3: horizontal filter-separator</t>
        </is>
      </c>
      <c r="I5417" s="12" t="inlineStr">
        <is>
          <t>Control</t>
        </is>
      </c>
      <c r="J5417" s="12" t="inlineStr">
        <is>
          <t>ARMOR-X MC-HL 600 V control, Cu #14 AWG (Class I Div 2)</t>
        </is>
      </c>
      <c r="K5417" s="12" t="inlineStr">
        <is>
          <t>CTAX|25/C|14</t>
        </is>
      </c>
      <c r="L5417" s="12" t="inlineStr">
        <is>
          <t>25/C</t>
        </is>
      </c>
      <c r="M5417" s="12" t="inlineStr">
        <is>
          <t>14</t>
        </is>
      </c>
      <c r="N5417" s="12" t="n">
        <v>1</v>
      </c>
      <c r="O5417" s="12" t="n">
        <v>1</v>
      </c>
      <c r="P5417" s="12" t="n"/>
      <c r="Q5417" s="12" t="n"/>
      <c r="R5417" s="12" t="n"/>
      <c r="S5417" s="12" t="inlineStr">
        <is>
          <t>Duct bank</t>
        </is>
      </c>
      <c r="T5417" s="16" t="n">
        <v>820</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K-C-0118</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4: line heater 1 (water bath)</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615</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K-C-0119</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4: line heater 2 (water bath)</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615</v>
      </c>
      <c r="U5419" s="16" t="n">
        <v>50</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K-C-0120</t>
        </is>
      </c>
      <c r="B5420" s="12" t="inlineStr">
        <is>
          <t>K</t>
        </is>
      </c>
      <c r="C5420" s="12" t="inlineStr">
        <is>
          <t>Fuel supply (adjacent market)</t>
        </is>
      </c>
      <c r="D5420" s="12" t="inlineStr">
        <is>
          <t>Control</t>
        </is>
      </c>
      <c r="E5420" s="12" t="inlineStr"/>
      <c r="F5420" s="12" t="inlineStr">
        <is>
          <t>LNG 17: LNG e-house (13.8 kV / 480 V)</t>
        </is>
      </c>
      <c r="G5420" s="12" t="inlineStr"/>
      <c r="H5420" s="12" t="inlineStr">
        <is>
          <t>M&amp;R 4: line heater 3 (water bath)</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615</v>
      </c>
      <c r="U5420" s="16" t="n">
        <v>68</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K-C-0121</t>
        </is>
      </c>
      <c r="B5421" s="12" t="inlineStr">
        <is>
          <t>K</t>
        </is>
      </c>
      <c r="C5421" s="12" t="inlineStr">
        <is>
          <t>Fuel supply (adjacent market)</t>
        </is>
      </c>
      <c r="D5421" s="12" t="inlineStr">
        <is>
          <t>Solenoid to JB JB-M&amp;R 6: regulation -SOL01: 6 x 2/C (field cables)</t>
        </is>
      </c>
      <c r="E5421" s="12" t="inlineStr"/>
      <c r="F5421" s="12" t="inlineStr">
        <is>
          <t>M&amp;R 6: regulation / flow control building</t>
        </is>
      </c>
      <c r="G5421" s="12" t="inlineStr">
        <is>
          <t>JB-M&amp;R 6: regulation -SOL01</t>
        </is>
      </c>
      <c r="H5421" s="12" t="inlineStr">
        <is>
          <t>M&amp;R 6: regulation / flow control building</t>
        </is>
      </c>
      <c r="I5421" s="12" t="inlineStr">
        <is>
          <t>Control</t>
        </is>
      </c>
      <c r="J5421" s="12" t="inlineStr">
        <is>
          <t>ARMOR-X MC-HL 600 V control, Cu #14 AWG (Class I Div 2)</t>
        </is>
      </c>
      <c r="K5421" s="12" t="inlineStr">
        <is>
          <t>CTAX|2/C|14</t>
        </is>
      </c>
      <c r="L5421" s="12" t="inlineStr">
        <is>
          <t>2/C</t>
        </is>
      </c>
      <c r="M5421" s="12" t="inlineStr">
        <is>
          <t>14</t>
        </is>
      </c>
      <c r="N5421" s="12" t="n">
        <v>6</v>
      </c>
      <c r="O5421" s="12" t="n">
        <v>1</v>
      </c>
      <c r="P5421" s="12" t="n"/>
      <c r="Q5421" s="12" t="n"/>
      <c r="R5421" s="12" t="n"/>
      <c r="S5421" s="12" t="inlineStr">
        <is>
          <t>Tray / conduit</t>
        </is>
      </c>
      <c r="T5421" s="16" t="n">
        <v>61</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K-C-0122</t>
        </is>
      </c>
      <c r="B5422" s="12" t="inlineStr">
        <is>
          <t>K</t>
        </is>
      </c>
      <c r="C5422" s="12" t="inlineStr">
        <is>
          <t>Fuel supply (adjacent market)</t>
        </is>
      </c>
      <c r="D5422" s="12" t="inlineStr">
        <is>
          <t>Home run JB-M&amp;R 6: regulation -SOL01 to the control / marshalling room</t>
        </is>
      </c>
      <c r="E5422" s="12" t="inlineStr"/>
      <c r="F5422" s="12" t="inlineStr">
        <is>
          <t>LNG 17: LNG e-house (13.8 kV / 480 V)</t>
        </is>
      </c>
      <c r="G5422" s="12" t="inlineStr">
        <is>
          <t>JB-M&amp;R 6: regulation -SOL01</t>
        </is>
      </c>
      <c r="H5422" s="12" t="inlineStr">
        <is>
          <t>M&amp;R 6: regulation / flow control building</t>
        </is>
      </c>
      <c r="I5422" s="12" t="inlineStr">
        <is>
          <t>Control</t>
        </is>
      </c>
      <c r="J5422" s="12" t="inlineStr">
        <is>
          <t>ARMOR-X MC-HL 600 V control, Cu #14 AWG (Class I Div 2)</t>
        </is>
      </c>
      <c r="K5422" s="12" t="inlineStr">
        <is>
          <t>CTAX|25/C|14</t>
        </is>
      </c>
      <c r="L5422" s="12" t="inlineStr">
        <is>
          <t>25/C</t>
        </is>
      </c>
      <c r="M5422" s="12" t="inlineStr">
        <is>
          <t>14</t>
        </is>
      </c>
      <c r="N5422" s="12" t="n">
        <v>1</v>
      </c>
      <c r="O5422" s="12" t="n">
        <v>1</v>
      </c>
      <c r="P5422" s="12" t="n"/>
      <c r="Q5422" s="12" t="n"/>
      <c r="R5422" s="12" t="n"/>
      <c r="S5422" s="12" t="inlineStr">
        <is>
          <t>Duct bank</t>
        </is>
      </c>
      <c r="T5422" s="16" t="n">
        <v>492</v>
      </c>
      <c r="U5422" s="16" t="n">
        <v>70</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K-C-0123</t>
        </is>
      </c>
      <c r="B5423" s="12" t="inlineStr">
        <is>
          <t>K</t>
        </is>
      </c>
      <c r="C5423" s="12" t="inlineStr">
        <is>
          <t>Fuel supply (adjacent market)</t>
        </is>
      </c>
      <c r="D5423" s="12" t="inlineStr">
        <is>
          <t>Control</t>
        </is>
      </c>
      <c r="E5423" s="12" t="inlineStr"/>
      <c r="F5423" s="12" t="inlineStr">
        <is>
          <t>LNG 17: LNG e-house (13.8 kV / 480 V)</t>
        </is>
      </c>
      <c r="G5423" s="12" t="inlineStr"/>
      <c r="H5423" s="12" t="inlineStr">
        <is>
          <t>M&amp;R 9: service panel + UPS, SCADA RTU, CP</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480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K-C-0124</t>
        </is>
      </c>
      <c r="B5424" s="12" t="inlineStr">
        <is>
          <t>K</t>
        </is>
      </c>
      <c r="C5424" s="12" t="inlineStr">
        <is>
          <t>Fuel supply (adjacent market)</t>
        </is>
      </c>
      <c r="D5424" s="12" t="inlineStr">
        <is>
          <t>Control</t>
        </is>
      </c>
      <c r="E5424" s="12" t="inlineStr"/>
      <c r="F5424" s="12" t="inlineStr">
        <is>
          <t>LNG 17: LNG e-house (13.8 kV / 480 V)</t>
        </is>
      </c>
      <c r="G5424" s="12" t="inlineStr"/>
      <c r="H5424" s="12" t="inlineStr">
        <is>
          <t>M&amp;R CP test station (as drawn)</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461</v>
      </c>
      <c r="U5424" s="16" t="n">
        <v>42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K-C-0125</t>
        </is>
      </c>
      <c r="B5425" s="12" t="inlineStr">
        <is>
          <t>K</t>
        </is>
      </c>
      <c r="C5425" s="12" t="inlineStr">
        <is>
          <t>Fuel supply (adjacent market)</t>
        </is>
      </c>
      <c r="D5425" s="12" t="inlineStr">
        <is>
          <t>Control</t>
        </is>
      </c>
      <c r="E5425" s="12" t="inlineStr"/>
      <c r="F5425" s="12" t="inlineStr">
        <is>
          <t>LNG 17: LNG e-house (13.8 kV / 480 V)</t>
        </is>
      </c>
      <c r="G5425" s="12" t="inlineStr"/>
      <c r="H5425" s="12" t="inlineStr">
        <is>
          <t>M&amp;R SCADA antenna mast base (as drawn)</t>
        </is>
      </c>
      <c r="I5425" s="12" t="inlineStr">
        <is>
          <t>Control</t>
        </is>
      </c>
      <c r="J5425" s="12" t="inlineStr">
        <is>
          <t>ARMOR-X MC-HL 600 V control, Cu #14 AWG (Class I Div 2)</t>
        </is>
      </c>
      <c r="K5425" s="12" t="inlineStr">
        <is>
          <t>CTAX|7/C|14</t>
        </is>
      </c>
      <c r="L5425" s="12" t="inlineStr">
        <is>
          <t>7/C</t>
        </is>
      </c>
      <c r="M5425" s="12" t="inlineStr">
        <is>
          <t>14</t>
        </is>
      </c>
      <c r="N5425" s="12" t="n">
        <v>1</v>
      </c>
      <c r="O5425" s="12" t="n">
        <v>1</v>
      </c>
      <c r="P5425" s="12" t="n"/>
      <c r="Q5425" s="12" t="n"/>
      <c r="R5425" s="12" t="n"/>
      <c r="S5425" s="12" t="inlineStr">
        <is>
          <t>Duct bank</t>
        </is>
      </c>
      <c r="T5425" s="16" t="n">
        <v>453</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K-C-0126</t>
        </is>
      </c>
      <c r="B5426" s="12" t="inlineStr">
        <is>
          <t>K</t>
        </is>
      </c>
      <c r="C5426" s="12" t="inlineStr">
        <is>
          <t>Fuel supply (adjacent market)</t>
        </is>
      </c>
      <c r="D5426" s="12" t="inlineStr">
        <is>
          <t>Control</t>
        </is>
      </c>
      <c r="E5426" s="12" t="inlineStr"/>
      <c r="F5426" s="12" t="inlineStr">
        <is>
          <t>H2 20: 13.8 kV e-house</t>
        </is>
      </c>
      <c r="G5426" s="12" t="inlineStr"/>
      <c r="H5426" s="12" t="inlineStr">
        <is>
          <t>PEM electrolyzer 1 (HyLYZER-1000)</t>
        </is>
      </c>
      <c r="I5426" s="12" t="inlineStr">
        <is>
          <t>Control</t>
        </is>
      </c>
      <c r="J5426" s="12" t="inlineStr">
        <is>
          <t>ARMOR-X MC-HL 600 V control, Cu #14 AWG (Class I Div 2)</t>
        </is>
      </c>
      <c r="K5426" s="12" t="inlineStr">
        <is>
          <t>CTAX|7/C|14</t>
        </is>
      </c>
      <c r="L5426" s="12" t="inlineStr">
        <is>
          <t>7/C</t>
        </is>
      </c>
      <c r="M5426" s="12" t="inlineStr">
        <is>
          <t>14</t>
        </is>
      </c>
      <c r="N5426" s="12" t="n">
        <v>1</v>
      </c>
      <c r="O5426" s="12" t="n">
        <v>1</v>
      </c>
      <c r="P5426" s="12" t="n"/>
      <c r="Q5426" s="12" t="n"/>
      <c r="R5426" s="12" t="n"/>
      <c r="S5426" s="12" t="inlineStr">
        <is>
          <t>Duct bank</t>
        </is>
      </c>
      <c r="T5426" s="16" t="n">
        <v>370</v>
      </c>
      <c r="U5426" s="16" t="n">
        <v>33</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K-C-0127</t>
        </is>
      </c>
      <c r="B5427" s="12" t="inlineStr">
        <is>
          <t>K</t>
        </is>
      </c>
      <c r="C5427" s="12" t="inlineStr">
        <is>
          <t>Fuel supply (adjacent market)</t>
        </is>
      </c>
      <c r="D5427" s="12" t="inlineStr">
        <is>
          <t>Control</t>
        </is>
      </c>
      <c r="E5427" s="12" t="inlineStr"/>
      <c r="F5427" s="12" t="inlineStr">
        <is>
          <t>H2 20: 13.8 kV e-house</t>
        </is>
      </c>
      <c r="G5427" s="12" t="inlineStr"/>
      <c r="H5427" s="12" t="inlineStr">
        <is>
          <t>PEM electrolyzer 2 (HyLYZER-1000)</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Conduit link</t>
        </is>
      </c>
      <c r="T5427" s="16" t="n">
        <v>364</v>
      </c>
      <c r="U5427" s="16" t="n">
        <v>49</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K-C-0128</t>
        </is>
      </c>
      <c r="B5428" s="12" t="inlineStr">
        <is>
          <t>K</t>
        </is>
      </c>
      <c r="C5428" s="12" t="inlineStr">
        <is>
          <t>Fuel supply (adjacent market)</t>
        </is>
      </c>
      <c r="D5428" s="12" t="inlineStr">
        <is>
          <t>Control</t>
        </is>
      </c>
      <c r="E5428" s="12" t="inlineStr"/>
      <c r="F5428" s="12" t="inlineStr">
        <is>
          <t>H2 20: 13.8 kV e-house</t>
        </is>
      </c>
      <c r="G5428" s="12" t="inlineStr"/>
      <c r="H5428" s="12" t="inlineStr">
        <is>
          <t>PEM electrolyzer 3 (HyLYZER-1000)</t>
        </is>
      </c>
      <c r="I5428" s="12" t="inlineStr">
        <is>
          <t>Control</t>
        </is>
      </c>
      <c r="J5428" s="12" t="inlineStr">
        <is>
          <t>ARMOR-X MC-HL 600 V control, Cu #14 AWG (Class I Div 2)</t>
        </is>
      </c>
      <c r="K5428" s="12" t="inlineStr">
        <is>
          <t>CTAX|7/C|14</t>
        </is>
      </c>
      <c r="L5428" s="12" t="inlineStr">
        <is>
          <t>7/C</t>
        </is>
      </c>
      <c r="M5428" s="12" t="inlineStr">
        <is>
          <t>14</t>
        </is>
      </c>
      <c r="N5428" s="12" t="n">
        <v>1</v>
      </c>
      <c r="O5428" s="12" t="n">
        <v>1</v>
      </c>
      <c r="P5428" s="12" t="n"/>
      <c r="Q5428" s="12" t="n"/>
      <c r="R5428" s="12" t="n"/>
      <c r="S5428" s="12" t="inlineStr">
        <is>
          <t>Duct bank</t>
        </is>
      </c>
      <c r="T5428" s="16" t="n">
        <v>341</v>
      </c>
      <c r="U5428" s="16" t="n">
        <v>49</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K-C-0129</t>
        </is>
      </c>
      <c r="B5429" s="12" t="inlineStr">
        <is>
          <t>K</t>
        </is>
      </c>
      <c r="C5429" s="12" t="inlineStr">
        <is>
          <t>Fuel supply (adjacent market)</t>
        </is>
      </c>
      <c r="D5429" s="12" t="inlineStr">
        <is>
          <t>Control</t>
        </is>
      </c>
      <c r="E5429" s="12" t="inlineStr"/>
      <c r="F5429" s="12" t="inlineStr">
        <is>
          <t>H2 20: 13.8 kV e-house</t>
        </is>
      </c>
      <c r="G5429" s="12" t="inlineStr"/>
      <c r="H5429" s="12" t="inlineStr">
        <is>
          <t>PEM electrolyzer 4 (HyLYZER-1000)</t>
        </is>
      </c>
      <c r="I5429" s="12" t="inlineStr">
        <is>
          <t>Control</t>
        </is>
      </c>
      <c r="J5429" s="12" t="inlineStr">
        <is>
          <t>ARMOR-X MC-HL 600 V control, Cu #14 AWG (Class I Div 2)</t>
        </is>
      </c>
      <c r="K5429" s="12" t="inlineStr">
        <is>
          <t>CTAX|7/C|14</t>
        </is>
      </c>
      <c r="L5429" s="12" t="inlineStr">
        <is>
          <t>7/C</t>
        </is>
      </c>
      <c r="M5429" s="12" t="inlineStr">
        <is>
          <t>14</t>
        </is>
      </c>
      <c r="N5429" s="12" t="n">
        <v>1</v>
      </c>
      <c r="O5429" s="12" t="n">
        <v>1</v>
      </c>
      <c r="P5429" s="12" t="n"/>
      <c r="Q5429" s="12" t="n"/>
      <c r="R5429" s="12" t="n"/>
      <c r="S5429" s="12" t="inlineStr">
        <is>
          <t>Duct bank</t>
        </is>
      </c>
      <c r="T5429" s="16" t="n">
        <v>319</v>
      </c>
      <c r="U5429" s="16" t="n">
        <v>49</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K-C-0130</t>
        </is>
      </c>
      <c r="B5430" s="12" t="inlineStr">
        <is>
          <t>K</t>
        </is>
      </c>
      <c r="C5430" s="12" t="inlineStr">
        <is>
          <t>Fuel supply (adjacent market)</t>
        </is>
      </c>
      <c r="D5430" s="12" t="inlineStr">
        <is>
          <t>Control</t>
        </is>
      </c>
      <c r="E5430" s="12" t="inlineStr"/>
      <c r="F5430" s="12" t="inlineStr">
        <is>
          <t>H2 20: 13.8 kV e-house</t>
        </is>
      </c>
      <c r="G5430" s="12" t="inlineStr"/>
      <c r="H5430" s="12" t="inlineStr">
        <is>
          <t>PEM electrolyzer 5 (HyLYZER-1000)</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Duct bank</t>
        </is>
      </c>
      <c r="T5430" s="16" t="n">
        <v>289</v>
      </c>
      <c r="U5430" s="16" t="n">
        <v>59</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K-C-0131</t>
        </is>
      </c>
      <c r="B5431" s="12" t="inlineStr">
        <is>
          <t>K</t>
        </is>
      </c>
      <c r="C5431" s="12" t="inlineStr">
        <is>
          <t>Fuel supply (adjacent market)</t>
        </is>
      </c>
      <c r="D5431" s="12" t="inlineStr">
        <is>
          <t>Control</t>
        </is>
      </c>
      <c r="E5431" s="12" t="inlineStr"/>
      <c r="F5431" s="12" t="inlineStr">
        <is>
          <t>H2 20: 13.8 kV e-house</t>
        </is>
      </c>
      <c r="G5431" s="12" t="inlineStr"/>
      <c r="H5431" s="12" t="inlineStr">
        <is>
          <t>Rectifier 1 (7 MVA)</t>
        </is>
      </c>
      <c r="I5431" s="12" t="inlineStr">
        <is>
          <t>Control</t>
        </is>
      </c>
      <c r="J5431" s="12" t="inlineStr">
        <is>
          <t>Control cable 600 V Type TC-ER, Cu #14 AWG, PVC jacket</t>
        </is>
      </c>
      <c r="K5431" s="12" t="inlineStr">
        <is>
          <t>CT|7/C|14</t>
        </is>
      </c>
      <c r="L5431" s="12" t="inlineStr">
        <is>
          <t>7/C</t>
        </is>
      </c>
      <c r="M5431" s="12" t="inlineStr">
        <is>
          <t>14</t>
        </is>
      </c>
      <c r="N5431" s="12" t="n">
        <v>1</v>
      </c>
      <c r="O5431" s="12" t="n">
        <v>1</v>
      </c>
      <c r="P5431" s="12" t="n"/>
      <c r="Q5431" s="12" t="n"/>
      <c r="R5431" s="12" t="n"/>
      <c r="S5431" s="12" t="inlineStr">
        <is>
          <t>Duct bank</t>
        </is>
      </c>
      <c r="T5431" s="16" t="n">
        <v>358</v>
      </c>
      <c r="U5431" s="16" t="n">
        <v>33</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K-C-0132</t>
        </is>
      </c>
      <c r="B5432" s="12" t="inlineStr">
        <is>
          <t>K</t>
        </is>
      </c>
      <c r="C5432" s="12" t="inlineStr">
        <is>
          <t>Fuel supply (adjacent market)</t>
        </is>
      </c>
      <c r="D5432" s="12" t="inlineStr">
        <is>
          <t>Control</t>
        </is>
      </c>
      <c r="E5432" s="12" t="inlineStr"/>
      <c r="F5432" s="12" t="inlineStr">
        <is>
          <t>H2 20: 13.8 kV e-house</t>
        </is>
      </c>
      <c r="G5432" s="12" t="inlineStr"/>
      <c r="H5432" s="12" t="inlineStr">
        <is>
          <t>Rectifier 2 (7 MVA)</t>
        </is>
      </c>
      <c r="I5432" s="12" t="inlineStr">
        <is>
          <t>Control</t>
        </is>
      </c>
      <c r="J5432" s="12" t="inlineStr">
        <is>
          <t>Control cable 600 V Type TC-ER, Cu #14 AWG, PVC jacket</t>
        </is>
      </c>
      <c r="K5432" s="12" t="inlineStr">
        <is>
          <t>CT|7/C|14</t>
        </is>
      </c>
      <c r="L5432" s="12" t="inlineStr">
        <is>
          <t>7/C</t>
        </is>
      </c>
      <c r="M5432" s="12" t="inlineStr">
        <is>
          <t>14</t>
        </is>
      </c>
      <c r="N5432" s="12" t="n">
        <v>1</v>
      </c>
      <c r="O5432" s="12" t="n">
        <v>1</v>
      </c>
      <c r="P5432" s="12" t="n"/>
      <c r="Q5432" s="12" t="n"/>
      <c r="R5432" s="12" t="n"/>
      <c r="S5432" s="12" t="inlineStr">
        <is>
          <t>Conduit link</t>
        </is>
      </c>
      <c r="T5432" s="16" t="n">
        <v>357</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K-C-0133</t>
        </is>
      </c>
      <c r="B5433" s="12" t="inlineStr">
        <is>
          <t>K</t>
        </is>
      </c>
      <c r="C5433" s="12" t="inlineStr">
        <is>
          <t>Fuel supply (adjacent market)</t>
        </is>
      </c>
      <c r="D5433" s="12" t="inlineStr">
        <is>
          <t>Control</t>
        </is>
      </c>
      <c r="E5433" s="12" t="inlineStr"/>
      <c r="F5433" s="12" t="inlineStr">
        <is>
          <t>H2 20: 13.8 kV e-house</t>
        </is>
      </c>
      <c r="G5433" s="12" t="inlineStr"/>
      <c r="H5433" s="12" t="inlineStr">
        <is>
          <t>Rectifier 3 (7 MVA)</t>
        </is>
      </c>
      <c r="I5433" s="12" t="inlineStr">
        <is>
          <t>Control</t>
        </is>
      </c>
      <c r="J5433" s="12" t="inlineStr">
        <is>
          <t>Control cable 600 V Type TC-ER, Cu #14 AWG, PVC jacket</t>
        </is>
      </c>
      <c r="K5433" s="12" t="inlineStr">
        <is>
          <t>CT|7/C|14</t>
        </is>
      </c>
      <c r="L5433" s="12" t="inlineStr">
        <is>
          <t>7/C</t>
        </is>
      </c>
      <c r="M5433" s="12" t="inlineStr">
        <is>
          <t>14</t>
        </is>
      </c>
      <c r="N5433" s="12" t="n">
        <v>1</v>
      </c>
      <c r="O5433" s="12" t="n">
        <v>1</v>
      </c>
      <c r="P5433" s="12" t="n"/>
      <c r="Q5433" s="12" t="n"/>
      <c r="R5433" s="12" t="n"/>
      <c r="S5433" s="12" t="inlineStr">
        <is>
          <t>Duct bank</t>
        </is>
      </c>
      <c r="T5433" s="16" t="n">
        <v>334</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K-C-0134</t>
        </is>
      </c>
      <c r="B5434" s="12" t="inlineStr">
        <is>
          <t>K</t>
        </is>
      </c>
      <c r="C5434" s="12" t="inlineStr">
        <is>
          <t>Fuel supply (adjacent market)</t>
        </is>
      </c>
      <c r="D5434" s="12" t="inlineStr">
        <is>
          <t>Control</t>
        </is>
      </c>
      <c r="E5434" s="12" t="inlineStr"/>
      <c r="F5434" s="12" t="inlineStr">
        <is>
          <t>H2 20: 13.8 kV e-house</t>
        </is>
      </c>
      <c r="G5434" s="12" t="inlineStr"/>
      <c r="H5434" s="12" t="inlineStr">
        <is>
          <t>Rectifier 4 (7 MVA)</t>
        </is>
      </c>
      <c r="I5434" s="12" t="inlineStr">
        <is>
          <t>Control</t>
        </is>
      </c>
      <c r="J5434" s="12" t="inlineStr">
        <is>
          <t>Control cable 600 V Type TC-ER, Cu #14 AWG, PVC jacket</t>
        </is>
      </c>
      <c r="K5434" s="12" t="inlineStr">
        <is>
          <t>CT|7/C|14</t>
        </is>
      </c>
      <c r="L5434" s="12" t="inlineStr">
        <is>
          <t>7/C</t>
        </is>
      </c>
      <c r="M5434" s="12" t="inlineStr">
        <is>
          <t>14</t>
        </is>
      </c>
      <c r="N5434" s="12" t="n">
        <v>1</v>
      </c>
      <c r="O5434" s="12" t="n">
        <v>1</v>
      </c>
      <c r="P5434" s="12" t="n"/>
      <c r="Q5434" s="12" t="n"/>
      <c r="R5434" s="12" t="n"/>
      <c r="S5434" s="12" t="inlineStr">
        <is>
          <t>Duct bank</t>
        </is>
      </c>
      <c r="T5434" s="16" t="n">
        <v>311</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K-C-0135</t>
        </is>
      </c>
      <c r="B5435" s="12" t="inlineStr">
        <is>
          <t>K</t>
        </is>
      </c>
      <c r="C5435" s="12" t="inlineStr">
        <is>
          <t>Fuel supply (adjacent market)</t>
        </is>
      </c>
      <c r="D5435" s="12" t="inlineStr">
        <is>
          <t>Control</t>
        </is>
      </c>
      <c r="E5435" s="12" t="inlineStr"/>
      <c r="F5435" s="12" t="inlineStr">
        <is>
          <t>H2 20: 13.8 kV e-house</t>
        </is>
      </c>
      <c r="G5435" s="12" t="inlineStr"/>
      <c r="H5435" s="12" t="inlineStr">
        <is>
          <t>Rectifier 5 (7 MVA)</t>
        </is>
      </c>
      <c r="I5435" s="12" t="inlineStr">
        <is>
          <t>Control</t>
        </is>
      </c>
      <c r="J5435" s="12" t="inlineStr">
        <is>
          <t>Control cable 600 V Type TC-ER, Cu #14 AWG, PVC jacket</t>
        </is>
      </c>
      <c r="K5435" s="12" t="inlineStr">
        <is>
          <t>CT|7/C|14</t>
        </is>
      </c>
      <c r="L5435" s="12" t="inlineStr">
        <is>
          <t>7/C</t>
        </is>
      </c>
      <c r="M5435" s="12" t="inlineStr">
        <is>
          <t>14</t>
        </is>
      </c>
      <c r="N5435" s="12" t="n">
        <v>1</v>
      </c>
      <c r="O5435" s="12" t="n">
        <v>1</v>
      </c>
      <c r="P5435" s="12" t="n"/>
      <c r="Q5435" s="12" t="n"/>
      <c r="R5435" s="12" t="n"/>
      <c r="S5435" s="12" t="inlineStr">
        <is>
          <t>Duct bank</t>
        </is>
      </c>
      <c r="T5435" s="16" t="n">
        <v>289</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K-F-0001</t>
        </is>
      </c>
      <c r="B5436" s="12" t="inlineStr">
        <is>
          <t>K</t>
        </is>
      </c>
      <c r="C5436" s="12" t="inlineStr">
        <is>
          <t>Fuel supply (adjacent market)</t>
        </is>
      </c>
      <c r="D5436" s="12" t="inlineStr">
        <is>
          <t>Plant network / DCS fibre</t>
        </is>
      </c>
      <c r="E5436" s="12" t="inlineStr">
        <is>
          <t>CR</t>
        </is>
      </c>
      <c r="F5436" s="12" t="inlineStr">
        <is>
          <t>Control / admin building (main control room)</t>
        </is>
      </c>
      <c r="G5436" s="12" t="inlineStr"/>
      <c r="H5436" s="12" t="inlineStr">
        <is>
          <t>H2 20: 13.8 kV e-house</t>
        </is>
      </c>
      <c r="I5436" s="12" t="inlineStr">
        <is>
          <t>Fibre / data</t>
        </is>
      </c>
      <c r="J5436" s="12" t="inlineStr">
        <is>
          <t>Fibre optic, single-mode, 12-fibre, armored, orange jacket</t>
        </is>
      </c>
      <c r="K5436" s="12" t="inlineStr">
        <is>
          <t>FO|12 SM|-</t>
        </is>
      </c>
      <c r="L5436" s="12" t="inlineStr">
        <is>
          <t>12 SM</t>
        </is>
      </c>
      <c r="M5436" s="12" t="inlineStr">
        <is>
          <t>-</t>
        </is>
      </c>
      <c r="N5436" s="12" t="n">
        <v>1</v>
      </c>
      <c r="O5436" s="12" t="n">
        <v>1</v>
      </c>
      <c r="P5436" s="12" t="n"/>
      <c r="Q5436" s="12" t="n"/>
      <c r="R5436" s="12" t="n"/>
      <c r="S5436" s="12" t="inlineStr">
        <is>
          <t>Trench</t>
        </is>
      </c>
      <c r="T5436" s="16" t="n">
        <v>4266</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K-F-0002</t>
        </is>
      </c>
      <c r="B5437" s="12" t="inlineStr">
        <is>
          <t>K</t>
        </is>
      </c>
      <c r="C5437" s="12" t="inlineStr">
        <is>
          <t>Fuel supply (adjacent market)</t>
        </is>
      </c>
      <c r="D5437" s="12" t="inlineStr">
        <is>
          <t>Plant network / DCS fibre</t>
        </is>
      </c>
      <c r="E5437" s="12" t="inlineStr">
        <is>
          <t>CR</t>
        </is>
      </c>
      <c r="F5437" s="12" t="inlineStr">
        <is>
          <t>Control / admin building (main control room)</t>
        </is>
      </c>
      <c r="G5437" s="12" t="inlineStr"/>
      <c r="H5437" s="12" t="inlineStr">
        <is>
          <t>LNG 17: LNG e-house (13.8 kV / 480 V)</t>
        </is>
      </c>
      <c r="I5437" s="12" t="inlineStr">
        <is>
          <t>Fibre / data</t>
        </is>
      </c>
      <c r="J5437" s="12" t="inlineStr">
        <is>
          <t>Fibre optic, single-mode, 12-fibre, armored, orange jacket</t>
        </is>
      </c>
      <c r="K5437" s="12" t="inlineStr">
        <is>
          <t>FO|12 SM|-</t>
        </is>
      </c>
      <c r="L5437" s="12" t="inlineStr">
        <is>
          <t>12 SM</t>
        </is>
      </c>
      <c r="M5437" s="12" t="inlineStr">
        <is>
          <t>-</t>
        </is>
      </c>
      <c r="N5437" s="12" t="n">
        <v>1</v>
      </c>
      <c r="O5437" s="12" t="n">
        <v>1</v>
      </c>
      <c r="P5437" s="12" t="n"/>
      <c r="Q5437" s="12" t="n"/>
      <c r="R5437" s="12" t="n"/>
      <c r="S5437" s="12" t="inlineStr">
        <is>
          <t>Duct bank</t>
        </is>
      </c>
      <c r="T5437" s="16" t="n">
        <v>3581</v>
      </c>
      <c r="U5437" s="16" t="n">
        <v>221</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K-F-0003</t>
        </is>
      </c>
      <c r="B5438" s="12" t="inlineStr">
        <is>
          <t>K</t>
        </is>
      </c>
      <c r="C5438" s="12" t="inlineStr">
        <is>
          <t>Fuel supply (adjacent market)</t>
        </is>
      </c>
      <c r="D5438" s="12" t="inlineStr">
        <is>
          <t>Plant network / DCS fibre</t>
        </is>
      </c>
      <c r="E5438" s="12" t="inlineStr">
        <is>
          <t>CR</t>
        </is>
      </c>
      <c r="F5438" s="12" t="inlineStr">
        <is>
          <t>Control / admin building (main control room)</t>
        </is>
      </c>
      <c r="G5438" s="12" t="inlineStr"/>
      <c r="H5438" s="12" t="inlineStr">
        <is>
          <t>M&amp;R 6: regulation / flow control building</t>
        </is>
      </c>
      <c r="I5438" s="12" t="inlineStr">
        <is>
          <t>Fibre / data</t>
        </is>
      </c>
      <c r="J5438" s="12" t="inlineStr">
        <is>
          <t>Fibre optic, single-mode, 12-fibre, armored, orange jacket</t>
        </is>
      </c>
      <c r="K5438" s="12" t="inlineStr">
        <is>
          <t>FO|12 SM|-</t>
        </is>
      </c>
      <c r="L5438" s="12" t="inlineStr">
        <is>
          <t>12 SM</t>
        </is>
      </c>
      <c r="M5438" s="12" t="inlineStr">
        <is>
          <t>-</t>
        </is>
      </c>
      <c r="N5438" s="12" t="n">
        <v>1</v>
      </c>
      <c r="O5438" s="12" t="n">
        <v>1</v>
      </c>
      <c r="P5438" s="12" t="n"/>
      <c r="Q5438" s="12" t="n"/>
      <c r="R5438" s="12" t="n"/>
      <c r="S5438" s="12" t="inlineStr">
        <is>
          <t>Duct bank</t>
        </is>
      </c>
      <c r="T5438" s="16" t="n">
        <v>3189</v>
      </c>
      <c r="U5438" s="16" t="n">
        <v>164</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K-F-0004</t>
        </is>
      </c>
      <c r="B5439" s="12" t="inlineStr">
        <is>
          <t>K</t>
        </is>
      </c>
      <c r="C5439" s="12" t="inlineStr">
        <is>
          <t>Fuel supply (adjacent market)</t>
        </is>
      </c>
      <c r="D5439" s="12" t="inlineStr">
        <is>
          <t>Plant network / DCS fibre</t>
        </is>
      </c>
      <c r="E5439" s="12" t="inlineStr">
        <is>
          <t>CR</t>
        </is>
      </c>
      <c r="F5439" s="12" t="inlineStr">
        <is>
          <t>Control / admin building (main control room)</t>
        </is>
      </c>
      <c r="G5439" s="12" t="inlineStr"/>
      <c r="H5439" s="12" t="inlineStr">
        <is>
          <t>M&amp;R 7: gas quality + measurement building</t>
        </is>
      </c>
      <c r="I5439" s="12" t="inlineStr">
        <is>
          <t>Fibre / data</t>
        </is>
      </c>
      <c r="J5439" s="12" t="inlineStr">
        <is>
          <t>Fibre optic, single-mode, 12-fibre, armored, orange jacket</t>
        </is>
      </c>
      <c r="K5439" s="12" t="inlineStr">
        <is>
          <t>FO|12 SM|-</t>
        </is>
      </c>
      <c r="L5439" s="12" t="inlineStr">
        <is>
          <t>12 SM</t>
        </is>
      </c>
      <c r="M5439" s="12" t="inlineStr">
        <is>
          <t>-</t>
        </is>
      </c>
      <c r="N5439" s="12" t="n">
        <v>1</v>
      </c>
      <c r="O5439" s="12" t="n">
        <v>1</v>
      </c>
      <c r="P5439" s="12" t="n"/>
      <c r="Q5439" s="12" t="n"/>
      <c r="R5439" s="12" t="n"/>
      <c r="S5439" s="12" t="inlineStr">
        <is>
          <t>Duct bank</t>
        </is>
      </c>
      <c r="T5439" s="16" t="n">
        <v>3014</v>
      </c>
      <c r="U5439" s="16" t="n">
        <v>160</v>
      </c>
      <c r="V5439" s="16">
        <f>ROUNDUP((T5439+U5439+2*'Read Me'!$B$13)*(1+'Read Me'!$B$12),-1)</f>
        <v/>
      </c>
      <c r="W5439" s="16">
        <f>V5439*N5439*O5439</f>
        <v/>
      </c>
      <c r="X5439" s="12">
        <f>IF(LEFT(I5439,2)="MV",2*N5439*IF(L5439="1/C",O5439,1),0)</f>
        <v/>
      </c>
      <c r="Y5439" s="12">
        <f>IF(OR(LEFT(K5439,4)="LVAX",LEFT(K5439,6)="MV15AX",LEFT(K5439,4)="CTAX",LEFT(K5439,2)="W|"),2*N5439*O5439,0)</f>
        <v/>
      </c>
      <c r="Z5439" s="12" t="inlineStr"/>
      <c r="AA5439" s="12">
        <f>N5439*O5439</f>
        <v/>
      </c>
    </row>
    <row r="5440">
      <c r="A5440" s="12" t="inlineStr">
        <is>
          <t>K-FA-0001</t>
        </is>
      </c>
      <c r="B5440" s="12" t="inlineStr">
        <is>
          <t>K</t>
        </is>
      </c>
      <c r="C5440" s="12" t="inlineStr">
        <is>
          <t>Fuel supply (adjacent market)</t>
        </is>
      </c>
      <c r="D5440" s="12" t="inlineStr">
        <is>
          <t>Fire alarm / F&amp;G loop (to the local FACP / F&amp;G node)</t>
        </is>
      </c>
      <c r="E5440" s="12" t="inlineStr"/>
      <c r="F5440" s="12" t="inlineStr">
        <is>
          <t>H2 20: 13.8 kV e-house</t>
        </is>
      </c>
      <c r="G5440" s="12" t="inlineStr"/>
      <c r="H5440" s="12" t="inlineStr">
        <is>
          <t>H2 20: 13.8 kV e-house</t>
        </is>
      </c>
      <c r="I5440" s="12" t="inlineStr">
        <is>
          <t>Fire alarm</t>
        </is>
      </c>
      <c r="J5440" s="12" t="inlineStr">
        <is>
          <t>Fire alarm FPLR 2/C #14 shielded, red jacket (NEC 760)</t>
        </is>
      </c>
      <c r="K5440" s="12" t="inlineStr">
        <is>
          <t>FA|2/C|14</t>
        </is>
      </c>
      <c r="L5440" s="12" t="inlineStr">
        <is>
          <t>2/C</t>
        </is>
      </c>
      <c r="M5440" s="12" t="inlineStr">
        <is>
          <t>14</t>
        </is>
      </c>
      <c r="N5440" s="12" t="n">
        <v>1</v>
      </c>
      <c r="O5440" s="12" t="n">
        <v>1</v>
      </c>
      <c r="P5440" s="12" t="n"/>
      <c r="Q5440" s="12" t="n"/>
      <c r="R5440" s="12" t="n"/>
      <c r="S5440" s="12" t="inlineStr">
        <is>
          <t>Tray</t>
        </is>
      </c>
      <c r="T5440" s="16" t="n">
        <v>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K-FA-0002</t>
        </is>
      </c>
      <c r="B5441" s="12" t="inlineStr">
        <is>
          <t>K</t>
        </is>
      </c>
      <c r="C5441" s="12" t="inlineStr">
        <is>
          <t>Fuel supply (adjacent market)</t>
        </is>
      </c>
      <c r="D5441" s="12" t="inlineStr">
        <is>
          <t>Fire alarm / F&amp;G loop (to the local FACP / F&amp;G node)</t>
        </is>
      </c>
      <c r="E5441" s="12" t="inlineStr"/>
      <c r="F5441" s="12" t="inlineStr">
        <is>
          <t>LNG 17: LNG e-house (13.8 kV / 480 V)</t>
        </is>
      </c>
      <c r="G5441" s="12" t="inlineStr"/>
      <c r="H5441" s="12" t="inlineStr">
        <is>
          <t>LNG 17: LNG e-house (13.8 kV / 480 V)</t>
        </is>
      </c>
      <c r="I5441" s="12" t="inlineStr">
        <is>
          <t>Fire alarm</t>
        </is>
      </c>
      <c r="J5441" s="12" t="inlineStr">
        <is>
          <t>Fire alarm FPLR 2/C #14 shielded, red jacket (NEC 760)</t>
        </is>
      </c>
      <c r="K5441" s="12" t="inlineStr">
        <is>
          <t>FA|2/C|14</t>
        </is>
      </c>
      <c r="L5441" s="12" t="inlineStr">
        <is>
          <t>2/C</t>
        </is>
      </c>
      <c r="M5441" s="12" t="inlineStr">
        <is>
          <t>14</t>
        </is>
      </c>
      <c r="N5441" s="12" t="n">
        <v>1</v>
      </c>
      <c r="O5441" s="12" t="n">
        <v>1</v>
      </c>
      <c r="P5441" s="12" t="n"/>
      <c r="Q5441" s="12" t="n"/>
      <c r="R5441" s="12" t="n"/>
      <c r="S5441" s="12" t="inlineStr">
        <is>
          <t>Tray</t>
        </is>
      </c>
      <c r="T5441" s="16" t="n">
        <v>0</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c r="AA5441" s="12">
        <f>N5441*O5441</f>
        <v/>
      </c>
    </row>
    <row r="5442">
      <c r="A5442" s="12" t="inlineStr">
        <is>
          <t>K-FA-0003</t>
        </is>
      </c>
      <c r="B5442" s="12" t="inlineStr">
        <is>
          <t>K</t>
        </is>
      </c>
      <c r="C5442" s="12" t="inlineStr">
        <is>
          <t>Fuel supply (adjacent market)</t>
        </is>
      </c>
      <c r="D5442" s="12" t="inlineStr">
        <is>
          <t>Fire alarm / F&amp;G loop (to the local FACP / F&amp;G node)</t>
        </is>
      </c>
      <c r="E5442" s="12" t="inlineStr"/>
      <c r="F5442" s="12" t="inlineStr">
        <is>
          <t>LNG 17: LNG e-house (13.8 kV / 480 V)</t>
        </is>
      </c>
      <c r="G5442" s="12" t="inlineStr"/>
      <c r="H5442" s="12" t="inlineStr">
        <is>
          <t>M&amp;R 6: regulation / flow control building</t>
        </is>
      </c>
      <c r="I5442" s="12" t="inlineStr">
        <is>
          <t>Fire alarm</t>
        </is>
      </c>
      <c r="J5442" s="12" t="inlineStr">
        <is>
          <t>Fire alarm FPLR 2/C #14 shielded, red jacket (NEC 760)</t>
        </is>
      </c>
      <c r="K5442" s="12" t="inlineStr">
        <is>
          <t>FA|2/C|14</t>
        </is>
      </c>
      <c r="L5442" s="12" t="inlineStr">
        <is>
          <t>2/C</t>
        </is>
      </c>
      <c r="M5442" s="12" t="inlineStr">
        <is>
          <t>14</t>
        </is>
      </c>
      <c r="N5442" s="12" t="n">
        <v>1</v>
      </c>
      <c r="O5442" s="12" t="n">
        <v>1</v>
      </c>
      <c r="P5442" s="12" t="n"/>
      <c r="Q5442" s="12" t="n"/>
      <c r="R5442" s="12" t="n"/>
      <c r="S5442" s="12" t="inlineStr">
        <is>
          <t>Duct bank</t>
        </is>
      </c>
      <c r="T5442" s="16" t="n">
        <v>492</v>
      </c>
      <c r="U5442" s="16" t="n">
        <v>70</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K-FA-0004</t>
        </is>
      </c>
      <c r="B5443" s="12" t="inlineStr">
        <is>
          <t>K</t>
        </is>
      </c>
      <c r="C5443" s="12" t="inlineStr">
        <is>
          <t>Fuel supply (adjacent market)</t>
        </is>
      </c>
      <c r="D5443" s="12" t="inlineStr">
        <is>
          <t>Fire alarm / F&amp;G loop (to the local FACP / F&amp;G node)</t>
        </is>
      </c>
      <c r="E5443" s="12" t="inlineStr"/>
      <c r="F5443" s="12" t="inlineStr">
        <is>
          <t>LNG 17: LNG e-house (13.8 kV / 480 V)</t>
        </is>
      </c>
      <c r="G5443" s="12" t="inlineStr"/>
      <c r="H5443" s="12" t="inlineStr">
        <is>
          <t>M&amp;R 9: service panel + UPS, SCADA RTU, CP</t>
        </is>
      </c>
      <c r="I5443" s="12" t="inlineStr">
        <is>
          <t>Fire alarm</t>
        </is>
      </c>
      <c r="J5443" s="12" t="inlineStr">
        <is>
          <t>Fire alarm FPLR 2/C #14 shielded, red jacket (NEC 760)</t>
        </is>
      </c>
      <c r="K5443" s="12" t="inlineStr">
        <is>
          <t>FA|2/C|14</t>
        </is>
      </c>
      <c r="L5443" s="12" t="inlineStr">
        <is>
          <t>2/C</t>
        </is>
      </c>
      <c r="M5443" s="12" t="inlineStr">
        <is>
          <t>14</t>
        </is>
      </c>
      <c r="N5443" s="12" t="n">
        <v>1</v>
      </c>
      <c r="O5443" s="12" t="n">
        <v>1</v>
      </c>
      <c r="P5443" s="12" t="n"/>
      <c r="Q5443" s="12" t="n"/>
      <c r="R5443" s="12" t="n"/>
      <c r="S5443" s="12" t="inlineStr">
        <is>
          <t>Duct bank</t>
        </is>
      </c>
      <c r="T5443" s="16" t="n">
        <v>480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c r="AA5443" s="12">
        <f>N5443*O5443</f>
        <v/>
      </c>
    </row>
    <row r="5444">
      <c r="A5444" s="12" t="inlineStr">
        <is>
          <t>K-FA-0005</t>
        </is>
      </c>
      <c r="B5444" s="12" t="inlineStr">
        <is>
          <t>K</t>
        </is>
      </c>
      <c r="C5444" s="12" t="inlineStr">
        <is>
          <t>Fuel supply (adjacent market)</t>
        </is>
      </c>
      <c r="D5444" s="12" t="inlineStr">
        <is>
          <t>Fire alarm / F&amp;G loop (to the local FACP / F&amp;G node)</t>
        </is>
      </c>
      <c r="E5444" s="12" t="inlineStr"/>
      <c r="F5444" s="12" t="inlineStr">
        <is>
          <t>LNG 17: LNG e-house (13.8 kV / 480 V)</t>
        </is>
      </c>
      <c r="G5444" s="12" t="inlineStr"/>
      <c r="H5444" s="12" t="inlineStr">
        <is>
          <t>M&amp;R SCADA antenna mast base (as drawn)</t>
        </is>
      </c>
      <c r="I5444" s="12" t="inlineStr">
        <is>
          <t>Fire alarm</t>
        </is>
      </c>
      <c r="J5444" s="12" t="inlineStr">
        <is>
          <t>Fire alarm FPLR 2/C #14 shielded, red jacket (NEC 760)</t>
        </is>
      </c>
      <c r="K5444" s="12" t="inlineStr">
        <is>
          <t>FA|2/C|14</t>
        </is>
      </c>
      <c r="L5444" s="12" t="inlineStr">
        <is>
          <t>2/C</t>
        </is>
      </c>
      <c r="M5444" s="12" t="inlineStr">
        <is>
          <t>14</t>
        </is>
      </c>
      <c r="N5444" s="12" t="n">
        <v>1</v>
      </c>
      <c r="O5444" s="12" t="n">
        <v>1</v>
      </c>
      <c r="P5444" s="12" t="n"/>
      <c r="Q5444" s="12" t="n"/>
      <c r="R5444" s="12" t="n"/>
      <c r="S5444" s="12" t="inlineStr">
        <is>
          <t>Duct bank</t>
        </is>
      </c>
      <c r="T5444" s="16" t="n">
        <v>453</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K-I-0001</t>
        </is>
      </c>
      <c r="B5445" s="12" t="inlineStr">
        <is>
          <t>K</t>
        </is>
      </c>
      <c r="C5445" s="12" t="inlineStr">
        <is>
          <t>Fuel supply (adjacent market)</t>
        </is>
      </c>
      <c r="D5445" s="12" t="inlineStr">
        <is>
          <t>Analog instrument to JB JB-T-H2-AI01: 12 x 1 pr (field cables)</t>
        </is>
      </c>
      <c r="E5445" s="12" t="inlineStr">
        <is>
          <t>T-H2</t>
        </is>
      </c>
      <c r="F5445" s="12" t="inlineStr">
        <is>
          <t>H2 19: T-H2 230/13.8 kV (about 40 MVA)</t>
        </is>
      </c>
      <c r="G5445" s="12" t="inlineStr">
        <is>
          <t>JB-T-H2-AI01</t>
        </is>
      </c>
      <c r="H5445" s="12" t="inlineStr">
        <is>
          <t>H2 19: T-H2 230/13.8 kV (about 40 MVA)</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80</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K-I-0002</t>
        </is>
      </c>
      <c r="B5446" s="12" t="inlineStr">
        <is>
          <t>K</t>
        </is>
      </c>
      <c r="C5446" s="12" t="inlineStr">
        <is>
          <t>Fuel supply (adjacent market)</t>
        </is>
      </c>
      <c r="D5446" s="12" t="inlineStr">
        <is>
          <t>Home run JB-T-H2-AI01 to the control / marshalling room</t>
        </is>
      </c>
      <c r="E5446" s="12" t="inlineStr"/>
      <c r="F5446" s="12" t="inlineStr">
        <is>
          <t>H2 20: 13.8 kV e-house</t>
        </is>
      </c>
      <c r="G5446" s="12" t="inlineStr">
        <is>
          <t>JB-T-H2-AI01</t>
        </is>
      </c>
      <c r="H5446" s="12" t="inlineStr">
        <is>
          <t>H2 19: T-H2 230/13.8 kV (about 40 MVA)</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Conduit link</t>
        </is>
      </c>
      <c r="T5446" s="16" t="n">
        <v>30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K-I-0003</t>
        </is>
      </c>
      <c r="B5447" s="12" t="inlineStr">
        <is>
          <t>K</t>
        </is>
      </c>
      <c r="C5447" s="12" t="inlineStr">
        <is>
          <t>Fuel supply (adjacent market)</t>
        </is>
      </c>
      <c r="D5447" s="12" t="inlineStr">
        <is>
          <t>Discrete device to JB JB-T-H2-DI01: 12 x 1 pr (field cables)</t>
        </is>
      </c>
      <c r="E5447" s="12" t="inlineStr">
        <is>
          <t>T-H2</t>
        </is>
      </c>
      <c r="F5447" s="12" t="inlineStr">
        <is>
          <t>H2 19: T-H2 230/13.8 kV (about 40 MVA)</t>
        </is>
      </c>
      <c r="G5447" s="12" t="inlineStr">
        <is>
          <t>JB-T-H2-DI01</t>
        </is>
      </c>
      <c r="H5447" s="12" t="inlineStr">
        <is>
          <t>H2 19: T-H2 230/13.8 kV (about 40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80</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K-I-0004</t>
        </is>
      </c>
      <c r="B5448" s="12" t="inlineStr">
        <is>
          <t>K</t>
        </is>
      </c>
      <c r="C5448" s="12" t="inlineStr">
        <is>
          <t>Fuel supply (adjacent market)</t>
        </is>
      </c>
      <c r="D5448" s="12" t="inlineStr">
        <is>
          <t>Home run JB-T-H2-DI01 to the control / marshalling room</t>
        </is>
      </c>
      <c r="E5448" s="12" t="inlineStr"/>
      <c r="F5448" s="12" t="inlineStr">
        <is>
          <t>H2 20: 13.8 kV e-house</t>
        </is>
      </c>
      <c r="G5448" s="12" t="inlineStr">
        <is>
          <t>JB-T-H2-DI01</t>
        </is>
      </c>
      <c r="H5448" s="12" t="inlineStr">
        <is>
          <t>H2 19: T-H2 230/13.8 kV (about 40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Conduit link</t>
        </is>
      </c>
      <c r="T5448" s="16" t="n">
        <v>30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K-I-0005</t>
        </is>
      </c>
      <c r="B5449" s="12" t="inlineStr">
        <is>
          <t>K</t>
        </is>
      </c>
      <c r="C5449" s="12" t="inlineStr">
        <is>
          <t>Fuel supply (adjacent market)</t>
        </is>
      </c>
      <c r="D5449" s="12" t="inlineStr">
        <is>
          <t>Analog instrument to JB JB-H2 20: 13.8 kV e-h-AI01: 12 x 1 pr (field cables)</t>
        </is>
      </c>
      <c r="E5449" s="12" t="inlineStr"/>
      <c r="F5449" s="12" t="inlineStr">
        <is>
          <t>H2 20: 13.8 kV e-house</t>
        </is>
      </c>
      <c r="G5449" s="12" t="inlineStr">
        <is>
          <t>JB-H2 20: 13.8 kV e-h-AI01</t>
        </is>
      </c>
      <c r="H5449" s="12" t="inlineStr">
        <is>
          <t>H2 20: 13.8 kV e-house</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69</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K-I-0006</t>
        </is>
      </c>
      <c r="B5450" s="12" t="inlineStr">
        <is>
          <t>K</t>
        </is>
      </c>
      <c r="C5450" s="12" t="inlineStr">
        <is>
          <t>Fuel supply (adjacent market)</t>
        </is>
      </c>
      <c r="D5450" s="12" t="inlineStr">
        <is>
          <t>Home run JB-H2 20: 13.8 kV e-h-AI01 to the control / marshalling room</t>
        </is>
      </c>
      <c r="E5450" s="12" t="inlineStr"/>
      <c r="F5450" s="12" t="inlineStr">
        <is>
          <t>H2 20: 13.8 kV e-house</t>
        </is>
      </c>
      <c r="G5450" s="12" t="inlineStr">
        <is>
          <t>JB-H2 20: 13.8 kV e-h-AI01</t>
        </is>
      </c>
      <c r="H5450" s="12" t="inlineStr">
        <is>
          <t>H2 20: 13.8 kV e-house</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Tray</t>
        </is>
      </c>
      <c r="T5450" s="16" t="n">
        <v>0</v>
      </c>
      <c r="U5450" s="16" t="n">
        <v>32</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K-I-0007</t>
        </is>
      </c>
      <c r="B5451" s="12" t="inlineStr">
        <is>
          <t>K</t>
        </is>
      </c>
      <c r="C5451" s="12" t="inlineStr">
        <is>
          <t>Fuel supply (adjacent market)</t>
        </is>
      </c>
      <c r="D5451" s="12" t="inlineStr">
        <is>
          <t>Discrete device to JB JB-H2 20: 13.8 kV e-h-DI01: 12 x 1 pr (field cables)</t>
        </is>
      </c>
      <c r="E5451" s="12" t="inlineStr"/>
      <c r="F5451" s="12" t="inlineStr">
        <is>
          <t>H2 20: 13.8 kV e-house</t>
        </is>
      </c>
      <c r="G5451" s="12" t="inlineStr">
        <is>
          <t>JB-H2 20: 13.8 kV e-h-DI01</t>
        </is>
      </c>
      <c r="H5451" s="12" t="inlineStr">
        <is>
          <t>H2 20: 13.8 kV e-house</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69</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K-I-0008</t>
        </is>
      </c>
      <c r="B5452" s="12" t="inlineStr">
        <is>
          <t>K</t>
        </is>
      </c>
      <c r="C5452" s="12" t="inlineStr">
        <is>
          <t>Fuel supply (adjacent market)</t>
        </is>
      </c>
      <c r="D5452" s="12" t="inlineStr">
        <is>
          <t>Home run JB-H2 20: 13.8 kV e-h-DI01 to the control / marshalling room</t>
        </is>
      </c>
      <c r="E5452" s="12" t="inlineStr"/>
      <c r="F5452" s="12" t="inlineStr">
        <is>
          <t>H2 20: 13.8 kV e-house</t>
        </is>
      </c>
      <c r="G5452" s="12" t="inlineStr">
        <is>
          <t>JB-H2 20: 13.8 kV e-h-DI01</t>
        </is>
      </c>
      <c r="H5452" s="12" t="inlineStr">
        <is>
          <t>H2 20: 13.8 kV e-house</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Tray</t>
        </is>
      </c>
      <c r="T5452" s="16" t="n">
        <v>0</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K-I-0009</t>
        </is>
      </c>
      <c r="B5453" s="12" t="inlineStr">
        <is>
          <t>K</t>
        </is>
      </c>
      <c r="C5453" s="12" t="inlineStr">
        <is>
          <t>Fuel supply (adjacent market)</t>
        </is>
      </c>
      <c r="D5453" s="12" t="inlineStr">
        <is>
          <t>Analog instrument to JB JB-H2 21: rectifier t-AI01: 12 x 1 pr (field cables)</t>
        </is>
      </c>
      <c r="E5453" s="12" t="inlineStr"/>
      <c r="F5453" s="12" t="inlineStr">
        <is>
          <t>H2 21: rectifier transformer 1 (7 MVA)</t>
        </is>
      </c>
      <c r="G5453" s="12" t="inlineStr">
        <is>
          <t>JB-H2 21: rectifier t-AI01</t>
        </is>
      </c>
      <c r="H5453" s="12" t="inlineStr">
        <is>
          <t>H2 21: rectifier transformer 1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K-I-0010</t>
        </is>
      </c>
      <c r="B5454" s="12" t="inlineStr">
        <is>
          <t>K</t>
        </is>
      </c>
      <c r="C5454" s="12" t="inlineStr">
        <is>
          <t>Fuel supply (adjacent market)</t>
        </is>
      </c>
      <c r="D5454" s="12" t="inlineStr">
        <is>
          <t>Home run JB-H2 21: rectifier t-AI01 to the control / marshalling room</t>
        </is>
      </c>
      <c r="E5454" s="12" t="inlineStr"/>
      <c r="F5454" s="12" t="inlineStr">
        <is>
          <t>H2 20: 13.8 kV e-house</t>
        </is>
      </c>
      <c r="G5454" s="12" t="inlineStr">
        <is>
          <t>JB-H2 21: rectifier t-AI01</t>
        </is>
      </c>
      <c r="H5454" s="12" t="inlineStr">
        <is>
          <t>H2 21: rectifier transformer 1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348</v>
      </c>
      <c r="U5454" s="16" t="n">
        <v>48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K-I-0011</t>
        </is>
      </c>
      <c r="B5455" s="12" t="inlineStr">
        <is>
          <t>K</t>
        </is>
      </c>
      <c r="C5455" s="12" t="inlineStr">
        <is>
          <t>Fuel supply (adjacent market)</t>
        </is>
      </c>
      <c r="D5455" s="12" t="inlineStr">
        <is>
          <t>Discrete device to JB JB-H2 21: rectifier t-DI01: 12 x 1 pr (field cables)</t>
        </is>
      </c>
      <c r="E5455" s="12" t="inlineStr"/>
      <c r="F5455" s="12" t="inlineStr">
        <is>
          <t>H2 21: rectifier transformer 1 (7 MVA)</t>
        </is>
      </c>
      <c r="G5455" s="12" t="inlineStr">
        <is>
          <t>JB-H2 21: rectifier t-DI01</t>
        </is>
      </c>
      <c r="H5455" s="12" t="inlineStr">
        <is>
          <t>H2 21: rectifier transformer 1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K-I-0012</t>
        </is>
      </c>
      <c r="B5456" s="12" t="inlineStr">
        <is>
          <t>K</t>
        </is>
      </c>
      <c r="C5456" s="12" t="inlineStr">
        <is>
          <t>Fuel supply (adjacent market)</t>
        </is>
      </c>
      <c r="D5456" s="12" t="inlineStr">
        <is>
          <t>Home run JB-H2 21: rectifier t-DI01 to the control / marshalling room</t>
        </is>
      </c>
      <c r="E5456" s="12" t="inlineStr"/>
      <c r="F5456" s="12" t="inlineStr">
        <is>
          <t>H2 20: 13.8 kV e-house</t>
        </is>
      </c>
      <c r="G5456" s="12" t="inlineStr">
        <is>
          <t>JB-H2 21: rectifier t-DI01</t>
        </is>
      </c>
      <c r="H5456" s="12" t="inlineStr">
        <is>
          <t>H2 21: rectifier transformer 1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348</v>
      </c>
      <c r="U5456" s="16" t="n">
        <v>48</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K-I-0013</t>
        </is>
      </c>
      <c r="B5457" s="12" t="inlineStr">
        <is>
          <t>K</t>
        </is>
      </c>
      <c r="C5457" s="12" t="inlineStr">
        <is>
          <t>Fuel supply (adjacent market)</t>
        </is>
      </c>
      <c r="D5457" s="12" t="inlineStr">
        <is>
          <t>Analog instrument to JB JB-H2 21: rectifier t-AI01: 12 x 1 pr (field cables)</t>
        </is>
      </c>
      <c r="E5457" s="12" t="inlineStr"/>
      <c r="F5457" s="12" t="inlineStr">
        <is>
          <t>H2 21: rectifier transformer 2 (7 MVA)</t>
        </is>
      </c>
      <c r="G5457" s="12" t="inlineStr">
        <is>
          <t>JB-H2 21: rectifier t-AI01</t>
        </is>
      </c>
      <c r="H5457" s="12" t="inlineStr">
        <is>
          <t>H2 21: rectifier transformer 2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K-I-0014</t>
        </is>
      </c>
      <c r="B5458" s="12" t="inlineStr">
        <is>
          <t>K</t>
        </is>
      </c>
      <c r="C5458" s="12" t="inlineStr">
        <is>
          <t>Fuel supply (adjacent market)</t>
        </is>
      </c>
      <c r="D5458" s="12" t="inlineStr">
        <is>
          <t>Home run JB-H2 21: rectifier t-AI01 to the control / marshalling room</t>
        </is>
      </c>
      <c r="E5458" s="12" t="inlineStr"/>
      <c r="F5458" s="12" t="inlineStr">
        <is>
          <t>H2 20: 13.8 kV e-house</t>
        </is>
      </c>
      <c r="G5458" s="12" t="inlineStr">
        <is>
          <t>JB-H2 21: rectifier t-AI01</t>
        </is>
      </c>
      <c r="H5458" s="12" t="inlineStr">
        <is>
          <t>H2 21: rectifier transformer 2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348</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K-I-0015</t>
        </is>
      </c>
      <c r="B5459" s="12" t="inlineStr">
        <is>
          <t>K</t>
        </is>
      </c>
      <c r="C5459" s="12" t="inlineStr">
        <is>
          <t>Fuel supply (adjacent market)</t>
        </is>
      </c>
      <c r="D5459" s="12" t="inlineStr">
        <is>
          <t>Discrete device to JB JB-H2 21: rectifier t-DI01: 12 x 1 pr (field cables)</t>
        </is>
      </c>
      <c r="E5459" s="12" t="inlineStr"/>
      <c r="F5459" s="12" t="inlineStr">
        <is>
          <t>H2 21: rectifier transformer 2 (7 MVA)</t>
        </is>
      </c>
      <c r="G5459" s="12" t="inlineStr">
        <is>
          <t>JB-H2 21: rectifier t-DI01</t>
        </is>
      </c>
      <c r="H5459" s="12" t="inlineStr">
        <is>
          <t>H2 21: rectifier transformer 2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K-I-0016</t>
        </is>
      </c>
      <c r="B5460" s="12" t="inlineStr">
        <is>
          <t>K</t>
        </is>
      </c>
      <c r="C5460" s="12" t="inlineStr">
        <is>
          <t>Fuel supply (adjacent market)</t>
        </is>
      </c>
      <c r="D5460" s="12" t="inlineStr">
        <is>
          <t>Home run JB-H2 21: rectifier t-DI01 to the control / marshalling room</t>
        </is>
      </c>
      <c r="E5460" s="12" t="inlineStr"/>
      <c r="F5460" s="12" t="inlineStr">
        <is>
          <t>H2 20: 13.8 kV e-house</t>
        </is>
      </c>
      <c r="G5460" s="12" t="inlineStr">
        <is>
          <t>JB-H2 21: rectifier t-DI01</t>
        </is>
      </c>
      <c r="H5460" s="12" t="inlineStr">
        <is>
          <t>H2 21: rectifier transformer 2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348</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K-I-0017</t>
        </is>
      </c>
      <c r="B5461" s="12" t="inlineStr">
        <is>
          <t>K</t>
        </is>
      </c>
      <c r="C5461" s="12" t="inlineStr">
        <is>
          <t>Fuel supply (adjacent market)</t>
        </is>
      </c>
      <c r="D5461" s="12" t="inlineStr">
        <is>
          <t>Analog instrument to JB JB-H2 21: rectifier t-AI01: 12 x 1 pr (field cables)</t>
        </is>
      </c>
      <c r="E5461" s="12" t="inlineStr"/>
      <c r="F5461" s="12" t="inlineStr">
        <is>
          <t>H2 21: rectifier transformer 3 (7 MVA)</t>
        </is>
      </c>
      <c r="G5461" s="12" t="inlineStr">
        <is>
          <t>JB-H2 21: rectifier t-AI01</t>
        </is>
      </c>
      <c r="H5461" s="12" t="inlineStr">
        <is>
          <t>H2 21: rectifier transformer 3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K-I-0018</t>
        </is>
      </c>
      <c r="B5462" s="12" t="inlineStr">
        <is>
          <t>K</t>
        </is>
      </c>
      <c r="C5462" s="12" t="inlineStr">
        <is>
          <t>Fuel supply (adjacent market)</t>
        </is>
      </c>
      <c r="D5462" s="12" t="inlineStr">
        <is>
          <t>Home run JB-H2 21: rectifier t-AI01 to the control / marshalling room</t>
        </is>
      </c>
      <c r="E5462" s="12" t="inlineStr"/>
      <c r="F5462" s="12" t="inlineStr">
        <is>
          <t>H2 20: 13.8 kV e-house</t>
        </is>
      </c>
      <c r="G5462" s="12" t="inlineStr">
        <is>
          <t>JB-H2 21: rectifier t-AI01</t>
        </is>
      </c>
      <c r="H5462" s="12" t="inlineStr">
        <is>
          <t>H2 21: rectifier transformer 3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321</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K-I-0019</t>
        </is>
      </c>
      <c r="B5463" s="12" t="inlineStr">
        <is>
          <t>K</t>
        </is>
      </c>
      <c r="C5463" s="12" t="inlineStr">
        <is>
          <t>Fuel supply (adjacent market)</t>
        </is>
      </c>
      <c r="D5463" s="12" t="inlineStr">
        <is>
          <t>Discrete device to JB JB-H2 21: rectifier t-DI01: 12 x 1 pr (field cables)</t>
        </is>
      </c>
      <c r="E5463" s="12" t="inlineStr"/>
      <c r="F5463" s="12" t="inlineStr">
        <is>
          <t>H2 21: rectifier transformer 3 (7 MVA)</t>
        </is>
      </c>
      <c r="G5463" s="12" t="inlineStr">
        <is>
          <t>JB-H2 21: rectifier t-DI01</t>
        </is>
      </c>
      <c r="H5463" s="12" t="inlineStr">
        <is>
          <t>H2 21: rectifier transformer 3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K-I-0020</t>
        </is>
      </c>
      <c r="B5464" s="12" t="inlineStr">
        <is>
          <t>K</t>
        </is>
      </c>
      <c r="C5464" s="12" t="inlineStr">
        <is>
          <t>Fuel supply (adjacent market)</t>
        </is>
      </c>
      <c r="D5464" s="12" t="inlineStr">
        <is>
          <t>Home run JB-H2 21: rectifier t-DI01 to the control / marshalling room</t>
        </is>
      </c>
      <c r="E5464" s="12" t="inlineStr"/>
      <c r="F5464" s="12" t="inlineStr">
        <is>
          <t>H2 20: 13.8 kV e-house</t>
        </is>
      </c>
      <c r="G5464" s="12" t="inlineStr">
        <is>
          <t>JB-H2 21: rectifier t-DI01</t>
        </is>
      </c>
      <c r="H5464" s="12" t="inlineStr">
        <is>
          <t>H2 21: rectifier transformer 3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321</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K-I-0021</t>
        </is>
      </c>
      <c r="B5465" s="12" t="inlineStr">
        <is>
          <t>K</t>
        </is>
      </c>
      <c r="C5465" s="12" t="inlineStr">
        <is>
          <t>Fuel supply (adjacent market)</t>
        </is>
      </c>
      <c r="D5465" s="12" t="inlineStr">
        <is>
          <t>Analog instrument to JB JB-H2 21: rectifier t-AI01: 12 x 1 pr (field cables)</t>
        </is>
      </c>
      <c r="E5465" s="12" t="inlineStr"/>
      <c r="F5465" s="12" t="inlineStr">
        <is>
          <t>H2 21: rectifier transformer 4 (7 MVA)</t>
        </is>
      </c>
      <c r="G5465" s="12" t="inlineStr">
        <is>
          <t>JB-H2 21: rectifier t-AI01</t>
        </is>
      </c>
      <c r="H5465" s="12" t="inlineStr">
        <is>
          <t>H2 21: rectifier transformer 4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K-I-0022</t>
        </is>
      </c>
      <c r="B5466" s="12" t="inlineStr">
        <is>
          <t>K</t>
        </is>
      </c>
      <c r="C5466" s="12" t="inlineStr">
        <is>
          <t>Fuel supply (adjacent market)</t>
        </is>
      </c>
      <c r="D5466" s="12" t="inlineStr">
        <is>
          <t>Home run JB-H2 21: rectifier t-AI01 to the control / marshalling room</t>
        </is>
      </c>
      <c r="E5466" s="12" t="inlineStr"/>
      <c r="F5466" s="12" t="inlineStr">
        <is>
          <t>H2 20: 13.8 kV e-house</t>
        </is>
      </c>
      <c r="G5466" s="12" t="inlineStr">
        <is>
          <t>JB-H2 21: rectifier t-AI01</t>
        </is>
      </c>
      <c r="H5466" s="12" t="inlineStr">
        <is>
          <t>H2 21: rectifier transformer 4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295</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K-I-0023</t>
        </is>
      </c>
      <c r="B5467" s="12" t="inlineStr">
        <is>
          <t>K</t>
        </is>
      </c>
      <c r="C5467" s="12" t="inlineStr">
        <is>
          <t>Fuel supply (adjacent market)</t>
        </is>
      </c>
      <c r="D5467" s="12" t="inlineStr">
        <is>
          <t>Discrete device to JB JB-H2 21: rectifier t-DI01: 12 x 1 pr (field cables)</t>
        </is>
      </c>
      <c r="E5467" s="12" t="inlineStr"/>
      <c r="F5467" s="12" t="inlineStr">
        <is>
          <t>H2 21: rectifier transformer 4 (7 MVA)</t>
        </is>
      </c>
      <c r="G5467" s="12" t="inlineStr">
        <is>
          <t>JB-H2 21: rectifier t-DI01</t>
        </is>
      </c>
      <c r="H5467" s="12" t="inlineStr">
        <is>
          <t>H2 21: rectifier transformer 4 (7 MVA)</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41</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K-I-0024</t>
        </is>
      </c>
      <c r="B5468" s="12" t="inlineStr">
        <is>
          <t>K</t>
        </is>
      </c>
      <c r="C5468" s="12" t="inlineStr">
        <is>
          <t>Fuel supply (adjacent market)</t>
        </is>
      </c>
      <c r="D5468" s="12" t="inlineStr">
        <is>
          <t>Home run JB-H2 21: rectifier t-DI01 to the control / marshalling room</t>
        </is>
      </c>
      <c r="E5468" s="12" t="inlineStr"/>
      <c r="F5468" s="12" t="inlineStr">
        <is>
          <t>H2 20: 13.8 kV e-house</t>
        </is>
      </c>
      <c r="G5468" s="12" t="inlineStr">
        <is>
          <t>JB-H2 21: rectifier t-DI01</t>
        </is>
      </c>
      <c r="H5468" s="12" t="inlineStr">
        <is>
          <t>H2 21: rectifier transformer 4 (7 MVA)</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295</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K-I-0025</t>
        </is>
      </c>
      <c r="B5469" s="12" t="inlineStr">
        <is>
          <t>K</t>
        </is>
      </c>
      <c r="C5469" s="12" t="inlineStr">
        <is>
          <t>Fuel supply (adjacent market)</t>
        </is>
      </c>
      <c r="D5469" s="12" t="inlineStr">
        <is>
          <t>Analog instrument to JB JB-H2 21: rectifier t-AI01: 12 x 1 pr (field cables)</t>
        </is>
      </c>
      <c r="E5469" s="12" t="inlineStr"/>
      <c r="F5469" s="12" t="inlineStr">
        <is>
          <t>H2 21: rectifier transformer 5 (7 MVA)</t>
        </is>
      </c>
      <c r="G5469" s="12" t="inlineStr">
        <is>
          <t>JB-H2 21: rectifier t-AI01</t>
        </is>
      </c>
      <c r="H5469" s="12" t="inlineStr">
        <is>
          <t>H2 21: rectifier transformer 5 (7 MVA)</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41</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K-I-0026</t>
        </is>
      </c>
      <c r="B5470" s="12" t="inlineStr">
        <is>
          <t>K</t>
        </is>
      </c>
      <c r="C5470" s="12" t="inlineStr">
        <is>
          <t>Fuel supply (adjacent market)</t>
        </is>
      </c>
      <c r="D5470" s="12" t="inlineStr">
        <is>
          <t>Home run JB-H2 21: rectifier t-AI01 to the control / marshalling room</t>
        </is>
      </c>
      <c r="E5470" s="12" t="inlineStr"/>
      <c r="F5470" s="12" t="inlineStr">
        <is>
          <t>H2 20: 13.8 kV e-house</t>
        </is>
      </c>
      <c r="G5470" s="12" t="inlineStr">
        <is>
          <t>JB-H2 21: rectifier t-AI01</t>
        </is>
      </c>
      <c r="H5470" s="12" t="inlineStr">
        <is>
          <t>H2 21: rectifier transformer 5 (7 MVA)</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Conduit link</t>
        </is>
      </c>
      <c r="T5470" s="16" t="n">
        <v>254</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K-I-0027</t>
        </is>
      </c>
      <c r="B5471" s="12" t="inlineStr">
        <is>
          <t>K</t>
        </is>
      </c>
      <c r="C5471" s="12" t="inlineStr">
        <is>
          <t>Fuel supply (adjacent market)</t>
        </is>
      </c>
      <c r="D5471" s="12" t="inlineStr">
        <is>
          <t>Discrete device to JB JB-H2 21: rectifier t-DI01: 12 x 1 pr (field cables)</t>
        </is>
      </c>
      <c r="E5471" s="12" t="inlineStr"/>
      <c r="F5471" s="12" t="inlineStr">
        <is>
          <t>H2 21: rectifier transformer 5 (7 MVA)</t>
        </is>
      </c>
      <c r="G5471" s="12" t="inlineStr">
        <is>
          <t>JB-H2 21: rectifier t-DI01</t>
        </is>
      </c>
      <c r="H5471" s="12" t="inlineStr">
        <is>
          <t>H2 21: rectifier transformer 5 (7 MVA)</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41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K-I-0028</t>
        </is>
      </c>
      <c r="B5472" s="12" t="inlineStr">
        <is>
          <t>K</t>
        </is>
      </c>
      <c r="C5472" s="12" t="inlineStr">
        <is>
          <t>Fuel supply (adjacent market)</t>
        </is>
      </c>
      <c r="D5472" s="12" t="inlineStr">
        <is>
          <t>Home run JB-H2 21: rectifier t-DI01 to the control / marshalling room</t>
        </is>
      </c>
      <c r="E5472" s="12" t="inlineStr"/>
      <c r="F5472" s="12" t="inlineStr">
        <is>
          <t>H2 20: 13.8 kV e-house</t>
        </is>
      </c>
      <c r="G5472" s="12" t="inlineStr">
        <is>
          <t>JB-H2 21: rectifier t-DI01</t>
        </is>
      </c>
      <c r="H5472" s="12" t="inlineStr">
        <is>
          <t>H2 21: rectifier transformer 5 (7 MVA)</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Conduit link</t>
        </is>
      </c>
      <c r="T5472" s="16" t="n">
        <v>254</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K-I-0029</t>
        </is>
      </c>
      <c r="B5473" s="12" t="inlineStr">
        <is>
          <t>K</t>
        </is>
      </c>
      <c r="C5473" s="12" t="inlineStr">
        <is>
          <t>Fuel supply (adjacent market)</t>
        </is>
      </c>
      <c r="D5473" s="12" t="inlineStr">
        <is>
          <t>Analog instrument to JB JB-H2-EL-AI01: 12 x 1 pr (field cables)</t>
        </is>
      </c>
      <c r="E5473" s="12" t="inlineStr">
        <is>
          <t>H2-EL</t>
        </is>
      </c>
      <c r="F5473" s="12" t="inlineStr">
        <is>
          <t>H2 22: electrolyzer building (5 x HyLYZER-1000 + 5 rectifiers)</t>
        </is>
      </c>
      <c r="G5473" s="12" t="inlineStr">
        <is>
          <t>JB-H2-EL-AI01</t>
        </is>
      </c>
      <c r="H5473" s="12" t="inlineStr">
        <is>
          <t>H2 22: electrolyzer building (5 x HyLYZER-1000 + 5 rectifiers)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157</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K-I-0030</t>
        </is>
      </c>
      <c r="B5474" s="12" t="inlineStr">
        <is>
          <t>K</t>
        </is>
      </c>
      <c r="C5474" s="12" t="inlineStr">
        <is>
          <t>Fuel supply (adjacent market)</t>
        </is>
      </c>
      <c r="D5474" s="12" t="inlineStr">
        <is>
          <t>Home run JB-H2-EL-AI01 to the control / marshalling room</t>
        </is>
      </c>
      <c r="E5474" s="12" t="inlineStr"/>
      <c r="F5474" s="12" t="inlineStr">
        <is>
          <t>H2 20: 13.8 kV e-house</t>
        </is>
      </c>
      <c r="G5474" s="12" t="inlineStr">
        <is>
          <t>JB-H2-EL-AI01</t>
        </is>
      </c>
      <c r="H5474" s="12" t="inlineStr">
        <is>
          <t>H2 22: electrolyzer building (5 x HyLYZER-1000 + 5 rectifiers)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358</v>
      </c>
      <c r="U5474" s="16" t="n">
        <v>33</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K-I-0031</t>
        </is>
      </c>
      <c r="B5475" s="12" t="inlineStr">
        <is>
          <t>K</t>
        </is>
      </c>
      <c r="C5475" s="12" t="inlineStr">
        <is>
          <t>Fuel supply (adjacent market)</t>
        </is>
      </c>
      <c r="D5475" s="12" t="inlineStr">
        <is>
          <t>Discrete device to JB JB-H2-EL-DI01: 12 x 1 pr (field cables)</t>
        </is>
      </c>
      <c r="E5475" s="12" t="inlineStr">
        <is>
          <t>H2-EL</t>
        </is>
      </c>
      <c r="F5475" s="12" t="inlineStr">
        <is>
          <t>H2 22: electrolyzer building (5 x HyLYZER-1000 + 5 rectifiers)</t>
        </is>
      </c>
      <c r="G5475" s="12" t="inlineStr">
        <is>
          <t>JB-H2-EL-DI01</t>
        </is>
      </c>
      <c r="H5475" s="12" t="inlineStr">
        <is>
          <t>H2 22: electrolyzer building (5 x HyLYZER-1000 + 5 rectifiers)</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157</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K-I-0032</t>
        </is>
      </c>
      <c r="B5476" s="12" t="inlineStr">
        <is>
          <t>K</t>
        </is>
      </c>
      <c r="C5476" s="12" t="inlineStr">
        <is>
          <t>Fuel supply (adjacent market)</t>
        </is>
      </c>
      <c r="D5476" s="12" t="inlineStr">
        <is>
          <t>Home run JB-H2-EL-DI01 to the control / marshalling room</t>
        </is>
      </c>
      <c r="E5476" s="12" t="inlineStr"/>
      <c r="F5476" s="12" t="inlineStr">
        <is>
          <t>H2 20: 13.8 kV e-house</t>
        </is>
      </c>
      <c r="G5476" s="12" t="inlineStr">
        <is>
          <t>JB-H2-EL-DI01</t>
        </is>
      </c>
      <c r="H5476" s="12" t="inlineStr">
        <is>
          <t>H2 22: electrolyzer building (5 x HyLYZER-1000 + 5 rectifiers)</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358</v>
      </c>
      <c r="U5476" s="16" t="n">
        <v>33</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K-I-0033</t>
        </is>
      </c>
      <c r="B5477" s="12" t="inlineStr">
        <is>
          <t>K</t>
        </is>
      </c>
      <c r="C5477" s="12" t="inlineStr">
        <is>
          <t>Fuel supply (adjacent market)</t>
        </is>
      </c>
      <c r="D5477" s="12" t="inlineStr">
        <is>
          <t>Analog instrument to JB JB-H2 23: dry coolers-AI01: 12 x 1 pr (field cables)</t>
        </is>
      </c>
      <c r="E5477" s="12" t="inlineStr"/>
      <c r="F5477" s="12" t="inlineStr">
        <is>
          <t>H2 23: dry coolers</t>
        </is>
      </c>
      <c r="G5477" s="12" t="inlineStr">
        <is>
          <t>JB-H2 23: dry coolers-AI01</t>
        </is>
      </c>
      <c r="H5477" s="12" t="inlineStr">
        <is>
          <t>H2 23: dry coolers</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111</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K-I-0034</t>
        </is>
      </c>
      <c r="B5478" s="12" t="inlineStr">
        <is>
          <t>K</t>
        </is>
      </c>
      <c r="C5478" s="12" t="inlineStr">
        <is>
          <t>Fuel supply (adjacent market)</t>
        </is>
      </c>
      <c r="D5478" s="12" t="inlineStr">
        <is>
          <t>Home run JB-H2 23: dry coolers-AI01 to the control / marshalling room</t>
        </is>
      </c>
      <c r="E5478" s="12" t="inlineStr"/>
      <c r="F5478" s="12" t="inlineStr">
        <is>
          <t>H2 20: 13.8 kV e-house</t>
        </is>
      </c>
      <c r="G5478" s="12" t="inlineStr">
        <is>
          <t>JB-H2 23: dry coolers-AI01</t>
        </is>
      </c>
      <c r="H5478" s="12" t="inlineStr">
        <is>
          <t>H2 23: dry coolers</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124</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K-I-0035</t>
        </is>
      </c>
      <c r="B5479" s="12" t="inlineStr">
        <is>
          <t>K</t>
        </is>
      </c>
      <c r="C5479" s="12" t="inlineStr">
        <is>
          <t>Fuel supply (adjacent market)</t>
        </is>
      </c>
      <c r="D5479" s="12" t="inlineStr">
        <is>
          <t>Discrete device to JB JB-H2 23: dry coolers-DI01: 12 x 1 pr (field cables)</t>
        </is>
      </c>
      <c r="E5479" s="12" t="inlineStr"/>
      <c r="F5479" s="12" t="inlineStr">
        <is>
          <t>H2 23: dry coolers</t>
        </is>
      </c>
      <c r="G5479" s="12" t="inlineStr">
        <is>
          <t>JB-H2 23: dry coolers-DI01</t>
        </is>
      </c>
      <c r="H5479" s="12" t="inlineStr">
        <is>
          <t>H2 23: dry coolers</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111</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K-I-0036</t>
        </is>
      </c>
      <c r="B5480" s="12" t="inlineStr">
        <is>
          <t>K</t>
        </is>
      </c>
      <c r="C5480" s="12" t="inlineStr">
        <is>
          <t>Fuel supply (adjacent market)</t>
        </is>
      </c>
      <c r="D5480" s="12" t="inlineStr">
        <is>
          <t>Home run JB-H2 23: dry coolers-DI01 to the control / marshalling room</t>
        </is>
      </c>
      <c r="E5480" s="12" t="inlineStr"/>
      <c r="F5480" s="12" t="inlineStr">
        <is>
          <t>H2 20: 13.8 kV e-house</t>
        </is>
      </c>
      <c r="G5480" s="12" t="inlineStr">
        <is>
          <t>JB-H2 23: dry coolers-DI01</t>
        </is>
      </c>
      <c r="H5480" s="12" t="inlineStr">
        <is>
          <t>H2 23: dry coolers</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124</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K-I-0037</t>
        </is>
      </c>
      <c r="B5481" s="12" t="inlineStr">
        <is>
          <t>K</t>
        </is>
      </c>
      <c r="C5481" s="12" t="inlineStr">
        <is>
          <t>Fuel supply (adjacent market)</t>
        </is>
      </c>
      <c r="D5481" s="12" t="inlineStr">
        <is>
          <t>Analog instrument to JB JB-H2 24: water purif-AI01: 12 x 1 pr (field cables)</t>
        </is>
      </c>
      <c r="E5481" s="12" t="inlineStr"/>
      <c r="F5481" s="12" t="inlineStr">
        <is>
          <t>H2 24: water purification (RO / EDI)</t>
        </is>
      </c>
      <c r="G5481" s="12" t="inlineStr">
        <is>
          <t>JB-H2 24: water purif-AI01</t>
        </is>
      </c>
      <c r="H5481" s="12" t="inlineStr">
        <is>
          <t>H2 24: water purification (RO / EDI)</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K-I-0038</t>
        </is>
      </c>
      <c r="B5482" s="12" t="inlineStr">
        <is>
          <t>K</t>
        </is>
      </c>
      <c r="C5482" s="12" t="inlineStr">
        <is>
          <t>Fuel supply (adjacent market)</t>
        </is>
      </c>
      <c r="D5482" s="12" t="inlineStr">
        <is>
          <t>Home run JB-H2 24: water purif-AI01 to the control / marshalling room</t>
        </is>
      </c>
      <c r="E5482" s="12" t="inlineStr"/>
      <c r="F5482" s="12" t="inlineStr">
        <is>
          <t>H2 20: 13.8 kV e-house</t>
        </is>
      </c>
      <c r="G5482" s="12" t="inlineStr">
        <is>
          <t>JB-H2 24: water purif-AI01</t>
        </is>
      </c>
      <c r="H5482" s="12" t="inlineStr">
        <is>
          <t>H2 24: water purification (RO / EDI)</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146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K-I-0039</t>
        </is>
      </c>
      <c r="B5483" s="12" t="inlineStr">
        <is>
          <t>K</t>
        </is>
      </c>
      <c r="C5483" s="12" t="inlineStr">
        <is>
          <t>Fuel supply (adjacent market)</t>
        </is>
      </c>
      <c r="D5483" s="12" t="inlineStr">
        <is>
          <t>Discrete device to JB JB-H2 24: water purif-DI01: 12 x 1 pr (field cables)</t>
        </is>
      </c>
      <c r="E5483" s="12" t="inlineStr"/>
      <c r="F5483" s="12" t="inlineStr">
        <is>
          <t>H2 24: water purification (RO / EDI)</t>
        </is>
      </c>
      <c r="G5483" s="12" t="inlineStr">
        <is>
          <t>JB-H2 24: water purif-DI01</t>
        </is>
      </c>
      <c r="H5483" s="12" t="inlineStr">
        <is>
          <t>H2 24: water purification (RO / EDI)</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60</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K-I-0040</t>
        </is>
      </c>
      <c r="B5484" s="12" t="inlineStr">
        <is>
          <t>K</t>
        </is>
      </c>
      <c r="C5484" s="12" t="inlineStr">
        <is>
          <t>Fuel supply (adjacent market)</t>
        </is>
      </c>
      <c r="D5484" s="12" t="inlineStr">
        <is>
          <t>Home run JB-H2 24: water purif-DI01 to the control / marshalling room</t>
        </is>
      </c>
      <c r="E5484" s="12" t="inlineStr"/>
      <c r="F5484" s="12" t="inlineStr">
        <is>
          <t>H2 20: 13.8 kV e-house</t>
        </is>
      </c>
      <c r="G5484" s="12" t="inlineStr">
        <is>
          <t>JB-H2 24: water purif-DI01</t>
        </is>
      </c>
      <c r="H5484" s="12" t="inlineStr">
        <is>
          <t>H2 24: water purification (RO / EDI)</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146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K-I-0041</t>
        </is>
      </c>
      <c r="B5485" s="12" t="inlineStr">
        <is>
          <t>K</t>
        </is>
      </c>
      <c r="C5485" s="12" t="inlineStr">
        <is>
          <t>Fuel supply (adjacent market)</t>
        </is>
      </c>
      <c r="D5485" s="12" t="inlineStr">
        <is>
          <t>Analog instrument to JB JB-H2 25: H2 dryer / -AI01: 12 x 1 pr (field cables)</t>
        </is>
      </c>
      <c r="E5485" s="12" t="inlineStr"/>
      <c r="F5485" s="12" t="inlineStr">
        <is>
          <t>H2 25: H2 dryer / purification</t>
        </is>
      </c>
      <c r="G5485" s="12" t="inlineStr">
        <is>
          <t>JB-H2 25: H2 dryer / -AI01</t>
        </is>
      </c>
      <c r="H5485" s="12" t="inlineStr">
        <is>
          <t>H2 25: H2 dryer / purification</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60</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K-I-0042</t>
        </is>
      </c>
      <c r="B5486" s="12" t="inlineStr">
        <is>
          <t>K</t>
        </is>
      </c>
      <c r="C5486" s="12" t="inlineStr">
        <is>
          <t>Fuel supply (adjacent market)</t>
        </is>
      </c>
      <c r="D5486" s="12" t="inlineStr">
        <is>
          <t>Home run JB-H2 25: H2 dryer / -AI01 to the control / marshalling room</t>
        </is>
      </c>
      <c r="E5486" s="12" t="inlineStr"/>
      <c r="F5486" s="12" t="inlineStr">
        <is>
          <t>H2 20: 13.8 kV e-house</t>
        </is>
      </c>
      <c r="G5486" s="12" t="inlineStr">
        <is>
          <t>JB-H2 25: H2 dryer / -AI01</t>
        </is>
      </c>
      <c r="H5486" s="12" t="inlineStr">
        <is>
          <t>H2 25: H2 dryer / purification</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Conduit link</t>
        </is>
      </c>
      <c r="T5486" s="16" t="n">
        <v>0</v>
      </c>
      <c r="U5486" s="16" t="n">
        <v>49</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K-I-0043</t>
        </is>
      </c>
      <c r="B5487" s="12" t="inlineStr">
        <is>
          <t>K</t>
        </is>
      </c>
      <c r="C5487" s="12" t="inlineStr">
        <is>
          <t>Fuel supply (adjacent market)</t>
        </is>
      </c>
      <c r="D5487" s="12" t="inlineStr">
        <is>
          <t>Discrete device to JB JB-H2 25: H2 dryer / -DI01: 12 x 1 pr (field cables)</t>
        </is>
      </c>
      <c r="E5487" s="12" t="inlineStr"/>
      <c r="F5487" s="12" t="inlineStr">
        <is>
          <t>H2 25: H2 dryer / purification</t>
        </is>
      </c>
      <c r="G5487" s="12" t="inlineStr">
        <is>
          <t>JB-H2 25: H2 dryer / -DI01</t>
        </is>
      </c>
      <c r="H5487" s="12" t="inlineStr">
        <is>
          <t>H2 25: H2 dryer / purification</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60</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K-I-0044</t>
        </is>
      </c>
      <c r="B5488" s="12" t="inlineStr">
        <is>
          <t>K</t>
        </is>
      </c>
      <c r="C5488" s="12" t="inlineStr">
        <is>
          <t>Fuel supply (adjacent market)</t>
        </is>
      </c>
      <c r="D5488" s="12" t="inlineStr">
        <is>
          <t>Home run JB-H2 25: H2 dryer / -DI01 to the control / marshalling room</t>
        </is>
      </c>
      <c r="E5488" s="12" t="inlineStr"/>
      <c r="F5488" s="12" t="inlineStr">
        <is>
          <t>H2 20: 13.8 kV e-house</t>
        </is>
      </c>
      <c r="G5488" s="12" t="inlineStr">
        <is>
          <t>JB-H2 25: H2 dryer / -DI01</t>
        </is>
      </c>
      <c r="H5488" s="12" t="inlineStr">
        <is>
          <t>H2 25: H2 dryer / purification</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Conduit link</t>
        </is>
      </c>
      <c r="T5488" s="16" t="n">
        <v>0</v>
      </c>
      <c r="U5488" s="16" t="n">
        <v>49</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K-I-0045</t>
        </is>
      </c>
      <c r="B5489" s="12" t="inlineStr">
        <is>
          <t>K</t>
        </is>
      </c>
      <c r="C5489" s="12" t="inlineStr">
        <is>
          <t>Fuel supply (adjacent market)</t>
        </is>
      </c>
      <c r="D5489" s="12" t="inlineStr">
        <is>
          <t>Analog instrument to JB JB-H2 26: H2 compress-AI01: 12 x 1 pr (field cables)</t>
        </is>
      </c>
      <c r="E5489" s="12" t="inlineStr"/>
      <c r="F5489" s="12" t="inlineStr">
        <is>
          <t>H2 26: H2 compressor 1 (40 ft ISO)</t>
        </is>
      </c>
      <c r="G5489" s="12" t="inlineStr">
        <is>
          <t>JB-H2 26: H2 compress-AI01</t>
        </is>
      </c>
      <c r="H5489" s="12" t="inlineStr">
        <is>
          <t>H2 26: H2 compressor 1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K-I-0046</t>
        </is>
      </c>
      <c r="B5490" s="12" t="inlineStr">
        <is>
          <t>K</t>
        </is>
      </c>
      <c r="C5490" s="12" t="inlineStr">
        <is>
          <t>Fuel supply (adjacent market)</t>
        </is>
      </c>
      <c r="D5490" s="12" t="inlineStr">
        <is>
          <t>Home run JB-H2 26: H2 compress-AI01 to the control / marshalling room</t>
        </is>
      </c>
      <c r="E5490" s="12" t="inlineStr"/>
      <c r="F5490" s="12" t="inlineStr">
        <is>
          <t>H2 20: 13.8 kV e-house</t>
        </is>
      </c>
      <c r="G5490" s="12" t="inlineStr">
        <is>
          <t>JB-H2 26: H2 compress-AI01</t>
        </is>
      </c>
      <c r="H5490" s="12" t="inlineStr">
        <is>
          <t>H2 26: H2 compressor 1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Conduit link</t>
        </is>
      </c>
      <c r="T5490" s="16" t="n">
        <v>44</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K-I-0047</t>
        </is>
      </c>
      <c r="B5491" s="12" t="inlineStr">
        <is>
          <t>K</t>
        </is>
      </c>
      <c r="C5491" s="12" t="inlineStr">
        <is>
          <t>Fuel supply (adjacent market)</t>
        </is>
      </c>
      <c r="D5491" s="12" t="inlineStr">
        <is>
          <t>Discrete device to JB JB-H2 26: H2 compress-DI01: 12 x 1 pr (field cables)</t>
        </is>
      </c>
      <c r="E5491" s="12" t="inlineStr"/>
      <c r="F5491" s="12" t="inlineStr">
        <is>
          <t>H2 26: H2 compressor 1 (40 ft ISO)</t>
        </is>
      </c>
      <c r="G5491" s="12" t="inlineStr">
        <is>
          <t>JB-H2 26: H2 compress-DI01</t>
        </is>
      </c>
      <c r="H5491" s="12" t="inlineStr">
        <is>
          <t>H2 26: H2 compressor 1 (40 ft ISO)</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53</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K-I-0048</t>
        </is>
      </c>
      <c r="B5492" s="12" t="inlineStr">
        <is>
          <t>K</t>
        </is>
      </c>
      <c r="C5492" s="12" t="inlineStr">
        <is>
          <t>Fuel supply (adjacent market)</t>
        </is>
      </c>
      <c r="D5492" s="12" t="inlineStr">
        <is>
          <t>Home run JB-H2 26: H2 compress-DI01 to the control / marshalling room</t>
        </is>
      </c>
      <c r="E5492" s="12" t="inlineStr"/>
      <c r="F5492" s="12" t="inlineStr">
        <is>
          <t>H2 20: 13.8 kV e-house</t>
        </is>
      </c>
      <c r="G5492" s="12" t="inlineStr">
        <is>
          <t>JB-H2 26: H2 compress-DI01</t>
        </is>
      </c>
      <c r="H5492" s="12" t="inlineStr">
        <is>
          <t>H2 26: H2 compressor 1 (40 ft ISO)</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Conduit link</t>
        </is>
      </c>
      <c r="T5492" s="16" t="n">
        <v>44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K-I-0049</t>
        </is>
      </c>
      <c r="B5493" s="12" t="inlineStr">
        <is>
          <t>K</t>
        </is>
      </c>
      <c r="C5493" s="12" t="inlineStr">
        <is>
          <t>Fuel supply (adjacent market)</t>
        </is>
      </c>
      <c r="D5493" s="12" t="inlineStr">
        <is>
          <t>Analog instrument to JB JB-H2 26: H2 compress-AI01: 12 x 1 pr (field cables)</t>
        </is>
      </c>
      <c r="E5493" s="12" t="inlineStr"/>
      <c r="F5493" s="12" t="inlineStr">
        <is>
          <t>H2 26: H2 compressor 2 (40 ft ISO)</t>
        </is>
      </c>
      <c r="G5493" s="12" t="inlineStr">
        <is>
          <t>JB-H2 26: H2 compress-AI01</t>
        </is>
      </c>
      <c r="H5493" s="12" t="inlineStr">
        <is>
          <t>H2 26: H2 compressor 2 (40 ft ISO)</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53</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K-I-0050</t>
        </is>
      </c>
      <c r="B5494" s="12" t="inlineStr">
        <is>
          <t>K</t>
        </is>
      </c>
      <c r="C5494" s="12" t="inlineStr">
        <is>
          <t>Fuel supply (adjacent market)</t>
        </is>
      </c>
      <c r="D5494" s="12" t="inlineStr">
        <is>
          <t>Home run JB-H2 26: H2 compress-AI01 to the control / marshalling room</t>
        </is>
      </c>
      <c r="E5494" s="12" t="inlineStr"/>
      <c r="F5494" s="12" t="inlineStr">
        <is>
          <t>H2 20: 13.8 kV e-house</t>
        </is>
      </c>
      <c r="G5494" s="12" t="inlineStr">
        <is>
          <t>JB-H2 26: H2 compress-AI01</t>
        </is>
      </c>
      <c r="H5494" s="12" t="inlineStr">
        <is>
          <t>H2 26: H2 compressor 2 (40 ft ISO)</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Conduit link</t>
        </is>
      </c>
      <c r="T5494" s="16" t="n">
        <v>44</v>
      </c>
      <c r="U5494" s="16" t="n">
        <v>47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K-I-0051</t>
        </is>
      </c>
      <c r="B5495" s="12" t="inlineStr">
        <is>
          <t>K</t>
        </is>
      </c>
      <c r="C5495" s="12" t="inlineStr">
        <is>
          <t>Fuel supply (adjacent market)</t>
        </is>
      </c>
      <c r="D5495" s="12" t="inlineStr">
        <is>
          <t>Discrete device to JB JB-H2 26: H2 compress-DI01: 12 x 1 pr (field cables)</t>
        </is>
      </c>
      <c r="E5495" s="12" t="inlineStr"/>
      <c r="F5495" s="12" t="inlineStr">
        <is>
          <t>H2 26: H2 compressor 2 (40 ft ISO)</t>
        </is>
      </c>
      <c r="G5495" s="12" t="inlineStr">
        <is>
          <t>JB-H2 26: H2 compress-DI01</t>
        </is>
      </c>
      <c r="H5495" s="12" t="inlineStr">
        <is>
          <t>H2 26: H2 compressor 2 (40 ft ISO)</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53</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K-I-0052</t>
        </is>
      </c>
      <c r="B5496" s="12" t="inlineStr">
        <is>
          <t>K</t>
        </is>
      </c>
      <c r="C5496" s="12" t="inlineStr">
        <is>
          <t>Fuel supply (adjacent market)</t>
        </is>
      </c>
      <c r="D5496" s="12" t="inlineStr">
        <is>
          <t>Home run JB-H2 26: H2 compress-DI01 to the control / marshalling room</t>
        </is>
      </c>
      <c r="E5496" s="12" t="inlineStr"/>
      <c r="F5496" s="12" t="inlineStr">
        <is>
          <t>H2 20: 13.8 kV e-house</t>
        </is>
      </c>
      <c r="G5496" s="12" t="inlineStr">
        <is>
          <t>JB-H2 26: H2 compress-DI01</t>
        </is>
      </c>
      <c r="H5496" s="12" t="inlineStr">
        <is>
          <t>H2 26: H2 compressor 2 (40 ft ISO)</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Conduit link</t>
        </is>
      </c>
      <c r="T5496" s="16" t="n">
        <v>44</v>
      </c>
      <c r="U5496" s="16" t="n">
        <v>47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K-I-0053</t>
        </is>
      </c>
      <c r="B5497" s="12" t="inlineStr">
        <is>
          <t>K</t>
        </is>
      </c>
      <c r="C5497" s="12" t="inlineStr">
        <is>
          <t>Fuel supply (adjacent market)</t>
        </is>
      </c>
      <c r="D5497" s="12" t="inlineStr">
        <is>
          <t>Analog instrument to JB JB-H2 27: storage tub-AI01: 12 x 1 pr (field cables)</t>
        </is>
      </c>
      <c r="E5497" s="12" t="inlineStr"/>
      <c r="F5497" s="12" t="inlineStr">
        <is>
          <t>H2 27: storage tube bank (~40 ft tubes)</t>
        </is>
      </c>
      <c r="G5497" s="12" t="inlineStr">
        <is>
          <t>JB-H2 27: storage tub-AI01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K-I-0054</t>
        </is>
      </c>
      <c r="B5498" s="12" t="inlineStr">
        <is>
          <t>K</t>
        </is>
      </c>
      <c r="C5498" s="12" t="inlineStr">
        <is>
          <t>Fuel supply (adjacent market)</t>
        </is>
      </c>
      <c r="D5498" s="12" t="inlineStr">
        <is>
          <t>Home run JB-H2 27: storage tub-AI01 to the control / marshalling room</t>
        </is>
      </c>
      <c r="E5498" s="12" t="inlineStr"/>
      <c r="F5498" s="12" t="inlineStr">
        <is>
          <t>H2 20: 13.8 kV e-house</t>
        </is>
      </c>
      <c r="G5498" s="12" t="inlineStr">
        <is>
          <t>JB-H2 27: storage tub-AI01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Conduit link</t>
        </is>
      </c>
      <c r="T5498" s="16" t="n">
        <v>44</v>
      </c>
      <c r="U5498" s="16" t="n">
        <v>97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K-I-0055</t>
        </is>
      </c>
      <c r="B5499" s="12" t="inlineStr">
        <is>
          <t>K</t>
        </is>
      </c>
      <c r="C5499" s="12" t="inlineStr">
        <is>
          <t>Fuel supply (adjacent market)</t>
        </is>
      </c>
      <c r="D5499" s="12" t="inlineStr">
        <is>
          <t>Discrete device to JB JB-H2 27: storage tub-DI01: 12 x 1 pr (field cables)</t>
        </is>
      </c>
      <c r="E5499" s="12" t="inlineStr"/>
      <c r="F5499" s="12" t="inlineStr">
        <is>
          <t>H2 27: storage tube bank (~40 ft tubes)</t>
        </is>
      </c>
      <c r="G5499" s="12" t="inlineStr">
        <is>
          <t>JB-H2 27: storage tub-DI01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K-I-0056</t>
        </is>
      </c>
      <c r="B5500" s="12" t="inlineStr">
        <is>
          <t>K</t>
        </is>
      </c>
      <c r="C5500" s="12" t="inlineStr">
        <is>
          <t>Fuel supply (adjacent market)</t>
        </is>
      </c>
      <c r="D5500" s="12" t="inlineStr">
        <is>
          <t>Home run JB-H2 27: storage tub-DI01 to the control / marshalling room</t>
        </is>
      </c>
      <c r="E5500" s="12" t="inlineStr"/>
      <c r="F5500" s="12" t="inlineStr">
        <is>
          <t>H2 20: 13.8 kV e-house</t>
        </is>
      </c>
      <c r="G5500" s="12" t="inlineStr">
        <is>
          <t>JB-H2 27: storage tub-DI01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Conduit link</t>
        </is>
      </c>
      <c r="T5500" s="16" t="n">
        <v>44</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K-I-0057</t>
        </is>
      </c>
      <c r="B5501" s="12" t="inlineStr">
        <is>
          <t>K</t>
        </is>
      </c>
      <c r="C5501" s="12" t="inlineStr">
        <is>
          <t>Fuel supply (adjacent market)</t>
        </is>
      </c>
      <c r="D5501" s="12" t="inlineStr">
        <is>
          <t>Analog instrument to JB JB-H2 27: storage tub-AI01: 12 x 1 pr (field cables)</t>
        </is>
      </c>
      <c r="E5501" s="12" t="inlineStr"/>
      <c r="F5501" s="12" t="inlineStr">
        <is>
          <t>H2 27: storage tube bank (~40 ft tubes)</t>
        </is>
      </c>
      <c r="G5501" s="12" t="inlineStr">
        <is>
          <t>JB-H2 27: storage tub-AI01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K-I-0058</t>
        </is>
      </c>
      <c r="B5502" s="12" t="inlineStr">
        <is>
          <t>K</t>
        </is>
      </c>
      <c r="C5502" s="12" t="inlineStr">
        <is>
          <t>Fuel supply (adjacent market)</t>
        </is>
      </c>
      <c r="D5502" s="12" t="inlineStr">
        <is>
          <t>Home run JB-H2 27: storage tub-AI01 to the control / marshalling room</t>
        </is>
      </c>
      <c r="E5502" s="12" t="inlineStr"/>
      <c r="F5502" s="12" t="inlineStr">
        <is>
          <t>H2 20: 13.8 kV e-house</t>
        </is>
      </c>
      <c r="G5502" s="12" t="inlineStr">
        <is>
          <t>JB-H2 27: storage tub-AI01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Conduit link</t>
        </is>
      </c>
      <c r="T5502" s="16" t="n">
        <v>44</v>
      </c>
      <c r="U5502" s="16" t="n">
        <v>117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K-I-0059</t>
        </is>
      </c>
      <c r="B5503" s="12" t="inlineStr">
        <is>
          <t>K</t>
        </is>
      </c>
      <c r="C5503" s="12" t="inlineStr">
        <is>
          <t>Fuel supply (adjacent market)</t>
        </is>
      </c>
      <c r="D5503" s="12" t="inlineStr">
        <is>
          <t>Discrete device to JB JB-H2 27: storage tub-DI01: 12 x 1 pr (field cables)</t>
        </is>
      </c>
      <c r="E5503" s="12" t="inlineStr"/>
      <c r="F5503" s="12" t="inlineStr">
        <is>
          <t>H2 27: storage tube bank (~40 ft tubes)</t>
        </is>
      </c>
      <c r="G5503" s="12" t="inlineStr">
        <is>
          <t>JB-H2 27: storage tub-DI01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K-I-0060</t>
        </is>
      </c>
      <c r="B5504" s="12" t="inlineStr">
        <is>
          <t>K</t>
        </is>
      </c>
      <c r="C5504" s="12" t="inlineStr">
        <is>
          <t>Fuel supply (adjacent market)</t>
        </is>
      </c>
      <c r="D5504" s="12" t="inlineStr">
        <is>
          <t>Home run JB-H2 27: storage tub-DI01 to the control / marshalling room</t>
        </is>
      </c>
      <c r="E5504" s="12" t="inlineStr"/>
      <c r="F5504" s="12" t="inlineStr">
        <is>
          <t>H2 20: 13.8 kV e-house</t>
        </is>
      </c>
      <c r="G5504" s="12" t="inlineStr">
        <is>
          <t>JB-H2 27: storage tub-DI01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Conduit link</t>
        </is>
      </c>
      <c r="T5504" s="16" t="n">
        <v>44</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K-I-0061</t>
        </is>
      </c>
      <c r="B5505" s="12" t="inlineStr">
        <is>
          <t>K</t>
        </is>
      </c>
      <c r="C5505" s="12" t="inlineStr">
        <is>
          <t>Fuel supply (adjacent market)</t>
        </is>
      </c>
      <c r="D5505" s="12" t="inlineStr">
        <is>
          <t>Analog instrument to JB JB-H2 27: storage tub-AI01: 12 x 1 pr (field cables)</t>
        </is>
      </c>
      <c r="E5505" s="12" t="inlineStr"/>
      <c r="F5505" s="12" t="inlineStr">
        <is>
          <t>H2 27: storage tube bank (~40 ft tubes)</t>
        </is>
      </c>
      <c r="G5505" s="12" t="inlineStr">
        <is>
          <t>JB-H2 27: storage tub-AI01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K-I-0062</t>
        </is>
      </c>
      <c r="B5506" s="12" t="inlineStr">
        <is>
          <t>K</t>
        </is>
      </c>
      <c r="C5506" s="12" t="inlineStr">
        <is>
          <t>Fuel supply (adjacent market)</t>
        </is>
      </c>
      <c r="D5506" s="12" t="inlineStr">
        <is>
          <t>Home run JB-H2 27: storage tub-AI01 to the control / marshalling room</t>
        </is>
      </c>
      <c r="E5506" s="12" t="inlineStr"/>
      <c r="F5506" s="12" t="inlineStr">
        <is>
          <t>H2 20: 13.8 kV e-house</t>
        </is>
      </c>
      <c r="G5506" s="12" t="inlineStr">
        <is>
          <t>JB-H2 27: storage tub-AI01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Conduit link</t>
        </is>
      </c>
      <c r="T5506" s="16" t="n">
        <v>44</v>
      </c>
      <c r="U5506" s="16" t="n">
        <v>97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K-I-0063</t>
        </is>
      </c>
      <c r="B5507" s="12" t="inlineStr">
        <is>
          <t>K</t>
        </is>
      </c>
      <c r="C5507" s="12" t="inlineStr">
        <is>
          <t>Fuel supply (adjacent market)</t>
        </is>
      </c>
      <c r="D5507" s="12" t="inlineStr">
        <is>
          <t>Discrete device to JB JB-H2 27: storage tub-DI01: 12 x 1 pr (field cables)</t>
        </is>
      </c>
      <c r="E5507" s="12" t="inlineStr"/>
      <c r="F5507" s="12" t="inlineStr">
        <is>
          <t>H2 27: storage tube bank (~40 ft tubes)</t>
        </is>
      </c>
      <c r="G5507" s="12" t="inlineStr">
        <is>
          <t>JB-H2 27: storage tub-DI01</t>
        </is>
      </c>
      <c r="H5507" s="12" t="inlineStr">
        <is>
          <t>H2 27: storage tube bank (~40 ft tubes)</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54</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K-I-0064</t>
        </is>
      </c>
      <c r="B5508" s="12" t="inlineStr">
        <is>
          <t>K</t>
        </is>
      </c>
      <c r="C5508" s="12" t="inlineStr">
        <is>
          <t>Fuel supply (adjacent market)</t>
        </is>
      </c>
      <c r="D5508" s="12" t="inlineStr">
        <is>
          <t>Home run JB-H2 27: storage tub-DI01 to the control / marshalling room</t>
        </is>
      </c>
      <c r="E5508" s="12" t="inlineStr"/>
      <c r="F5508" s="12" t="inlineStr">
        <is>
          <t>H2 20: 13.8 kV e-house</t>
        </is>
      </c>
      <c r="G5508" s="12" t="inlineStr">
        <is>
          <t>JB-H2 27: storage tub-DI01</t>
        </is>
      </c>
      <c r="H5508" s="12" t="inlineStr">
        <is>
          <t>H2 27: storage tube bank (~40 ft tubes)</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Conduit link</t>
        </is>
      </c>
      <c r="T5508" s="16" t="n">
        <v>44</v>
      </c>
      <c r="U5508" s="16" t="n">
        <v>97</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K-I-0065</t>
        </is>
      </c>
      <c r="B5509" s="12" t="inlineStr">
        <is>
          <t>K</t>
        </is>
      </c>
      <c r="C5509" s="12" t="inlineStr">
        <is>
          <t>Fuel supply (adjacent market)</t>
        </is>
      </c>
      <c r="D5509" s="12" t="inlineStr">
        <is>
          <t>Analog instrument to JB JB-H2 27: storage tub-AI01: 12 x 1 pr (field cables)</t>
        </is>
      </c>
      <c r="E5509" s="12" t="inlineStr"/>
      <c r="F5509" s="12" t="inlineStr">
        <is>
          <t>H2 27: storage tube bank (~40 ft tubes)</t>
        </is>
      </c>
      <c r="G5509" s="12" t="inlineStr">
        <is>
          <t>JB-H2 27: storage tub-AI01</t>
        </is>
      </c>
      <c r="H5509" s="12" t="inlineStr">
        <is>
          <t>H2 27: storage tube bank (~40 ft tubes)</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54</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K-I-0066</t>
        </is>
      </c>
      <c r="B5510" s="12" t="inlineStr">
        <is>
          <t>K</t>
        </is>
      </c>
      <c r="C5510" s="12" t="inlineStr">
        <is>
          <t>Fuel supply (adjacent market)</t>
        </is>
      </c>
      <c r="D5510" s="12" t="inlineStr">
        <is>
          <t>Home run JB-H2 27: storage tub-AI01 to the control / marshalling room</t>
        </is>
      </c>
      <c r="E5510" s="12" t="inlineStr"/>
      <c r="F5510" s="12" t="inlineStr">
        <is>
          <t>H2 20: 13.8 kV e-house</t>
        </is>
      </c>
      <c r="G5510" s="12" t="inlineStr">
        <is>
          <t>JB-H2 27: storage tub-AI01</t>
        </is>
      </c>
      <c r="H5510" s="12" t="inlineStr">
        <is>
          <t>H2 27: storage tube bank (~40 ft tubes)</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Conduit link</t>
        </is>
      </c>
      <c r="T5510" s="16" t="n">
        <v>44</v>
      </c>
      <c r="U5510" s="16" t="n">
        <v>117</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K-I-0067</t>
        </is>
      </c>
      <c r="B5511" s="12" t="inlineStr">
        <is>
          <t>K</t>
        </is>
      </c>
      <c r="C5511" s="12" t="inlineStr">
        <is>
          <t>Fuel supply (adjacent market)</t>
        </is>
      </c>
      <c r="D5511" s="12" t="inlineStr">
        <is>
          <t>Discrete device to JB JB-H2 27: storage tub-DI01: 12 x 1 pr (field cables)</t>
        </is>
      </c>
      <c r="E5511" s="12" t="inlineStr"/>
      <c r="F5511" s="12" t="inlineStr">
        <is>
          <t>H2 27: storage tube bank (~40 ft tubes)</t>
        </is>
      </c>
      <c r="G5511" s="12" t="inlineStr">
        <is>
          <t>JB-H2 27: storage tub-DI01</t>
        </is>
      </c>
      <c r="H5511" s="12" t="inlineStr">
        <is>
          <t>H2 27: storage tube bank (~40 ft tubes)</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54</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K-I-0068</t>
        </is>
      </c>
      <c r="B5512" s="12" t="inlineStr">
        <is>
          <t>K</t>
        </is>
      </c>
      <c r="C5512" s="12" t="inlineStr">
        <is>
          <t>Fuel supply (adjacent market)</t>
        </is>
      </c>
      <c r="D5512" s="12" t="inlineStr">
        <is>
          <t>Home run JB-H2 27: storage tub-DI01 to the control / marshalling room</t>
        </is>
      </c>
      <c r="E5512" s="12" t="inlineStr"/>
      <c r="F5512" s="12" t="inlineStr">
        <is>
          <t>H2 20: 13.8 kV e-house</t>
        </is>
      </c>
      <c r="G5512" s="12" t="inlineStr">
        <is>
          <t>JB-H2 27: storage tub-DI01</t>
        </is>
      </c>
      <c r="H5512" s="12" t="inlineStr">
        <is>
          <t>H2 27: storage tube bank (~40 ft tubes)</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Conduit link</t>
        </is>
      </c>
      <c r="T5512" s="16" t="n">
        <v>44</v>
      </c>
      <c r="U5512" s="16" t="n">
        <v>117</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K-I-0069</t>
        </is>
      </c>
      <c r="B5513" s="12" t="inlineStr">
        <is>
          <t>K</t>
        </is>
      </c>
      <c r="C5513" s="12" t="inlineStr">
        <is>
          <t>Fuel supply (adjacent market)</t>
        </is>
      </c>
      <c r="D5513" s="12" t="inlineStr">
        <is>
          <t>Analog instrument to JB JB-H2 28: N2 purge su-AI01: 12 x 1 pr (field cables)</t>
        </is>
      </c>
      <c r="E5513" s="12" t="inlineStr"/>
      <c r="F5513" s="12" t="inlineStr">
        <is>
          <t>H2 28: N2 purge supply</t>
        </is>
      </c>
      <c r="G5513" s="12" t="inlineStr">
        <is>
          <t>JB-H2 28: N2 purge su-AI01</t>
        </is>
      </c>
      <c r="H5513" s="12" t="inlineStr">
        <is>
          <t>H2 28: N2 purge supply</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56</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K-I-0070</t>
        </is>
      </c>
      <c r="B5514" s="12" t="inlineStr">
        <is>
          <t>K</t>
        </is>
      </c>
      <c r="C5514" s="12" t="inlineStr">
        <is>
          <t>Fuel supply (adjacent market)</t>
        </is>
      </c>
      <c r="D5514" s="12" t="inlineStr">
        <is>
          <t>Home run JB-H2 28: N2 purge su-AI01 to the control / marshalling room</t>
        </is>
      </c>
      <c r="E5514" s="12" t="inlineStr"/>
      <c r="F5514" s="12" t="inlineStr">
        <is>
          <t>H2 20: 13.8 kV e-house</t>
        </is>
      </c>
      <c r="G5514" s="12" t="inlineStr">
        <is>
          <t>JB-H2 28: N2 purge su-AI01</t>
        </is>
      </c>
      <c r="H5514" s="12" t="inlineStr">
        <is>
          <t>H2 28: N2 purge supply</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53</v>
      </c>
      <c r="U5514" s="16" t="n">
        <v>36</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K-I-0071</t>
        </is>
      </c>
      <c r="B5515" s="12" t="inlineStr">
        <is>
          <t>K</t>
        </is>
      </c>
      <c r="C5515" s="12" t="inlineStr">
        <is>
          <t>Fuel supply (adjacent market)</t>
        </is>
      </c>
      <c r="D5515" s="12" t="inlineStr">
        <is>
          <t>Discrete device to JB JB-H2 28: N2 purge su-DI01: 12 x 1 pr (field cables)</t>
        </is>
      </c>
      <c r="E5515" s="12" t="inlineStr"/>
      <c r="F5515" s="12" t="inlineStr">
        <is>
          <t>H2 28: N2 purge supply</t>
        </is>
      </c>
      <c r="G5515" s="12" t="inlineStr">
        <is>
          <t>JB-H2 28: N2 purge su-DI01</t>
        </is>
      </c>
      <c r="H5515" s="12" t="inlineStr">
        <is>
          <t>H2 28: N2 purge supply</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56</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K-I-0072</t>
        </is>
      </c>
      <c r="B5516" s="12" t="inlineStr">
        <is>
          <t>K</t>
        </is>
      </c>
      <c r="C5516" s="12" t="inlineStr">
        <is>
          <t>Fuel supply (adjacent market)</t>
        </is>
      </c>
      <c r="D5516" s="12" t="inlineStr">
        <is>
          <t>Home run JB-H2 28: N2 purge su-DI01 to the control / marshalling room</t>
        </is>
      </c>
      <c r="E5516" s="12" t="inlineStr"/>
      <c r="F5516" s="12" t="inlineStr">
        <is>
          <t>H2 20: 13.8 kV e-house</t>
        </is>
      </c>
      <c r="G5516" s="12" t="inlineStr">
        <is>
          <t>JB-H2 28: N2 purge su-DI01</t>
        </is>
      </c>
      <c r="H5516" s="12" t="inlineStr">
        <is>
          <t>H2 28: N2 purge supply</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53</v>
      </c>
      <c r="U5516" s="16" t="n">
        <v>36</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K-I-0073</t>
        </is>
      </c>
      <c r="B5517" s="12" t="inlineStr">
        <is>
          <t>K</t>
        </is>
      </c>
      <c r="C5517" s="12" t="inlineStr">
        <is>
          <t>Fuel supply (adjacent market)</t>
        </is>
      </c>
      <c r="D5517" s="12" t="inlineStr">
        <is>
          <t>Analog instrument to JB JB-H2 29: vent stack-AI01: 12 x 1 pr (field cables)</t>
        </is>
      </c>
      <c r="E5517" s="12" t="inlineStr"/>
      <c r="F5517" s="12" t="inlineStr">
        <is>
          <t>H2 29: vent stack</t>
        </is>
      </c>
      <c r="G5517" s="12" t="inlineStr">
        <is>
          <t>JB-H2 29: vent stack-AI01</t>
        </is>
      </c>
      <c r="H5517" s="12" t="inlineStr">
        <is>
          <t>H2 29: vent stack</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45</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K-I-0074</t>
        </is>
      </c>
      <c r="B5518" s="12" t="inlineStr">
        <is>
          <t>K</t>
        </is>
      </c>
      <c r="C5518" s="12" t="inlineStr">
        <is>
          <t>Fuel supply (adjacent market)</t>
        </is>
      </c>
      <c r="D5518" s="12" t="inlineStr">
        <is>
          <t>Home run JB-H2 29: vent stack-AI01 to the control / marshalling room</t>
        </is>
      </c>
      <c r="E5518" s="12" t="inlineStr"/>
      <c r="F5518" s="12" t="inlineStr">
        <is>
          <t>H2 20: 13.8 kV e-house</t>
        </is>
      </c>
      <c r="G5518" s="12" t="inlineStr">
        <is>
          <t>JB-H2 29: vent stack-AI01</t>
        </is>
      </c>
      <c r="H5518" s="12" t="inlineStr">
        <is>
          <t>H2 29: vent stack</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Conduit link</t>
        </is>
      </c>
      <c r="T5518" s="16" t="n">
        <v>44</v>
      </c>
      <c r="U5518" s="16" t="n">
        <v>210</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K-I-0075</t>
        </is>
      </c>
      <c r="B5519" s="12" t="inlineStr">
        <is>
          <t>K</t>
        </is>
      </c>
      <c r="C5519" s="12" t="inlineStr">
        <is>
          <t>Fuel supply (adjacent market)</t>
        </is>
      </c>
      <c r="D5519" s="12" t="inlineStr">
        <is>
          <t>Discrete device to JB JB-H2 29: vent stack-DI01: 12 x 1 pr (field cables)</t>
        </is>
      </c>
      <c r="E5519" s="12" t="inlineStr"/>
      <c r="F5519" s="12" t="inlineStr">
        <is>
          <t>H2 29: vent stack</t>
        </is>
      </c>
      <c r="G5519" s="12" t="inlineStr">
        <is>
          <t>JB-H2 29: vent stack-DI01</t>
        </is>
      </c>
      <c r="H5519" s="12" t="inlineStr">
        <is>
          <t>H2 29: vent stack</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12</v>
      </c>
      <c r="O5519" s="12" t="n">
        <v>1</v>
      </c>
      <c r="P5519" s="12" t="n"/>
      <c r="Q5519" s="12" t="n"/>
      <c r="R5519" s="12" t="n"/>
      <c r="S5519" s="12" t="inlineStr">
        <is>
          <t>Tray / conduit</t>
        </is>
      </c>
      <c r="T5519" s="16" t="n">
        <v>45</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K-I-0076</t>
        </is>
      </c>
      <c r="B5520" s="12" t="inlineStr">
        <is>
          <t>K</t>
        </is>
      </c>
      <c r="C5520" s="12" t="inlineStr">
        <is>
          <t>Fuel supply (adjacent market)</t>
        </is>
      </c>
      <c r="D5520" s="12" t="inlineStr">
        <is>
          <t>Home run JB-H2 29: vent stack-DI01 to the control / marshalling room</t>
        </is>
      </c>
      <c r="E5520" s="12" t="inlineStr"/>
      <c r="F5520" s="12" t="inlineStr">
        <is>
          <t>H2 20: 13.8 kV e-house</t>
        </is>
      </c>
      <c r="G5520" s="12" t="inlineStr">
        <is>
          <t>JB-H2 29: vent stack-DI01</t>
        </is>
      </c>
      <c r="H5520" s="12" t="inlineStr">
        <is>
          <t>H2 29: vent stack</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Conduit link</t>
        </is>
      </c>
      <c r="T5520" s="16" t="n">
        <v>44</v>
      </c>
      <c r="U5520" s="16" t="n">
        <v>210</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K-I-0077</t>
        </is>
      </c>
      <c r="B5521" s="12" t="inlineStr">
        <is>
          <t>K</t>
        </is>
      </c>
      <c r="C5521" s="12" t="inlineStr">
        <is>
          <t>Fuel supply (adjacent market)</t>
        </is>
      </c>
      <c r="D5521" s="12" t="inlineStr">
        <is>
          <t>Analog instrument to JB JB-H2 30: H2 / gas bl-AI01: 12 x 1 pr (field cables)</t>
        </is>
      </c>
      <c r="E5521" s="12" t="inlineStr"/>
      <c r="F5521" s="12" t="inlineStr">
        <is>
          <t>H2 30: H2 / gas blending station (plant gas yard)</t>
        </is>
      </c>
      <c r="G5521" s="12" t="inlineStr">
        <is>
          <t>JB-H2 30: H2 / gas bl-AI01</t>
        </is>
      </c>
      <c r="H5521" s="12" t="inlineStr">
        <is>
          <t>H2 30: H2 / gas blending station (plant gas yard)</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6" t="n">
        <v>129</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K-I-0078</t>
        </is>
      </c>
      <c r="B5522" s="12" t="inlineStr">
        <is>
          <t>K</t>
        </is>
      </c>
      <c r="C5522" s="12" t="inlineStr">
        <is>
          <t>Fuel supply (adjacent market)</t>
        </is>
      </c>
      <c r="D5522" s="12" t="inlineStr">
        <is>
          <t>Home run JB-H2 30: H2 / gas bl-AI01 to the control / marshalling room</t>
        </is>
      </c>
      <c r="E5522" s="12" t="inlineStr"/>
      <c r="F5522" s="12" t="inlineStr">
        <is>
          <t>LNG 17: LNG e-house (13.8 kV / 480 V)</t>
        </is>
      </c>
      <c r="G5522" s="12" t="inlineStr">
        <is>
          <t>JB-H2 30: H2 / gas bl-AI01</t>
        </is>
      </c>
      <c r="H5522" s="12" t="inlineStr">
        <is>
          <t>H2 30: H2 / gas blending station (plant gas yard)</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1017</v>
      </c>
      <c r="U5522" s="16" t="n">
        <v>114</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K-I-0079</t>
        </is>
      </c>
      <c r="B5523" s="12" t="inlineStr">
        <is>
          <t>K</t>
        </is>
      </c>
      <c r="C5523" s="12" t="inlineStr">
        <is>
          <t>Fuel supply (adjacent market)</t>
        </is>
      </c>
      <c r="D5523" s="12" t="inlineStr">
        <is>
          <t>Discrete device to JB JB-H2 30: H2 / gas bl-DI01: 12 x 1 pr (field cables)</t>
        </is>
      </c>
      <c r="E5523" s="12" t="inlineStr"/>
      <c r="F5523" s="12" t="inlineStr">
        <is>
          <t>H2 30: H2 / gas blending station (plant gas yard)</t>
        </is>
      </c>
      <c r="G5523" s="12" t="inlineStr">
        <is>
          <t>JB-H2 30: H2 / gas bl-DI01</t>
        </is>
      </c>
      <c r="H5523" s="12" t="inlineStr">
        <is>
          <t>H2 30: H2 / gas blending station (plant gas yard)</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6" t="n">
        <v>129</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K-I-0080</t>
        </is>
      </c>
      <c r="B5524" s="12" t="inlineStr">
        <is>
          <t>K</t>
        </is>
      </c>
      <c r="C5524" s="12" t="inlineStr">
        <is>
          <t>Fuel supply (adjacent market)</t>
        </is>
      </c>
      <c r="D5524" s="12" t="inlineStr">
        <is>
          <t>Home run JB-H2 30: H2 / gas bl-DI01 to the control / marshalling room</t>
        </is>
      </c>
      <c r="E5524" s="12" t="inlineStr"/>
      <c r="F5524" s="12" t="inlineStr">
        <is>
          <t>LNG 17: LNG e-house (13.8 kV / 480 V)</t>
        </is>
      </c>
      <c r="G5524" s="12" t="inlineStr">
        <is>
          <t>JB-H2 30: H2 / gas bl-DI01</t>
        </is>
      </c>
      <c r="H5524" s="12" t="inlineStr">
        <is>
          <t>H2 30: H2 / gas blending station (plant gas yard)</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6" t="n">
        <v>1017</v>
      </c>
      <c r="U5524" s="16" t="n">
        <v>114</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K-I-0081</t>
        </is>
      </c>
      <c r="B5525" s="12" t="inlineStr">
        <is>
          <t>K</t>
        </is>
      </c>
      <c r="C5525" s="12" t="inlineStr">
        <is>
          <t>Fuel supply (adjacent market)</t>
        </is>
      </c>
      <c r="D5525" s="12" t="inlineStr">
        <is>
          <t>Analog instrument to JB JB-H2 pipe track and -AI01: 10 x 1 pr (field cables)</t>
        </is>
      </c>
      <c r="E5525" s="12" t="inlineStr"/>
      <c r="F5525" s="12" t="inlineStr">
        <is>
          <t>H2 pipe track and cable trench, hall -&gt; dryer / compressors (N2, instr</t>
        </is>
      </c>
      <c r="G5525" s="12" t="inlineStr">
        <is>
          <t>JB-H2 pipe track and -AI01</t>
        </is>
      </c>
      <c r="H5525" s="12" t="inlineStr">
        <is>
          <t>H2 pipe track and cable trench, hall -&gt; dryer / compressors (N2, instr</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10</v>
      </c>
      <c r="O5525" s="12" t="n">
        <v>1</v>
      </c>
      <c r="P5525" s="12" t="n"/>
      <c r="Q5525" s="12" t="n"/>
      <c r="R5525" s="12" t="n"/>
      <c r="S5525" s="12" t="inlineStr">
        <is>
          <t>Tray / conduit</t>
        </is>
      </c>
      <c r="T5525" s="16" t="n">
        <v>70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K-I-0082</t>
        </is>
      </c>
      <c r="B5526" s="12" t="inlineStr">
        <is>
          <t>K</t>
        </is>
      </c>
      <c r="C5526" s="12" t="inlineStr">
        <is>
          <t>Fuel supply (adjacent market)</t>
        </is>
      </c>
      <c r="D5526" s="12" t="inlineStr">
        <is>
          <t>Home run JB-H2 pipe track and -AI01 to the control / marshalling room</t>
        </is>
      </c>
      <c r="E5526" s="12" t="inlineStr"/>
      <c r="F5526" s="12" t="inlineStr">
        <is>
          <t>H2 20: 13.8 kV e-house</t>
        </is>
      </c>
      <c r="G5526" s="12" t="inlineStr">
        <is>
          <t>JB-H2 pipe track and -AI01</t>
        </is>
      </c>
      <c r="H5526" s="12" t="inlineStr">
        <is>
          <t>H2 pipe track and cable trench, hall -&gt; dryer / compressors (N2, instr</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53</v>
      </c>
      <c r="U5526" s="16" t="n">
        <v>62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K-I-0083</t>
        </is>
      </c>
      <c r="B5527" s="12" t="inlineStr">
        <is>
          <t>K</t>
        </is>
      </c>
      <c r="C5527" s="12" t="inlineStr">
        <is>
          <t>Fuel supply (adjacent market)</t>
        </is>
      </c>
      <c r="D5527" s="12" t="inlineStr">
        <is>
          <t>Discrete device to JB JB-H2 pipe track and -DI01: 10 x 1 pr (field cables)</t>
        </is>
      </c>
      <c r="E5527" s="12" t="inlineStr"/>
      <c r="F5527" s="12" t="inlineStr">
        <is>
          <t>H2 pipe track and cable trench, hall -&gt; dryer / compressors (N2, instr</t>
        </is>
      </c>
      <c r="G5527" s="12" t="inlineStr">
        <is>
          <t>JB-H2 pipe track and -DI01</t>
        </is>
      </c>
      <c r="H5527" s="12" t="inlineStr">
        <is>
          <t>H2 pipe track and cable trench, hall -&gt; dryer / compressors (N2, instr</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10</v>
      </c>
      <c r="O5527" s="12" t="n">
        <v>1</v>
      </c>
      <c r="P5527" s="12" t="n"/>
      <c r="Q5527" s="12" t="n"/>
      <c r="R5527" s="12" t="n"/>
      <c r="S5527" s="12" t="inlineStr">
        <is>
          <t>Tray / conduit</t>
        </is>
      </c>
      <c r="T5527" s="16" t="n">
        <v>70</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K-I-0084</t>
        </is>
      </c>
      <c r="B5528" s="12" t="inlineStr">
        <is>
          <t>K</t>
        </is>
      </c>
      <c r="C5528" s="12" t="inlineStr">
        <is>
          <t>Fuel supply (adjacent market)</t>
        </is>
      </c>
      <c r="D5528" s="12" t="inlineStr">
        <is>
          <t>Home run JB-H2 pipe track and -DI01 to the control / marshalling room</t>
        </is>
      </c>
      <c r="E5528" s="12" t="inlineStr"/>
      <c r="F5528" s="12" t="inlineStr">
        <is>
          <t>H2 20: 13.8 kV e-house</t>
        </is>
      </c>
      <c r="G5528" s="12" t="inlineStr">
        <is>
          <t>JB-H2 pipe track and -DI01</t>
        </is>
      </c>
      <c r="H5528" s="12" t="inlineStr">
        <is>
          <t>H2 pipe track and cable trench, hall -&gt; dryer / compressors (N2, instr</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53</v>
      </c>
      <c r="U5528" s="16" t="n">
        <v>62</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K-I-0085</t>
        </is>
      </c>
      <c r="B5529" s="12" t="inlineStr">
        <is>
          <t>K</t>
        </is>
      </c>
      <c r="C5529" s="12" t="inlineStr">
        <is>
          <t>Fuel supply (adjacent market)</t>
        </is>
      </c>
      <c r="D5529" s="12" t="inlineStr">
        <is>
          <t>Instrumentation</t>
        </is>
      </c>
      <c r="E5529" s="12" t="inlineStr"/>
      <c r="F5529" s="12" t="inlineStr">
        <is>
          <t>H2 20: 13.8 kV e-house</t>
        </is>
      </c>
      <c r="G5529" s="12" t="inlineStr">
        <is>
          <t>H2-ST</t>
        </is>
      </c>
      <c r="H5529" s="12" t="inlineStr">
        <is>
          <t>H2 storage tube banks x4</t>
        </is>
      </c>
      <c r="I5529" s="12" t="inlineStr">
        <is>
          <t>Instrumentation</t>
        </is>
      </c>
      <c r="J5529" s="12" t="inlineStr">
        <is>
          <t>Instrumentation ITC / PLTC, IS, #18 shielded pairs, blue jacket</t>
        </is>
      </c>
      <c r="K5529" s="12" t="inlineStr">
        <is>
          <t>ITC|4 pr|18</t>
        </is>
      </c>
      <c r="L5529" s="12" t="inlineStr">
        <is>
          <t>4 pr</t>
        </is>
      </c>
      <c r="M5529" s="12" t="inlineStr">
        <is>
          <t>18</t>
        </is>
      </c>
      <c r="N5529" s="12" t="n">
        <v>1</v>
      </c>
      <c r="O5529" s="12" t="n">
        <v>1</v>
      </c>
      <c r="P5529" s="12" t="n"/>
      <c r="Q5529" s="12" t="n"/>
      <c r="R5529" s="12" t="n"/>
      <c r="S5529" s="12" t="inlineStr">
        <is>
          <t>Conduit link</t>
        </is>
      </c>
      <c r="T5529" s="16" t="n">
        <v>44</v>
      </c>
      <c r="U5529" s="16" t="n">
        <v>92</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K-I-0086</t>
        </is>
      </c>
      <c r="B5530" s="12" t="inlineStr">
        <is>
          <t>K</t>
        </is>
      </c>
      <c r="C5530" s="12" t="inlineStr">
        <is>
          <t>Fuel supply (adjacent market)</t>
        </is>
      </c>
      <c r="D5530" s="12" t="inlineStr">
        <is>
          <t>Instrumentation</t>
        </is>
      </c>
      <c r="E5530" s="12" t="inlineStr"/>
      <c r="F5530" s="12" t="inlineStr">
        <is>
          <t>H2 20: 13.8 kV e-house</t>
        </is>
      </c>
      <c r="G5530" s="12" t="inlineStr">
        <is>
          <t>H2R</t>
        </is>
      </c>
      <c r="H5530" s="12" t="inlineStr">
        <is>
          <t>H2R: hydrogen pipeline receiving station (pig receiver, filters, meter</t>
        </is>
      </c>
      <c r="I5530" s="12" t="inlineStr">
        <is>
          <t>Instrumentation</t>
        </is>
      </c>
      <c r="J5530" s="12" t="inlineStr">
        <is>
          <t>Instrumentation ITC / PLTC, IS, #18 shielded pairs, blue jacket</t>
        </is>
      </c>
      <c r="K5530" s="12" t="inlineStr">
        <is>
          <t>ITC|4 pr|18</t>
        </is>
      </c>
      <c r="L5530" s="12" t="inlineStr">
        <is>
          <t>4 pr</t>
        </is>
      </c>
      <c r="M5530" s="12" t="inlineStr">
        <is>
          <t>18</t>
        </is>
      </c>
      <c r="N5530" s="12" t="n">
        <v>1</v>
      </c>
      <c r="O5530" s="12" t="n">
        <v>1</v>
      </c>
      <c r="P5530" s="12" t="n"/>
      <c r="Q5530" s="12" t="n"/>
      <c r="R5530" s="12" t="n"/>
      <c r="S5530" s="12" t="inlineStr">
        <is>
          <t>Conduit link</t>
        </is>
      </c>
      <c r="T5530" s="16" t="n">
        <v>40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K-I-0087</t>
        </is>
      </c>
      <c r="B5531" s="12" t="inlineStr">
        <is>
          <t>K</t>
        </is>
      </c>
      <c r="C5531" s="12" t="inlineStr">
        <is>
          <t>Fuel supply (adjacent market)</t>
        </is>
      </c>
      <c r="D5531" s="12" t="inlineStr">
        <is>
          <t>Analog instrument to JB JB-LNG 10: truck unlo-AI01: 12 x 1 pr (field cables)</t>
        </is>
      </c>
      <c r="E5531" s="12" t="inlineStr"/>
      <c r="F5531" s="12" t="inlineStr">
        <is>
          <t>LNG 10: truck unloading bay 1</t>
        </is>
      </c>
      <c r="G5531" s="12" t="inlineStr">
        <is>
          <t>JB-LNG 10: truck unlo-AI01</t>
        </is>
      </c>
      <c r="H5531" s="12" t="inlineStr">
        <is>
          <t>LNG 10: truck unloading bay 1</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K-I-0088</t>
        </is>
      </c>
      <c r="B5532" s="12" t="inlineStr">
        <is>
          <t>K</t>
        </is>
      </c>
      <c r="C5532" s="12" t="inlineStr">
        <is>
          <t>Fuel supply (adjacent market)</t>
        </is>
      </c>
      <c r="D5532" s="12" t="inlineStr">
        <is>
          <t>Home run JB-LNG 10: truck unlo-AI01 to the control / marshalling room</t>
        </is>
      </c>
      <c r="E5532" s="12" t="inlineStr"/>
      <c r="F5532" s="12" t="inlineStr">
        <is>
          <t>LNG 17: LNG e-house (13.8 kV / 480 V)</t>
        </is>
      </c>
      <c r="G5532" s="12" t="inlineStr">
        <is>
          <t>JB-LNG 10: truck unlo-AI01</t>
        </is>
      </c>
      <c r="H5532" s="12" t="inlineStr">
        <is>
          <t>LNG 10: truck unloading bay 1</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237</v>
      </c>
      <c r="U5532" s="16" t="n">
        <v>61</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K-I-0089</t>
        </is>
      </c>
      <c r="B5533" s="12" t="inlineStr">
        <is>
          <t>K</t>
        </is>
      </c>
      <c r="C5533" s="12" t="inlineStr">
        <is>
          <t>Fuel supply (adjacent market)</t>
        </is>
      </c>
      <c r="D5533" s="12" t="inlineStr">
        <is>
          <t>Discrete device to JB JB-LNG 10: truck unlo-DI01: 12 x 1 pr (field cables)</t>
        </is>
      </c>
      <c r="E5533" s="12" t="inlineStr"/>
      <c r="F5533" s="12" t="inlineStr">
        <is>
          <t>LNG 10: truck unloading bay 1</t>
        </is>
      </c>
      <c r="G5533" s="12" t="inlineStr">
        <is>
          <t>JB-LNG 10: truck unlo-DI01</t>
        </is>
      </c>
      <c r="H5533" s="12" t="inlineStr">
        <is>
          <t>LNG 10: truck unloading bay 1</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72</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K-I-0090</t>
        </is>
      </c>
      <c r="B5534" s="12" t="inlineStr">
        <is>
          <t>K</t>
        </is>
      </c>
      <c r="C5534" s="12" t="inlineStr">
        <is>
          <t>Fuel supply (adjacent market)</t>
        </is>
      </c>
      <c r="D5534" s="12" t="inlineStr">
        <is>
          <t>Home run JB-LNG 10: truck unlo-DI01 to the control / marshalling room</t>
        </is>
      </c>
      <c r="E5534" s="12" t="inlineStr"/>
      <c r="F5534" s="12" t="inlineStr">
        <is>
          <t>LNG 17: LNG e-house (13.8 kV / 480 V)</t>
        </is>
      </c>
      <c r="G5534" s="12" t="inlineStr">
        <is>
          <t>JB-LNG 10: truck unlo-DI01</t>
        </is>
      </c>
      <c r="H5534" s="12" t="inlineStr">
        <is>
          <t>LNG 10: truck unloading bay 1</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61</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K-I-0091</t>
        </is>
      </c>
      <c r="B5535" s="12" t="inlineStr">
        <is>
          <t>K</t>
        </is>
      </c>
      <c r="C5535" s="12" t="inlineStr">
        <is>
          <t>Fuel supply (adjacent market)</t>
        </is>
      </c>
      <c r="D5535" s="12" t="inlineStr">
        <is>
          <t>Analog instrument to JB JB-LNG 10: truck unlo-AI01: 12 x 1 pr (field cables)</t>
        </is>
      </c>
      <c r="E5535" s="12" t="inlineStr"/>
      <c r="F5535" s="12" t="inlineStr">
        <is>
          <t>LNG 10: truck unloading bay 2</t>
        </is>
      </c>
      <c r="G5535" s="12" t="inlineStr">
        <is>
          <t>JB-LNG 10: truck unlo-AI01</t>
        </is>
      </c>
      <c r="H5535" s="12" t="inlineStr">
        <is>
          <t>LNG 10: truck unloading bay 2</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72</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K-I-0092</t>
        </is>
      </c>
      <c r="B5536" s="12" t="inlineStr">
        <is>
          <t>K</t>
        </is>
      </c>
      <c r="C5536" s="12" t="inlineStr">
        <is>
          <t>Fuel supply (adjacent market)</t>
        </is>
      </c>
      <c r="D5536" s="12" t="inlineStr">
        <is>
          <t>Home run JB-LNG 10: truck unlo-AI01 to the control / marshalling room</t>
        </is>
      </c>
      <c r="E5536" s="12" t="inlineStr"/>
      <c r="F5536" s="12" t="inlineStr">
        <is>
          <t>LNG 17: LNG e-house (13.8 kV / 480 V)</t>
        </is>
      </c>
      <c r="G5536" s="12" t="inlineStr">
        <is>
          <t>JB-LNG 10: truck unlo-AI01</t>
        </is>
      </c>
      <c r="H5536" s="12" t="inlineStr">
        <is>
          <t>LNG 10: truck unloading bay 2</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147</v>
      </c>
      <c r="U5536" s="16" t="n">
        <v>66</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K-I-0093</t>
        </is>
      </c>
      <c r="B5537" s="12" t="inlineStr">
        <is>
          <t>K</t>
        </is>
      </c>
      <c r="C5537" s="12" t="inlineStr">
        <is>
          <t>Fuel supply (adjacent market)</t>
        </is>
      </c>
      <c r="D5537" s="12" t="inlineStr">
        <is>
          <t>Discrete device to JB JB-LNG 10: truck unlo-DI01: 12 x 1 pr (field cables)</t>
        </is>
      </c>
      <c r="E5537" s="12" t="inlineStr"/>
      <c r="F5537" s="12" t="inlineStr">
        <is>
          <t>LNG 10: truck unloading bay 2</t>
        </is>
      </c>
      <c r="G5537" s="12" t="inlineStr">
        <is>
          <t>JB-LNG 10: truck unlo-DI01</t>
        </is>
      </c>
      <c r="H5537" s="12" t="inlineStr">
        <is>
          <t>LNG 10: truck unloading bay 2</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6" t="n">
        <v>72</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K-I-0094</t>
        </is>
      </c>
      <c r="B5538" s="12" t="inlineStr">
        <is>
          <t>K</t>
        </is>
      </c>
      <c r="C5538" s="12" t="inlineStr">
        <is>
          <t>Fuel supply (adjacent market)</t>
        </is>
      </c>
      <c r="D5538" s="12" t="inlineStr">
        <is>
          <t>Home run JB-LNG 10: truck unlo-DI01 to the control / marshalling room</t>
        </is>
      </c>
      <c r="E5538" s="12" t="inlineStr"/>
      <c r="F5538" s="12" t="inlineStr">
        <is>
          <t>LNG 17: LNG e-house (13.8 kV / 480 V)</t>
        </is>
      </c>
      <c r="G5538" s="12" t="inlineStr">
        <is>
          <t>JB-LNG 10: truck unlo-DI01</t>
        </is>
      </c>
      <c r="H5538" s="12" t="inlineStr">
        <is>
          <t>LNG 10: truck unloading bay 2</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147</v>
      </c>
      <c r="U5538" s="16" t="n">
        <v>66</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K-I-0095</t>
        </is>
      </c>
      <c r="B5539" s="12" t="inlineStr">
        <is>
          <t>K</t>
        </is>
      </c>
      <c r="C5539" s="12" t="inlineStr">
        <is>
          <t>Fuel supply (adjacent market)</t>
        </is>
      </c>
      <c r="D5539" s="12" t="inlineStr">
        <is>
          <t>Analog instrument to JB JB-LNG 10: unloading -AI01: 12 x 1 pr (field cables)</t>
        </is>
      </c>
      <c r="E5539" s="12" t="inlineStr"/>
      <c r="F5539" s="12" t="inlineStr">
        <is>
          <t>LNG 10: unloading skid</t>
        </is>
      </c>
      <c r="G5539" s="12" t="inlineStr">
        <is>
          <t>JB-LNG 10: unloading -AI01</t>
        </is>
      </c>
      <c r="H5539" s="12" t="inlineStr">
        <is>
          <t>LNG 10: unloading skid</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6" t="n">
        <v>54</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K-I-0096</t>
        </is>
      </c>
      <c r="B5540" s="12" t="inlineStr">
        <is>
          <t>K</t>
        </is>
      </c>
      <c r="C5540" s="12" t="inlineStr">
        <is>
          <t>Fuel supply (adjacent market)</t>
        </is>
      </c>
      <c r="D5540" s="12" t="inlineStr">
        <is>
          <t>Home run JB-LNG 10: unloading -AI01 to the control / marshalling room</t>
        </is>
      </c>
      <c r="E5540" s="12" t="inlineStr"/>
      <c r="F5540" s="12" t="inlineStr">
        <is>
          <t>LNG 17: LNG e-house (13.8 kV / 480 V)</t>
        </is>
      </c>
      <c r="G5540" s="12" t="inlineStr">
        <is>
          <t>JB-LNG 10: unloading -AI01</t>
        </is>
      </c>
      <c r="H5540" s="12" t="inlineStr">
        <is>
          <t>LNG 10: unloading skid</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237</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K-I-0097</t>
        </is>
      </c>
      <c r="B5541" s="12" t="inlineStr">
        <is>
          <t>K</t>
        </is>
      </c>
      <c r="C5541" s="12" t="inlineStr">
        <is>
          <t>Fuel supply (adjacent market)</t>
        </is>
      </c>
      <c r="D5541" s="12" t="inlineStr">
        <is>
          <t>Discrete device to JB JB-LNG 10: unloading -DI01: 12 x 1 pr (field cables)</t>
        </is>
      </c>
      <c r="E5541" s="12" t="inlineStr"/>
      <c r="F5541" s="12" t="inlineStr">
        <is>
          <t>LNG 10: unloading skid</t>
        </is>
      </c>
      <c r="G5541" s="12" t="inlineStr">
        <is>
          <t>JB-LNG 10: unloading -DI01</t>
        </is>
      </c>
      <c r="H5541" s="12" t="inlineStr">
        <is>
          <t>LNG 10: unloading skid</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6" t="n">
        <v>54</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K-I-0098</t>
        </is>
      </c>
      <c r="B5542" s="12" t="inlineStr">
        <is>
          <t>K</t>
        </is>
      </c>
      <c r="C5542" s="12" t="inlineStr">
        <is>
          <t>Fuel supply (adjacent market)</t>
        </is>
      </c>
      <c r="D5542" s="12" t="inlineStr">
        <is>
          <t>Home run JB-LNG 10: unloading -DI01 to the control / marshalling room</t>
        </is>
      </c>
      <c r="E5542" s="12" t="inlineStr"/>
      <c r="F5542" s="12" t="inlineStr">
        <is>
          <t>LNG 17: LNG e-house (13.8 kV / 480 V)</t>
        </is>
      </c>
      <c r="G5542" s="12" t="inlineStr">
        <is>
          <t>JB-LNG 10: unloading -DI01</t>
        </is>
      </c>
      <c r="H5542" s="12" t="inlineStr">
        <is>
          <t>LNG 10: unloading skid</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237</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K-I-0099</t>
        </is>
      </c>
      <c r="B5543" s="12" t="inlineStr">
        <is>
          <t>K</t>
        </is>
      </c>
      <c r="C5543" s="12" t="inlineStr">
        <is>
          <t>Fuel supply (adjacent market)</t>
        </is>
      </c>
      <c r="D5543" s="12" t="inlineStr">
        <is>
          <t>Analog instrument to JB JB-LNG-T1-AI01: 4 x 1 pr (field cables)</t>
        </is>
      </c>
      <c r="E5543" s="12" t="inlineStr">
        <is>
          <t>LNG-T1</t>
        </is>
      </c>
      <c r="F5543" s="12" t="inlineStr">
        <is>
          <t>LNG 11: tank 1, Chart HS 50000 (51,780 gal)</t>
        </is>
      </c>
      <c r="G5543" s="12" t="inlineStr">
        <is>
          <t>JB-LNG-T1-AI01</t>
        </is>
      </c>
      <c r="H5543" s="12" t="inlineStr">
        <is>
          <t>LNG 11: tank 1,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K-I-0100</t>
        </is>
      </c>
      <c r="B5544" s="12" t="inlineStr">
        <is>
          <t>K</t>
        </is>
      </c>
      <c r="C5544" s="12" t="inlineStr">
        <is>
          <t>Fuel supply (adjacent market)</t>
        </is>
      </c>
      <c r="D5544" s="12" t="inlineStr">
        <is>
          <t>Home run JB-LNG-T1-AI01 to the control / marshalling room</t>
        </is>
      </c>
      <c r="E5544" s="12" t="inlineStr"/>
      <c r="F5544" s="12" t="inlineStr">
        <is>
          <t>LNG 17: LNG e-house (13.8 kV / 480 V)</t>
        </is>
      </c>
      <c r="G5544" s="12" t="inlineStr">
        <is>
          <t>JB-LNG-T1-AI01</t>
        </is>
      </c>
      <c r="H5544" s="12" t="inlineStr">
        <is>
          <t>LNG 11: tank 1,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210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K-I-0101</t>
        </is>
      </c>
      <c r="B5545" s="12" t="inlineStr">
        <is>
          <t>K</t>
        </is>
      </c>
      <c r="C5545" s="12" t="inlineStr">
        <is>
          <t>Fuel supply (adjacent market)</t>
        </is>
      </c>
      <c r="D5545" s="12" t="inlineStr">
        <is>
          <t>Discrete device to JB JB-LNG-T1-DI01: 4 x 1 pr (field cables)</t>
        </is>
      </c>
      <c r="E5545" s="12" t="inlineStr">
        <is>
          <t>LNG-T1</t>
        </is>
      </c>
      <c r="F5545" s="12" t="inlineStr">
        <is>
          <t>LNG 11: tank 1, Chart HS 50000 (51,780 gal)</t>
        </is>
      </c>
      <c r="G5545" s="12" t="inlineStr">
        <is>
          <t>JB-LNG-T1-DI01</t>
        </is>
      </c>
      <c r="H5545" s="12" t="inlineStr">
        <is>
          <t>LNG 11: tank 1,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K-I-0102</t>
        </is>
      </c>
      <c r="B5546" s="12" t="inlineStr">
        <is>
          <t>K</t>
        </is>
      </c>
      <c r="C5546" s="12" t="inlineStr">
        <is>
          <t>Fuel supply (adjacent market)</t>
        </is>
      </c>
      <c r="D5546" s="12" t="inlineStr">
        <is>
          <t>Home run JB-LNG-T1-DI01 to the control / marshalling room</t>
        </is>
      </c>
      <c r="E5546" s="12" t="inlineStr"/>
      <c r="F5546" s="12" t="inlineStr">
        <is>
          <t>LNG 17: LNG e-house (13.8 kV / 480 V)</t>
        </is>
      </c>
      <c r="G5546" s="12" t="inlineStr">
        <is>
          <t>JB-LNG-T1-DI01</t>
        </is>
      </c>
      <c r="H5546" s="12" t="inlineStr">
        <is>
          <t>LNG 11: tank 1,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210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K-I-0103</t>
        </is>
      </c>
      <c r="B5547" s="12" t="inlineStr">
        <is>
          <t>K</t>
        </is>
      </c>
      <c r="C5547" s="12" t="inlineStr">
        <is>
          <t>Fuel supply (adjacent market)</t>
        </is>
      </c>
      <c r="D5547" s="12" t="inlineStr">
        <is>
          <t>Analog instrument to JB JB-LNG-T2-AI01: 4 x 1 pr (field cables)</t>
        </is>
      </c>
      <c r="E5547" s="12" t="inlineStr">
        <is>
          <t>LNG-T2</t>
        </is>
      </c>
      <c r="F5547" s="12" t="inlineStr">
        <is>
          <t>LNG 11: tank 2, Chart HS 50000 (51,780 gal)</t>
        </is>
      </c>
      <c r="G5547" s="12" t="inlineStr">
        <is>
          <t>JB-LNG-T2-AI01</t>
        </is>
      </c>
      <c r="H5547" s="12" t="inlineStr">
        <is>
          <t>LNG 11: tank 2,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K-I-0104</t>
        </is>
      </c>
      <c r="B5548" s="12" t="inlineStr">
        <is>
          <t>K</t>
        </is>
      </c>
      <c r="C5548" s="12" t="inlineStr">
        <is>
          <t>Fuel supply (adjacent market)</t>
        </is>
      </c>
      <c r="D5548" s="12" t="inlineStr">
        <is>
          <t>Home run JB-LNG-T2-AI01 to the control / marshalling room</t>
        </is>
      </c>
      <c r="E5548" s="12" t="inlineStr"/>
      <c r="F5548" s="12" t="inlineStr">
        <is>
          <t>LNG 17: LNG e-house (13.8 kV / 480 V)</t>
        </is>
      </c>
      <c r="G5548" s="12" t="inlineStr">
        <is>
          <t>JB-LNG-T2-AI01</t>
        </is>
      </c>
      <c r="H5548" s="12" t="inlineStr">
        <is>
          <t>LNG 11: tank 2,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230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K-I-0105</t>
        </is>
      </c>
      <c r="B5549" s="12" t="inlineStr">
        <is>
          <t>K</t>
        </is>
      </c>
      <c r="C5549" s="12" t="inlineStr">
        <is>
          <t>Fuel supply (adjacent market)</t>
        </is>
      </c>
      <c r="D5549" s="12" t="inlineStr">
        <is>
          <t>Discrete device to JB JB-LNG-T2-DI01: 4 x 1 pr (field cables)</t>
        </is>
      </c>
      <c r="E5549" s="12" t="inlineStr">
        <is>
          <t>LNG-T2</t>
        </is>
      </c>
      <c r="F5549" s="12" t="inlineStr">
        <is>
          <t>LNG 11: tank 2, Chart HS 50000 (51,780 gal)</t>
        </is>
      </c>
      <c r="G5549" s="12" t="inlineStr">
        <is>
          <t>JB-LNG-T2-DI01</t>
        </is>
      </c>
      <c r="H5549" s="12" t="inlineStr">
        <is>
          <t>LNG 11: tank 2,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K-I-0106</t>
        </is>
      </c>
      <c r="B5550" s="12" t="inlineStr">
        <is>
          <t>K</t>
        </is>
      </c>
      <c r="C5550" s="12" t="inlineStr">
        <is>
          <t>Fuel supply (adjacent market)</t>
        </is>
      </c>
      <c r="D5550" s="12" t="inlineStr">
        <is>
          <t>Home run JB-LNG-T2-DI01 to the control / marshalling room</t>
        </is>
      </c>
      <c r="E5550" s="12" t="inlineStr"/>
      <c r="F5550" s="12" t="inlineStr">
        <is>
          <t>LNG 17: LNG e-house (13.8 kV / 480 V)</t>
        </is>
      </c>
      <c r="G5550" s="12" t="inlineStr">
        <is>
          <t>JB-LNG-T2-DI01</t>
        </is>
      </c>
      <c r="H5550" s="12" t="inlineStr">
        <is>
          <t>LNG 11: tank 2,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230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K-I-0107</t>
        </is>
      </c>
      <c r="B5551" s="12" t="inlineStr">
        <is>
          <t>K</t>
        </is>
      </c>
      <c r="C5551" s="12" t="inlineStr">
        <is>
          <t>Fuel supply (adjacent market)</t>
        </is>
      </c>
      <c r="D5551" s="12" t="inlineStr">
        <is>
          <t>Analog instrument to JB JB-LNG-T3-AI01: 4 x 1 pr (field cables)</t>
        </is>
      </c>
      <c r="E5551" s="12" t="inlineStr">
        <is>
          <t>LNG-T3</t>
        </is>
      </c>
      <c r="F5551" s="12" t="inlineStr">
        <is>
          <t>LNG 11: tank 3, Chart HS 50000 (51,780 gal)</t>
        </is>
      </c>
      <c r="G5551" s="12" t="inlineStr">
        <is>
          <t>JB-LNG-T3-AI01</t>
        </is>
      </c>
      <c r="H5551" s="12" t="inlineStr">
        <is>
          <t>LNG 11: tank 3,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K-I-0108</t>
        </is>
      </c>
      <c r="B5552" s="12" t="inlineStr">
        <is>
          <t>K</t>
        </is>
      </c>
      <c r="C5552" s="12" t="inlineStr">
        <is>
          <t>Fuel supply (adjacent market)</t>
        </is>
      </c>
      <c r="D5552" s="12" t="inlineStr">
        <is>
          <t>Home run JB-LNG-T3-AI01 to the control / marshalling room</t>
        </is>
      </c>
      <c r="E5552" s="12" t="inlineStr"/>
      <c r="F5552" s="12" t="inlineStr">
        <is>
          <t>LNG 17: LNG e-house (13.8 kV / 480 V)</t>
        </is>
      </c>
      <c r="G5552" s="12" t="inlineStr">
        <is>
          <t>JB-LNG-T3-AI01</t>
        </is>
      </c>
      <c r="H5552" s="12" t="inlineStr">
        <is>
          <t>LNG 11: tank 3,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250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K-I-0109</t>
        </is>
      </c>
      <c r="B5553" s="12" t="inlineStr">
        <is>
          <t>K</t>
        </is>
      </c>
      <c r="C5553" s="12" t="inlineStr">
        <is>
          <t>Fuel supply (adjacent market)</t>
        </is>
      </c>
      <c r="D5553" s="12" t="inlineStr">
        <is>
          <t>Discrete device to JB JB-LNG-T3-DI01: 4 x 1 pr (field cables)</t>
        </is>
      </c>
      <c r="E5553" s="12" t="inlineStr">
        <is>
          <t>LNG-T3</t>
        </is>
      </c>
      <c r="F5553" s="12" t="inlineStr">
        <is>
          <t>LNG 11: tank 3, Chart HS 50000 (51,780 gal)</t>
        </is>
      </c>
      <c r="G5553" s="12" t="inlineStr">
        <is>
          <t>JB-LNG-T3-DI01</t>
        </is>
      </c>
      <c r="H5553" s="12" t="inlineStr">
        <is>
          <t>LNG 11: tank 3,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K-I-0110</t>
        </is>
      </c>
      <c r="B5554" s="12" t="inlineStr">
        <is>
          <t>K</t>
        </is>
      </c>
      <c r="C5554" s="12" t="inlineStr">
        <is>
          <t>Fuel supply (adjacent market)</t>
        </is>
      </c>
      <c r="D5554" s="12" t="inlineStr">
        <is>
          <t>Home run JB-LNG-T3-DI01 to the control / marshalling room</t>
        </is>
      </c>
      <c r="E5554" s="12" t="inlineStr"/>
      <c r="F5554" s="12" t="inlineStr">
        <is>
          <t>LNG 17: LNG e-house (13.8 kV / 480 V)</t>
        </is>
      </c>
      <c r="G5554" s="12" t="inlineStr">
        <is>
          <t>JB-LNG-T3-DI01</t>
        </is>
      </c>
      <c r="H5554" s="12" t="inlineStr">
        <is>
          <t>LNG 11: tank 3,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250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K-I-0111</t>
        </is>
      </c>
      <c r="B5555" s="12" t="inlineStr">
        <is>
          <t>K</t>
        </is>
      </c>
      <c r="C5555" s="12" t="inlineStr">
        <is>
          <t>Fuel supply (adjacent market)</t>
        </is>
      </c>
      <c r="D5555" s="12" t="inlineStr">
        <is>
          <t>Analog instrument to JB JB-LNG-T4-AI01: 4 x 1 pr (field cables)</t>
        </is>
      </c>
      <c r="E5555" s="12" t="inlineStr">
        <is>
          <t>LNG-T4</t>
        </is>
      </c>
      <c r="F5555" s="12" t="inlineStr">
        <is>
          <t>LNG 11: tank 4, Chart HS 50000 (51,780 gal)</t>
        </is>
      </c>
      <c r="G5555" s="12" t="inlineStr">
        <is>
          <t>JB-LNG-T4-AI01</t>
        </is>
      </c>
      <c r="H5555" s="12" t="inlineStr">
        <is>
          <t>LNG 11: tank 4,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K-I-0112</t>
        </is>
      </c>
      <c r="B5556" s="12" t="inlineStr">
        <is>
          <t>K</t>
        </is>
      </c>
      <c r="C5556" s="12" t="inlineStr">
        <is>
          <t>Fuel supply (adjacent market)</t>
        </is>
      </c>
      <c r="D5556" s="12" t="inlineStr">
        <is>
          <t>Home run JB-LNG-T4-AI01 to the control / marshalling room</t>
        </is>
      </c>
      <c r="E5556" s="12" t="inlineStr"/>
      <c r="F5556" s="12" t="inlineStr">
        <is>
          <t>LNG 17: LNG e-house (13.8 kV / 480 V)</t>
        </is>
      </c>
      <c r="G5556" s="12" t="inlineStr">
        <is>
          <t>JB-LNG-T4-AI01</t>
        </is>
      </c>
      <c r="H5556" s="12" t="inlineStr">
        <is>
          <t>LNG 11: tank 4,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270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K-I-0113</t>
        </is>
      </c>
      <c r="B5557" s="12" t="inlineStr">
        <is>
          <t>K</t>
        </is>
      </c>
      <c r="C5557" s="12" t="inlineStr">
        <is>
          <t>Fuel supply (adjacent market)</t>
        </is>
      </c>
      <c r="D5557" s="12" t="inlineStr">
        <is>
          <t>Discrete device to JB JB-LNG-T4-DI01: 4 x 1 pr (field cables)</t>
        </is>
      </c>
      <c r="E5557" s="12" t="inlineStr">
        <is>
          <t>LNG-T4</t>
        </is>
      </c>
      <c r="F5557" s="12" t="inlineStr">
        <is>
          <t>LNG 11: tank 4, Chart HS 50000 (51,780 gal)</t>
        </is>
      </c>
      <c r="G5557" s="12" t="inlineStr">
        <is>
          <t>JB-LNG-T4-DI01</t>
        </is>
      </c>
      <c r="H5557" s="12" t="inlineStr">
        <is>
          <t>LNG 11: tank 4,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K-I-0114</t>
        </is>
      </c>
      <c r="B5558" s="12" t="inlineStr">
        <is>
          <t>K</t>
        </is>
      </c>
      <c r="C5558" s="12" t="inlineStr">
        <is>
          <t>Fuel supply (adjacent market)</t>
        </is>
      </c>
      <c r="D5558" s="12" t="inlineStr">
        <is>
          <t>Home run JB-LNG-T4-DI01 to the control / marshalling room</t>
        </is>
      </c>
      <c r="E5558" s="12" t="inlineStr"/>
      <c r="F5558" s="12" t="inlineStr">
        <is>
          <t>LNG 17: LNG e-house (13.8 kV / 480 V)</t>
        </is>
      </c>
      <c r="G5558" s="12" t="inlineStr">
        <is>
          <t>JB-LNG-T4-DI01</t>
        </is>
      </c>
      <c r="H5558" s="12" t="inlineStr">
        <is>
          <t>LNG 11: tank 4,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270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K-I-0115</t>
        </is>
      </c>
      <c r="B5559" s="12" t="inlineStr">
        <is>
          <t>K</t>
        </is>
      </c>
      <c r="C5559" s="12" t="inlineStr">
        <is>
          <t>Fuel supply (adjacent market)</t>
        </is>
      </c>
      <c r="D5559" s="12" t="inlineStr">
        <is>
          <t>Analog instrument to JB JB-LNG-T5-AI01: 4 x 1 pr (field cables)</t>
        </is>
      </c>
      <c r="E5559" s="12" t="inlineStr">
        <is>
          <t>LNG-T5</t>
        </is>
      </c>
      <c r="F5559" s="12" t="inlineStr">
        <is>
          <t>LNG 11: tank 5, Chart HS 50000 (51,780 gal)</t>
        </is>
      </c>
      <c r="G5559" s="12" t="inlineStr">
        <is>
          <t>JB-LNG-T5-AI01</t>
        </is>
      </c>
      <c r="H5559" s="12" t="inlineStr">
        <is>
          <t>LNG 11: tank 5,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K-I-0116</t>
        </is>
      </c>
      <c r="B5560" s="12" t="inlineStr">
        <is>
          <t>K</t>
        </is>
      </c>
      <c r="C5560" s="12" t="inlineStr">
        <is>
          <t>Fuel supply (adjacent market)</t>
        </is>
      </c>
      <c r="D5560" s="12" t="inlineStr">
        <is>
          <t>Home run JB-LNG-T5-AI01 to the control / marshalling room</t>
        </is>
      </c>
      <c r="E5560" s="12" t="inlineStr"/>
      <c r="F5560" s="12" t="inlineStr">
        <is>
          <t>LNG 17: LNG e-house (13.8 kV / 480 V)</t>
        </is>
      </c>
      <c r="G5560" s="12" t="inlineStr">
        <is>
          <t>JB-LNG-T5-AI01</t>
        </is>
      </c>
      <c r="H5560" s="12" t="inlineStr">
        <is>
          <t>LNG 11: tank 5,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290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K-I-0117</t>
        </is>
      </c>
      <c r="B5561" s="12" t="inlineStr">
        <is>
          <t>K</t>
        </is>
      </c>
      <c r="C5561" s="12" t="inlineStr">
        <is>
          <t>Fuel supply (adjacent market)</t>
        </is>
      </c>
      <c r="D5561" s="12" t="inlineStr">
        <is>
          <t>Discrete device to JB JB-LNG-T5-DI01: 4 x 1 pr (field cables)</t>
        </is>
      </c>
      <c r="E5561" s="12" t="inlineStr">
        <is>
          <t>LNG-T5</t>
        </is>
      </c>
      <c r="F5561" s="12" t="inlineStr">
        <is>
          <t>LNG 11: tank 5, Chart HS 50000 (51,780 gal)</t>
        </is>
      </c>
      <c r="G5561" s="12" t="inlineStr">
        <is>
          <t>JB-LNG-T5-DI01</t>
        </is>
      </c>
      <c r="H5561" s="12" t="inlineStr">
        <is>
          <t>LNG 11: tank 5,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K-I-0118</t>
        </is>
      </c>
      <c r="B5562" s="12" t="inlineStr">
        <is>
          <t>K</t>
        </is>
      </c>
      <c r="C5562" s="12" t="inlineStr">
        <is>
          <t>Fuel supply (adjacent market)</t>
        </is>
      </c>
      <c r="D5562" s="12" t="inlineStr">
        <is>
          <t>Home run JB-LNG-T5-DI01 to the control / marshalling room</t>
        </is>
      </c>
      <c r="E5562" s="12" t="inlineStr"/>
      <c r="F5562" s="12" t="inlineStr">
        <is>
          <t>LNG 17: LNG e-house (13.8 kV / 480 V)</t>
        </is>
      </c>
      <c r="G5562" s="12" t="inlineStr">
        <is>
          <t>JB-LNG-T5-DI01</t>
        </is>
      </c>
      <c r="H5562" s="12" t="inlineStr">
        <is>
          <t>LNG 11: tank 5,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290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K-I-0119</t>
        </is>
      </c>
      <c r="B5563" s="12" t="inlineStr">
        <is>
          <t>K</t>
        </is>
      </c>
      <c r="C5563" s="12" t="inlineStr">
        <is>
          <t>Fuel supply (adjacent market)</t>
        </is>
      </c>
      <c r="D5563" s="12" t="inlineStr">
        <is>
          <t>Analog instrument to JB JB-LNG-T6-AI01: 4 x 1 pr (field cables)</t>
        </is>
      </c>
      <c r="E5563" s="12" t="inlineStr">
        <is>
          <t>LNG-T6</t>
        </is>
      </c>
      <c r="F5563" s="12" t="inlineStr">
        <is>
          <t>LNG 11: tank 6, Chart HS 50000 (51,780 gal)</t>
        </is>
      </c>
      <c r="G5563" s="12" t="inlineStr">
        <is>
          <t>JB-LNG-T6-AI01</t>
        </is>
      </c>
      <c r="H5563" s="12" t="inlineStr">
        <is>
          <t>LNG 11: tank 6,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K-I-0120</t>
        </is>
      </c>
      <c r="B5564" s="12" t="inlineStr">
        <is>
          <t>K</t>
        </is>
      </c>
      <c r="C5564" s="12" t="inlineStr">
        <is>
          <t>Fuel supply (adjacent market)</t>
        </is>
      </c>
      <c r="D5564" s="12" t="inlineStr">
        <is>
          <t>Home run JB-LNG-T6-AI01 to the control / marshalling room</t>
        </is>
      </c>
      <c r="E5564" s="12" t="inlineStr"/>
      <c r="F5564" s="12" t="inlineStr">
        <is>
          <t>LNG 17: LNG e-house (13.8 kV / 480 V)</t>
        </is>
      </c>
      <c r="G5564" s="12" t="inlineStr">
        <is>
          <t>JB-LNG-T6-AI01</t>
        </is>
      </c>
      <c r="H5564" s="12" t="inlineStr">
        <is>
          <t>LNG 11: tank 6,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K-I-0121</t>
        </is>
      </c>
      <c r="B5565" s="12" t="inlineStr">
        <is>
          <t>K</t>
        </is>
      </c>
      <c r="C5565" s="12" t="inlineStr">
        <is>
          <t>Fuel supply (adjacent market)</t>
        </is>
      </c>
      <c r="D5565" s="12" t="inlineStr">
        <is>
          <t>Discrete device to JB JB-LNG-T6-DI01: 4 x 1 pr (field cables)</t>
        </is>
      </c>
      <c r="E5565" s="12" t="inlineStr">
        <is>
          <t>LNG-T6</t>
        </is>
      </c>
      <c r="F5565" s="12" t="inlineStr">
        <is>
          <t>LNG 11: tank 6, Chart HS 50000 (51,780 gal)</t>
        </is>
      </c>
      <c r="G5565" s="12" t="inlineStr">
        <is>
          <t>JB-LNG-T6-DI01</t>
        </is>
      </c>
      <c r="H5565" s="12" t="inlineStr">
        <is>
          <t>LNG 11: tank 6,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K-I-0122</t>
        </is>
      </c>
      <c r="B5566" s="12" t="inlineStr">
        <is>
          <t>K</t>
        </is>
      </c>
      <c r="C5566" s="12" t="inlineStr">
        <is>
          <t>Fuel supply (adjacent market)</t>
        </is>
      </c>
      <c r="D5566" s="12" t="inlineStr">
        <is>
          <t>Home run JB-LNG-T6-DI01 to the control / marshalling room</t>
        </is>
      </c>
      <c r="E5566" s="12" t="inlineStr"/>
      <c r="F5566" s="12" t="inlineStr">
        <is>
          <t>LNG 17: LNG e-house (13.8 kV / 480 V)</t>
        </is>
      </c>
      <c r="G5566" s="12" t="inlineStr">
        <is>
          <t>JB-LNG-T6-DI01</t>
        </is>
      </c>
      <c r="H5566" s="12" t="inlineStr">
        <is>
          <t>LNG 11: tank 6,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K-I-0123</t>
        </is>
      </c>
      <c r="B5567" s="12" t="inlineStr">
        <is>
          <t>K</t>
        </is>
      </c>
      <c r="C5567" s="12" t="inlineStr">
        <is>
          <t>Fuel supply (adjacent market)</t>
        </is>
      </c>
      <c r="D5567" s="12" t="inlineStr">
        <is>
          <t>Analog instrument to JB JB-LNG-T7-AI01: 4 x 1 pr (field cables)</t>
        </is>
      </c>
      <c r="E5567" s="12" t="inlineStr">
        <is>
          <t>LNG-T7</t>
        </is>
      </c>
      <c r="F5567" s="12" t="inlineStr">
        <is>
          <t>LNG 11: tank 7, Chart HS 50000 (51,780 gal)</t>
        </is>
      </c>
      <c r="G5567" s="12" t="inlineStr">
        <is>
          <t>JB-LNG-T7-AI01</t>
        </is>
      </c>
      <c r="H5567" s="12" t="inlineStr">
        <is>
          <t>LNG 11: tank 7,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K-I-0124</t>
        </is>
      </c>
      <c r="B5568" s="12" t="inlineStr">
        <is>
          <t>K</t>
        </is>
      </c>
      <c r="C5568" s="12" t="inlineStr">
        <is>
          <t>Fuel supply (adjacent market)</t>
        </is>
      </c>
      <c r="D5568" s="12" t="inlineStr">
        <is>
          <t>Home run JB-LNG-T7-AI01 to the control / marshalling room</t>
        </is>
      </c>
      <c r="E5568" s="12" t="inlineStr"/>
      <c r="F5568" s="12" t="inlineStr">
        <is>
          <t>LNG 17: LNG e-house (13.8 kV / 480 V)</t>
        </is>
      </c>
      <c r="G5568" s="12" t="inlineStr">
        <is>
          <t>JB-LNG-T7-AI01</t>
        </is>
      </c>
      <c r="H5568" s="12" t="inlineStr">
        <is>
          <t>LNG 11: tank 7,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330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K-I-0125</t>
        </is>
      </c>
      <c r="B5569" s="12" t="inlineStr">
        <is>
          <t>K</t>
        </is>
      </c>
      <c r="C5569" s="12" t="inlineStr">
        <is>
          <t>Fuel supply (adjacent market)</t>
        </is>
      </c>
      <c r="D5569" s="12" t="inlineStr">
        <is>
          <t>Discrete device to JB JB-LNG-T7-DI01: 4 x 1 pr (field cables)</t>
        </is>
      </c>
      <c r="E5569" s="12" t="inlineStr">
        <is>
          <t>LNG-T7</t>
        </is>
      </c>
      <c r="F5569" s="12" t="inlineStr">
        <is>
          <t>LNG 11: tank 7, Chart HS 50000 (51,780 gal)</t>
        </is>
      </c>
      <c r="G5569" s="12" t="inlineStr">
        <is>
          <t>JB-LNG-T7-DI01</t>
        </is>
      </c>
      <c r="H5569" s="12" t="inlineStr">
        <is>
          <t>LNG 11: tank 7, Chart HS 50000 (51,780 gal)</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4</v>
      </c>
      <c r="O5569" s="12" t="n">
        <v>1</v>
      </c>
      <c r="P5569" s="12" t="n"/>
      <c r="Q5569" s="12" t="n"/>
      <c r="R5569" s="12" t="n"/>
      <c r="S5569" s="12" t="inlineStr">
        <is>
          <t>Tray / conduit</t>
        </is>
      </c>
      <c r="T5569" s="16" t="n">
        <v>77</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K-I-0126</t>
        </is>
      </c>
      <c r="B5570" s="12" t="inlineStr">
        <is>
          <t>K</t>
        </is>
      </c>
      <c r="C5570" s="12" t="inlineStr">
        <is>
          <t>Fuel supply (adjacent market)</t>
        </is>
      </c>
      <c r="D5570" s="12" t="inlineStr">
        <is>
          <t>Home run JB-LNG-T7-DI01 to the control / marshalling room</t>
        </is>
      </c>
      <c r="E5570" s="12" t="inlineStr"/>
      <c r="F5570" s="12" t="inlineStr">
        <is>
          <t>LNG 17: LNG e-house (13.8 kV / 480 V)</t>
        </is>
      </c>
      <c r="G5570" s="12" t="inlineStr">
        <is>
          <t>JB-LNG-T7-DI01</t>
        </is>
      </c>
      <c r="H5570" s="12" t="inlineStr">
        <is>
          <t>LNG 11: tank 7, Chart HS 50000 (51,780 gal)</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330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K-I-0127</t>
        </is>
      </c>
      <c r="B5571" s="12" t="inlineStr">
        <is>
          <t>K</t>
        </is>
      </c>
      <c r="C5571" s="12" t="inlineStr">
        <is>
          <t>Fuel supply (adjacent market)</t>
        </is>
      </c>
      <c r="D5571" s="12" t="inlineStr">
        <is>
          <t>Analog instrument to JB JB-LNG-T8-AI01: 4 x 1 pr (field cables)</t>
        </is>
      </c>
      <c r="E5571" s="12" t="inlineStr">
        <is>
          <t>LNG-T8</t>
        </is>
      </c>
      <c r="F5571" s="12" t="inlineStr">
        <is>
          <t>LNG 11: tank 8, Chart HS 50000 (51,780 gal)</t>
        </is>
      </c>
      <c r="G5571" s="12" t="inlineStr">
        <is>
          <t>JB-LNG-T8-AI01</t>
        </is>
      </c>
      <c r="H5571" s="12" t="inlineStr">
        <is>
          <t>LNG 11: tank 8, Chart HS 50000 (51,780 gal)</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4</v>
      </c>
      <c r="O5571" s="12" t="n">
        <v>1</v>
      </c>
      <c r="P5571" s="12" t="n"/>
      <c r="Q5571" s="12" t="n"/>
      <c r="R5571" s="12" t="n"/>
      <c r="S5571" s="12" t="inlineStr">
        <is>
          <t>Tray / conduit</t>
        </is>
      </c>
      <c r="T5571" s="16" t="n">
        <v>77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K-I-0128</t>
        </is>
      </c>
      <c r="B5572" s="12" t="inlineStr">
        <is>
          <t>K</t>
        </is>
      </c>
      <c r="C5572" s="12" t="inlineStr">
        <is>
          <t>Fuel supply (adjacent market)</t>
        </is>
      </c>
      <c r="D5572" s="12" t="inlineStr">
        <is>
          <t>Home run JB-LNG-T8-AI01 to the control / marshalling room</t>
        </is>
      </c>
      <c r="E5572" s="12" t="inlineStr"/>
      <c r="F5572" s="12" t="inlineStr">
        <is>
          <t>LNG 17: LNG e-house (13.8 kV / 480 V)</t>
        </is>
      </c>
      <c r="G5572" s="12" t="inlineStr">
        <is>
          <t>JB-LNG-T8-AI01</t>
        </is>
      </c>
      <c r="H5572" s="12" t="inlineStr">
        <is>
          <t>LNG 11: tank 8, Chart HS 50000 (51,780 gal)</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350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K-I-0129</t>
        </is>
      </c>
      <c r="B5573" s="12" t="inlineStr">
        <is>
          <t>K</t>
        </is>
      </c>
      <c r="C5573" s="12" t="inlineStr">
        <is>
          <t>Fuel supply (adjacent market)</t>
        </is>
      </c>
      <c r="D5573" s="12" t="inlineStr">
        <is>
          <t>Discrete device to JB JB-LNG-T8-DI01: 4 x 1 pr (field cables)</t>
        </is>
      </c>
      <c r="E5573" s="12" t="inlineStr">
        <is>
          <t>LNG-T8</t>
        </is>
      </c>
      <c r="F5573" s="12" t="inlineStr">
        <is>
          <t>LNG 11: tank 8, Chart HS 50000 (51,780 gal)</t>
        </is>
      </c>
      <c r="G5573" s="12" t="inlineStr">
        <is>
          <t>JB-LNG-T8-DI01</t>
        </is>
      </c>
      <c r="H5573" s="12" t="inlineStr">
        <is>
          <t>LNG 11: tank 8, Chart HS 50000 (51,780 gal)</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4</v>
      </c>
      <c r="O5573" s="12" t="n">
        <v>1</v>
      </c>
      <c r="P5573" s="12" t="n"/>
      <c r="Q5573" s="12" t="n"/>
      <c r="R5573" s="12" t="n"/>
      <c r="S5573" s="12" t="inlineStr">
        <is>
          <t>Tray / conduit</t>
        </is>
      </c>
      <c r="T5573" s="16" t="n">
        <v>77</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K-I-0130</t>
        </is>
      </c>
      <c r="B5574" s="12" t="inlineStr">
        <is>
          <t>K</t>
        </is>
      </c>
      <c r="C5574" s="12" t="inlineStr">
        <is>
          <t>Fuel supply (adjacent market)</t>
        </is>
      </c>
      <c r="D5574" s="12" t="inlineStr">
        <is>
          <t>Home run JB-LNG-T8-DI01 to the control / marshalling room</t>
        </is>
      </c>
      <c r="E5574" s="12" t="inlineStr"/>
      <c r="F5574" s="12" t="inlineStr">
        <is>
          <t>LNG 17: LNG e-house (13.8 kV / 480 V)</t>
        </is>
      </c>
      <c r="G5574" s="12" t="inlineStr">
        <is>
          <t>JB-LNG-T8-DI01</t>
        </is>
      </c>
      <c r="H5574" s="12" t="inlineStr">
        <is>
          <t>LNG 11: tank 8, Chart HS 50000 (51,780 gal)</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350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K-I-0131</t>
        </is>
      </c>
      <c r="B5575" s="12" t="inlineStr">
        <is>
          <t>K</t>
        </is>
      </c>
      <c r="C5575" s="12" t="inlineStr">
        <is>
          <t>Fuel supply (adjacent market)</t>
        </is>
      </c>
      <c r="D5575" s="12" t="inlineStr">
        <is>
          <t>Analog instrument to JB JB-LNG 12: spill impo-AI01: 12 x 1 pr (field cables)</t>
        </is>
      </c>
      <c r="E5575" s="12" t="inlineStr"/>
      <c r="F5575" s="12" t="inlineStr">
        <is>
          <t>LNG 12: spill impoundment (NFPA 59A, to verify)</t>
        </is>
      </c>
      <c r="G5575" s="12" t="inlineStr">
        <is>
          <t>JB-LNG 12: spill impo-AI01</t>
        </is>
      </c>
      <c r="H5575" s="12" t="inlineStr">
        <is>
          <t>LNG 12: spill impoundment (NFPA 59A, to verify)</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170</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K-I-0132</t>
        </is>
      </c>
      <c r="B5576" s="12" t="inlineStr">
        <is>
          <t>K</t>
        </is>
      </c>
      <c r="C5576" s="12" t="inlineStr">
        <is>
          <t>Fuel supply (adjacent market)</t>
        </is>
      </c>
      <c r="D5576" s="12" t="inlineStr">
        <is>
          <t>Home run JB-LNG 12: spill impo-AI01 to the control / marshalling room</t>
        </is>
      </c>
      <c r="E5576" s="12" t="inlineStr"/>
      <c r="F5576" s="12" t="inlineStr">
        <is>
          <t>LNG 17: LNG e-house (13.8 kV / 480 V)</t>
        </is>
      </c>
      <c r="G5576" s="12" t="inlineStr">
        <is>
          <t>JB-LNG 12: spill impo-AI01</t>
        </is>
      </c>
      <c r="H5576" s="12" t="inlineStr">
        <is>
          <t>LNG 12: spill impoundment (NFPA 59A, to verify)</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230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K-I-0133</t>
        </is>
      </c>
      <c r="B5577" s="12" t="inlineStr">
        <is>
          <t>K</t>
        </is>
      </c>
      <c r="C5577" s="12" t="inlineStr">
        <is>
          <t>Fuel supply (adjacent market)</t>
        </is>
      </c>
      <c r="D5577" s="12" t="inlineStr">
        <is>
          <t>Discrete device to JB JB-LNG 12: spill impo-DI01: 12 x 1 pr (field cables)</t>
        </is>
      </c>
      <c r="E5577" s="12" t="inlineStr"/>
      <c r="F5577" s="12" t="inlineStr">
        <is>
          <t>LNG 12: spill impoundment (NFPA 59A, to verify)</t>
        </is>
      </c>
      <c r="G5577" s="12" t="inlineStr">
        <is>
          <t>JB-LNG 12: spill impo-DI01</t>
        </is>
      </c>
      <c r="H5577" s="12" t="inlineStr">
        <is>
          <t>LNG 12: spill impoundment (NFPA 59A, to verify)</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170</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K-I-0134</t>
        </is>
      </c>
      <c r="B5578" s="12" t="inlineStr">
        <is>
          <t>K</t>
        </is>
      </c>
      <c r="C5578" s="12" t="inlineStr">
        <is>
          <t>Fuel supply (adjacent market)</t>
        </is>
      </c>
      <c r="D5578" s="12" t="inlineStr">
        <is>
          <t>Home run JB-LNG 12: spill impo-DI01 to the control / marshalling room</t>
        </is>
      </c>
      <c r="E5578" s="12" t="inlineStr"/>
      <c r="F5578" s="12" t="inlineStr">
        <is>
          <t>LNG 17: LNG e-house (13.8 kV / 480 V)</t>
        </is>
      </c>
      <c r="G5578" s="12" t="inlineStr">
        <is>
          <t>JB-LNG 12: spill impo-DI01</t>
        </is>
      </c>
      <c r="H5578" s="12" t="inlineStr">
        <is>
          <t>LNG 12: spill impoundment (NFPA 59A, to verify)</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230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K-I-0135</t>
        </is>
      </c>
      <c r="B5579" s="12" t="inlineStr">
        <is>
          <t>K</t>
        </is>
      </c>
      <c r="C5579" s="12" t="inlineStr">
        <is>
          <t>Fuel supply (adjacent market)</t>
        </is>
      </c>
      <c r="D5579" s="12" t="inlineStr">
        <is>
          <t>Analog instrument to JB JB-LNG 13: send-out p-AI01: 12 x 1 pr (field cables)</t>
        </is>
      </c>
      <c r="E5579" s="12" t="inlineStr"/>
      <c r="F5579" s="12" t="inlineStr">
        <is>
          <t>LNG 13: send-out pumps 2 x 100%</t>
        </is>
      </c>
      <c r="G5579" s="12" t="inlineStr">
        <is>
          <t>JB-LNG 13: send-out p-AI01</t>
        </is>
      </c>
      <c r="H5579" s="12" t="inlineStr">
        <is>
          <t>LNG 13: send-out pumps 2 x 100%</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63</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K-I-0136</t>
        </is>
      </c>
      <c r="B5580" s="12" t="inlineStr">
        <is>
          <t>K</t>
        </is>
      </c>
      <c r="C5580" s="12" t="inlineStr">
        <is>
          <t>Fuel supply (adjacent market)</t>
        </is>
      </c>
      <c r="D5580" s="12" t="inlineStr">
        <is>
          <t>Home run JB-LNG 13: send-out p-AI01 to the control / marshalling room</t>
        </is>
      </c>
      <c r="E5580" s="12" t="inlineStr"/>
      <c r="F5580" s="12" t="inlineStr">
        <is>
          <t>LNG 17: LNG e-house (13.8 kV / 480 V)</t>
        </is>
      </c>
      <c r="G5580" s="12" t="inlineStr">
        <is>
          <t>JB-LNG 13: send-out p-AI01</t>
        </is>
      </c>
      <c r="H5580" s="12" t="inlineStr">
        <is>
          <t>LNG 13: send-out pumps 2 x 100%</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110</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K-I-0137</t>
        </is>
      </c>
      <c r="B5581" s="12" t="inlineStr">
        <is>
          <t>K</t>
        </is>
      </c>
      <c r="C5581" s="12" t="inlineStr">
        <is>
          <t>Fuel supply (adjacent market)</t>
        </is>
      </c>
      <c r="D5581" s="12" t="inlineStr">
        <is>
          <t>Discrete device to JB JB-LNG 13: send-out p-DI01: 12 x 1 pr (field cables)</t>
        </is>
      </c>
      <c r="E5581" s="12" t="inlineStr"/>
      <c r="F5581" s="12" t="inlineStr">
        <is>
          <t>LNG 13: send-out pumps 2 x 100%</t>
        </is>
      </c>
      <c r="G5581" s="12" t="inlineStr">
        <is>
          <t>JB-LNG 13: send-out p-DI01</t>
        </is>
      </c>
      <c r="H5581" s="12" t="inlineStr">
        <is>
          <t>LNG 13: send-out pumps 2 x 100%</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63</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K-I-0138</t>
        </is>
      </c>
      <c r="B5582" s="12" t="inlineStr">
        <is>
          <t>K</t>
        </is>
      </c>
      <c r="C5582" s="12" t="inlineStr">
        <is>
          <t>Fuel supply (adjacent market)</t>
        </is>
      </c>
      <c r="D5582" s="12" t="inlineStr">
        <is>
          <t>Home run JB-LNG 13: send-out p-DI01 to the control / marshalling room</t>
        </is>
      </c>
      <c r="E5582" s="12" t="inlineStr"/>
      <c r="F5582" s="12" t="inlineStr">
        <is>
          <t>LNG 17: LNG e-house (13.8 kV / 480 V)</t>
        </is>
      </c>
      <c r="G5582" s="12" t="inlineStr">
        <is>
          <t>JB-LNG 13: send-out p-DI01</t>
        </is>
      </c>
      <c r="H5582" s="12" t="inlineStr">
        <is>
          <t>LNG 13: send-out pumps 2 x 100%</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110</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K-I-0139</t>
        </is>
      </c>
      <c r="B5583" s="12" t="inlineStr">
        <is>
          <t>K</t>
        </is>
      </c>
      <c r="C5583" s="12" t="inlineStr">
        <is>
          <t>Fuel supply (adjacent market)</t>
        </is>
      </c>
      <c r="D5583" s="12" t="inlineStr">
        <is>
          <t>Analog instrument to JB JB-LNG 14: vaporizers-AI01: 12 x 1 pr (field cables)</t>
        </is>
      </c>
      <c r="E5583" s="12" t="inlineStr"/>
      <c r="F5583" s="12" t="inlineStr">
        <is>
          <t>LNG 14: vaporizers + glycol heater</t>
        </is>
      </c>
      <c r="G5583" s="12" t="inlineStr">
        <is>
          <t>JB-LNG 14: vaporizers-AI01</t>
        </is>
      </c>
      <c r="H5583" s="12" t="inlineStr">
        <is>
          <t>LNG 14: vaporizers + glycol heater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122</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K-I-0140</t>
        </is>
      </c>
      <c r="B5584" s="12" t="inlineStr">
        <is>
          <t>K</t>
        </is>
      </c>
      <c r="C5584" s="12" t="inlineStr">
        <is>
          <t>Fuel supply (adjacent market)</t>
        </is>
      </c>
      <c r="D5584" s="12" t="inlineStr">
        <is>
          <t>Home run JB-LNG 14: vaporizers-AI01 to the control / marshalling room</t>
        </is>
      </c>
      <c r="E5584" s="12" t="inlineStr"/>
      <c r="F5584" s="12" t="inlineStr">
        <is>
          <t>LNG 17: LNG e-house (13.8 kV / 480 V)</t>
        </is>
      </c>
      <c r="G5584" s="12" t="inlineStr">
        <is>
          <t>JB-LNG 14: vaporizers-AI01</t>
        </is>
      </c>
      <c r="H5584" s="12" t="inlineStr">
        <is>
          <t>LNG 14: vaporizers + glycol heater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259</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K-I-0141</t>
        </is>
      </c>
      <c r="B5585" s="12" t="inlineStr">
        <is>
          <t>K</t>
        </is>
      </c>
      <c r="C5585" s="12" t="inlineStr">
        <is>
          <t>Fuel supply (adjacent market)</t>
        </is>
      </c>
      <c r="D5585" s="12" t="inlineStr">
        <is>
          <t>Discrete device to JB JB-LNG 14: vaporizers-DI01: 12 x 1 pr (field cables)</t>
        </is>
      </c>
      <c r="E5585" s="12" t="inlineStr"/>
      <c r="F5585" s="12" t="inlineStr">
        <is>
          <t>LNG 14: vaporizers + glycol heater</t>
        </is>
      </c>
      <c r="G5585" s="12" t="inlineStr">
        <is>
          <t>JB-LNG 14: vaporizers-DI01</t>
        </is>
      </c>
      <c r="H5585" s="12" t="inlineStr">
        <is>
          <t>LNG 14: vaporizers + glycol heater</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122</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K-I-0142</t>
        </is>
      </c>
      <c r="B5586" s="12" t="inlineStr">
        <is>
          <t>K</t>
        </is>
      </c>
      <c r="C5586" s="12" t="inlineStr">
        <is>
          <t>Fuel supply (adjacent market)</t>
        </is>
      </c>
      <c r="D5586" s="12" t="inlineStr">
        <is>
          <t>Home run JB-LNG 14: vaporizers-DI01 to the control / marshalling room</t>
        </is>
      </c>
      <c r="E5586" s="12" t="inlineStr"/>
      <c r="F5586" s="12" t="inlineStr">
        <is>
          <t>LNG 17: LNG e-house (13.8 kV / 480 V)</t>
        </is>
      </c>
      <c r="G5586" s="12" t="inlineStr">
        <is>
          <t>JB-LNG 14: vaporizers-DI01</t>
        </is>
      </c>
      <c r="H5586" s="12" t="inlineStr">
        <is>
          <t>LNG 14: vaporizers + glycol heater</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259</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K-I-0143</t>
        </is>
      </c>
      <c r="B5587" s="12" t="inlineStr">
        <is>
          <t>K</t>
        </is>
      </c>
      <c r="C5587" s="12" t="inlineStr">
        <is>
          <t>Fuel supply (adjacent market)</t>
        </is>
      </c>
      <c r="D5587" s="12" t="inlineStr">
        <is>
          <t>Analog instrument to JB JB-LNG 15: boil-off g-AI01: 12 x 1 pr (field cables)</t>
        </is>
      </c>
      <c r="E5587" s="12" t="inlineStr"/>
      <c r="F5587" s="12" t="inlineStr">
        <is>
          <t>LNG 15: boil-off gas compressor</t>
        </is>
      </c>
      <c r="G5587" s="12" t="inlineStr">
        <is>
          <t>JB-LNG 15: boil-off g-AI01</t>
        </is>
      </c>
      <c r="H5587" s="12" t="inlineStr">
        <is>
          <t>LNG 15: boil-off gas compressor</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67</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K-I-0144</t>
        </is>
      </c>
      <c r="B5588" s="12" t="inlineStr">
        <is>
          <t>K</t>
        </is>
      </c>
      <c r="C5588" s="12" t="inlineStr">
        <is>
          <t>Fuel supply (adjacent market)</t>
        </is>
      </c>
      <c r="D5588" s="12" t="inlineStr">
        <is>
          <t>Home run JB-LNG 15: boil-off g-AI01 to the control / marshalling room</t>
        </is>
      </c>
      <c r="E5588" s="12" t="inlineStr"/>
      <c r="F5588" s="12" t="inlineStr">
        <is>
          <t>LNG 17: LNG e-house (13.8 kV / 480 V)</t>
        </is>
      </c>
      <c r="G5588" s="12" t="inlineStr">
        <is>
          <t>JB-LNG 15: boil-off g-AI01</t>
        </is>
      </c>
      <c r="H5588" s="12" t="inlineStr">
        <is>
          <t>LNG 15: boil-off gas compressor</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25</v>
      </c>
      <c r="U5588" s="16" t="n">
        <v>54</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K-I-0145</t>
        </is>
      </c>
      <c r="B5589" s="12" t="inlineStr">
        <is>
          <t>K</t>
        </is>
      </c>
      <c r="C5589" s="12" t="inlineStr">
        <is>
          <t>Fuel supply (adjacent market)</t>
        </is>
      </c>
      <c r="D5589" s="12" t="inlineStr">
        <is>
          <t>Discrete device to JB JB-LNG 15: boil-off g-DI01: 12 x 1 pr (field cables)</t>
        </is>
      </c>
      <c r="E5589" s="12" t="inlineStr"/>
      <c r="F5589" s="12" t="inlineStr">
        <is>
          <t>LNG 15: boil-off gas compressor</t>
        </is>
      </c>
      <c r="G5589" s="12" t="inlineStr">
        <is>
          <t>JB-LNG 15: boil-off g-DI01</t>
        </is>
      </c>
      <c r="H5589" s="12" t="inlineStr">
        <is>
          <t>LNG 15: boil-off gas compressor</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67</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K-I-0146</t>
        </is>
      </c>
      <c r="B5590" s="12" t="inlineStr">
        <is>
          <t>K</t>
        </is>
      </c>
      <c r="C5590" s="12" t="inlineStr">
        <is>
          <t>Fuel supply (adjacent market)</t>
        </is>
      </c>
      <c r="D5590" s="12" t="inlineStr">
        <is>
          <t>Home run JB-LNG 15: boil-off g-DI01 to the control / marshalling room</t>
        </is>
      </c>
      <c r="E5590" s="12" t="inlineStr"/>
      <c r="F5590" s="12" t="inlineStr">
        <is>
          <t>LNG 17: LNG e-house (13.8 kV / 480 V)</t>
        </is>
      </c>
      <c r="G5590" s="12" t="inlineStr">
        <is>
          <t>JB-LNG 15: boil-off g-DI01</t>
        </is>
      </c>
      <c r="H5590" s="12" t="inlineStr">
        <is>
          <t>LNG 15: boil-off gas compressor</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6" t="n">
        <v>25</v>
      </c>
      <c r="U5590" s="16" t="n">
        <v>54</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K-I-0147</t>
        </is>
      </c>
      <c r="B5591" s="12" t="inlineStr">
        <is>
          <t>K</t>
        </is>
      </c>
      <c r="C5591" s="12" t="inlineStr">
        <is>
          <t>Fuel supply (adjacent market)</t>
        </is>
      </c>
      <c r="D5591" s="12" t="inlineStr">
        <is>
          <t>Analog instrument to JB JB-LNG 16: send-out m-AI01: 12 x 1 pr (field cables)</t>
        </is>
      </c>
      <c r="E5591" s="12" t="inlineStr"/>
      <c r="F5591" s="12" t="inlineStr">
        <is>
          <t>LNG 16: send-out metering + pressure control</t>
        </is>
      </c>
      <c r="G5591" s="12" t="inlineStr">
        <is>
          <t>JB-LNG 16: send-out m-AI01</t>
        </is>
      </c>
      <c r="H5591" s="12" t="inlineStr">
        <is>
          <t>LNG 16: send-out metering + pressure control</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74</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K-I-0148</t>
        </is>
      </c>
      <c r="B5592" s="12" t="inlineStr">
        <is>
          <t>K</t>
        </is>
      </c>
      <c r="C5592" s="12" t="inlineStr">
        <is>
          <t>Fuel supply (adjacent market)</t>
        </is>
      </c>
      <c r="D5592" s="12" t="inlineStr">
        <is>
          <t>Home run JB-LNG 16: send-out m-AI01 to the control / marshalling room</t>
        </is>
      </c>
      <c r="E5592" s="12" t="inlineStr"/>
      <c r="F5592" s="12" t="inlineStr">
        <is>
          <t>LNG 17: LNG e-house (13.8 kV / 480 V)</t>
        </is>
      </c>
      <c r="G5592" s="12" t="inlineStr">
        <is>
          <t>JB-LNG 16: send-out m-AI01</t>
        </is>
      </c>
      <c r="H5592" s="12" t="inlineStr">
        <is>
          <t>LNG 16: send-out metering + pressure control</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6" t="n">
        <v>20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K-I-0149</t>
        </is>
      </c>
      <c r="B5593" s="12" t="inlineStr">
        <is>
          <t>K</t>
        </is>
      </c>
      <c r="C5593" s="12" t="inlineStr">
        <is>
          <t>Fuel supply (adjacent market)</t>
        </is>
      </c>
      <c r="D5593" s="12" t="inlineStr">
        <is>
          <t>Discrete device to JB JB-LNG 16: send-out m-DI01: 12 x 1 pr (field cables)</t>
        </is>
      </c>
      <c r="E5593" s="12" t="inlineStr"/>
      <c r="F5593" s="12" t="inlineStr">
        <is>
          <t>LNG 16: send-out metering + pressure control</t>
        </is>
      </c>
      <c r="G5593" s="12" t="inlineStr">
        <is>
          <t>JB-LNG 16: send-out m-DI01</t>
        </is>
      </c>
      <c r="H5593" s="12" t="inlineStr">
        <is>
          <t>LNG 16: send-out metering + pressure control</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74</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K-I-0150</t>
        </is>
      </c>
      <c r="B5594" s="12" t="inlineStr">
        <is>
          <t>K</t>
        </is>
      </c>
      <c r="C5594" s="12" t="inlineStr">
        <is>
          <t>Fuel supply (adjacent market)</t>
        </is>
      </c>
      <c r="D5594" s="12" t="inlineStr">
        <is>
          <t>Home run JB-LNG 16: send-out m-DI01 to the control / marshalling room</t>
        </is>
      </c>
      <c r="E5594" s="12" t="inlineStr"/>
      <c r="F5594" s="12" t="inlineStr">
        <is>
          <t>LNG 17: LNG e-house (13.8 kV / 480 V)</t>
        </is>
      </c>
      <c r="G5594" s="12" t="inlineStr">
        <is>
          <t>JB-LNG 16: send-out m-DI01</t>
        </is>
      </c>
      <c r="H5594" s="12" t="inlineStr">
        <is>
          <t>LNG 16: send-out metering + pressure control</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20</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K-I-0151</t>
        </is>
      </c>
      <c r="B5595" s="12" t="inlineStr">
        <is>
          <t>K</t>
        </is>
      </c>
      <c r="C5595" s="12" t="inlineStr">
        <is>
          <t>Fuel supply (adjacent market)</t>
        </is>
      </c>
      <c r="D5595" s="12" t="inlineStr">
        <is>
          <t>Analog instrument to JB JB-LNG 17: LNG e-hous-AI01: 12 x 1 pr (field cables)</t>
        </is>
      </c>
      <c r="E5595" s="12" t="inlineStr"/>
      <c r="F5595" s="12" t="inlineStr">
        <is>
          <t>LNG 17: LNG e-house (13.8 kV / 480 V)</t>
        </is>
      </c>
      <c r="G5595" s="12" t="inlineStr">
        <is>
          <t>JB-LNG 17: LNG e-hous-AI01</t>
        </is>
      </c>
      <c r="H5595" s="12" t="inlineStr">
        <is>
          <t>LNG 17: LNG e-house (13.8 kV / 480 V)</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58</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K-I-0152</t>
        </is>
      </c>
      <c r="B5596" s="12" t="inlineStr">
        <is>
          <t>K</t>
        </is>
      </c>
      <c r="C5596" s="12" t="inlineStr">
        <is>
          <t>Fuel supply (adjacent market)</t>
        </is>
      </c>
      <c r="D5596" s="12" t="inlineStr">
        <is>
          <t>Home run JB-LNG 17: LNG e-hous-AI01 to the control / marshalling room</t>
        </is>
      </c>
      <c r="E5596" s="12" t="inlineStr"/>
      <c r="F5596" s="12" t="inlineStr">
        <is>
          <t>LNG 17: LNG e-house (13.8 kV / 480 V)</t>
        </is>
      </c>
      <c r="G5596" s="12" t="inlineStr">
        <is>
          <t>JB-LNG 17: LNG e-hous-AI01</t>
        </is>
      </c>
      <c r="H5596" s="12" t="inlineStr">
        <is>
          <t>LNG 17: LNG e-house (13.8 kV / 480 V)</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Tray</t>
        </is>
      </c>
      <c r="T5596" s="16" t="n">
        <v>0</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K-I-0153</t>
        </is>
      </c>
      <c r="B5597" s="12" t="inlineStr">
        <is>
          <t>K</t>
        </is>
      </c>
      <c r="C5597" s="12" t="inlineStr">
        <is>
          <t>Fuel supply (adjacent market)</t>
        </is>
      </c>
      <c r="D5597" s="12" t="inlineStr">
        <is>
          <t>Discrete device to JB JB-LNG 17: LNG e-hous-DI01: 12 x 1 pr (field cables)</t>
        </is>
      </c>
      <c r="E5597" s="12" t="inlineStr"/>
      <c r="F5597" s="12" t="inlineStr">
        <is>
          <t>LNG 17: LNG e-house (13.8 kV / 480 V)</t>
        </is>
      </c>
      <c r="G5597" s="12" t="inlineStr">
        <is>
          <t>JB-LNG 17: LNG e-hous-DI01</t>
        </is>
      </c>
      <c r="H5597" s="12" t="inlineStr">
        <is>
          <t>LNG 17: LNG e-house (13.8 kV / 480 V)</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6" t="n">
        <v>58</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K-I-0154</t>
        </is>
      </c>
      <c r="B5598" s="12" t="inlineStr">
        <is>
          <t>K</t>
        </is>
      </c>
      <c r="C5598" s="12" t="inlineStr">
        <is>
          <t>Fuel supply (adjacent market)</t>
        </is>
      </c>
      <c r="D5598" s="12" t="inlineStr">
        <is>
          <t>Home run JB-LNG 17: LNG e-hous-DI01 to the control / marshalling room</t>
        </is>
      </c>
      <c r="E5598" s="12" t="inlineStr"/>
      <c r="F5598" s="12" t="inlineStr">
        <is>
          <t>LNG 17: LNG e-house (13.8 kV / 480 V)</t>
        </is>
      </c>
      <c r="G5598" s="12" t="inlineStr">
        <is>
          <t>JB-LNG 17: LNG e-hous-DI01</t>
        </is>
      </c>
      <c r="H5598" s="12" t="inlineStr">
        <is>
          <t>LNG 17: LNG e-house (13.8 kV / 480 V)</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Tray</t>
        </is>
      </c>
      <c r="T5598" s="16" t="n">
        <v>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K-I-0155</t>
        </is>
      </c>
      <c r="B5599" s="12" t="inlineStr">
        <is>
          <t>K</t>
        </is>
      </c>
      <c r="C5599" s="12" t="inlineStr">
        <is>
          <t>Fuel supply (adjacent market)</t>
        </is>
      </c>
      <c r="D5599" s="12" t="inlineStr">
        <is>
          <t>Analog instrument to JB JB-LNG 18: vent stack-AI01: 12 x 1 pr (field cables)</t>
        </is>
      </c>
      <c r="E5599" s="12" t="inlineStr"/>
      <c r="F5599" s="12" t="inlineStr">
        <is>
          <t>LNG 18: vent stack</t>
        </is>
      </c>
      <c r="G5599" s="12" t="inlineStr">
        <is>
          <t>JB-LNG 18: vent stack-AI01</t>
        </is>
      </c>
      <c r="H5599" s="12" t="inlineStr">
        <is>
          <t>LNG 18: vent stack</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6" t="n">
        <v>55</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K-I-0156</t>
        </is>
      </c>
      <c r="B5600" s="12" t="inlineStr">
        <is>
          <t>K</t>
        </is>
      </c>
      <c r="C5600" s="12" t="inlineStr">
        <is>
          <t>Fuel supply (adjacent market)</t>
        </is>
      </c>
      <c r="D5600" s="12" t="inlineStr">
        <is>
          <t>Home run JB-LNG 18: vent stack-AI01 to the control / marshalling room</t>
        </is>
      </c>
      <c r="E5600" s="12" t="inlineStr"/>
      <c r="F5600" s="12" t="inlineStr">
        <is>
          <t>LNG 17: LNG e-house (13.8 kV / 480 V)</t>
        </is>
      </c>
      <c r="G5600" s="12" t="inlineStr">
        <is>
          <t>JB-LNG 18: vent stack-AI01</t>
        </is>
      </c>
      <c r="H5600" s="12" t="inlineStr">
        <is>
          <t>LNG 18: vent stack</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25</v>
      </c>
      <c r="U5600" s="16" t="n">
        <v>117</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K-I-0157</t>
        </is>
      </c>
      <c r="B5601" s="12" t="inlineStr">
        <is>
          <t>K</t>
        </is>
      </c>
      <c r="C5601" s="12" t="inlineStr">
        <is>
          <t>Fuel supply (adjacent market)</t>
        </is>
      </c>
      <c r="D5601" s="12" t="inlineStr">
        <is>
          <t>Discrete device to JB JB-LNG 18: vent stack-DI01: 12 x 1 pr (field cables)</t>
        </is>
      </c>
      <c r="E5601" s="12" t="inlineStr"/>
      <c r="F5601" s="12" t="inlineStr">
        <is>
          <t>LNG 18: vent stack</t>
        </is>
      </c>
      <c r="G5601" s="12" t="inlineStr">
        <is>
          <t>JB-LNG 18: vent stack-DI01</t>
        </is>
      </c>
      <c r="H5601" s="12" t="inlineStr">
        <is>
          <t>LNG 18: vent stack</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12</v>
      </c>
      <c r="O5601" s="12" t="n">
        <v>1</v>
      </c>
      <c r="P5601" s="12" t="n"/>
      <c r="Q5601" s="12" t="n"/>
      <c r="R5601" s="12" t="n"/>
      <c r="S5601" s="12" t="inlineStr">
        <is>
          <t>Tray / conduit</t>
        </is>
      </c>
      <c r="T5601" s="16" t="n">
        <v>55</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K-I-0158</t>
        </is>
      </c>
      <c r="B5602" s="12" t="inlineStr">
        <is>
          <t>K</t>
        </is>
      </c>
      <c r="C5602" s="12" t="inlineStr">
        <is>
          <t>Fuel supply (adjacent market)</t>
        </is>
      </c>
      <c r="D5602" s="12" t="inlineStr">
        <is>
          <t>Home run JB-LNG 18: vent stack-DI01 to the control / marshalling room</t>
        </is>
      </c>
      <c r="E5602" s="12" t="inlineStr"/>
      <c r="F5602" s="12" t="inlineStr">
        <is>
          <t>LNG 17: LNG e-house (13.8 kV / 480 V)</t>
        </is>
      </c>
      <c r="G5602" s="12" t="inlineStr">
        <is>
          <t>JB-LNG 18: vent stack-DI01</t>
        </is>
      </c>
      <c r="H5602" s="12" t="inlineStr">
        <is>
          <t>LNG 18: vent stack</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25</v>
      </c>
      <c r="U5602" s="16" t="n">
        <v>117</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K-I-0159</t>
        </is>
      </c>
      <c r="B5603" s="12" t="inlineStr">
        <is>
          <t>K</t>
        </is>
      </c>
      <c r="C5603" s="12" t="inlineStr">
        <is>
          <t>Fuel supply (adjacent market)</t>
        </is>
      </c>
      <c r="D5603" s="12" t="inlineStr">
        <is>
          <t>Instrumentation</t>
        </is>
      </c>
      <c r="E5603" s="12" t="inlineStr"/>
      <c r="F5603" s="12" t="inlineStr">
        <is>
          <t>LNG 17: LNG e-house (13.8 kV / 480 V)</t>
        </is>
      </c>
      <c r="G5603" s="12" t="inlineStr"/>
      <c r="H5603" s="12" t="inlineStr">
        <is>
          <t>LNG impoundment sump pump</t>
        </is>
      </c>
      <c r="I5603" s="12" t="inlineStr">
        <is>
          <t>Instrumentation</t>
        </is>
      </c>
      <c r="J5603" s="12" t="inlineStr">
        <is>
          <t>Instrumentation ITC / PLTC, IS, #18 shielded pairs, blue jacket</t>
        </is>
      </c>
      <c r="K5603" s="12" t="inlineStr">
        <is>
          <t>ITC|4 pr|18</t>
        </is>
      </c>
      <c r="L5603" s="12" t="inlineStr">
        <is>
          <t>4 pr</t>
        </is>
      </c>
      <c r="M5603" s="12" t="inlineStr">
        <is>
          <t>18</t>
        </is>
      </c>
      <c r="N5603" s="12" t="n">
        <v>1</v>
      </c>
      <c r="O5603" s="12" t="n">
        <v>1</v>
      </c>
      <c r="P5603" s="12" t="n"/>
      <c r="Q5603" s="12" t="n"/>
      <c r="R5603" s="12" t="n"/>
      <c r="S5603" s="12" t="inlineStr">
        <is>
          <t>Duct bank</t>
        </is>
      </c>
      <c r="T5603" s="16" t="n">
        <v>334</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K-I-0160</t>
        </is>
      </c>
      <c r="B5604" s="12" t="inlineStr">
        <is>
          <t>K</t>
        </is>
      </c>
      <c r="C5604" s="12" t="inlineStr">
        <is>
          <t>Fuel supply (adjacent market)</t>
        </is>
      </c>
      <c r="D5604" s="12" t="inlineStr">
        <is>
          <t>Instrumentation</t>
        </is>
      </c>
      <c r="E5604" s="12" t="inlineStr"/>
      <c r="F5604" s="12" t="inlineStr">
        <is>
          <t>LNG 17: LNG e-house (13.8 kV / 480 V)</t>
        </is>
      </c>
      <c r="G5604" s="12" t="inlineStr"/>
      <c r="H5604" s="12" t="inlineStr">
        <is>
          <t>M&amp;R 1: pig receiver, lateral terminus</t>
        </is>
      </c>
      <c r="I5604" s="12" t="inlineStr">
        <is>
          <t>Instrumentation</t>
        </is>
      </c>
      <c r="J5604" s="12" t="inlineStr">
        <is>
          <t>Instrumentation ITC / PLTC, IS, #18 shielded pairs, blue jacket</t>
        </is>
      </c>
      <c r="K5604" s="12" t="inlineStr">
        <is>
          <t>ITC|4 pr|18</t>
        </is>
      </c>
      <c r="L5604" s="12" t="inlineStr">
        <is>
          <t>4 pr</t>
        </is>
      </c>
      <c r="M5604" s="12" t="inlineStr">
        <is>
          <t>18</t>
        </is>
      </c>
      <c r="N5604" s="12" t="n">
        <v>1</v>
      </c>
      <c r="O5604" s="12" t="n">
        <v>1</v>
      </c>
      <c r="P5604" s="12" t="n"/>
      <c r="Q5604" s="12" t="n"/>
      <c r="R5604" s="12" t="n"/>
      <c r="S5604" s="12" t="inlineStr">
        <is>
          <t>Duct bank</t>
        </is>
      </c>
      <c r="T5604" s="16" t="n">
        <v>796</v>
      </c>
      <c r="U5604" s="16" t="n">
        <v>37</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K-I-0161</t>
        </is>
      </c>
      <c r="B5605" s="12" t="inlineStr">
        <is>
          <t>K</t>
        </is>
      </c>
      <c r="C5605" s="12" t="inlineStr">
        <is>
          <t>Fuel supply (adjacent market)</t>
        </is>
      </c>
      <c r="D5605" s="12" t="inlineStr">
        <is>
          <t>Discrete device to JB JB-M&amp;R 2: insulating -DI01: 8 x 1 pr (field cables)</t>
        </is>
      </c>
      <c r="E5605" s="12" t="inlineStr"/>
      <c r="F5605" s="12" t="inlineStr">
        <is>
          <t>M&amp;R 2: insulating joint + ESD valve</t>
        </is>
      </c>
      <c r="G5605" s="12" t="inlineStr">
        <is>
          <t>JB-M&amp;R 2: insulating -DI01</t>
        </is>
      </c>
      <c r="H5605" s="12" t="inlineStr">
        <is>
          <t>M&amp;R 2: insulating joint + ESD valve</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8</v>
      </c>
      <c r="O5605" s="12" t="n">
        <v>1</v>
      </c>
      <c r="P5605" s="12" t="n"/>
      <c r="Q5605" s="12" t="n"/>
      <c r="R5605" s="12" t="n"/>
      <c r="S5605" s="12" t="inlineStr">
        <is>
          <t>Tray / conduit</t>
        </is>
      </c>
      <c r="T5605" s="16" t="n">
        <v>40</v>
      </c>
      <c r="U5605" s="16" t="n">
        <v>10</v>
      </c>
      <c r="V5605" s="16">
        <f>ROUNDUP((T5605+U5605+2*'Read Me'!$B$13)*(1+'Read Me'!$B$12),-1)</f>
        <v/>
      </c>
      <c r="W5605" s="16">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K-I-0162</t>
        </is>
      </c>
      <c r="B5606" s="12" t="inlineStr">
        <is>
          <t>K</t>
        </is>
      </c>
      <c r="C5606" s="12" t="inlineStr">
        <is>
          <t>Fuel supply (adjacent market)</t>
        </is>
      </c>
      <c r="D5606" s="12" t="inlineStr">
        <is>
          <t>Home run JB-M&amp;R 2: insulating -DI01 to the control / marshalling room</t>
        </is>
      </c>
      <c r="E5606" s="12" t="inlineStr"/>
      <c r="F5606" s="12" t="inlineStr">
        <is>
          <t>LNG 17: LNG e-house (13.8 kV / 480 V)</t>
        </is>
      </c>
      <c r="G5606" s="12" t="inlineStr">
        <is>
          <t>JB-M&amp;R 2: insulating -DI01</t>
        </is>
      </c>
      <c r="H5606" s="12" t="inlineStr">
        <is>
          <t>M&amp;R 2: insulating joint + ESD valve</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Duct bank</t>
        </is>
      </c>
      <c r="T5606" s="16" t="n">
        <v>781</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K-I-0163</t>
        </is>
      </c>
      <c r="B5607" s="12" t="inlineStr">
        <is>
          <t>K</t>
        </is>
      </c>
      <c r="C5607" s="12" t="inlineStr">
        <is>
          <t>Fuel supply (adjacent market)</t>
        </is>
      </c>
      <c r="D5607" s="12" t="inlineStr">
        <is>
          <t>Analog instrument to JB JB-M&amp;R 3: horizontal -AI01: 8 x 1 pr (field cables)</t>
        </is>
      </c>
      <c r="E5607" s="12" t="inlineStr"/>
      <c r="F5607" s="12" t="inlineStr">
        <is>
          <t>M&amp;R 3: horizontal filter-separator</t>
        </is>
      </c>
      <c r="G5607" s="12" t="inlineStr">
        <is>
          <t>JB-M&amp;R 3: horizontal -AI01</t>
        </is>
      </c>
      <c r="H5607" s="12" t="inlineStr">
        <is>
          <t>M&amp;R 3: horizontal filter-separator</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8</v>
      </c>
      <c r="O5607" s="12" t="n">
        <v>1</v>
      </c>
      <c r="P5607" s="12" t="n"/>
      <c r="Q5607" s="12" t="n"/>
      <c r="R5607" s="12" t="n"/>
      <c r="S5607" s="12" t="inlineStr">
        <is>
          <t>Tray / conduit</t>
        </is>
      </c>
      <c r="T5607" s="16" t="n">
        <v>53</v>
      </c>
      <c r="U5607" s="16" t="n">
        <v>10</v>
      </c>
      <c r="V5607" s="16">
        <f>ROUNDUP((T5607+U5607+2*'Read Me'!$B$13)*(1+'Read Me'!$B$12),-1)</f>
        <v/>
      </c>
      <c r="W5607" s="16">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K-I-0164</t>
        </is>
      </c>
      <c r="B5608" s="12" t="inlineStr">
        <is>
          <t>K</t>
        </is>
      </c>
      <c r="C5608" s="12" t="inlineStr">
        <is>
          <t>Fuel supply (adjacent market)</t>
        </is>
      </c>
      <c r="D5608" s="12" t="inlineStr">
        <is>
          <t>Home run JB-M&amp;R 3: horizontal -AI01 to the control / marshalling room</t>
        </is>
      </c>
      <c r="E5608" s="12" t="inlineStr"/>
      <c r="F5608" s="12" t="inlineStr">
        <is>
          <t>LNG 17: LNG e-house (13.8 kV / 480 V)</t>
        </is>
      </c>
      <c r="G5608" s="12" t="inlineStr">
        <is>
          <t>JB-M&amp;R 3: horizontal -AI01</t>
        </is>
      </c>
      <c r="H5608" s="12" t="inlineStr">
        <is>
          <t>M&amp;R 3: horizontal filter-separator</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6" t="n">
        <v>820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K-I-0165</t>
        </is>
      </c>
      <c r="B5609" s="12" t="inlineStr">
        <is>
          <t>K</t>
        </is>
      </c>
      <c r="C5609" s="12" t="inlineStr">
        <is>
          <t>Fuel supply (adjacent market)</t>
        </is>
      </c>
      <c r="D5609" s="12" t="inlineStr">
        <is>
          <t>Discrete device to JB JB-M&amp;R 3: horizontal -DI01: 12 x 1 pr (field cables)</t>
        </is>
      </c>
      <c r="E5609" s="12" t="inlineStr"/>
      <c r="F5609" s="12" t="inlineStr">
        <is>
          <t>M&amp;R 3: horizontal filter-separator</t>
        </is>
      </c>
      <c r="G5609" s="12" t="inlineStr">
        <is>
          <t>JB-M&amp;R 3: horizontal -DI01</t>
        </is>
      </c>
      <c r="H5609" s="12" t="inlineStr">
        <is>
          <t>M&amp;R 3: horizontal filter-separator</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6" t="n">
        <v>53</v>
      </c>
      <c r="U5609" s="16" t="n">
        <v>10</v>
      </c>
      <c r="V5609" s="16">
        <f>ROUNDUP((T5609+U5609+2*'Read Me'!$B$13)*(1+'Read Me'!$B$12),-1)</f>
        <v/>
      </c>
      <c r="W5609" s="16">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K-I-0166</t>
        </is>
      </c>
      <c r="B5610" s="12" t="inlineStr">
        <is>
          <t>K</t>
        </is>
      </c>
      <c r="C5610" s="12" t="inlineStr">
        <is>
          <t>Fuel supply (adjacent market)</t>
        </is>
      </c>
      <c r="D5610" s="12" t="inlineStr">
        <is>
          <t>Home run JB-M&amp;R 3: horizontal -DI01 to the control / marshalling room</t>
        </is>
      </c>
      <c r="E5610" s="12" t="inlineStr"/>
      <c r="F5610" s="12" t="inlineStr">
        <is>
          <t>LNG 17: LNG e-house (13.8 kV / 480 V)</t>
        </is>
      </c>
      <c r="G5610" s="12" t="inlineStr">
        <is>
          <t>JB-M&amp;R 3: horizontal -DI01</t>
        </is>
      </c>
      <c r="H5610" s="12" t="inlineStr">
        <is>
          <t>M&amp;R 3: horizontal filter-separator</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6" t="n">
        <v>820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K-I-0167</t>
        </is>
      </c>
      <c r="B5611" s="12" t="inlineStr">
        <is>
          <t>K</t>
        </is>
      </c>
      <c r="C5611" s="12" t="inlineStr">
        <is>
          <t>Fuel supply (adjacent market)</t>
        </is>
      </c>
      <c r="D5611" s="12" t="inlineStr">
        <is>
          <t>Instrumentation</t>
        </is>
      </c>
      <c r="E5611" s="12" t="inlineStr"/>
      <c r="F5611" s="12" t="inlineStr">
        <is>
          <t>LNG 17: LNG e-house (13.8 kV / 480 V)</t>
        </is>
      </c>
      <c r="G5611" s="12" t="inlineStr"/>
      <c r="H5611" s="12" t="inlineStr">
        <is>
          <t>M&amp;R 4: line heater 1 (water bath)</t>
        </is>
      </c>
      <c r="I5611" s="12" t="inlineStr">
        <is>
          <t>Instrumentation</t>
        </is>
      </c>
      <c r="J5611" s="12" t="inlineStr">
        <is>
          <t>Instrumentation ITC / PLTC, IS, #18 shielded pairs, blue jacket</t>
        </is>
      </c>
      <c r="K5611" s="12" t="inlineStr">
        <is>
          <t>ITC|4 pr|18</t>
        </is>
      </c>
      <c r="L5611" s="12" t="inlineStr">
        <is>
          <t>4 pr</t>
        </is>
      </c>
      <c r="M5611" s="12" t="inlineStr">
        <is>
          <t>18</t>
        </is>
      </c>
      <c r="N5611" s="12" t="n">
        <v>1</v>
      </c>
      <c r="O5611" s="12" t="n">
        <v>1</v>
      </c>
      <c r="P5611" s="12" t="n"/>
      <c r="Q5611" s="12" t="n"/>
      <c r="R5611" s="12" t="n"/>
      <c r="S5611" s="12" t="inlineStr">
        <is>
          <t>Duct bank</t>
        </is>
      </c>
      <c r="T5611" s="16" t="n">
        <v>615</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K-I-0168</t>
        </is>
      </c>
      <c r="B5612" s="12" t="inlineStr">
        <is>
          <t>K</t>
        </is>
      </c>
      <c r="C5612" s="12" t="inlineStr">
        <is>
          <t>Fuel supply (adjacent market)</t>
        </is>
      </c>
      <c r="D5612" s="12" t="inlineStr">
        <is>
          <t>Instrumentation</t>
        </is>
      </c>
      <c r="E5612" s="12" t="inlineStr"/>
      <c r="F5612" s="12" t="inlineStr">
        <is>
          <t>LNG 17: LNG e-house (13.8 kV / 480 V)</t>
        </is>
      </c>
      <c r="G5612" s="12" t="inlineStr"/>
      <c r="H5612" s="12" t="inlineStr">
        <is>
          <t>M&amp;R 4: line heater 1 (water bath)</t>
        </is>
      </c>
      <c r="I5612" s="12" t="inlineStr">
        <is>
          <t>Instrumentation</t>
        </is>
      </c>
      <c r="J5612" s="12" t="inlineStr">
        <is>
          <t>Instrumentation ITC / PLTC, IS, #18 shielded pairs, blue jacket</t>
        </is>
      </c>
      <c r="K5612" s="12" t="inlineStr">
        <is>
          <t>ITC|12 pr|18</t>
        </is>
      </c>
      <c r="L5612" s="12" t="inlineStr">
        <is>
          <t>12 pr</t>
        </is>
      </c>
      <c r="M5612" s="12" t="inlineStr">
        <is>
          <t>18</t>
        </is>
      </c>
      <c r="N5612" s="12" t="n">
        <v>1</v>
      </c>
      <c r="O5612" s="12" t="n">
        <v>1</v>
      </c>
      <c r="P5612" s="12" t="n"/>
      <c r="Q5612" s="12" t="n"/>
      <c r="R5612" s="12" t="n"/>
      <c r="S5612" s="12" t="inlineStr">
        <is>
          <t>Duct bank</t>
        </is>
      </c>
      <c r="T5612" s="16" t="n">
        <v>615</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K-I-0169</t>
        </is>
      </c>
      <c r="B5613" s="12" t="inlineStr">
        <is>
          <t>K</t>
        </is>
      </c>
      <c r="C5613" s="12" t="inlineStr">
        <is>
          <t>Fuel supply (adjacent market)</t>
        </is>
      </c>
      <c r="D5613" s="12" t="inlineStr">
        <is>
          <t>Instrumentation</t>
        </is>
      </c>
      <c r="E5613" s="12" t="inlineStr"/>
      <c r="F5613" s="12" t="inlineStr">
        <is>
          <t>LNG 17: LNG e-house (13.8 kV / 480 V)</t>
        </is>
      </c>
      <c r="G5613" s="12" t="inlineStr"/>
      <c r="H5613" s="12" t="inlineStr">
        <is>
          <t>M&amp;R 4: line heater 2 (water bath)</t>
        </is>
      </c>
      <c r="I5613" s="12" t="inlineStr">
        <is>
          <t>Instrumentation</t>
        </is>
      </c>
      <c r="J5613" s="12" t="inlineStr">
        <is>
          <t>Instrumentation ITC / PLTC, IS, #18 shielded pairs, blue jacket</t>
        </is>
      </c>
      <c r="K5613" s="12" t="inlineStr">
        <is>
          <t>ITC|4 pr|18</t>
        </is>
      </c>
      <c r="L5613" s="12" t="inlineStr">
        <is>
          <t>4 pr</t>
        </is>
      </c>
      <c r="M5613" s="12" t="inlineStr">
        <is>
          <t>18</t>
        </is>
      </c>
      <c r="N5613" s="12" t="n">
        <v>1</v>
      </c>
      <c r="O5613" s="12" t="n">
        <v>1</v>
      </c>
      <c r="P5613" s="12" t="n"/>
      <c r="Q5613" s="12" t="n"/>
      <c r="R5613" s="12" t="n"/>
      <c r="S5613" s="12" t="inlineStr">
        <is>
          <t>Duct bank</t>
        </is>
      </c>
      <c r="T5613" s="16" t="n">
        <v>615</v>
      </c>
      <c r="U5613" s="16" t="n">
        <v>50</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K-I-0170</t>
        </is>
      </c>
      <c r="B5614" s="12" t="inlineStr">
        <is>
          <t>K</t>
        </is>
      </c>
      <c r="C5614" s="12" t="inlineStr">
        <is>
          <t>Fuel supply (adjacent market)</t>
        </is>
      </c>
      <c r="D5614" s="12" t="inlineStr">
        <is>
          <t>Instrumentation</t>
        </is>
      </c>
      <c r="E5614" s="12" t="inlineStr"/>
      <c r="F5614" s="12" t="inlineStr">
        <is>
          <t>LNG 17: LNG e-house (13.8 kV / 480 V)</t>
        </is>
      </c>
      <c r="G5614" s="12" t="inlineStr"/>
      <c r="H5614" s="12" t="inlineStr">
        <is>
          <t>M&amp;R 4: line heater 2 (water bath)</t>
        </is>
      </c>
      <c r="I5614" s="12" t="inlineStr">
        <is>
          <t>Instrumentation</t>
        </is>
      </c>
      <c r="J5614" s="12" t="inlineStr">
        <is>
          <t>Instrumentation ITC / PLTC, IS, #18 shielded pairs, blue jacket</t>
        </is>
      </c>
      <c r="K5614" s="12" t="inlineStr">
        <is>
          <t>ITC|12 pr|18</t>
        </is>
      </c>
      <c r="L5614" s="12" t="inlineStr">
        <is>
          <t>12 pr</t>
        </is>
      </c>
      <c r="M5614" s="12" t="inlineStr">
        <is>
          <t>18</t>
        </is>
      </c>
      <c r="N5614" s="12" t="n">
        <v>1</v>
      </c>
      <c r="O5614" s="12" t="n">
        <v>1</v>
      </c>
      <c r="P5614" s="12" t="n"/>
      <c r="Q5614" s="12" t="n"/>
      <c r="R5614" s="12" t="n"/>
      <c r="S5614" s="12" t="inlineStr">
        <is>
          <t>Duct bank</t>
        </is>
      </c>
      <c r="T5614" s="16" t="n">
        <v>615</v>
      </c>
      <c r="U5614" s="16" t="n">
        <v>50</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K-I-0171</t>
        </is>
      </c>
      <c r="B5615" s="12" t="inlineStr">
        <is>
          <t>K</t>
        </is>
      </c>
      <c r="C5615" s="12" t="inlineStr">
        <is>
          <t>Fuel supply (adjacent market)</t>
        </is>
      </c>
      <c r="D5615" s="12" t="inlineStr">
        <is>
          <t>Instrumentation</t>
        </is>
      </c>
      <c r="E5615" s="12" t="inlineStr"/>
      <c r="F5615" s="12" t="inlineStr">
        <is>
          <t>LNG 17: LNG e-house (13.8 kV / 480 V)</t>
        </is>
      </c>
      <c r="G5615" s="12" t="inlineStr"/>
      <c r="H5615" s="12" t="inlineStr">
        <is>
          <t>M&amp;R 4: line heater 3 (water bath)</t>
        </is>
      </c>
      <c r="I5615" s="12" t="inlineStr">
        <is>
          <t>Instrumentation</t>
        </is>
      </c>
      <c r="J5615" s="12" t="inlineStr">
        <is>
          <t>Instrumentation ITC / PLTC, IS, #18 shielded pairs, blue jacket</t>
        </is>
      </c>
      <c r="K5615" s="12" t="inlineStr">
        <is>
          <t>ITC|4 pr|18</t>
        </is>
      </c>
      <c r="L5615" s="12" t="inlineStr">
        <is>
          <t>4 pr</t>
        </is>
      </c>
      <c r="M5615" s="12" t="inlineStr">
        <is>
          <t>18</t>
        </is>
      </c>
      <c r="N5615" s="12" t="n">
        <v>1</v>
      </c>
      <c r="O5615" s="12" t="n">
        <v>1</v>
      </c>
      <c r="P5615" s="12" t="n"/>
      <c r="Q5615" s="12" t="n"/>
      <c r="R5615" s="12" t="n"/>
      <c r="S5615" s="12" t="inlineStr">
        <is>
          <t>Duct bank</t>
        </is>
      </c>
      <c r="T5615" s="16" t="n">
        <v>615</v>
      </c>
      <c r="U5615" s="16" t="n">
        <v>68</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K-I-0172</t>
        </is>
      </c>
      <c r="B5616" s="12" t="inlineStr">
        <is>
          <t>K</t>
        </is>
      </c>
      <c r="C5616" s="12" t="inlineStr">
        <is>
          <t>Fuel supply (adjacent market)</t>
        </is>
      </c>
      <c r="D5616" s="12" t="inlineStr">
        <is>
          <t>Instrumentation</t>
        </is>
      </c>
      <c r="E5616" s="12" t="inlineStr"/>
      <c r="F5616" s="12" t="inlineStr">
        <is>
          <t>LNG 17: LNG e-house (13.8 kV / 480 V)</t>
        </is>
      </c>
      <c r="G5616" s="12" t="inlineStr"/>
      <c r="H5616" s="12" t="inlineStr">
        <is>
          <t>M&amp;R 4: line heater 3 (water bath)</t>
        </is>
      </c>
      <c r="I5616" s="12" t="inlineStr">
        <is>
          <t>Instrumentation</t>
        </is>
      </c>
      <c r="J5616" s="12" t="inlineStr">
        <is>
          <t>Instrumentation ITC / PLTC, IS, #18 shielded pairs, blue jacket</t>
        </is>
      </c>
      <c r="K5616" s="12" t="inlineStr">
        <is>
          <t>ITC|12 pr|18</t>
        </is>
      </c>
      <c r="L5616" s="12" t="inlineStr">
        <is>
          <t>12 pr</t>
        </is>
      </c>
      <c r="M5616" s="12" t="inlineStr">
        <is>
          <t>18</t>
        </is>
      </c>
      <c r="N5616" s="12" t="n">
        <v>1</v>
      </c>
      <c r="O5616" s="12" t="n">
        <v>1</v>
      </c>
      <c r="P5616" s="12" t="n"/>
      <c r="Q5616" s="12" t="n"/>
      <c r="R5616" s="12" t="n"/>
      <c r="S5616" s="12" t="inlineStr">
        <is>
          <t>Duct bank</t>
        </is>
      </c>
      <c r="T5616" s="16" t="n">
        <v>615</v>
      </c>
      <c r="U5616" s="16" t="n">
        <v>68</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K-I-0173</t>
        </is>
      </c>
      <c r="B5617" s="12" t="inlineStr">
        <is>
          <t>K</t>
        </is>
      </c>
      <c r="C5617" s="12" t="inlineStr">
        <is>
          <t>Fuel supply (adjacent market)</t>
        </is>
      </c>
      <c r="D5617" s="12" t="inlineStr">
        <is>
          <t>Analog instrument to JB JB-M&amp;R 5: ultrasonic -AI01: 20 x 1 pr (field cables)</t>
        </is>
      </c>
      <c r="E5617" s="12" t="inlineStr"/>
      <c r="F5617" s="12" t="inlineStr">
        <is>
          <t>M&amp;R 5: ultrasonic meters, 2 runs (custody transfer)</t>
        </is>
      </c>
      <c r="G5617" s="12" t="inlineStr">
        <is>
          <t>JB-M&amp;R 5: ultrasonic -AI01</t>
        </is>
      </c>
      <c r="H5617" s="12" t="inlineStr">
        <is>
          <t>M&amp;R 5: ultrasonic meters, 2 runs (custody transfer)</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20</v>
      </c>
      <c r="O5617" s="12" t="n">
        <v>1</v>
      </c>
      <c r="P5617" s="12" t="n"/>
      <c r="Q5617" s="12" t="n"/>
      <c r="R5617" s="12" t="n"/>
      <c r="S5617" s="12" t="inlineStr">
        <is>
          <t>Tray / conduit</t>
        </is>
      </c>
      <c r="T5617" s="16" t="n">
        <v>60</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K-I-0174</t>
        </is>
      </c>
      <c r="B5618" s="12" t="inlineStr">
        <is>
          <t>K</t>
        </is>
      </c>
      <c r="C5618" s="12" t="inlineStr">
        <is>
          <t>Fuel supply (adjacent market)</t>
        </is>
      </c>
      <c r="D5618" s="12" t="inlineStr">
        <is>
          <t>Home run JB-M&amp;R 5: ultrasonic -AI01 to the control / marshalling room</t>
        </is>
      </c>
      <c r="E5618" s="12" t="inlineStr"/>
      <c r="F5618" s="12" t="inlineStr">
        <is>
          <t>LNG 17: LNG e-house (13.8 kV / 480 V)</t>
        </is>
      </c>
      <c r="G5618" s="12" t="inlineStr">
        <is>
          <t>JB-M&amp;R 5: ultrasonic -AI01</t>
        </is>
      </c>
      <c r="H5618" s="12" t="inlineStr">
        <is>
          <t>M&amp;R 5: ultrasonic meters, 2 runs (custody transfer)</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703</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K-I-0175</t>
        </is>
      </c>
      <c r="B5619" s="12" t="inlineStr">
        <is>
          <t>K</t>
        </is>
      </c>
      <c r="C5619" s="12" t="inlineStr">
        <is>
          <t>Fuel supply (adjacent market)</t>
        </is>
      </c>
      <c r="D5619" s="12" t="inlineStr">
        <is>
          <t>Discrete device to JB JB-M&amp;R 5: ultrasonic -DI01: 8 x 1 pr (field cables)</t>
        </is>
      </c>
      <c r="E5619" s="12" t="inlineStr"/>
      <c r="F5619" s="12" t="inlineStr">
        <is>
          <t>M&amp;R 5: ultrasonic meters, 2 runs (custody transfer)</t>
        </is>
      </c>
      <c r="G5619" s="12" t="inlineStr">
        <is>
          <t>JB-M&amp;R 5: ultrasonic -DI01</t>
        </is>
      </c>
      <c r="H5619" s="12" t="inlineStr">
        <is>
          <t>M&amp;R 5: ultrasonic meters, 2 runs (custody transfer)</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8</v>
      </c>
      <c r="O5619" s="12" t="n">
        <v>1</v>
      </c>
      <c r="P5619" s="12" t="n"/>
      <c r="Q5619" s="12" t="n"/>
      <c r="R5619" s="12" t="n"/>
      <c r="S5619" s="12" t="inlineStr">
        <is>
          <t>Tray / conduit</t>
        </is>
      </c>
      <c r="T5619" s="16" t="n">
        <v>60</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K-I-0176</t>
        </is>
      </c>
      <c r="B5620" s="12" t="inlineStr">
        <is>
          <t>K</t>
        </is>
      </c>
      <c r="C5620" s="12" t="inlineStr">
        <is>
          <t>Fuel supply (adjacent market)</t>
        </is>
      </c>
      <c r="D5620" s="12" t="inlineStr">
        <is>
          <t>Home run JB-M&amp;R 5: ultrasonic -DI01 to the control / marshalling room</t>
        </is>
      </c>
      <c r="E5620" s="12" t="inlineStr"/>
      <c r="F5620" s="12" t="inlineStr">
        <is>
          <t>LNG 17: LNG e-house (13.8 kV / 480 V)</t>
        </is>
      </c>
      <c r="G5620" s="12" t="inlineStr">
        <is>
          <t>JB-M&amp;R 5: ultrasonic -DI01</t>
        </is>
      </c>
      <c r="H5620" s="12" t="inlineStr">
        <is>
          <t>M&amp;R 5: ultrasonic meters, 2 runs (custody transfer)</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703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K-I-0177</t>
        </is>
      </c>
      <c r="B5621" s="12" t="inlineStr">
        <is>
          <t>K</t>
        </is>
      </c>
      <c r="C5621" s="12" t="inlineStr">
        <is>
          <t>Fuel supply (adjacent market)</t>
        </is>
      </c>
      <c r="D5621" s="12" t="inlineStr">
        <is>
          <t>Analog instrument to JB JB-M&amp;R 6: regulation -AI01: 12 x 1 pr (field cables)</t>
        </is>
      </c>
      <c r="E5621" s="12" t="inlineStr"/>
      <c r="F5621" s="12" t="inlineStr">
        <is>
          <t>M&amp;R 6: regulation / flow control building</t>
        </is>
      </c>
      <c r="G5621" s="12" t="inlineStr">
        <is>
          <t>JB-M&amp;R 6: regulation -AI01</t>
        </is>
      </c>
      <c r="H5621" s="12" t="inlineStr">
        <is>
          <t>M&amp;R 6: regulation / flow control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61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K-I-0178</t>
        </is>
      </c>
      <c r="B5622" s="12" t="inlineStr">
        <is>
          <t>K</t>
        </is>
      </c>
      <c r="C5622" s="12" t="inlineStr">
        <is>
          <t>Fuel supply (adjacent market)</t>
        </is>
      </c>
      <c r="D5622" s="12" t="inlineStr">
        <is>
          <t>Home run JB-M&amp;R 6: regulation -AI01 to the control / marshalling room</t>
        </is>
      </c>
      <c r="E5622" s="12" t="inlineStr"/>
      <c r="F5622" s="12" t="inlineStr">
        <is>
          <t>LNG 17: LNG e-house (13.8 kV / 480 V)</t>
        </is>
      </c>
      <c r="G5622" s="12" t="inlineStr">
        <is>
          <t>JB-M&amp;R 6: regulation -AI01</t>
        </is>
      </c>
      <c r="H5622" s="12" t="inlineStr">
        <is>
          <t>M&amp;R 6: regulation / flow control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492</v>
      </c>
      <c r="U5622" s="16" t="n">
        <v>70</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K-I-0179</t>
        </is>
      </c>
      <c r="B5623" s="12" t="inlineStr">
        <is>
          <t>K</t>
        </is>
      </c>
      <c r="C5623" s="12" t="inlineStr">
        <is>
          <t>Fuel supply (adjacent market)</t>
        </is>
      </c>
      <c r="D5623" s="12" t="inlineStr">
        <is>
          <t>Discrete device to JB JB-M&amp;R 6: regulation -DI01: 12 x 1 pr (field cables)</t>
        </is>
      </c>
      <c r="E5623" s="12" t="inlineStr"/>
      <c r="F5623" s="12" t="inlineStr">
        <is>
          <t>M&amp;R 6: regulation / flow control building</t>
        </is>
      </c>
      <c r="G5623" s="12" t="inlineStr">
        <is>
          <t>JB-M&amp;R 6: regulation -DI01</t>
        </is>
      </c>
      <c r="H5623" s="12" t="inlineStr">
        <is>
          <t>M&amp;R 6: regulation / flow control building</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61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K-I-0180</t>
        </is>
      </c>
      <c r="B5624" s="12" t="inlineStr">
        <is>
          <t>K</t>
        </is>
      </c>
      <c r="C5624" s="12" t="inlineStr">
        <is>
          <t>Fuel supply (adjacent market)</t>
        </is>
      </c>
      <c r="D5624" s="12" t="inlineStr">
        <is>
          <t>Home run JB-M&amp;R 6: regulation -DI01 to the control / marshalling room</t>
        </is>
      </c>
      <c r="E5624" s="12" t="inlineStr"/>
      <c r="F5624" s="12" t="inlineStr">
        <is>
          <t>LNG 17: LNG e-house (13.8 kV / 480 V)</t>
        </is>
      </c>
      <c r="G5624" s="12" t="inlineStr">
        <is>
          <t>JB-M&amp;R 6: regulation -DI01</t>
        </is>
      </c>
      <c r="H5624" s="12" t="inlineStr">
        <is>
          <t>M&amp;R 6: regulation / flow control building</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492</v>
      </c>
      <c r="U5624" s="16" t="n">
        <v>70</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K-I-0181</t>
        </is>
      </c>
      <c r="B5625" s="12" t="inlineStr">
        <is>
          <t>K</t>
        </is>
      </c>
      <c r="C5625" s="12" t="inlineStr">
        <is>
          <t>Fuel supply (adjacent market)</t>
        </is>
      </c>
      <c r="D5625" s="12" t="inlineStr">
        <is>
          <t>Analog instrument to JB JB-M&amp;R 7: gas quality-AI01: 20 x 1 pr (field cables)</t>
        </is>
      </c>
      <c r="E5625" s="12" t="inlineStr"/>
      <c r="F5625" s="12" t="inlineStr">
        <is>
          <t>M&amp;R 7: gas quality + measurement building</t>
        </is>
      </c>
      <c r="G5625" s="12" t="inlineStr">
        <is>
          <t>JB-M&amp;R 7: gas quality-AI01</t>
        </is>
      </c>
      <c r="H5625" s="12" t="inlineStr">
        <is>
          <t>M&amp;R 7: gas quality + measurement building</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20</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K-I-0182</t>
        </is>
      </c>
      <c r="B5626" s="12" t="inlineStr">
        <is>
          <t>K</t>
        </is>
      </c>
      <c r="C5626" s="12" t="inlineStr">
        <is>
          <t>Fuel supply (adjacent market)</t>
        </is>
      </c>
      <c r="D5626" s="12" t="inlineStr">
        <is>
          <t>Home run JB-M&amp;R 7: gas quality-AI01 to the control / marshalling room</t>
        </is>
      </c>
      <c r="E5626" s="12" t="inlineStr"/>
      <c r="F5626" s="12" t="inlineStr">
        <is>
          <t>LNG 17: LNG e-house (13.8 kV / 480 V)</t>
        </is>
      </c>
      <c r="G5626" s="12" t="inlineStr">
        <is>
          <t>JB-M&amp;R 7: gas quality-AI01</t>
        </is>
      </c>
      <c r="H5626" s="12" t="inlineStr">
        <is>
          <t>M&amp;R 7: gas quality + measurement building</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661</v>
      </c>
      <c r="U5626" s="16" t="n">
        <v>66</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K-I-0183</t>
        </is>
      </c>
      <c r="B5627" s="12" t="inlineStr">
        <is>
          <t>K</t>
        </is>
      </c>
      <c r="C5627" s="12" t="inlineStr">
        <is>
          <t>Fuel supply (adjacent market)</t>
        </is>
      </c>
      <c r="D5627" s="12" t="inlineStr">
        <is>
          <t>Discrete device to JB JB-M&amp;R 7: gas quality-DI01: 8 x 1 pr (field cables)</t>
        </is>
      </c>
      <c r="E5627" s="12" t="inlineStr"/>
      <c r="F5627" s="12" t="inlineStr">
        <is>
          <t>M&amp;R 7: gas quality + measurement building</t>
        </is>
      </c>
      <c r="G5627" s="12" t="inlineStr">
        <is>
          <t>JB-M&amp;R 7: gas quality-DI01</t>
        </is>
      </c>
      <c r="H5627" s="12" t="inlineStr">
        <is>
          <t>M&amp;R 7: gas quality + measurement building</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8</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K-I-0184</t>
        </is>
      </c>
      <c r="B5628" s="12" t="inlineStr">
        <is>
          <t>K</t>
        </is>
      </c>
      <c r="C5628" s="12" t="inlineStr">
        <is>
          <t>Fuel supply (adjacent market)</t>
        </is>
      </c>
      <c r="D5628" s="12" t="inlineStr">
        <is>
          <t>Home run JB-M&amp;R 7: gas quality-DI01 to the control / marshalling room</t>
        </is>
      </c>
      <c r="E5628" s="12" t="inlineStr"/>
      <c r="F5628" s="12" t="inlineStr">
        <is>
          <t>LNG 17: LNG e-house (13.8 kV / 480 V)</t>
        </is>
      </c>
      <c r="G5628" s="12" t="inlineStr">
        <is>
          <t>JB-M&amp;R 7: gas quality-DI01</t>
        </is>
      </c>
      <c r="H5628" s="12" t="inlineStr">
        <is>
          <t>M&amp;R 7: gas quality + measurement building</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661</v>
      </c>
      <c r="U5628" s="16" t="n">
        <v>66</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K-I-0185</t>
        </is>
      </c>
      <c r="B5629" s="12" t="inlineStr">
        <is>
          <t>K</t>
        </is>
      </c>
      <c r="C5629" s="12" t="inlineStr">
        <is>
          <t>Fuel supply (adjacent market)</t>
        </is>
      </c>
      <c r="D5629" s="12" t="inlineStr">
        <is>
          <t>Analog instrument to JB JB-M&amp;R 8: condensate -AI01: 4 x 1 pr (field cables)</t>
        </is>
      </c>
      <c r="E5629" s="12" t="inlineStr"/>
      <c r="F5629" s="12" t="inlineStr">
        <is>
          <t>M&amp;R 8: condensate tank</t>
        </is>
      </c>
      <c r="G5629" s="12" t="inlineStr">
        <is>
          <t>JB-M&amp;R 8: condensate -AI01</t>
        </is>
      </c>
      <c r="H5629" s="12" t="inlineStr">
        <is>
          <t>M&amp;R 8: condensate tank</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4</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K-I-0186</t>
        </is>
      </c>
      <c r="B5630" s="12" t="inlineStr">
        <is>
          <t>K</t>
        </is>
      </c>
      <c r="C5630" s="12" t="inlineStr">
        <is>
          <t>Fuel supply (adjacent market)</t>
        </is>
      </c>
      <c r="D5630" s="12" t="inlineStr">
        <is>
          <t>Home run JB-M&amp;R 8: condensate -AI01 to the control / marshalling room</t>
        </is>
      </c>
      <c r="E5630" s="12" t="inlineStr"/>
      <c r="F5630" s="12" t="inlineStr">
        <is>
          <t>LNG 17: LNG e-house (13.8 kV / 480 V)</t>
        </is>
      </c>
      <c r="G5630" s="12" t="inlineStr">
        <is>
          <t>JB-M&amp;R 8: condensate -AI01</t>
        </is>
      </c>
      <c r="H5630" s="12" t="inlineStr">
        <is>
          <t>M&amp;R 8: condensate tank</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552</v>
      </c>
      <c r="U5630" s="16" t="n">
        <v>87</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K-I-0187</t>
        </is>
      </c>
      <c r="B5631" s="12" t="inlineStr">
        <is>
          <t>K</t>
        </is>
      </c>
      <c r="C5631" s="12" t="inlineStr">
        <is>
          <t>Fuel supply (adjacent market)</t>
        </is>
      </c>
      <c r="D5631" s="12" t="inlineStr">
        <is>
          <t>Discrete device to JB JB-M&amp;R 8: condensate -DI01: 4 x 1 pr (field cables)</t>
        </is>
      </c>
      <c r="E5631" s="12" t="inlineStr"/>
      <c r="F5631" s="12" t="inlineStr">
        <is>
          <t>M&amp;R 8: condensate tank</t>
        </is>
      </c>
      <c r="G5631" s="12" t="inlineStr">
        <is>
          <t>JB-M&amp;R 8: condensate -DI01</t>
        </is>
      </c>
      <c r="H5631" s="12" t="inlineStr">
        <is>
          <t>M&amp;R 8: condensate tank</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4</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K-I-0188</t>
        </is>
      </c>
      <c r="B5632" s="12" t="inlineStr">
        <is>
          <t>K</t>
        </is>
      </c>
      <c r="C5632" s="12" t="inlineStr">
        <is>
          <t>Fuel supply (adjacent market)</t>
        </is>
      </c>
      <c r="D5632" s="12" t="inlineStr">
        <is>
          <t>Home run JB-M&amp;R 8: condensate -DI01 to the control / marshalling room</t>
        </is>
      </c>
      <c r="E5632" s="12" t="inlineStr"/>
      <c r="F5632" s="12" t="inlineStr">
        <is>
          <t>LNG 17: LNG e-house (13.8 kV / 480 V)</t>
        </is>
      </c>
      <c r="G5632" s="12" t="inlineStr">
        <is>
          <t>JB-M&amp;R 8: condensate -DI01</t>
        </is>
      </c>
      <c r="H5632" s="12" t="inlineStr">
        <is>
          <t>M&amp;R 8: condensate tank</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552</v>
      </c>
      <c r="U5632" s="16" t="n">
        <v>87</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K-I-0189</t>
        </is>
      </c>
      <c r="B5633" s="12" t="inlineStr">
        <is>
          <t>K</t>
        </is>
      </c>
      <c r="C5633" s="12" t="inlineStr">
        <is>
          <t>Fuel supply (adjacent market)</t>
        </is>
      </c>
      <c r="D5633" s="12" t="inlineStr">
        <is>
          <t>Instrumentation</t>
        </is>
      </c>
      <c r="E5633" s="12" t="inlineStr"/>
      <c r="F5633" s="12" t="inlineStr">
        <is>
          <t>LNG 17: LNG e-house (13.8 kV / 480 V)</t>
        </is>
      </c>
      <c r="G5633" s="12" t="inlineStr"/>
      <c r="H5633" s="12" t="inlineStr">
        <is>
          <t>M&amp;R CP test station (as drawn)</t>
        </is>
      </c>
      <c r="I5633" s="12" t="inlineStr">
        <is>
          <t>Instrumentation</t>
        </is>
      </c>
      <c r="J5633" s="12" t="inlineStr">
        <is>
          <t>Instrumentation ITC / PLTC, IS, #18 shielded pairs, blue jacket</t>
        </is>
      </c>
      <c r="K5633" s="12" t="inlineStr">
        <is>
          <t>ITC|4 pr|18</t>
        </is>
      </c>
      <c r="L5633" s="12" t="inlineStr">
        <is>
          <t>4 pr</t>
        </is>
      </c>
      <c r="M5633" s="12" t="inlineStr">
        <is>
          <t>18</t>
        </is>
      </c>
      <c r="N5633" s="12" t="n">
        <v>1</v>
      </c>
      <c r="O5633" s="12" t="n">
        <v>1</v>
      </c>
      <c r="P5633" s="12" t="n"/>
      <c r="Q5633" s="12" t="n"/>
      <c r="R5633" s="12" t="n"/>
      <c r="S5633" s="12" t="inlineStr">
        <is>
          <t>Duct bank</t>
        </is>
      </c>
      <c r="T5633" s="16" t="n">
        <v>461</v>
      </c>
      <c r="U5633" s="16" t="n">
        <v>42</v>
      </c>
      <c r="V5633" s="16">
        <f>ROUNDUP((T5633+U5633+2*'Read Me'!$B$13)*(1+'Read Me'!$B$12),-1)</f>
        <v/>
      </c>
      <c r="W5633" s="16">
        <f>V5633*N5633*O5633</f>
        <v/>
      </c>
      <c r="X5633" s="12">
        <f>IF(LEFT(I5633,2)="MV",2*N5633*IF(L5633="1/C",O5633,1),0)</f>
        <v/>
      </c>
      <c r="Y5633" s="12">
        <f>IF(OR(LEFT(K5633,4)="LVAX",LEFT(K5633,6)="MV15AX",LEFT(K5633,4)="CTAX",LEFT(K5633,2)="W|"),2*N5633*O5633,0)</f>
        <v/>
      </c>
      <c r="Z5633" s="12" t="inlineStr"/>
      <c r="AA5633" s="12">
        <f>N5633*O5633</f>
        <v/>
      </c>
    </row>
    <row r="5634">
      <c r="A5634" s="12" t="inlineStr">
        <is>
          <t>K-I-0190</t>
        </is>
      </c>
      <c r="B5634" s="12" t="inlineStr">
        <is>
          <t>K</t>
        </is>
      </c>
      <c r="C5634" s="12" t="inlineStr">
        <is>
          <t>Fuel supply (adjacent market)</t>
        </is>
      </c>
      <c r="D5634" s="12" t="inlineStr">
        <is>
          <t>Instrumentation</t>
        </is>
      </c>
      <c r="E5634" s="12" t="inlineStr"/>
      <c r="F5634" s="12" t="inlineStr">
        <is>
          <t>H2 20: 13.8 kV e-house</t>
        </is>
      </c>
      <c r="G5634" s="12" t="inlineStr"/>
      <c r="H5634" s="12" t="inlineStr">
        <is>
          <t>PEM electrolyzer 1 (HyLYZER-1000)</t>
        </is>
      </c>
      <c r="I5634" s="12" t="inlineStr">
        <is>
          <t>Instrumentation</t>
        </is>
      </c>
      <c r="J5634" s="12" t="inlineStr">
        <is>
          <t>Instrumentation ITC / PLTC, IS, #18 shielded pairs, blue jacket</t>
        </is>
      </c>
      <c r="K5634" s="12" t="inlineStr">
        <is>
          <t>ITC|4 pr|18</t>
        </is>
      </c>
      <c r="L5634" s="12" t="inlineStr">
        <is>
          <t>4 pr</t>
        </is>
      </c>
      <c r="M5634" s="12" t="inlineStr">
        <is>
          <t>18</t>
        </is>
      </c>
      <c r="N5634" s="12" t="n">
        <v>1</v>
      </c>
      <c r="O5634" s="12" t="n">
        <v>1</v>
      </c>
      <c r="P5634" s="12" t="n"/>
      <c r="Q5634" s="12" t="n"/>
      <c r="R5634" s="12" t="n"/>
      <c r="S5634" s="12" t="inlineStr">
        <is>
          <t>Duct bank</t>
        </is>
      </c>
      <c r="T5634" s="16" t="n">
        <v>370</v>
      </c>
      <c r="U5634" s="16" t="n">
        <v>33</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K-I-0191</t>
        </is>
      </c>
      <c r="B5635" s="12" t="inlineStr">
        <is>
          <t>K</t>
        </is>
      </c>
      <c r="C5635" s="12" t="inlineStr">
        <is>
          <t>Fuel supply (adjacent market)</t>
        </is>
      </c>
      <c r="D5635" s="12" t="inlineStr">
        <is>
          <t>Instrumentation</t>
        </is>
      </c>
      <c r="E5635" s="12" t="inlineStr"/>
      <c r="F5635" s="12" t="inlineStr">
        <is>
          <t>H2 20: 13.8 kV e-house</t>
        </is>
      </c>
      <c r="G5635" s="12" t="inlineStr"/>
      <c r="H5635" s="12" t="inlineStr">
        <is>
          <t>PEM electrolyzer 2 (HyLYZER-1000)</t>
        </is>
      </c>
      <c r="I5635" s="12" t="inlineStr">
        <is>
          <t>Instrumentation</t>
        </is>
      </c>
      <c r="J5635" s="12" t="inlineStr">
        <is>
          <t>Instrumentation ITC / PLTC, IS, #18 shielded pairs, blue jacket</t>
        </is>
      </c>
      <c r="K5635" s="12" t="inlineStr">
        <is>
          <t>ITC|4 pr|18</t>
        </is>
      </c>
      <c r="L5635" s="12" t="inlineStr">
        <is>
          <t>4 pr</t>
        </is>
      </c>
      <c r="M5635" s="12" t="inlineStr">
        <is>
          <t>18</t>
        </is>
      </c>
      <c r="N5635" s="12" t="n">
        <v>1</v>
      </c>
      <c r="O5635" s="12" t="n">
        <v>1</v>
      </c>
      <c r="P5635" s="12" t="n"/>
      <c r="Q5635" s="12" t="n"/>
      <c r="R5635" s="12" t="n"/>
      <c r="S5635" s="12" t="inlineStr">
        <is>
          <t>Conduit link</t>
        </is>
      </c>
      <c r="T5635" s="16" t="n">
        <v>364</v>
      </c>
      <c r="U5635" s="16" t="n">
        <v>49</v>
      </c>
      <c r="V5635" s="16">
        <f>ROUNDUP((T5635+U5635+2*'Read Me'!$B$13)*(1+'Read Me'!$B$12),-1)</f>
        <v/>
      </c>
      <c r="W5635" s="16">
        <f>V5635*N5635*O5635</f>
        <v/>
      </c>
      <c r="X5635" s="12">
        <f>IF(LEFT(I5635,2)="MV",2*N5635*IF(L5635="1/C",O5635,1),0)</f>
        <v/>
      </c>
      <c r="Y5635" s="12">
        <f>IF(OR(LEFT(K5635,4)="LVAX",LEFT(K5635,6)="MV15AX",LEFT(K5635,4)="CTAX",LEFT(K5635,2)="W|"),2*N5635*O5635,0)</f>
        <v/>
      </c>
      <c r="Z5635" s="12" t="inlineStr"/>
      <c r="AA5635" s="12">
        <f>N5635*O5635</f>
        <v/>
      </c>
    </row>
    <row r="5636">
      <c r="A5636" s="12" t="inlineStr">
        <is>
          <t>K-I-0192</t>
        </is>
      </c>
      <c r="B5636" s="12" t="inlineStr">
        <is>
          <t>K</t>
        </is>
      </c>
      <c r="C5636" s="12" t="inlineStr">
        <is>
          <t>Fuel supply (adjacent market)</t>
        </is>
      </c>
      <c r="D5636" s="12" t="inlineStr">
        <is>
          <t>Instrumentation</t>
        </is>
      </c>
      <c r="E5636" s="12" t="inlineStr"/>
      <c r="F5636" s="12" t="inlineStr">
        <is>
          <t>H2 20: 13.8 kV e-house</t>
        </is>
      </c>
      <c r="G5636" s="12" t="inlineStr"/>
      <c r="H5636" s="12" t="inlineStr">
        <is>
          <t>PEM electrolyzer 3 (HyLYZER-1000)</t>
        </is>
      </c>
      <c r="I5636" s="12" t="inlineStr">
        <is>
          <t>Instrumentation</t>
        </is>
      </c>
      <c r="J5636" s="12" t="inlineStr">
        <is>
          <t>Instrumentation ITC / PLTC, IS, #18 shielded pairs, blue jacket</t>
        </is>
      </c>
      <c r="K5636" s="12" t="inlineStr">
        <is>
          <t>ITC|4 pr|18</t>
        </is>
      </c>
      <c r="L5636" s="12" t="inlineStr">
        <is>
          <t>4 pr</t>
        </is>
      </c>
      <c r="M5636" s="12" t="inlineStr">
        <is>
          <t>18</t>
        </is>
      </c>
      <c r="N5636" s="12" t="n">
        <v>1</v>
      </c>
      <c r="O5636" s="12" t="n">
        <v>1</v>
      </c>
      <c r="P5636" s="12" t="n"/>
      <c r="Q5636" s="12" t="n"/>
      <c r="R5636" s="12" t="n"/>
      <c r="S5636" s="12" t="inlineStr">
        <is>
          <t>Duct bank</t>
        </is>
      </c>
      <c r="T5636" s="16" t="n">
        <v>341</v>
      </c>
      <c r="U5636" s="16" t="n">
        <v>49</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K-I-0193</t>
        </is>
      </c>
      <c r="B5637" s="12" t="inlineStr">
        <is>
          <t>K</t>
        </is>
      </c>
      <c r="C5637" s="12" t="inlineStr">
        <is>
          <t>Fuel supply (adjacent market)</t>
        </is>
      </c>
      <c r="D5637" s="12" t="inlineStr">
        <is>
          <t>Instrumentation</t>
        </is>
      </c>
      <c r="E5637" s="12" t="inlineStr"/>
      <c r="F5637" s="12" t="inlineStr">
        <is>
          <t>H2 20: 13.8 kV e-house</t>
        </is>
      </c>
      <c r="G5637" s="12" t="inlineStr"/>
      <c r="H5637" s="12" t="inlineStr">
        <is>
          <t>PEM electrolyzer 4 (HyLYZER-1000)</t>
        </is>
      </c>
      <c r="I5637" s="12" t="inlineStr">
        <is>
          <t>Instrumentation</t>
        </is>
      </c>
      <c r="J5637" s="12" t="inlineStr">
        <is>
          <t>Instrumentation ITC / PLTC, IS, #18 shielded pairs, blue jacket</t>
        </is>
      </c>
      <c r="K5637" s="12" t="inlineStr">
        <is>
          <t>ITC|4 pr|18</t>
        </is>
      </c>
      <c r="L5637" s="12" t="inlineStr">
        <is>
          <t>4 pr</t>
        </is>
      </c>
      <c r="M5637" s="12" t="inlineStr">
        <is>
          <t>18</t>
        </is>
      </c>
      <c r="N5637" s="12" t="n">
        <v>1</v>
      </c>
      <c r="O5637" s="12" t="n">
        <v>1</v>
      </c>
      <c r="P5637" s="12" t="n"/>
      <c r="Q5637" s="12" t="n"/>
      <c r="R5637" s="12" t="n"/>
      <c r="S5637" s="12" t="inlineStr">
        <is>
          <t>Duct bank</t>
        </is>
      </c>
      <c r="T5637" s="16" t="n">
        <v>319</v>
      </c>
      <c r="U5637" s="16" t="n">
        <v>49</v>
      </c>
      <c r="V5637" s="16">
        <f>ROUNDUP((T5637+U5637+2*'Read Me'!$B$13)*(1+'Read Me'!$B$12),-1)</f>
        <v/>
      </c>
      <c r="W5637" s="16">
        <f>V5637*N5637*O5637</f>
        <v/>
      </c>
      <c r="X5637" s="12">
        <f>IF(LEFT(I5637,2)="MV",2*N5637*IF(L5637="1/C",O5637,1),0)</f>
        <v/>
      </c>
      <c r="Y5637" s="12">
        <f>IF(OR(LEFT(K5637,4)="LVAX",LEFT(K5637,6)="MV15AX",LEFT(K5637,4)="CTAX",LEFT(K5637,2)="W|"),2*N5637*O5637,0)</f>
        <v/>
      </c>
      <c r="Z5637" s="12" t="inlineStr"/>
      <c r="AA5637" s="12">
        <f>N5637*O5637</f>
        <v/>
      </c>
    </row>
    <row r="5638">
      <c r="A5638" s="12" t="inlineStr">
        <is>
          <t>K-I-0194</t>
        </is>
      </c>
      <c r="B5638" s="12" t="inlineStr">
        <is>
          <t>K</t>
        </is>
      </c>
      <c r="C5638" s="12" t="inlineStr">
        <is>
          <t>Fuel supply (adjacent market)</t>
        </is>
      </c>
      <c r="D5638" s="12" t="inlineStr">
        <is>
          <t>Instrumentation</t>
        </is>
      </c>
      <c r="E5638" s="12" t="inlineStr"/>
      <c r="F5638" s="12" t="inlineStr">
        <is>
          <t>H2 20: 13.8 kV e-house</t>
        </is>
      </c>
      <c r="G5638" s="12" t="inlineStr"/>
      <c r="H5638" s="12" t="inlineStr">
        <is>
          <t>PEM electrolyzer 5 (HyLYZER-1000)</t>
        </is>
      </c>
      <c r="I5638" s="12" t="inlineStr">
        <is>
          <t>Instrumentation</t>
        </is>
      </c>
      <c r="J5638" s="12" t="inlineStr">
        <is>
          <t>Instrumentation ITC / PLTC, IS, #18 shielded pairs, blue jacket</t>
        </is>
      </c>
      <c r="K5638" s="12" t="inlineStr">
        <is>
          <t>ITC|4 pr|18</t>
        </is>
      </c>
      <c r="L5638" s="12" t="inlineStr">
        <is>
          <t>4 pr</t>
        </is>
      </c>
      <c r="M5638" s="12" t="inlineStr">
        <is>
          <t>18</t>
        </is>
      </c>
      <c r="N5638" s="12" t="n">
        <v>1</v>
      </c>
      <c r="O5638" s="12" t="n">
        <v>1</v>
      </c>
      <c r="P5638" s="12" t="n"/>
      <c r="Q5638" s="12" t="n"/>
      <c r="R5638" s="12" t="n"/>
      <c r="S5638" s="12" t="inlineStr">
        <is>
          <t>Duct bank</t>
        </is>
      </c>
      <c r="T5638" s="16" t="n">
        <v>289</v>
      </c>
      <c r="U5638" s="16" t="n">
        <v>59</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K-P-0001</t>
        </is>
      </c>
      <c r="B5639" s="12" t="inlineStr">
        <is>
          <t>K</t>
        </is>
      </c>
      <c r="C5639" s="12" t="inlineStr">
        <is>
          <t>Fuel supply (adjacent market)</t>
        </is>
      </c>
      <c r="D5639" s="12" t="inlineStr">
        <is>
          <t>Motor 1 of 1, 15 kW</t>
        </is>
      </c>
      <c r="E5639" s="12" t="inlineStr"/>
      <c r="F5639" s="12" t="inlineStr">
        <is>
          <t>H2 20: 13.8 kV e-house</t>
        </is>
      </c>
      <c r="G5639" s="12" t="inlineStr">
        <is>
          <t>T-H2</t>
        </is>
      </c>
      <c r="H5639" s="12" t="inlineStr">
        <is>
          <t>H2 19: T-H2 230/13.8 kV (about 40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Conduit link</t>
        </is>
      </c>
      <c r="T5639" s="16" t="n">
        <v>30</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0.6 %</t>
        </is>
      </c>
      <c r="AA5639" s="12">
        <f>N5639*O5639</f>
        <v/>
      </c>
    </row>
    <row r="5640">
      <c r="A5640" s="12" t="inlineStr">
        <is>
          <t>K-P-0002</t>
        </is>
      </c>
      <c r="B5640" s="12" t="inlineStr">
        <is>
          <t>K</t>
        </is>
      </c>
      <c r="C5640" s="12" t="inlineStr">
        <is>
          <t>Fuel supply (adjacent market)</t>
        </is>
      </c>
      <c r="D5640" s="12" t="inlineStr">
        <is>
          <t>Motor 1 of 1, 15 kW</t>
        </is>
      </c>
      <c r="E5640" s="12" t="inlineStr"/>
      <c r="F5640" s="12" t="inlineStr">
        <is>
          <t>H2 20: 13.8 kV e-house</t>
        </is>
      </c>
      <c r="G5640" s="12" t="inlineStr"/>
      <c r="H5640" s="12" t="inlineStr">
        <is>
          <t>H2 20: 13.8 kV e-house</t>
        </is>
      </c>
      <c r="I5640" s="12" t="inlineStr">
        <is>
          <t>LV 600 V</t>
        </is>
      </c>
      <c r="J5640" s="12" t="inlineStr">
        <is>
          <t>ARMOR-X MC-HL 600 V 3/C Cu XHHW-2 + ground, CWA, black PVC (Class I Div 2)</t>
        </is>
      </c>
      <c r="K5640" s="12" t="inlineStr">
        <is>
          <t>LVAX|3/C+G|10</t>
        </is>
      </c>
      <c r="L5640" s="12" t="inlineStr">
        <is>
          <t>3/C+G</t>
        </is>
      </c>
      <c r="M5640" s="12" t="inlineStr">
        <is>
          <t>10</t>
        </is>
      </c>
      <c r="N5640" s="12" t="n">
        <v>1</v>
      </c>
      <c r="O5640" s="12" t="n">
        <v>1</v>
      </c>
      <c r="P5640" s="12" t="n">
        <v>480</v>
      </c>
      <c r="Q5640" s="12" t="n">
        <v>15</v>
      </c>
      <c r="R5640" s="12" t="n">
        <v>21.2</v>
      </c>
      <c r="S5640" s="12" t="inlineStr">
        <is>
          <t>Tray</t>
        </is>
      </c>
      <c r="T5640" s="16" t="n">
        <v>0</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0.3 %</t>
        </is>
      </c>
      <c r="AA5640" s="12">
        <f>N5640*O5640</f>
        <v/>
      </c>
    </row>
    <row r="5641">
      <c r="A5641" s="12" t="inlineStr">
        <is>
          <t>K-P-0003</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21: rectifier transformer 1 (7 MVA)</t>
        </is>
      </c>
      <c r="I5641" s="12" t="inlineStr">
        <is>
          <t>LV 600 V</t>
        </is>
      </c>
      <c r="J5641" s="12" t="inlineStr">
        <is>
          <t>ARMOR-X MC-HL 600 V 3/C Cu XHHW-2 + ground, CWA, black PVC (Class I Div 2)</t>
        </is>
      </c>
      <c r="K5641" s="12" t="inlineStr">
        <is>
          <t>LVAX|3/C+G|8</t>
        </is>
      </c>
      <c r="L5641" s="12" t="inlineStr">
        <is>
          <t>3/C+G</t>
        </is>
      </c>
      <c r="M5641" s="12" t="inlineStr">
        <is>
          <t>8</t>
        </is>
      </c>
      <c r="N5641" s="12" t="n">
        <v>1</v>
      </c>
      <c r="O5641" s="12" t="n">
        <v>1</v>
      </c>
      <c r="P5641" s="12" t="n">
        <v>480</v>
      </c>
      <c r="Q5641" s="12" t="n">
        <v>15</v>
      </c>
      <c r="R5641" s="12" t="n">
        <v>21.2</v>
      </c>
      <c r="S5641" s="12" t="inlineStr">
        <is>
          <t>Duct bank</t>
        </is>
      </c>
      <c r="T5641" s="16" t="n">
        <v>348</v>
      </c>
      <c r="U5641" s="16" t="n">
        <v>48</v>
      </c>
      <c r="V5641" s="16">
        <f>ROUNDUP((T5641+U5641+2*'Read Me'!$B$13)*(1+'Read Me'!$B$12),-1)</f>
        <v/>
      </c>
      <c r="W5641" s="16">
        <f>V5641*N5641*O5641</f>
        <v/>
      </c>
      <c r="X5641" s="12">
        <f>IF(LEFT(I5641,2)="MV",2*N5641*IF(L5641="1/C",O5641,1),0)</f>
        <v/>
      </c>
      <c r="Y5641" s="12">
        <f>IF(OR(LEFT(K5641,4)="LVAX",LEFT(K5641,6)="MV15AX",LEFT(K5641,4)="CTAX",LEFT(K5641,2)="W|"),2*N5641*O5641,0)</f>
        <v/>
      </c>
      <c r="Z5641" s="12" t="inlineStr">
        <is>
          <t>VD 2.5 %</t>
        </is>
      </c>
      <c r="AA5641" s="12">
        <f>N5641*O5641</f>
        <v/>
      </c>
    </row>
    <row r="5642">
      <c r="A5642" s="12" t="inlineStr">
        <is>
          <t>K-P-0004</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21: rectifier transformer 2 (7 MVA)</t>
        </is>
      </c>
      <c r="I5642" s="12" t="inlineStr">
        <is>
          <t>LV 600 V</t>
        </is>
      </c>
      <c r="J5642" s="12" t="inlineStr">
        <is>
          <t>ARMOR-X MC-HL 600 V 3/C Cu XHHW-2 + ground, CWA, black PVC (Class I Div 2)</t>
        </is>
      </c>
      <c r="K5642" s="12" t="inlineStr">
        <is>
          <t>LVAX|3/C+G|8</t>
        </is>
      </c>
      <c r="L5642" s="12" t="inlineStr">
        <is>
          <t>3/C+G</t>
        </is>
      </c>
      <c r="M5642" s="12" t="inlineStr">
        <is>
          <t>8</t>
        </is>
      </c>
      <c r="N5642" s="12" t="n">
        <v>1</v>
      </c>
      <c r="O5642" s="12" t="n">
        <v>1</v>
      </c>
      <c r="P5642" s="12" t="n">
        <v>480</v>
      </c>
      <c r="Q5642" s="12" t="n">
        <v>15</v>
      </c>
      <c r="R5642" s="12" t="n">
        <v>21.2</v>
      </c>
      <c r="S5642" s="12" t="inlineStr">
        <is>
          <t>Duct bank</t>
        </is>
      </c>
      <c r="T5642" s="16" t="n">
        <v>348</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2.4 %</t>
        </is>
      </c>
      <c r="AA5642" s="12">
        <f>N5642*O5642</f>
        <v/>
      </c>
    </row>
    <row r="5643">
      <c r="A5643" s="12" t="inlineStr">
        <is>
          <t>K-P-0005</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21: rectifier transformer 3 (7 MVA)</t>
        </is>
      </c>
      <c r="I5643" s="12" t="inlineStr">
        <is>
          <t>LV 600 V</t>
        </is>
      </c>
      <c r="J5643" s="12" t="inlineStr">
        <is>
          <t>ARMOR-X MC-HL 600 V 3/C Cu XHHW-2 + ground, CWA, black PVC (Class I Div 2)</t>
        </is>
      </c>
      <c r="K5643" s="12" t="inlineStr">
        <is>
          <t>LVAX|3/C+G|8</t>
        </is>
      </c>
      <c r="L5643" s="12" t="inlineStr">
        <is>
          <t>3/C+G</t>
        </is>
      </c>
      <c r="M5643" s="12" t="inlineStr">
        <is>
          <t>8</t>
        </is>
      </c>
      <c r="N5643" s="12" t="n">
        <v>1</v>
      </c>
      <c r="O5643" s="12" t="n">
        <v>1</v>
      </c>
      <c r="P5643" s="12" t="n">
        <v>480</v>
      </c>
      <c r="Q5643" s="12" t="n">
        <v>15</v>
      </c>
      <c r="R5643" s="12" t="n">
        <v>21.2</v>
      </c>
      <c r="S5643" s="12" t="inlineStr">
        <is>
          <t>Duct bank</t>
        </is>
      </c>
      <c r="T5643" s="16" t="n">
        <v>321</v>
      </c>
      <c r="U5643" s="16" t="n">
        <v>32</v>
      </c>
      <c r="V5643" s="16">
        <f>ROUNDUP((T5643+U5643+2*'Read Me'!$B$13)*(1+'Read Me'!$B$12),-1)</f>
        <v/>
      </c>
      <c r="W5643" s="16">
        <f>V5643*N5643*O5643</f>
        <v/>
      </c>
      <c r="X5643" s="12">
        <f>IF(LEFT(I5643,2)="MV",2*N5643*IF(L5643="1/C",O5643,1),0)</f>
        <v/>
      </c>
      <c r="Y5643" s="12">
        <f>IF(OR(LEFT(K5643,4)="LVAX",LEFT(K5643,6)="MV15AX",LEFT(K5643,4)="CTAX",LEFT(K5643,2)="W|"),2*N5643*O5643,0)</f>
        <v/>
      </c>
      <c r="Z5643" s="12" t="inlineStr">
        <is>
          <t>VD 2.3 %</t>
        </is>
      </c>
      <c r="AA5643" s="12">
        <f>N5643*O5643</f>
        <v/>
      </c>
    </row>
    <row r="5644">
      <c r="A5644" s="12" t="inlineStr">
        <is>
          <t>K-P-0006</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21: rectifier transformer 4 (7 MVA)</t>
        </is>
      </c>
      <c r="I5644" s="12" t="inlineStr">
        <is>
          <t>LV 600 V</t>
        </is>
      </c>
      <c r="J5644" s="12" t="inlineStr">
        <is>
          <t>ARMOR-X MC-HL 600 V 3/C Cu XHHW-2 + ground, CWA, black PVC (Class I Div 2)</t>
        </is>
      </c>
      <c r="K5644" s="12" t="inlineStr">
        <is>
          <t>LVAX|3/C+G|8</t>
        </is>
      </c>
      <c r="L5644" s="12" t="inlineStr">
        <is>
          <t>3/C+G</t>
        </is>
      </c>
      <c r="M5644" s="12" t="inlineStr">
        <is>
          <t>8</t>
        </is>
      </c>
      <c r="N5644" s="12" t="n">
        <v>1</v>
      </c>
      <c r="O5644" s="12" t="n">
        <v>1</v>
      </c>
      <c r="P5644" s="12" t="n">
        <v>480</v>
      </c>
      <c r="Q5644" s="12" t="n">
        <v>15</v>
      </c>
      <c r="R5644" s="12" t="n">
        <v>21.2</v>
      </c>
      <c r="S5644" s="12" t="inlineStr">
        <is>
          <t>Duct bank</t>
        </is>
      </c>
      <c r="T5644" s="16" t="n">
        <v>295</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2.1 %</t>
        </is>
      </c>
      <c r="AA5644" s="12">
        <f>N5644*O5644</f>
        <v/>
      </c>
    </row>
    <row r="5645">
      <c r="A5645" s="12" t="inlineStr">
        <is>
          <t>K-P-0007</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21: rectifier transformer 5 (7 MVA)</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Conduit link</t>
        </is>
      </c>
      <c r="T5645" s="16" t="n">
        <v>254</v>
      </c>
      <c r="U5645" s="16" t="n">
        <v>32</v>
      </c>
      <c r="V5645" s="16">
        <f>ROUNDUP((T5645+U5645+2*'Read Me'!$B$13)*(1+'Read Me'!$B$12),-1)</f>
        <v/>
      </c>
      <c r="W5645" s="16">
        <f>V5645*N5645*O5645</f>
        <v/>
      </c>
      <c r="X5645" s="12">
        <f>IF(LEFT(I5645,2)="MV",2*N5645*IF(L5645="1/C",O5645,1),0)</f>
        <v/>
      </c>
      <c r="Y5645" s="12">
        <f>IF(OR(LEFT(K5645,4)="LVAX",LEFT(K5645,6)="MV15AX",LEFT(K5645,4)="CTAX",LEFT(K5645,2)="W|"),2*N5645*O5645,0)</f>
        <v/>
      </c>
      <c r="Z5645" s="12" t="inlineStr">
        <is>
          <t>VD 2.9 %</t>
        </is>
      </c>
      <c r="AA5645" s="12">
        <f>N5645*O5645</f>
        <v/>
      </c>
    </row>
    <row r="5646">
      <c r="A5646" s="12" t="inlineStr">
        <is>
          <t>K-P-0008</t>
        </is>
      </c>
      <c r="B5646" s="12" t="inlineStr">
        <is>
          <t>K</t>
        </is>
      </c>
      <c r="C5646" s="12" t="inlineStr">
        <is>
          <t>Fuel supply (adjacent market)</t>
        </is>
      </c>
      <c r="D5646" s="12" t="inlineStr">
        <is>
          <t>Motor 1 of 1, 15 kW</t>
        </is>
      </c>
      <c r="E5646" s="12" t="inlineStr"/>
      <c r="F5646" s="12" t="inlineStr">
        <is>
          <t>H2 20: 13.8 kV e-house</t>
        </is>
      </c>
      <c r="G5646" s="12" t="inlineStr">
        <is>
          <t>H2-EL</t>
        </is>
      </c>
      <c r="H5646" s="12" t="inlineStr">
        <is>
          <t>H2 22: electrolyzer building (5 x HyLYZER-1000 + 5 rectifiers)</t>
        </is>
      </c>
      <c r="I5646" s="12" t="inlineStr">
        <is>
          <t>LV 600 V</t>
        </is>
      </c>
      <c r="J5646" s="12" t="inlineStr">
        <is>
          <t>ARMOR-X MC-HL 600 V 3/C Cu XHHW-2 + ground, CWA, black PVC (Class I Div 2)</t>
        </is>
      </c>
      <c r="K5646" s="12" t="inlineStr">
        <is>
          <t>LVAX|3/C+G|8</t>
        </is>
      </c>
      <c r="L5646" s="12" t="inlineStr">
        <is>
          <t>3/C+G</t>
        </is>
      </c>
      <c r="M5646" s="12" t="inlineStr">
        <is>
          <t>8</t>
        </is>
      </c>
      <c r="N5646" s="12" t="n">
        <v>1</v>
      </c>
      <c r="O5646" s="12" t="n">
        <v>1</v>
      </c>
      <c r="P5646" s="12" t="n">
        <v>480</v>
      </c>
      <c r="Q5646" s="12" t="n">
        <v>15</v>
      </c>
      <c r="R5646" s="12" t="n">
        <v>21.2</v>
      </c>
      <c r="S5646" s="12" t="inlineStr">
        <is>
          <t>Duct bank</t>
        </is>
      </c>
      <c r="T5646" s="16" t="n">
        <v>358</v>
      </c>
      <c r="U5646" s="16" t="n">
        <v>33</v>
      </c>
      <c r="V5646" s="16">
        <f>ROUNDUP((T5646+U5646+2*'Read Me'!$B$13)*(1+'Read Me'!$B$12),-1)</f>
        <v/>
      </c>
      <c r="W5646" s="16">
        <f>V5646*N5646*O5646</f>
        <v/>
      </c>
      <c r="X5646" s="12">
        <f>IF(LEFT(I5646,2)="MV",2*N5646*IF(L5646="1/C",O5646,1),0)</f>
        <v/>
      </c>
      <c r="Y5646" s="12">
        <f>IF(OR(LEFT(K5646,4)="LVAX",LEFT(K5646,6)="MV15AX",LEFT(K5646,4)="CTAX",LEFT(K5646,2)="W|"),2*N5646*O5646,0)</f>
        <v/>
      </c>
      <c r="Z5646" s="12" t="inlineStr">
        <is>
          <t>VD 2.5 %</t>
        </is>
      </c>
      <c r="AA5646" s="12">
        <f>N5646*O5646</f>
        <v/>
      </c>
    </row>
    <row r="5647">
      <c r="A5647" s="12" t="inlineStr">
        <is>
          <t>K-P-0009</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23: dry coolers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124</v>
      </c>
      <c r="U5647" s="16" t="n">
        <v>32</v>
      </c>
      <c r="V5647" s="16">
        <f>ROUNDUP((T5647+U5647+2*'Read Me'!$B$13)*(1+'Read Me'!$B$12),-1)</f>
        <v/>
      </c>
      <c r="W5647" s="16">
        <f>V5647*N5647*O5647</f>
        <v/>
      </c>
      <c r="X5647" s="12">
        <f>IF(LEFT(I5647,2)="MV",2*N5647*IF(L5647="1/C",O5647,1),0)</f>
        <v/>
      </c>
      <c r="Y5647" s="12">
        <f>IF(OR(LEFT(K5647,4)="LVAX",LEFT(K5647,6)="MV15AX",LEFT(K5647,4)="CTAX",LEFT(K5647,2)="W|"),2*N5647*O5647,0)</f>
        <v/>
      </c>
      <c r="Z5647" s="12" t="inlineStr">
        <is>
          <t>VD 1.6 %</t>
        </is>
      </c>
      <c r="AA5647" s="12">
        <f>N5647*O5647</f>
        <v/>
      </c>
    </row>
    <row r="5648">
      <c r="A5648" s="12" t="inlineStr">
        <is>
          <t>K-P-0010</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24: water purification (RO / EDI)</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146</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is>
          <t>VD 1.8 %</t>
        </is>
      </c>
      <c r="AA5648" s="12">
        <f>N5648*O5648</f>
        <v/>
      </c>
    </row>
    <row r="5649">
      <c r="A5649" s="12" t="inlineStr">
        <is>
          <t>K-P-0011</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25: H2 dryer / purification</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Conduit link</t>
        </is>
      </c>
      <c r="T5649" s="16" t="n">
        <v>0</v>
      </c>
      <c r="U5649" s="16" t="n">
        <v>49</v>
      </c>
      <c r="V5649" s="16">
        <f>ROUNDUP((T5649+U5649+2*'Read Me'!$B$13)*(1+'Read Me'!$B$12),-1)</f>
        <v/>
      </c>
      <c r="W5649" s="16">
        <f>V5649*N5649*O5649</f>
        <v/>
      </c>
      <c r="X5649" s="12">
        <f>IF(LEFT(I5649,2)="MV",2*N5649*IF(L5649="1/C",O5649,1),0)</f>
        <v/>
      </c>
      <c r="Y5649" s="12">
        <f>IF(OR(LEFT(K5649,4)="LVAX",LEFT(K5649,6)="MV15AX",LEFT(K5649,4)="CTAX",LEFT(K5649,2)="W|"),2*N5649*O5649,0)</f>
        <v/>
      </c>
      <c r="Z5649" s="12" t="inlineStr">
        <is>
          <t>VD 0.5 %</t>
        </is>
      </c>
      <c r="AA5649" s="12">
        <f>N5649*O5649</f>
        <v/>
      </c>
    </row>
    <row r="5650">
      <c r="A5650" s="12" t="inlineStr">
        <is>
          <t>K-P-0012</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26: H2 compressor 1 (40 ft ISO)</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Conduit link</t>
        </is>
      </c>
      <c r="T5650" s="16" t="n">
        <v>44</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is>
          <t>VD 0.8 %</t>
        </is>
      </c>
      <c r="AA5650" s="12">
        <f>N5650*O5650</f>
        <v/>
      </c>
    </row>
    <row r="5651">
      <c r="A5651" s="12" t="inlineStr">
        <is>
          <t>K-P-0013</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26: H2 compressor 2 (40 ft ISO)</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Conduit link</t>
        </is>
      </c>
      <c r="T5651" s="16" t="n">
        <v>44</v>
      </c>
      <c r="U5651" s="16" t="n">
        <v>47</v>
      </c>
      <c r="V5651" s="16">
        <f>ROUNDUP((T5651+U5651+2*'Read Me'!$B$13)*(1+'Read Me'!$B$12),-1)</f>
        <v/>
      </c>
      <c r="W5651" s="16">
        <f>V5651*N5651*O5651</f>
        <v/>
      </c>
      <c r="X5651" s="12">
        <f>IF(LEFT(I5651,2)="MV",2*N5651*IF(L5651="1/C",O5651,1),0)</f>
        <v/>
      </c>
      <c r="Y5651" s="12">
        <f>IF(OR(LEFT(K5651,4)="LVAX",LEFT(K5651,6)="MV15AX",LEFT(K5651,4)="CTAX",LEFT(K5651,2)="W|"),2*N5651*O5651,0)</f>
        <v/>
      </c>
      <c r="Z5651" s="12" t="inlineStr">
        <is>
          <t>VD 0.9 %</t>
        </is>
      </c>
      <c r="AA5651" s="12">
        <f>N5651*O5651</f>
        <v/>
      </c>
    </row>
    <row r="5652">
      <c r="A5652" s="12" t="inlineStr">
        <is>
          <t>K-P-0014</t>
        </is>
      </c>
      <c r="B5652" s="12" t="inlineStr">
        <is>
          <t>K</t>
        </is>
      </c>
      <c r="C5652" s="12" t="inlineStr">
        <is>
          <t>Fuel supply (adjacent market)</t>
        </is>
      </c>
      <c r="D5652" s="12" t="inlineStr">
        <is>
          <t>Motor 1 of 1, 15 kW</t>
        </is>
      </c>
      <c r="E5652" s="12" t="inlineStr"/>
      <c r="F5652" s="12" t="inlineStr">
        <is>
          <t>H2 20: 13.8 kV e-house</t>
        </is>
      </c>
      <c r="G5652" s="12" t="inlineStr"/>
      <c r="H5652" s="12" t="inlineStr">
        <is>
          <t>H2 27: storage tube bank (~40 ft tubes)</t>
        </is>
      </c>
      <c r="I5652" s="12" t="inlineStr">
        <is>
          <t>LV 600 V</t>
        </is>
      </c>
      <c r="J5652" s="12" t="inlineStr">
        <is>
          <t>ARMOR-X MC-HL 600 V 3/C Cu XHHW-2 + ground, CWA, black PVC (Class I Div 2)</t>
        </is>
      </c>
      <c r="K5652" s="12" t="inlineStr">
        <is>
          <t>LVAX|3/C+G|10</t>
        </is>
      </c>
      <c r="L5652" s="12" t="inlineStr">
        <is>
          <t>3/C+G</t>
        </is>
      </c>
      <c r="M5652" s="12" t="inlineStr">
        <is>
          <t>10</t>
        </is>
      </c>
      <c r="N5652" s="12" t="n">
        <v>1</v>
      </c>
      <c r="O5652" s="12" t="n">
        <v>1</v>
      </c>
      <c r="P5652" s="12" t="n">
        <v>480</v>
      </c>
      <c r="Q5652" s="12" t="n">
        <v>15</v>
      </c>
      <c r="R5652" s="12" t="n">
        <v>21.2</v>
      </c>
      <c r="S5652" s="12" t="inlineStr">
        <is>
          <t>Conduit link</t>
        </is>
      </c>
      <c r="T5652" s="16" t="n">
        <v>44</v>
      </c>
      <c r="U5652" s="16" t="n">
        <v>97</v>
      </c>
      <c r="V5652" s="16">
        <f>ROUNDUP((T5652+U5652+2*'Read Me'!$B$13)*(1+'Read Me'!$B$12),-1)</f>
        <v/>
      </c>
      <c r="W5652" s="16">
        <f>V5652*N5652*O5652</f>
        <v/>
      </c>
      <c r="X5652" s="12">
        <f>IF(LEFT(I5652,2)="MV",2*N5652*IF(L5652="1/C",O5652,1),0)</f>
        <v/>
      </c>
      <c r="Y5652" s="12">
        <f>IF(OR(LEFT(K5652,4)="LVAX",LEFT(K5652,6)="MV15AX",LEFT(K5652,4)="CTAX",LEFT(K5652,2)="W|"),2*N5652*O5652,0)</f>
        <v/>
      </c>
      <c r="Z5652" s="12" t="inlineStr">
        <is>
          <t>VD 1.4 %</t>
        </is>
      </c>
      <c r="AA5652" s="12">
        <f>N5652*O5652</f>
        <v/>
      </c>
    </row>
    <row r="5653">
      <c r="A5653" s="12" t="inlineStr">
        <is>
          <t>K-P-0015</t>
        </is>
      </c>
      <c r="B5653" s="12" t="inlineStr">
        <is>
          <t>K</t>
        </is>
      </c>
      <c r="C5653" s="12" t="inlineStr">
        <is>
          <t>Fuel supply (adjacent market)</t>
        </is>
      </c>
      <c r="D5653" s="12" t="inlineStr">
        <is>
          <t>Motor 1 of 1, 15 kW</t>
        </is>
      </c>
      <c r="E5653" s="12" t="inlineStr"/>
      <c r="F5653" s="12" t="inlineStr">
        <is>
          <t>H2 20: 13.8 kV e-house</t>
        </is>
      </c>
      <c r="G5653" s="12" t="inlineStr"/>
      <c r="H5653" s="12" t="inlineStr">
        <is>
          <t>H2 27: storage tube bank (~40 ft tubes)</t>
        </is>
      </c>
      <c r="I5653" s="12" t="inlineStr">
        <is>
          <t>LV 600 V</t>
        </is>
      </c>
      <c r="J5653" s="12" t="inlineStr">
        <is>
          <t>ARMOR-X MC-HL 600 V 3/C Cu XHHW-2 + ground, CWA, black PVC (Class I Div 2)</t>
        </is>
      </c>
      <c r="K5653" s="12" t="inlineStr">
        <is>
          <t>LVAX|3/C+G|10</t>
        </is>
      </c>
      <c r="L5653" s="12" t="inlineStr">
        <is>
          <t>3/C+G</t>
        </is>
      </c>
      <c r="M5653" s="12" t="inlineStr">
        <is>
          <t>10</t>
        </is>
      </c>
      <c r="N5653" s="12" t="n">
        <v>1</v>
      </c>
      <c r="O5653" s="12" t="n">
        <v>1</v>
      </c>
      <c r="P5653" s="12" t="n">
        <v>480</v>
      </c>
      <c r="Q5653" s="12" t="n">
        <v>15</v>
      </c>
      <c r="R5653" s="12" t="n">
        <v>21.2</v>
      </c>
      <c r="S5653" s="12" t="inlineStr">
        <is>
          <t>Conduit link</t>
        </is>
      </c>
      <c r="T5653" s="16" t="n">
        <v>44</v>
      </c>
      <c r="U5653" s="16" t="n">
        <v>117</v>
      </c>
      <c r="V5653" s="16">
        <f>ROUNDUP((T5653+U5653+2*'Read Me'!$B$13)*(1+'Read Me'!$B$12),-1)</f>
        <v/>
      </c>
      <c r="W5653" s="16">
        <f>V5653*N5653*O5653</f>
        <v/>
      </c>
      <c r="X5653" s="12">
        <f>IF(LEFT(I5653,2)="MV",2*N5653*IF(L5653="1/C",O5653,1),0)</f>
        <v/>
      </c>
      <c r="Y5653" s="12">
        <f>IF(OR(LEFT(K5653,4)="LVAX",LEFT(K5653,6)="MV15AX",LEFT(K5653,4)="CTAX",LEFT(K5653,2)="W|"),2*N5653*O5653,0)</f>
        <v/>
      </c>
      <c r="Z5653" s="12" t="inlineStr">
        <is>
          <t>VD 1.6 %</t>
        </is>
      </c>
      <c r="AA5653" s="12">
        <f>N5653*O5653</f>
        <v/>
      </c>
    </row>
    <row r="5654">
      <c r="A5654" s="12" t="inlineStr">
        <is>
          <t>K-P-0016</t>
        </is>
      </c>
      <c r="B5654" s="12" t="inlineStr">
        <is>
          <t>K</t>
        </is>
      </c>
      <c r="C5654" s="12" t="inlineStr">
        <is>
          <t>Fuel supply (adjacent market)</t>
        </is>
      </c>
      <c r="D5654" s="12" t="inlineStr">
        <is>
          <t>Motor 1 of 1, 15 kW</t>
        </is>
      </c>
      <c r="E5654" s="12" t="inlineStr"/>
      <c r="F5654" s="12" t="inlineStr">
        <is>
          <t>H2 20: 13.8 kV e-house</t>
        </is>
      </c>
      <c r="G5654" s="12" t="inlineStr"/>
      <c r="H5654" s="12" t="inlineStr">
        <is>
          <t>H2 27: storage tube bank (~40 ft tubes)</t>
        </is>
      </c>
      <c r="I5654" s="12" t="inlineStr">
        <is>
          <t>LV 600 V</t>
        </is>
      </c>
      <c r="J5654" s="12" t="inlineStr">
        <is>
          <t>ARMOR-X MC-HL 600 V 3/C Cu XHHW-2 + ground, CWA, black PVC (Class I Div 2)</t>
        </is>
      </c>
      <c r="K5654" s="12" t="inlineStr">
        <is>
          <t>LVAX|3/C+G|10</t>
        </is>
      </c>
      <c r="L5654" s="12" t="inlineStr">
        <is>
          <t>3/C+G</t>
        </is>
      </c>
      <c r="M5654" s="12" t="inlineStr">
        <is>
          <t>10</t>
        </is>
      </c>
      <c r="N5654" s="12" t="n">
        <v>1</v>
      </c>
      <c r="O5654" s="12" t="n">
        <v>1</v>
      </c>
      <c r="P5654" s="12" t="n">
        <v>480</v>
      </c>
      <c r="Q5654" s="12" t="n">
        <v>15</v>
      </c>
      <c r="R5654" s="12" t="n">
        <v>21.2</v>
      </c>
      <c r="S5654" s="12" t="inlineStr">
        <is>
          <t>Conduit link</t>
        </is>
      </c>
      <c r="T5654" s="16" t="n">
        <v>44</v>
      </c>
      <c r="U5654" s="16" t="n">
        <v>97</v>
      </c>
      <c r="V5654" s="16">
        <f>ROUNDUP((T5654+U5654+2*'Read Me'!$B$13)*(1+'Read Me'!$B$12),-1)</f>
        <v/>
      </c>
      <c r="W5654" s="16">
        <f>V5654*N5654*O5654</f>
        <v/>
      </c>
      <c r="X5654" s="12">
        <f>IF(LEFT(I5654,2)="MV",2*N5654*IF(L5654="1/C",O5654,1),0)</f>
        <v/>
      </c>
      <c r="Y5654" s="12">
        <f>IF(OR(LEFT(K5654,4)="LVAX",LEFT(K5654,6)="MV15AX",LEFT(K5654,4)="CTAX",LEFT(K5654,2)="W|"),2*N5654*O5654,0)</f>
        <v/>
      </c>
      <c r="Z5654" s="12" t="inlineStr">
        <is>
          <t>VD 1.4 %</t>
        </is>
      </c>
      <c r="AA5654" s="12">
        <f>N5654*O5654</f>
        <v/>
      </c>
    </row>
    <row r="5655">
      <c r="A5655" s="12" t="inlineStr">
        <is>
          <t>K-P-0017</t>
        </is>
      </c>
      <c r="B5655" s="12" t="inlineStr">
        <is>
          <t>K</t>
        </is>
      </c>
      <c r="C5655" s="12" t="inlineStr">
        <is>
          <t>Fuel supply (adjacent market)</t>
        </is>
      </c>
      <c r="D5655" s="12" t="inlineStr">
        <is>
          <t>Motor 1 of 1, 15 kW</t>
        </is>
      </c>
      <c r="E5655" s="12" t="inlineStr"/>
      <c r="F5655" s="12" t="inlineStr">
        <is>
          <t>H2 20: 13.8 kV e-house</t>
        </is>
      </c>
      <c r="G5655" s="12" t="inlineStr"/>
      <c r="H5655" s="12" t="inlineStr">
        <is>
          <t>H2 27: storage tube bank (~40 ft tubes)</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Conduit link</t>
        </is>
      </c>
      <c r="T5655" s="16" t="n">
        <v>44</v>
      </c>
      <c r="U5655" s="16" t="n">
        <v>117</v>
      </c>
      <c r="V5655" s="16">
        <f>ROUNDUP((T5655+U5655+2*'Read Me'!$B$13)*(1+'Read Me'!$B$12),-1)</f>
        <v/>
      </c>
      <c r="W5655" s="16">
        <f>V5655*N5655*O5655</f>
        <v/>
      </c>
      <c r="X5655" s="12">
        <f>IF(LEFT(I5655,2)="MV",2*N5655*IF(L5655="1/C",O5655,1),0)</f>
        <v/>
      </c>
      <c r="Y5655" s="12">
        <f>IF(OR(LEFT(K5655,4)="LVAX",LEFT(K5655,6)="MV15AX",LEFT(K5655,4)="CTAX",LEFT(K5655,2)="W|"),2*N5655*O5655,0)</f>
        <v/>
      </c>
      <c r="Z5655" s="12" t="inlineStr">
        <is>
          <t>VD 1.6 %</t>
        </is>
      </c>
      <c r="AA5655" s="12">
        <f>N5655*O5655</f>
        <v/>
      </c>
    </row>
    <row r="5656">
      <c r="A5656" s="12" t="inlineStr">
        <is>
          <t>K-P-0018</t>
        </is>
      </c>
      <c r="B5656" s="12" t="inlineStr">
        <is>
          <t>K</t>
        </is>
      </c>
      <c r="C5656" s="12" t="inlineStr">
        <is>
          <t>Fuel supply (adjacent market)</t>
        </is>
      </c>
      <c r="D5656" s="12" t="inlineStr">
        <is>
          <t>Motor 1 of 1, 15 kW</t>
        </is>
      </c>
      <c r="E5656" s="12" t="inlineStr"/>
      <c r="F5656" s="12" t="inlineStr">
        <is>
          <t>H2 20: 13.8 kV e-house</t>
        </is>
      </c>
      <c r="G5656" s="12" t="inlineStr"/>
      <c r="H5656" s="12" t="inlineStr">
        <is>
          <t>H2 28: N2 purge supply</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53</v>
      </c>
      <c r="U5656" s="16" t="n">
        <v>36</v>
      </c>
      <c r="V5656" s="16">
        <f>ROUNDUP((T5656+U5656+2*'Read Me'!$B$13)*(1+'Read Me'!$B$12),-1)</f>
        <v/>
      </c>
      <c r="W5656" s="16">
        <f>V5656*N5656*O5656</f>
        <v/>
      </c>
      <c r="X5656" s="12">
        <f>IF(LEFT(I5656,2)="MV",2*N5656*IF(L5656="1/C",O5656,1),0)</f>
        <v/>
      </c>
      <c r="Y5656" s="12">
        <f>IF(OR(LEFT(K5656,4)="LVAX",LEFT(K5656,6)="MV15AX",LEFT(K5656,4)="CTAX",LEFT(K5656,2)="W|"),2*N5656*O5656,0)</f>
        <v/>
      </c>
      <c r="Z5656" s="12" t="inlineStr">
        <is>
          <t>VD 0.9 %</t>
        </is>
      </c>
      <c r="AA5656" s="12">
        <f>N5656*O5656</f>
        <v/>
      </c>
    </row>
    <row r="5657">
      <c r="A5657" s="12" t="inlineStr">
        <is>
          <t>K-P-0019</t>
        </is>
      </c>
      <c r="B5657" s="12" t="inlineStr">
        <is>
          <t>K</t>
        </is>
      </c>
      <c r="C5657" s="12" t="inlineStr">
        <is>
          <t>Fuel supply (adjacent market)</t>
        </is>
      </c>
      <c r="D5657" s="12" t="inlineStr">
        <is>
          <t>Motor 1 of 1, 15 kW</t>
        </is>
      </c>
      <c r="E5657" s="12" t="inlineStr"/>
      <c r="F5657" s="12" t="inlineStr">
        <is>
          <t>H2 20: 13.8 kV e-house</t>
        </is>
      </c>
      <c r="G5657" s="12" t="inlineStr"/>
      <c r="H5657" s="12" t="inlineStr">
        <is>
          <t>H2 29: vent stack</t>
        </is>
      </c>
      <c r="I5657" s="12" t="inlineStr">
        <is>
          <t>LV 600 V</t>
        </is>
      </c>
      <c r="J5657" s="12" t="inlineStr">
        <is>
          <t>ARMOR-X MC-HL 600 V 3/C Cu XHHW-2 + ground, CWA, black PVC (Class I Div 2)</t>
        </is>
      </c>
      <c r="K5657" s="12" t="inlineStr">
        <is>
          <t>LVAX|3/C+G|10</t>
        </is>
      </c>
      <c r="L5657" s="12" t="inlineStr">
        <is>
          <t>3/C+G</t>
        </is>
      </c>
      <c r="M5657" s="12" t="inlineStr">
        <is>
          <t>10</t>
        </is>
      </c>
      <c r="N5657" s="12" t="n">
        <v>1</v>
      </c>
      <c r="O5657" s="12" t="n">
        <v>1</v>
      </c>
      <c r="P5657" s="12" t="n">
        <v>480</v>
      </c>
      <c r="Q5657" s="12" t="n">
        <v>15</v>
      </c>
      <c r="R5657" s="12" t="n">
        <v>21.2</v>
      </c>
      <c r="S5657" s="12" t="inlineStr">
        <is>
          <t>Conduit link</t>
        </is>
      </c>
      <c r="T5657" s="16" t="n">
        <v>44</v>
      </c>
      <c r="U5657" s="16" t="n">
        <v>210</v>
      </c>
      <c r="V5657" s="16">
        <f>ROUNDUP((T5657+U5657+2*'Read Me'!$B$13)*(1+'Read Me'!$B$12),-1)</f>
        <v/>
      </c>
      <c r="W5657" s="16">
        <f>V5657*N5657*O5657</f>
        <v/>
      </c>
      <c r="X5657" s="12">
        <f>IF(LEFT(I5657,2)="MV",2*N5657*IF(L5657="1/C",O5657,1),0)</f>
        <v/>
      </c>
      <c r="Y5657" s="12">
        <f>IF(OR(LEFT(K5657,4)="LVAX",LEFT(K5657,6)="MV15AX",LEFT(K5657,4)="CTAX",LEFT(K5657,2)="W|"),2*N5657*O5657,0)</f>
        <v/>
      </c>
      <c r="Z5657" s="12" t="inlineStr">
        <is>
          <t>VD 2.6 %</t>
        </is>
      </c>
      <c r="AA5657" s="12">
        <f>N5657*O5657</f>
        <v/>
      </c>
    </row>
    <row r="5658">
      <c r="A5658" s="12" t="inlineStr">
        <is>
          <t>K-P-0020</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H2 30: H2 / gas blending station (plant gas yard)</t>
        </is>
      </c>
      <c r="I5658" s="12" t="inlineStr">
        <is>
          <t>LV 600 V</t>
        </is>
      </c>
      <c r="J5658" s="12" t="inlineStr">
        <is>
          <t>ARMOR-X MC-HL 600 V 3/C Cu XHHW-2 + ground, CWA, black PVC (Class I Div 2)</t>
        </is>
      </c>
      <c r="K5658" s="12" t="inlineStr">
        <is>
          <t>LVAX|3/C+G|4</t>
        </is>
      </c>
      <c r="L5658" s="12" t="inlineStr">
        <is>
          <t>3/C+G</t>
        </is>
      </c>
      <c r="M5658" s="12" t="inlineStr">
        <is>
          <t>4</t>
        </is>
      </c>
      <c r="N5658" s="12" t="n">
        <v>1</v>
      </c>
      <c r="O5658" s="12" t="n">
        <v>1</v>
      </c>
      <c r="P5658" s="12" t="n">
        <v>480</v>
      </c>
      <c r="Q5658" s="12" t="n">
        <v>15</v>
      </c>
      <c r="R5658" s="12" t="n">
        <v>21.2</v>
      </c>
      <c r="S5658" s="12" t="inlineStr">
        <is>
          <t>Duct bank</t>
        </is>
      </c>
      <c r="T5658" s="16" t="n">
        <v>1017</v>
      </c>
      <c r="U5658" s="16" t="n">
        <v>114</v>
      </c>
      <c r="V5658" s="16">
        <f>ROUNDUP((T5658+U5658+2*'Read Me'!$B$13)*(1+'Read Me'!$B$12),-1)</f>
        <v/>
      </c>
      <c r="W5658" s="16">
        <f>V5658*N5658*O5658</f>
        <v/>
      </c>
      <c r="X5658" s="12">
        <f>IF(LEFT(I5658,2)="MV",2*N5658*IF(L5658="1/C",O5658,1),0)</f>
        <v/>
      </c>
      <c r="Y5658" s="12">
        <f>IF(OR(LEFT(K5658,4)="LVAX",LEFT(K5658,6)="MV15AX",LEFT(K5658,4)="CTAX",LEFT(K5658,2)="W|"),2*N5658*O5658,0)</f>
        <v/>
      </c>
      <c r="Z5658" s="12" t="inlineStr">
        <is>
          <t>VD 2.9 %</t>
        </is>
      </c>
      <c r="AA5658" s="12">
        <f>N5658*O5658</f>
        <v/>
      </c>
    </row>
    <row r="5659">
      <c r="A5659" s="12" t="inlineStr">
        <is>
          <t>K-P-0021</t>
        </is>
      </c>
      <c r="B5659" s="12" t="inlineStr">
        <is>
          <t>K</t>
        </is>
      </c>
      <c r="C5659" s="12" t="inlineStr">
        <is>
          <t>Fuel supply (adjacent market)</t>
        </is>
      </c>
      <c r="D5659" s="12" t="inlineStr">
        <is>
          <t>Motor 1 of 2, 250 kW</t>
        </is>
      </c>
      <c r="E5659" s="12" t="inlineStr"/>
      <c r="F5659" s="12" t="inlineStr">
        <is>
          <t>H2 20: 13.8 kV e-house</t>
        </is>
      </c>
      <c r="G5659" s="12" t="inlineStr"/>
      <c r="H5659" s="12" t="inlineStr">
        <is>
          <t>H2 pipe track and cable trench, hall -&gt; dryer / compressors (N2, instr</t>
        </is>
      </c>
      <c r="I5659" s="12" t="inlineStr">
        <is>
          <t>LV 600 V</t>
        </is>
      </c>
      <c r="J5659" s="12" t="inlineStr">
        <is>
          <t>ARMOR-X MC-HL 600 V 3/C Cu XHHW-2 + ground, CWA, black PVC (Class I Div 2)</t>
        </is>
      </c>
      <c r="K5659" s="12" t="inlineStr">
        <is>
          <t>LVAX|3/C+G|4/0</t>
        </is>
      </c>
      <c r="L5659" s="12" t="inlineStr">
        <is>
          <t>3/C+G</t>
        </is>
      </c>
      <c r="M5659" s="12" t="inlineStr">
        <is>
          <t>4/0</t>
        </is>
      </c>
      <c r="N5659" s="12" t="n">
        <v>2</v>
      </c>
      <c r="O5659" s="12" t="n">
        <v>1</v>
      </c>
      <c r="P5659" s="12" t="n">
        <v>480</v>
      </c>
      <c r="Q5659" s="12" t="n">
        <v>250</v>
      </c>
      <c r="R5659" s="12" t="n">
        <v>353.8</v>
      </c>
      <c r="S5659" s="12" t="inlineStr">
        <is>
          <t>Duct bank</t>
        </is>
      </c>
      <c r="T5659" s="16" t="n">
        <v>53</v>
      </c>
      <c r="U5659" s="16" t="n">
        <v>62</v>
      </c>
      <c r="V5659" s="16">
        <f>ROUNDUP((T5659+U5659+2*'Read Me'!$B$13)*(1+'Read Me'!$B$12),-1)</f>
        <v/>
      </c>
      <c r="W5659" s="16">
        <f>V5659*N5659*O5659</f>
        <v/>
      </c>
      <c r="X5659" s="12">
        <f>IF(LEFT(I5659,2)="MV",2*N5659*IF(L5659="1/C",O5659,1),0)</f>
        <v/>
      </c>
      <c r="Y5659" s="12">
        <f>IF(OR(LEFT(K5659,4)="LVAX",LEFT(K5659,6)="MV15AX",LEFT(K5659,4)="CTAX",LEFT(K5659,2)="W|"),2*N5659*O5659,0)</f>
        <v/>
      </c>
      <c r="Z5659" s="12" t="inlineStr">
        <is>
          <t>VD 0.5 %</t>
        </is>
      </c>
      <c r="AA5659" s="12">
        <f>N5659*O5659</f>
        <v/>
      </c>
    </row>
    <row r="5660">
      <c r="A5660" s="12" t="inlineStr">
        <is>
          <t>K-P-0022</t>
        </is>
      </c>
      <c r="B5660" s="12" t="inlineStr">
        <is>
          <t>K</t>
        </is>
      </c>
      <c r="C5660" s="12" t="inlineStr">
        <is>
          <t>Fuel supply (adjacent market)</t>
        </is>
      </c>
      <c r="D5660" s="12" t="inlineStr">
        <is>
          <t>Motor 2 of 2, 250 kW</t>
        </is>
      </c>
      <c r="E5660" s="12" t="inlineStr"/>
      <c r="F5660" s="12" t="inlineStr">
        <is>
          <t>H2 20: 13.8 kV e-house</t>
        </is>
      </c>
      <c r="G5660" s="12" t="inlineStr"/>
      <c r="H5660" s="12" t="inlineStr">
        <is>
          <t>H2 pipe track and cable trench, hall -&gt; dryer / compressors (N2, instr</t>
        </is>
      </c>
      <c r="I5660" s="12" t="inlineStr">
        <is>
          <t>LV 600 V</t>
        </is>
      </c>
      <c r="J5660" s="12" t="inlineStr">
        <is>
          <t>ARMOR-X MC-HL 600 V 3/C Cu XHHW-2 + ground, CWA, black PVC (Class I Div 2)</t>
        </is>
      </c>
      <c r="K5660" s="12" t="inlineStr">
        <is>
          <t>LVAX|3/C+G|4/0</t>
        </is>
      </c>
      <c r="L5660" s="12" t="inlineStr">
        <is>
          <t>3/C+G</t>
        </is>
      </c>
      <c r="M5660" s="12" t="inlineStr">
        <is>
          <t>4/0</t>
        </is>
      </c>
      <c r="N5660" s="12" t="n">
        <v>2</v>
      </c>
      <c r="O5660" s="12" t="n">
        <v>1</v>
      </c>
      <c r="P5660" s="12" t="n">
        <v>480</v>
      </c>
      <c r="Q5660" s="12" t="n">
        <v>250</v>
      </c>
      <c r="R5660" s="12" t="n">
        <v>353.8</v>
      </c>
      <c r="S5660" s="12" t="inlineStr">
        <is>
          <t>Duct bank</t>
        </is>
      </c>
      <c r="T5660" s="16" t="n">
        <v>53</v>
      </c>
      <c r="U5660" s="16" t="n">
        <v>62</v>
      </c>
      <c r="V5660" s="16">
        <f>ROUNDUP((T5660+U5660+2*'Read Me'!$B$13)*(1+'Read Me'!$B$12),-1)</f>
        <v/>
      </c>
      <c r="W5660" s="16">
        <f>V5660*N5660*O5660</f>
        <v/>
      </c>
      <c r="X5660" s="12">
        <f>IF(LEFT(I5660,2)="MV",2*N5660*IF(L5660="1/C",O5660,1),0)</f>
        <v/>
      </c>
      <c r="Y5660" s="12">
        <f>IF(OR(LEFT(K5660,4)="LVAX",LEFT(K5660,6)="MV15AX",LEFT(K5660,4)="CTAX",LEFT(K5660,2)="W|"),2*N5660*O5660,0)</f>
        <v/>
      </c>
      <c r="Z5660" s="12" t="inlineStr">
        <is>
          <t>VD 0.5 %</t>
        </is>
      </c>
      <c r="AA5660" s="12">
        <f>N5660*O5660</f>
        <v/>
      </c>
    </row>
    <row r="5661">
      <c r="A5661" s="12" t="inlineStr">
        <is>
          <t>K-P-0023</t>
        </is>
      </c>
      <c r="B5661" s="12" t="inlineStr">
        <is>
          <t>K</t>
        </is>
      </c>
      <c r="C5661" s="12" t="inlineStr">
        <is>
          <t>Fuel supply (adjacent market)</t>
        </is>
      </c>
      <c r="D5661" s="12" t="inlineStr">
        <is>
          <t>LV power feeder</t>
        </is>
      </c>
      <c r="E5661" s="12" t="inlineStr"/>
      <c r="F5661" s="12" t="inlineStr">
        <is>
          <t>H2 20: 13.8 kV e-house</t>
        </is>
      </c>
      <c r="G5661" s="12" t="inlineStr">
        <is>
          <t>H2-ST</t>
        </is>
      </c>
      <c r="H5661" s="12" t="inlineStr">
        <is>
          <t>H2 storage tube banks x4</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15</v>
      </c>
      <c r="R5661" s="12" t="n">
        <v>21.2</v>
      </c>
      <c r="S5661" s="12" t="inlineStr">
        <is>
          <t>Conduit link</t>
        </is>
      </c>
      <c r="T5661" s="16" t="n">
        <v>44</v>
      </c>
      <c r="U5661" s="16" t="n">
        <v>92</v>
      </c>
      <c r="V5661" s="16">
        <f>ROUNDUP((T5661+U5661+2*'Read Me'!$B$13)*(1+'Read Me'!$B$12),-1)</f>
        <v/>
      </c>
      <c r="W5661" s="16">
        <f>V5661*N5661*O5661</f>
        <v/>
      </c>
      <c r="X5661" s="12">
        <f>IF(LEFT(I5661,2)="MV",2*N5661*IF(L5661="1/C",O5661,1),0)</f>
        <v/>
      </c>
      <c r="Y5661" s="12">
        <f>IF(OR(LEFT(K5661,4)="LVAX",LEFT(K5661,6)="MV15AX",LEFT(K5661,4)="CTAX",LEFT(K5661,2)="W|"),2*N5661*O5661,0)</f>
        <v/>
      </c>
      <c r="Z5661" s="12" t="inlineStr">
        <is>
          <t>VD 1.4 %</t>
        </is>
      </c>
      <c r="AA5661" s="12">
        <f>N5661*O5661</f>
        <v/>
      </c>
    </row>
    <row r="5662">
      <c r="A5662" s="12" t="inlineStr">
        <is>
          <t>K-P-0024</t>
        </is>
      </c>
      <c r="B5662" s="12" t="inlineStr">
        <is>
          <t>K</t>
        </is>
      </c>
      <c r="C5662" s="12" t="inlineStr">
        <is>
          <t>Fuel supply (adjacent market)</t>
        </is>
      </c>
      <c r="D5662" s="12" t="inlineStr">
        <is>
          <t>LV power feeder</t>
        </is>
      </c>
      <c r="E5662" s="12" t="inlineStr"/>
      <c r="F5662" s="12" t="inlineStr">
        <is>
          <t>H2 20: 13.8 kV e-house</t>
        </is>
      </c>
      <c r="G5662" s="12" t="inlineStr">
        <is>
          <t>H2R</t>
        </is>
      </c>
      <c r="H5662" s="12" t="inlineStr">
        <is>
          <t>H2R: hydrogen pipeline receiving station (pig receiver, filters, meter</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15</v>
      </c>
      <c r="R5662" s="12" t="n">
        <v>21.2</v>
      </c>
      <c r="S5662" s="12" t="inlineStr">
        <is>
          <t>Conduit link</t>
        </is>
      </c>
      <c r="T5662" s="16" t="n">
        <v>40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0.7 %</t>
        </is>
      </c>
      <c r="AA5662" s="12">
        <f>N5662*O5662</f>
        <v/>
      </c>
    </row>
    <row r="5663">
      <c r="A5663" s="12" t="inlineStr">
        <is>
          <t>K-P-0025</t>
        </is>
      </c>
      <c r="B5663" s="12" t="inlineStr">
        <is>
          <t>K</t>
        </is>
      </c>
      <c r="C5663" s="12" t="inlineStr">
        <is>
          <t>Fuel supply (adjacent market)</t>
        </is>
      </c>
      <c r="D5663" s="12" t="inlineStr">
        <is>
          <t>Motor 1 of 1, 15 kW</t>
        </is>
      </c>
      <c r="E5663" s="12" t="inlineStr"/>
      <c r="F5663" s="12" t="inlineStr">
        <is>
          <t>LNG 17: LNG e-house (13.8 kV / 480 V)</t>
        </is>
      </c>
      <c r="G5663" s="12" t="inlineStr"/>
      <c r="H5663" s="12" t="inlineStr">
        <is>
          <t>LNG 10: truck unloading bay 1</t>
        </is>
      </c>
      <c r="I5663" s="12" t="inlineStr">
        <is>
          <t>LV 600 V</t>
        </is>
      </c>
      <c r="J5663" s="12" t="inlineStr">
        <is>
          <t>ARMOR-X MC-HL 600 V 3/C Cu XHHW-2 + ground, CWA, black PVC (Class I Div 2)</t>
        </is>
      </c>
      <c r="K5663" s="12" t="inlineStr">
        <is>
          <t>LVAX|3/C+G|8</t>
        </is>
      </c>
      <c r="L5663" s="12" t="inlineStr">
        <is>
          <t>3/C+G</t>
        </is>
      </c>
      <c r="M5663" s="12" t="inlineStr">
        <is>
          <t>8</t>
        </is>
      </c>
      <c r="N5663" s="12" t="n">
        <v>1</v>
      </c>
      <c r="O5663" s="12" t="n">
        <v>1</v>
      </c>
      <c r="P5663" s="12" t="n">
        <v>480</v>
      </c>
      <c r="Q5663" s="12" t="n">
        <v>15</v>
      </c>
      <c r="R5663" s="12" t="n">
        <v>21.2</v>
      </c>
      <c r="S5663" s="12" t="inlineStr">
        <is>
          <t>Duct bank</t>
        </is>
      </c>
      <c r="T5663" s="16" t="n">
        <v>237</v>
      </c>
      <c r="U5663" s="16" t="n">
        <v>61</v>
      </c>
      <c r="V5663" s="16">
        <f>ROUNDUP((T5663+U5663+2*'Read Me'!$B$13)*(1+'Read Me'!$B$12),-1)</f>
        <v/>
      </c>
      <c r="W5663" s="16">
        <f>V5663*N5663*O5663</f>
        <v/>
      </c>
      <c r="X5663" s="12">
        <f>IF(LEFT(I5663,2)="MV",2*N5663*IF(L5663="1/C",O5663,1),0)</f>
        <v/>
      </c>
      <c r="Y5663" s="12">
        <f>IF(OR(LEFT(K5663,4)="LVAX",LEFT(K5663,6)="MV15AX",LEFT(K5663,4)="CTAX",LEFT(K5663,2)="W|"),2*N5663*O5663,0)</f>
        <v/>
      </c>
      <c r="Z5663" s="12" t="inlineStr">
        <is>
          <t>VD 1.9 %</t>
        </is>
      </c>
      <c r="AA5663" s="12">
        <f>N5663*O5663</f>
        <v/>
      </c>
    </row>
    <row r="5664">
      <c r="A5664" s="12" t="inlineStr">
        <is>
          <t>K-P-0026</t>
        </is>
      </c>
      <c r="B5664" s="12" t="inlineStr">
        <is>
          <t>K</t>
        </is>
      </c>
      <c r="C5664" s="12" t="inlineStr">
        <is>
          <t>Fuel supply (adjacent market)</t>
        </is>
      </c>
      <c r="D5664" s="12" t="inlineStr">
        <is>
          <t>Motor 1 of 1, 15 kW</t>
        </is>
      </c>
      <c r="E5664" s="12" t="inlineStr"/>
      <c r="F5664" s="12" t="inlineStr">
        <is>
          <t>LNG 17: LNG e-house (13.8 kV / 480 V)</t>
        </is>
      </c>
      <c r="G5664" s="12" t="inlineStr"/>
      <c r="H5664" s="12" t="inlineStr">
        <is>
          <t>LNG 10: truck unloading bay 2</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15</v>
      </c>
      <c r="R5664" s="12" t="n">
        <v>21.2</v>
      </c>
      <c r="S5664" s="12" t="inlineStr">
        <is>
          <t>Duct bank</t>
        </is>
      </c>
      <c r="T5664" s="16" t="n">
        <v>147</v>
      </c>
      <c r="U5664" s="16" t="n">
        <v>66</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K-P-0027</t>
        </is>
      </c>
      <c r="B5665" s="12" t="inlineStr">
        <is>
          <t>K</t>
        </is>
      </c>
      <c r="C5665" s="12" t="inlineStr">
        <is>
          <t>Fuel supply (adjacent market)</t>
        </is>
      </c>
      <c r="D5665" s="12" t="inlineStr">
        <is>
          <t>Motor 1 of 1, 15 kW</t>
        </is>
      </c>
      <c r="E5665" s="12" t="inlineStr"/>
      <c r="F5665" s="12" t="inlineStr">
        <is>
          <t>LNG 17: LNG e-house (13.8 kV / 480 V)</t>
        </is>
      </c>
      <c r="G5665" s="12" t="inlineStr"/>
      <c r="H5665" s="12" t="inlineStr">
        <is>
          <t>LNG 10: unloading skid</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15</v>
      </c>
      <c r="R5665" s="12" t="n">
        <v>21.2</v>
      </c>
      <c r="S5665" s="12" t="inlineStr">
        <is>
          <t>Duct bank</t>
        </is>
      </c>
      <c r="T5665" s="16" t="n">
        <v>237</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2.7 %</t>
        </is>
      </c>
      <c r="AA5665" s="12">
        <f>N5665*O5665</f>
        <v/>
      </c>
    </row>
    <row r="5666">
      <c r="A5666" s="12" t="inlineStr">
        <is>
          <t>K-P-0028</t>
        </is>
      </c>
      <c r="B5666" s="12" t="inlineStr">
        <is>
          <t>K</t>
        </is>
      </c>
      <c r="C5666" s="12" t="inlineStr">
        <is>
          <t>Fuel supply (adjacent market)</t>
        </is>
      </c>
      <c r="D5666" s="12" t="inlineStr">
        <is>
          <t>LV power feeder</t>
        </is>
      </c>
      <c r="E5666" s="12" t="inlineStr"/>
      <c r="F5666" s="12" t="inlineStr">
        <is>
          <t>LNG 17: LNG e-house (13.8 kV / 480 V)</t>
        </is>
      </c>
      <c r="G5666" s="12" t="inlineStr">
        <is>
          <t>LNG-T1</t>
        </is>
      </c>
      <c r="H5666" s="12" t="inlineStr">
        <is>
          <t>LNG 11: tank 1,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210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1.6 %</t>
        </is>
      </c>
      <c r="AA5666" s="12">
        <f>N5666*O5666</f>
        <v/>
      </c>
    </row>
    <row r="5667">
      <c r="A5667" s="12" t="inlineStr">
        <is>
          <t>K-P-0029</t>
        </is>
      </c>
      <c r="B5667" s="12" t="inlineStr">
        <is>
          <t>K</t>
        </is>
      </c>
      <c r="C5667" s="12" t="inlineStr">
        <is>
          <t>Fuel supply (adjacent market)</t>
        </is>
      </c>
      <c r="D5667" s="12" t="inlineStr">
        <is>
          <t>LV power feeder</t>
        </is>
      </c>
      <c r="E5667" s="12" t="inlineStr"/>
      <c r="F5667" s="12" t="inlineStr">
        <is>
          <t>LNG 17: LNG e-house (13.8 kV / 480 V)</t>
        </is>
      </c>
      <c r="G5667" s="12" t="inlineStr">
        <is>
          <t>LNG-T2</t>
        </is>
      </c>
      <c r="H5667" s="12" t="inlineStr">
        <is>
          <t>LNG 11: tank 2,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230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1.8 %</t>
        </is>
      </c>
      <c r="AA5667" s="12">
        <f>N5667*O5667</f>
        <v/>
      </c>
    </row>
    <row r="5668">
      <c r="A5668" s="12" t="inlineStr">
        <is>
          <t>K-P-0030</t>
        </is>
      </c>
      <c r="B5668" s="12" t="inlineStr">
        <is>
          <t>K</t>
        </is>
      </c>
      <c r="C5668" s="12" t="inlineStr">
        <is>
          <t>Fuel supply (adjacent market)</t>
        </is>
      </c>
      <c r="D5668" s="12" t="inlineStr">
        <is>
          <t>LV power feeder</t>
        </is>
      </c>
      <c r="E5668" s="12" t="inlineStr"/>
      <c r="F5668" s="12" t="inlineStr">
        <is>
          <t>LNG 17: LNG e-house (13.8 kV / 480 V)</t>
        </is>
      </c>
      <c r="G5668" s="12" t="inlineStr">
        <is>
          <t>LNG-T3</t>
        </is>
      </c>
      <c r="H5668" s="12" t="inlineStr">
        <is>
          <t>LNG 11: tank 3, Chart HS 50000 (51,780 gal)</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10</v>
      </c>
      <c r="R5668" s="12" t="n">
        <v>14.2</v>
      </c>
      <c r="S5668" s="12" t="inlineStr">
        <is>
          <t>Duct bank</t>
        </is>
      </c>
      <c r="T5668" s="16" t="n">
        <v>250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1.9 %</t>
        </is>
      </c>
      <c r="AA5668" s="12">
        <f>N5668*O5668</f>
        <v/>
      </c>
    </row>
    <row r="5669">
      <c r="A5669" s="12" t="inlineStr">
        <is>
          <t>K-P-0031</t>
        </is>
      </c>
      <c r="B5669" s="12" t="inlineStr">
        <is>
          <t>K</t>
        </is>
      </c>
      <c r="C5669" s="12" t="inlineStr">
        <is>
          <t>Fuel supply (adjacent market)</t>
        </is>
      </c>
      <c r="D5669" s="12" t="inlineStr">
        <is>
          <t>LV power feeder</t>
        </is>
      </c>
      <c r="E5669" s="12" t="inlineStr"/>
      <c r="F5669" s="12" t="inlineStr">
        <is>
          <t>LNG 17: LNG e-house (13.8 kV / 480 V)</t>
        </is>
      </c>
      <c r="G5669" s="12" t="inlineStr">
        <is>
          <t>LNG-T4</t>
        </is>
      </c>
      <c r="H5669" s="12" t="inlineStr">
        <is>
          <t>LNG 11: tank 4, Chart HS 50000 (51,780 gal)</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10</v>
      </c>
      <c r="R5669" s="12" t="n">
        <v>14.2</v>
      </c>
      <c r="S5669" s="12" t="inlineStr">
        <is>
          <t>Duct bank</t>
        </is>
      </c>
      <c r="T5669" s="16" t="n">
        <v>270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2.1 %</t>
        </is>
      </c>
      <c r="AA5669" s="12">
        <f>N5669*O5669</f>
        <v/>
      </c>
    </row>
    <row r="5670">
      <c r="A5670" s="12" t="inlineStr">
        <is>
          <t>K-P-0032</t>
        </is>
      </c>
      <c r="B5670" s="12" t="inlineStr">
        <is>
          <t>K</t>
        </is>
      </c>
      <c r="C5670" s="12" t="inlineStr">
        <is>
          <t>Fuel supply (adjacent market)</t>
        </is>
      </c>
      <c r="D5670" s="12" t="inlineStr">
        <is>
          <t>LV power feeder</t>
        </is>
      </c>
      <c r="E5670" s="12" t="inlineStr"/>
      <c r="F5670" s="12" t="inlineStr">
        <is>
          <t>LNG 17: LNG e-house (13.8 kV / 480 V)</t>
        </is>
      </c>
      <c r="G5670" s="12" t="inlineStr">
        <is>
          <t>LNG-T5</t>
        </is>
      </c>
      <c r="H5670" s="12" t="inlineStr">
        <is>
          <t>LNG 11: tank 5, Chart HS 50000 (51,780 gal)</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10</v>
      </c>
      <c r="R5670" s="12" t="n">
        <v>14.2</v>
      </c>
      <c r="S5670" s="12" t="inlineStr">
        <is>
          <t>Duct bank</t>
        </is>
      </c>
      <c r="T5670" s="16" t="n">
        <v>290</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2.2 %</t>
        </is>
      </c>
      <c r="AA5670" s="12">
        <f>N5670*O5670</f>
        <v/>
      </c>
    </row>
    <row r="5671">
      <c r="A5671" s="12" t="inlineStr">
        <is>
          <t>K-P-0033</t>
        </is>
      </c>
      <c r="B5671" s="12" t="inlineStr">
        <is>
          <t>K</t>
        </is>
      </c>
      <c r="C5671" s="12" t="inlineStr">
        <is>
          <t>Fuel supply (adjacent market)</t>
        </is>
      </c>
      <c r="D5671" s="12" t="inlineStr">
        <is>
          <t>LV power feeder</t>
        </is>
      </c>
      <c r="E5671" s="12" t="inlineStr"/>
      <c r="F5671" s="12" t="inlineStr">
        <is>
          <t>LNG 17: LNG e-house (13.8 kV / 480 V)</t>
        </is>
      </c>
      <c r="G5671" s="12" t="inlineStr">
        <is>
          <t>LNG-T6</t>
        </is>
      </c>
      <c r="H5671" s="12" t="inlineStr">
        <is>
          <t>LNG 11: tank 6, Chart HS 50000 (51,780 gal)</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10</v>
      </c>
      <c r="R5671" s="12" t="n">
        <v>14.2</v>
      </c>
      <c r="S5671" s="12" t="inlineStr">
        <is>
          <t>Duct bank</t>
        </is>
      </c>
      <c r="T5671" s="16" t="n">
        <v>310</v>
      </c>
      <c r="U5671" s="16" t="n">
        <v>32</v>
      </c>
      <c r="V5671" s="16">
        <f>ROUNDUP((T5671+U5671+2*'Read Me'!$B$13)*(1+'Read Me'!$B$12),-1)</f>
        <v/>
      </c>
      <c r="W5671" s="16">
        <f>V5671*N5671*O5671</f>
        <v/>
      </c>
      <c r="X5671" s="12">
        <f>IF(LEFT(I5671,2)="MV",2*N5671*IF(L5671="1/C",O5671,1),0)</f>
        <v/>
      </c>
      <c r="Y5671" s="12">
        <f>IF(OR(LEFT(K5671,4)="LVAX",LEFT(K5671,6)="MV15AX",LEFT(K5671,4)="CTAX",LEFT(K5671,2)="W|"),2*N5671*O5671,0)</f>
        <v/>
      </c>
      <c r="Z5671" s="12" t="inlineStr">
        <is>
          <t>VD 2.3 %</t>
        </is>
      </c>
      <c r="AA5671" s="12">
        <f>N5671*O5671</f>
        <v/>
      </c>
    </row>
    <row r="5672">
      <c r="A5672" s="12" t="inlineStr">
        <is>
          <t>K-P-0034</t>
        </is>
      </c>
      <c r="B5672" s="12" t="inlineStr">
        <is>
          <t>K</t>
        </is>
      </c>
      <c r="C5672" s="12" t="inlineStr">
        <is>
          <t>Fuel supply (adjacent market)</t>
        </is>
      </c>
      <c r="D5672" s="12" t="inlineStr">
        <is>
          <t>LV power feeder</t>
        </is>
      </c>
      <c r="E5672" s="12" t="inlineStr"/>
      <c r="F5672" s="12" t="inlineStr">
        <is>
          <t>LNG 17: LNG e-house (13.8 kV / 480 V)</t>
        </is>
      </c>
      <c r="G5672" s="12" t="inlineStr">
        <is>
          <t>LNG-T7</t>
        </is>
      </c>
      <c r="H5672" s="12" t="inlineStr">
        <is>
          <t>LNG 11: tank 7, Chart HS 50000 (51,780 gal)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10</v>
      </c>
      <c r="R5672" s="12" t="n">
        <v>14.2</v>
      </c>
      <c r="S5672" s="12" t="inlineStr">
        <is>
          <t>Duct bank</t>
        </is>
      </c>
      <c r="T5672" s="16" t="n">
        <v>330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2.5 %</t>
        </is>
      </c>
      <c r="AA5672" s="12">
        <f>N5672*O5672</f>
        <v/>
      </c>
    </row>
    <row r="5673">
      <c r="A5673" s="12" t="inlineStr">
        <is>
          <t>K-P-0035</t>
        </is>
      </c>
      <c r="B5673" s="12" t="inlineStr">
        <is>
          <t>K</t>
        </is>
      </c>
      <c r="C5673" s="12" t="inlineStr">
        <is>
          <t>Fuel supply (adjacent market)</t>
        </is>
      </c>
      <c r="D5673" s="12" t="inlineStr">
        <is>
          <t>LV power feeder</t>
        </is>
      </c>
      <c r="E5673" s="12" t="inlineStr"/>
      <c r="F5673" s="12" t="inlineStr">
        <is>
          <t>LNG 17: LNG e-house (13.8 kV / 480 V)</t>
        </is>
      </c>
      <c r="G5673" s="12" t="inlineStr">
        <is>
          <t>LNG-T8</t>
        </is>
      </c>
      <c r="H5673" s="12" t="inlineStr">
        <is>
          <t>LNG 11: tank 8, Chart HS 50000 (51,780 gal)</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10</v>
      </c>
      <c r="R5673" s="12" t="n">
        <v>14.2</v>
      </c>
      <c r="S5673" s="12" t="inlineStr">
        <is>
          <t>Duct bank</t>
        </is>
      </c>
      <c r="T5673" s="16" t="n">
        <v>350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2.6 %</t>
        </is>
      </c>
      <c r="AA5673" s="12">
        <f>N5673*O5673</f>
        <v/>
      </c>
    </row>
    <row r="5674">
      <c r="A5674" s="12" t="inlineStr">
        <is>
          <t>K-P-0036</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12: spill impoundment (NFPA 59A, to verify)</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230</v>
      </c>
      <c r="U5674" s="16" t="n">
        <v>32</v>
      </c>
      <c r="V5674" s="16">
        <f>ROUNDUP((T5674+U5674+2*'Read Me'!$B$13)*(1+'Read Me'!$B$12),-1)</f>
        <v/>
      </c>
      <c r="W5674" s="16">
        <f>V5674*N5674*O5674</f>
        <v/>
      </c>
      <c r="X5674" s="12">
        <f>IF(LEFT(I5674,2)="MV",2*N5674*IF(L5674="1/C",O5674,1),0)</f>
        <v/>
      </c>
      <c r="Y5674" s="12">
        <f>IF(OR(LEFT(K5674,4)="LVAX",LEFT(K5674,6)="MV15AX",LEFT(K5674,4)="CTAX",LEFT(K5674,2)="W|"),2*N5674*O5674,0)</f>
        <v/>
      </c>
      <c r="Z5674" s="12" t="inlineStr">
        <is>
          <t>VD 2.7 %</t>
        </is>
      </c>
      <c r="AA5674" s="12">
        <f>N5674*O5674</f>
        <v/>
      </c>
    </row>
    <row r="5675">
      <c r="A5675" s="12" t="inlineStr">
        <is>
          <t>K-P-0037</t>
        </is>
      </c>
      <c r="B5675" s="12" t="inlineStr">
        <is>
          <t>K</t>
        </is>
      </c>
      <c r="C5675" s="12" t="inlineStr">
        <is>
          <t>Fuel supply (adjacent market)</t>
        </is>
      </c>
      <c r="D5675" s="12" t="inlineStr">
        <is>
          <t>Motor 1 of 1, 15 kW</t>
        </is>
      </c>
      <c r="E5675" s="12" t="inlineStr"/>
      <c r="F5675" s="12" t="inlineStr">
        <is>
          <t>LNG 17: LNG e-house (13.8 kV / 480 V)</t>
        </is>
      </c>
      <c r="G5675" s="12" t="inlineStr"/>
      <c r="H5675" s="12" t="inlineStr">
        <is>
          <t>LNG 13: send-out pumps 2 x 100%</t>
        </is>
      </c>
      <c r="I5675" s="12" t="inlineStr">
        <is>
          <t>LV 600 V</t>
        </is>
      </c>
      <c r="J5675" s="12" t="inlineStr">
        <is>
          <t>ARMOR-X MC-HL 600 V 3/C Cu XHHW-2 + ground, CWA, black PVC (Class I Div 2)</t>
        </is>
      </c>
      <c r="K5675" s="12" t="inlineStr">
        <is>
          <t>LVAX|3/C+G|10</t>
        </is>
      </c>
      <c r="L5675" s="12" t="inlineStr">
        <is>
          <t>3/C+G</t>
        </is>
      </c>
      <c r="M5675" s="12" t="inlineStr">
        <is>
          <t>10</t>
        </is>
      </c>
      <c r="N5675" s="12" t="n">
        <v>1</v>
      </c>
      <c r="O5675" s="12" t="n">
        <v>1</v>
      </c>
      <c r="P5675" s="12" t="n">
        <v>480</v>
      </c>
      <c r="Q5675" s="12" t="n">
        <v>15</v>
      </c>
      <c r="R5675" s="12" t="n">
        <v>21.2</v>
      </c>
      <c r="S5675" s="12" t="inlineStr">
        <is>
          <t>Duct bank</t>
        </is>
      </c>
      <c r="T5675" s="16" t="n">
        <v>110</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1.4 %</t>
        </is>
      </c>
      <c r="AA5675" s="12">
        <f>N5675*O5675</f>
        <v/>
      </c>
    </row>
    <row r="5676">
      <c r="A5676" s="12" t="inlineStr">
        <is>
          <t>K-P-0038</t>
        </is>
      </c>
      <c r="B5676" s="12" t="inlineStr">
        <is>
          <t>K</t>
        </is>
      </c>
      <c r="C5676" s="12" t="inlineStr">
        <is>
          <t>Fuel supply (adjacent market)</t>
        </is>
      </c>
      <c r="D5676" s="12" t="inlineStr">
        <is>
          <t>Motor 1 of 1, 15 kW</t>
        </is>
      </c>
      <c r="E5676" s="12" t="inlineStr"/>
      <c r="F5676" s="12" t="inlineStr">
        <is>
          <t>LNG 17: LNG e-house (13.8 kV / 480 V)</t>
        </is>
      </c>
      <c r="G5676" s="12" t="inlineStr"/>
      <c r="H5676" s="12" t="inlineStr">
        <is>
          <t>LNG 14: vaporizers + glycol heater</t>
        </is>
      </c>
      <c r="I5676" s="12" t="inlineStr">
        <is>
          <t>LV 600 V</t>
        </is>
      </c>
      <c r="J5676" s="12" t="inlineStr">
        <is>
          <t>ARMOR-X MC-HL 600 V 3/C Cu XHHW-2 + ground, CWA, black PVC (Class I Div 2)</t>
        </is>
      </c>
      <c r="K5676" s="12" t="inlineStr">
        <is>
          <t>LVAX|3/C+G|10</t>
        </is>
      </c>
      <c r="L5676" s="12" t="inlineStr">
        <is>
          <t>3/C+G</t>
        </is>
      </c>
      <c r="M5676" s="12" t="inlineStr">
        <is>
          <t>10</t>
        </is>
      </c>
      <c r="N5676" s="12" t="n">
        <v>1</v>
      </c>
      <c r="O5676" s="12" t="n">
        <v>1</v>
      </c>
      <c r="P5676" s="12" t="n">
        <v>480</v>
      </c>
      <c r="Q5676" s="12" t="n">
        <v>15</v>
      </c>
      <c r="R5676" s="12" t="n">
        <v>21.2</v>
      </c>
      <c r="S5676" s="12" t="inlineStr">
        <is>
          <t>Duct bank</t>
        </is>
      </c>
      <c r="T5676" s="16" t="n">
        <v>259</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3.0 %</t>
        </is>
      </c>
      <c r="AA5676" s="12">
        <f>N5676*O5676</f>
        <v/>
      </c>
    </row>
    <row r="5677">
      <c r="A5677" s="12" t="inlineStr">
        <is>
          <t>K-P-0039</t>
        </is>
      </c>
      <c r="B5677" s="12" t="inlineStr">
        <is>
          <t>K</t>
        </is>
      </c>
      <c r="C5677" s="12" t="inlineStr">
        <is>
          <t>Fuel supply (adjacent market)</t>
        </is>
      </c>
      <c r="D5677" s="12" t="inlineStr">
        <is>
          <t>Motor 1 of 1, 15 kW</t>
        </is>
      </c>
      <c r="E5677" s="12" t="inlineStr"/>
      <c r="F5677" s="12" t="inlineStr">
        <is>
          <t>LNG 17: LNG e-house (13.8 kV / 480 V)</t>
        </is>
      </c>
      <c r="G5677" s="12" t="inlineStr"/>
      <c r="H5677" s="12" t="inlineStr">
        <is>
          <t>LNG 15: boil-off gas compressor</t>
        </is>
      </c>
      <c r="I5677" s="12" t="inlineStr">
        <is>
          <t>LV 600 V</t>
        </is>
      </c>
      <c r="J5677" s="12" t="inlineStr">
        <is>
          <t>ARMOR-X MC-HL 600 V 3/C Cu XHHW-2 + ground, CWA, black PVC (Class I Div 2)</t>
        </is>
      </c>
      <c r="K5677" s="12" t="inlineStr">
        <is>
          <t>LVAX|3/C+G|10</t>
        </is>
      </c>
      <c r="L5677" s="12" t="inlineStr">
        <is>
          <t>3/C+G</t>
        </is>
      </c>
      <c r="M5677" s="12" t="inlineStr">
        <is>
          <t>10</t>
        </is>
      </c>
      <c r="N5677" s="12" t="n">
        <v>1</v>
      </c>
      <c r="O5677" s="12" t="n">
        <v>1</v>
      </c>
      <c r="P5677" s="12" t="n">
        <v>480</v>
      </c>
      <c r="Q5677" s="12" t="n">
        <v>15</v>
      </c>
      <c r="R5677" s="12" t="n">
        <v>21.2</v>
      </c>
      <c r="S5677" s="12" t="inlineStr">
        <is>
          <t>Duct bank</t>
        </is>
      </c>
      <c r="T5677" s="16" t="n">
        <v>25</v>
      </c>
      <c r="U5677" s="16" t="n">
        <v>54</v>
      </c>
      <c r="V5677" s="16">
        <f>ROUNDUP((T5677+U5677+2*'Read Me'!$B$13)*(1+'Read Me'!$B$12),-1)</f>
        <v/>
      </c>
      <c r="W5677" s="16">
        <f>V5677*N5677*O5677</f>
        <v/>
      </c>
      <c r="X5677" s="12">
        <f>IF(LEFT(I5677,2)="MV",2*N5677*IF(L5677="1/C",O5677,1),0)</f>
        <v/>
      </c>
      <c r="Y5677" s="12">
        <f>IF(OR(LEFT(K5677,4)="LVAX",LEFT(K5677,6)="MV15AX",LEFT(K5677,4)="CTAX",LEFT(K5677,2)="W|"),2*N5677*O5677,0)</f>
        <v/>
      </c>
      <c r="Z5677" s="12" t="inlineStr">
        <is>
          <t>VD 0.8 %</t>
        </is>
      </c>
      <c r="AA5677" s="12">
        <f>N5677*O5677</f>
        <v/>
      </c>
    </row>
    <row r="5678">
      <c r="A5678" s="12" t="inlineStr">
        <is>
          <t>K-P-0040</t>
        </is>
      </c>
      <c r="B5678" s="12" t="inlineStr">
        <is>
          <t>K</t>
        </is>
      </c>
      <c r="C5678" s="12" t="inlineStr">
        <is>
          <t>Fuel supply (adjacent market)</t>
        </is>
      </c>
      <c r="D5678" s="12" t="inlineStr">
        <is>
          <t>Motor 1 of 1, 15 kW</t>
        </is>
      </c>
      <c r="E5678" s="12" t="inlineStr"/>
      <c r="F5678" s="12" t="inlineStr">
        <is>
          <t>LNG 17: LNG e-house (13.8 kV / 480 V)</t>
        </is>
      </c>
      <c r="G5678" s="12" t="inlineStr"/>
      <c r="H5678" s="12" t="inlineStr">
        <is>
          <t>LNG 16: send-out metering + pressure control</t>
        </is>
      </c>
      <c r="I5678" s="12" t="inlineStr">
        <is>
          <t>LV 600 V</t>
        </is>
      </c>
      <c r="J5678" s="12" t="inlineStr">
        <is>
          <t>ARMOR-X MC-HL 600 V 3/C Cu XHHW-2 + ground, CWA, black PVC (Class I Div 2)</t>
        </is>
      </c>
      <c r="K5678" s="12" t="inlineStr">
        <is>
          <t>LVAX|3/C+G|10</t>
        </is>
      </c>
      <c r="L5678" s="12" t="inlineStr">
        <is>
          <t>3/C+G</t>
        </is>
      </c>
      <c r="M5678" s="12" t="inlineStr">
        <is>
          <t>10</t>
        </is>
      </c>
      <c r="N5678" s="12" t="n">
        <v>1</v>
      </c>
      <c r="O5678" s="12" t="n">
        <v>1</v>
      </c>
      <c r="P5678" s="12" t="n">
        <v>480</v>
      </c>
      <c r="Q5678" s="12" t="n">
        <v>15</v>
      </c>
      <c r="R5678" s="12" t="n">
        <v>21.2</v>
      </c>
      <c r="S5678" s="12" t="inlineStr">
        <is>
          <t>Duct bank</t>
        </is>
      </c>
      <c r="T5678" s="16" t="n">
        <v>20</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0.5 %</t>
        </is>
      </c>
      <c r="AA5678" s="12">
        <f>N5678*O5678</f>
        <v/>
      </c>
    </row>
    <row r="5679">
      <c r="A5679" s="12" t="inlineStr">
        <is>
          <t>K-P-0041</t>
        </is>
      </c>
      <c r="B5679" s="12" t="inlineStr">
        <is>
          <t>K</t>
        </is>
      </c>
      <c r="C5679" s="12" t="inlineStr">
        <is>
          <t>Fuel supply (adjacent market)</t>
        </is>
      </c>
      <c r="D5679" s="12" t="inlineStr">
        <is>
          <t>Motor 1 of 1, 15 kW</t>
        </is>
      </c>
      <c r="E5679" s="12" t="inlineStr"/>
      <c r="F5679" s="12" t="inlineStr">
        <is>
          <t>LNG 17: LNG e-house (13.8 kV / 480 V)</t>
        </is>
      </c>
      <c r="G5679" s="12" t="inlineStr"/>
      <c r="H5679" s="12" t="inlineStr">
        <is>
          <t>LNG 17: LNG e-house (13.8 kV / 480 V)</t>
        </is>
      </c>
      <c r="I5679" s="12" t="inlineStr">
        <is>
          <t>LV 600 V</t>
        </is>
      </c>
      <c r="J5679" s="12" t="inlineStr">
        <is>
          <t>ARMOR-X MC-HL 600 V 3/C Cu XHHW-2 + ground, CWA, black PVC (Class I Div 2)</t>
        </is>
      </c>
      <c r="K5679" s="12" t="inlineStr">
        <is>
          <t>LVAX|3/C+G|10</t>
        </is>
      </c>
      <c r="L5679" s="12" t="inlineStr">
        <is>
          <t>3/C+G</t>
        </is>
      </c>
      <c r="M5679" s="12" t="inlineStr">
        <is>
          <t>10</t>
        </is>
      </c>
      <c r="N5679" s="12" t="n">
        <v>1</v>
      </c>
      <c r="O5679" s="12" t="n">
        <v>1</v>
      </c>
      <c r="P5679" s="12" t="n">
        <v>480</v>
      </c>
      <c r="Q5679" s="12" t="n">
        <v>15</v>
      </c>
      <c r="R5679" s="12" t="n">
        <v>21.2</v>
      </c>
      <c r="S5679" s="12" t="inlineStr">
        <is>
          <t>Tray</t>
        </is>
      </c>
      <c r="T5679" s="16" t="n">
        <v>0</v>
      </c>
      <c r="U5679" s="16" t="n">
        <v>32</v>
      </c>
      <c r="V5679" s="16">
        <f>ROUNDUP((T5679+U5679+2*'Read Me'!$B$13)*(1+'Read Me'!$B$12),-1)</f>
        <v/>
      </c>
      <c r="W5679" s="16">
        <f>V5679*N5679*O5679</f>
        <v/>
      </c>
      <c r="X5679" s="12">
        <f>IF(LEFT(I5679,2)="MV",2*N5679*IF(L5679="1/C",O5679,1),0)</f>
        <v/>
      </c>
      <c r="Y5679" s="12">
        <f>IF(OR(LEFT(K5679,4)="LVAX",LEFT(K5679,6)="MV15AX",LEFT(K5679,4)="CTAX",LEFT(K5679,2)="W|"),2*N5679*O5679,0)</f>
        <v/>
      </c>
      <c r="Z5679" s="12" t="inlineStr">
        <is>
          <t>VD 0.3 %</t>
        </is>
      </c>
      <c r="AA5679" s="12">
        <f>N5679*O5679</f>
        <v/>
      </c>
    </row>
    <row r="5680">
      <c r="A5680" s="12" t="inlineStr">
        <is>
          <t>K-P-0042</t>
        </is>
      </c>
      <c r="B5680" s="12" t="inlineStr">
        <is>
          <t>K</t>
        </is>
      </c>
      <c r="C5680" s="12" t="inlineStr">
        <is>
          <t>Fuel supply (adjacent market)</t>
        </is>
      </c>
      <c r="D5680" s="12" t="inlineStr">
        <is>
          <t>Motor 1 of 1, 15 kW</t>
        </is>
      </c>
      <c r="E5680" s="12" t="inlineStr"/>
      <c r="F5680" s="12" t="inlineStr">
        <is>
          <t>LNG 17: LNG e-house (13.8 kV / 480 V)</t>
        </is>
      </c>
      <c r="G5680" s="12" t="inlineStr"/>
      <c r="H5680" s="12" t="inlineStr">
        <is>
          <t>LNG 18: vent stack</t>
        </is>
      </c>
      <c r="I5680" s="12" t="inlineStr">
        <is>
          <t>LV 600 V</t>
        </is>
      </c>
      <c r="J5680" s="12" t="inlineStr">
        <is>
          <t>ARMOR-X MC-HL 600 V 3/C Cu XHHW-2 + ground, CWA, black PVC (Class I Div 2)</t>
        </is>
      </c>
      <c r="K5680" s="12" t="inlineStr">
        <is>
          <t>LVAX|3/C+G|10</t>
        </is>
      </c>
      <c r="L5680" s="12" t="inlineStr">
        <is>
          <t>3/C+G</t>
        </is>
      </c>
      <c r="M5680" s="12" t="inlineStr">
        <is>
          <t>10</t>
        </is>
      </c>
      <c r="N5680" s="12" t="n">
        <v>1</v>
      </c>
      <c r="O5680" s="12" t="n">
        <v>1</v>
      </c>
      <c r="P5680" s="12" t="n">
        <v>480</v>
      </c>
      <c r="Q5680" s="12" t="n">
        <v>15</v>
      </c>
      <c r="R5680" s="12" t="n">
        <v>21.2</v>
      </c>
      <c r="S5680" s="12" t="inlineStr">
        <is>
          <t>Duct bank</t>
        </is>
      </c>
      <c r="T5680" s="16" t="n">
        <v>25</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is>
          <t>VD 1.4 %</t>
        </is>
      </c>
      <c r="AA5680" s="12">
        <f>N5680*O5680</f>
        <v/>
      </c>
    </row>
    <row r="5681">
      <c r="A5681" s="12" t="inlineStr">
        <is>
          <t>K-P-0043</t>
        </is>
      </c>
      <c r="B5681" s="12" t="inlineStr">
        <is>
          <t>K</t>
        </is>
      </c>
      <c r="C5681" s="12" t="inlineStr">
        <is>
          <t>Fuel supply (adjacent market)</t>
        </is>
      </c>
      <c r="D5681" s="12" t="inlineStr">
        <is>
          <t>LV power feeder</t>
        </is>
      </c>
      <c r="E5681" s="12" t="inlineStr"/>
      <c r="F5681" s="12" t="inlineStr">
        <is>
          <t>LNG 17: LNG e-house (13.8 kV / 480 V)</t>
        </is>
      </c>
      <c r="G5681" s="12" t="inlineStr"/>
      <c r="H5681" s="12" t="inlineStr">
        <is>
          <t>LNG impoundment sump pump</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15</v>
      </c>
      <c r="R5681" s="12" t="n">
        <v>21.2</v>
      </c>
      <c r="S5681" s="12" t="inlineStr">
        <is>
          <t>Duct bank</t>
        </is>
      </c>
      <c r="T5681" s="16" t="n">
        <v>334</v>
      </c>
      <c r="U5681" s="16" t="n">
        <v>32</v>
      </c>
      <c r="V5681" s="16">
        <f>ROUNDUP((T5681+U5681+2*'Read Me'!$B$13)*(1+'Read Me'!$B$12),-1)</f>
        <v/>
      </c>
      <c r="W5681" s="16">
        <f>V5681*N5681*O5681</f>
        <v/>
      </c>
      <c r="X5681" s="12">
        <f>IF(LEFT(I5681,2)="MV",2*N5681*IF(L5681="1/C",O5681,1),0)</f>
        <v/>
      </c>
      <c r="Y5681" s="12">
        <f>IF(OR(LEFT(K5681,4)="LVAX",LEFT(K5681,6)="MV15AX",LEFT(K5681,4)="CTAX",LEFT(K5681,2)="W|"),2*N5681*O5681,0)</f>
        <v/>
      </c>
      <c r="Z5681" s="12" t="inlineStr">
        <is>
          <t>VD 2.4 %</t>
        </is>
      </c>
      <c r="AA5681" s="12">
        <f>N5681*O5681</f>
        <v/>
      </c>
    </row>
    <row r="5682">
      <c r="A5682" s="12" t="inlineStr">
        <is>
          <t>K-P-0044</t>
        </is>
      </c>
      <c r="B5682" s="12" t="inlineStr">
        <is>
          <t>K</t>
        </is>
      </c>
      <c r="C5682" s="12" t="inlineStr">
        <is>
          <t>Fuel supply (adjacent market)</t>
        </is>
      </c>
      <c r="D5682" s="12" t="inlineStr">
        <is>
          <t>LV power feeder</t>
        </is>
      </c>
      <c r="E5682" s="12" t="inlineStr"/>
      <c r="F5682" s="12" t="inlineStr">
        <is>
          <t>LNG 17: LNG e-house (13.8 kV / 480 V)</t>
        </is>
      </c>
      <c r="G5682" s="12" t="inlineStr"/>
      <c r="H5682" s="12" t="inlineStr">
        <is>
          <t>M&amp;R 2: insulating joint + ESD valve</t>
        </is>
      </c>
      <c r="I5682" s="12" t="inlineStr">
        <is>
          <t>LV 600 V</t>
        </is>
      </c>
      <c r="J5682" s="12" t="inlineStr">
        <is>
          <t>ARMOR-X MC-HL 600 V 3/C Cu XHHW-2 + ground, CWA, black PVC (Class I Div 2)</t>
        </is>
      </c>
      <c r="K5682" s="12" t="inlineStr">
        <is>
          <t>LVAX|3/C+G|6</t>
        </is>
      </c>
      <c r="L5682" s="12" t="inlineStr">
        <is>
          <t>3/C+G</t>
        </is>
      </c>
      <c r="M5682" s="12" t="inlineStr">
        <is>
          <t>6</t>
        </is>
      </c>
      <c r="N5682" s="12" t="n">
        <v>1</v>
      </c>
      <c r="O5682" s="12" t="n">
        <v>1</v>
      </c>
      <c r="P5682" s="12" t="n">
        <v>480</v>
      </c>
      <c r="Q5682" s="12" t="n">
        <v>10</v>
      </c>
      <c r="R5682" s="12" t="n">
        <v>14.2</v>
      </c>
      <c r="S5682" s="12" t="inlineStr">
        <is>
          <t>Duct bank</t>
        </is>
      </c>
      <c r="T5682" s="16" t="n">
        <v>781</v>
      </c>
      <c r="U5682" s="16" t="n">
        <v>32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K-P-0045</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3: horizontal filter-separator</t>
        </is>
      </c>
      <c r="I5683" s="12" t="inlineStr">
        <is>
          <t>LV 600 V</t>
        </is>
      </c>
      <c r="J5683" s="12" t="inlineStr">
        <is>
          <t>ARMOR-X MC-HL 600 V 3/C Cu XHHW-2 + ground, CWA, black PVC (Class I Div 2)</t>
        </is>
      </c>
      <c r="K5683" s="12" t="inlineStr">
        <is>
          <t>LVAX|3/C+G|4</t>
        </is>
      </c>
      <c r="L5683" s="12" t="inlineStr">
        <is>
          <t>3/C+G</t>
        </is>
      </c>
      <c r="M5683" s="12" t="inlineStr">
        <is>
          <t>4</t>
        </is>
      </c>
      <c r="N5683" s="12" t="n">
        <v>1</v>
      </c>
      <c r="O5683" s="12" t="n">
        <v>1</v>
      </c>
      <c r="P5683" s="12" t="n">
        <v>480</v>
      </c>
      <c r="Q5683" s="12" t="n">
        <v>15</v>
      </c>
      <c r="R5683" s="12" t="n">
        <v>21.2</v>
      </c>
      <c r="S5683" s="12" t="inlineStr">
        <is>
          <t>Duct bank</t>
        </is>
      </c>
      <c r="T5683" s="16" t="n">
        <v>820</v>
      </c>
      <c r="U5683" s="16" t="n">
        <v>32</v>
      </c>
      <c r="V5683" s="16">
        <f>ROUNDUP((T5683+U5683+2*'Read Me'!$B$13)*(1+'Read Me'!$B$12),-1)</f>
        <v/>
      </c>
      <c r="W5683" s="16">
        <f>V5683*N5683*O5683</f>
        <v/>
      </c>
      <c r="X5683" s="12">
        <f>IF(LEFT(I5683,2)="MV",2*N5683*IF(L5683="1/C",O5683,1),0)</f>
        <v/>
      </c>
      <c r="Y5683" s="12">
        <f>IF(OR(LEFT(K5683,4)="LVAX",LEFT(K5683,6)="MV15AX",LEFT(K5683,4)="CTAX",LEFT(K5683,2)="W|"),2*N5683*O5683,0)</f>
        <v/>
      </c>
      <c r="Z5683" s="12" t="inlineStr">
        <is>
          <t>VD 2.2 %</t>
        </is>
      </c>
      <c r="AA5683" s="12">
        <f>N5683*O5683</f>
        <v/>
      </c>
    </row>
    <row r="5684">
      <c r="A5684" s="12" t="inlineStr">
        <is>
          <t>K-P-0046</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4: line heater 1 (water bath)</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615</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2.7 %</t>
        </is>
      </c>
      <c r="AA5684" s="12">
        <f>N5684*O5684</f>
        <v/>
      </c>
    </row>
    <row r="5685">
      <c r="A5685" s="12" t="inlineStr">
        <is>
          <t>K-P-0047</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4: line heater 2 (water bath)</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615</v>
      </c>
      <c r="U5685" s="16" t="n">
        <v>50</v>
      </c>
      <c r="V5685" s="16">
        <f>ROUNDUP((T5685+U5685+2*'Read Me'!$B$13)*(1+'Read Me'!$B$12),-1)</f>
        <v/>
      </c>
      <c r="W5685" s="16">
        <f>V5685*N5685*O5685</f>
        <v/>
      </c>
      <c r="X5685" s="12">
        <f>IF(LEFT(I5685,2)="MV",2*N5685*IF(L5685="1/C",O5685,1),0)</f>
        <v/>
      </c>
      <c r="Y5685" s="12">
        <f>IF(OR(LEFT(K5685,4)="LVAX",LEFT(K5685,6)="MV15AX",LEFT(K5685,4)="CTAX",LEFT(K5685,2)="W|"),2*N5685*O5685,0)</f>
        <v/>
      </c>
      <c r="Z5685" s="12" t="inlineStr">
        <is>
          <t>VD 2.8 %</t>
        </is>
      </c>
      <c r="AA5685" s="12">
        <f>N5685*O5685</f>
        <v/>
      </c>
    </row>
    <row r="5686">
      <c r="A5686" s="12" t="inlineStr">
        <is>
          <t>K-P-0048</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4: line heater 3 (water bath)</t>
        </is>
      </c>
      <c r="I5686" s="12" t="inlineStr">
        <is>
          <t>LV 600 V</t>
        </is>
      </c>
      <c r="J5686" s="12" t="inlineStr">
        <is>
          <t>ARMOR-X MC-HL 600 V 3/C Cu XHHW-2 + ground, CWA, black PVC (Class I Div 2)</t>
        </is>
      </c>
      <c r="K5686" s="12" t="inlineStr">
        <is>
          <t>LVAX|3/C+G|6</t>
        </is>
      </c>
      <c r="L5686" s="12" t="inlineStr">
        <is>
          <t>3/C+G</t>
        </is>
      </c>
      <c r="M5686" s="12" t="inlineStr">
        <is>
          <t>6</t>
        </is>
      </c>
      <c r="N5686" s="12" t="n">
        <v>1</v>
      </c>
      <c r="O5686" s="12" t="n">
        <v>1</v>
      </c>
      <c r="P5686" s="12" t="n">
        <v>480</v>
      </c>
      <c r="Q5686" s="12" t="n">
        <v>15</v>
      </c>
      <c r="R5686" s="12" t="n">
        <v>21.2</v>
      </c>
      <c r="S5686" s="12" t="inlineStr">
        <is>
          <t>Duct bank</t>
        </is>
      </c>
      <c r="T5686" s="16" t="n">
        <v>615</v>
      </c>
      <c r="U5686" s="16" t="n">
        <v>68</v>
      </c>
      <c r="V5686" s="16">
        <f>ROUNDUP((T5686+U5686+2*'Read Me'!$B$13)*(1+'Read Me'!$B$12),-1)</f>
        <v/>
      </c>
      <c r="W5686" s="16">
        <f>V5686*N5686*O5686</f>
        <v/>
      </c>
      <c r="X5686" s="12">
        <f>IF(LEFT(I5686,2)="MV",2*N5686*IF(L5686="1/C",O5686,1),0)</f>
        <v/>
      </c>
      <c r="Y5686" s="12">
        <f>IF(OR(LEFT(K5686,4)="LVAX",LEFT(K5686,6)="MV15AX",LEFT(K5686,4)="CTAX",LEFT(K5686,2)="W|"),2*N5686*O5686,0)</f>
        <v/>
      </c>
      <c r="Z5686" s="12" t="inlineStr">
        <is>
          <t>VD 2.8 %</t>
        </is>
      </c>
      <c r="AA5686" s="12">
        <f>N5686*O5686</f>
        <v/>
      </c>
    </row>
    <row r="5687">
      <c r="A5687" s="12" t="inlineStr">
        <is>
          <t>K-P-0049</t>
        </is>
      </c>
      <c r="B5687" s="12" t="inlineStr">
        <is>
          <t>K</t>
        </is>
      </c>
      <c r="C5687" s="12" t="inlineStr">
        <is>
          <t>Fuel supply (adjacent market)</t>
        </is>
      </c>
      <c r="D5687" s="12" t="inlineStr">
        <is>
          <t>LV panel / distribution feeder</t>
        </is>
      </c>
      <c r="E5687" s="12" t="inlineStr"/>
      <c r="F5687" s="12" t="inlineStr">
        <is>
          <t>LNG 17: LNG e-house (13.8 kV / 480 V)</t>
        </is>
      </c>
      <c r="G5687" s="12" t="inlineStr"/>
      <c r="H5687" s="12" t="inlineStr">
        <is>
          <t>M&amp;R 6: regulation / flow control building</t>
        </is>
      </c>
      <c r="I5687" s="12" t="inlineStr">
        <is>
          <t>LV 600 V</t>
        </is>
      </c>
      <c r="J5687" s="12" t="inlineStr">
        <is>
          <t>ARMOR-X MC-HL 600 V 3/C Cu XHHW-2 + ground, CWA, black PVC (Class I Div 2)</t>
        </is>
      </c>
      <c r="K5687" s="12" t="inlineStr">
        <is>
          <t>LVAX|3/C+G|8</t>
        </is>
      </c>
      <c r="L5687" s="12" t="inlineStr">
        <is>
          <t>3/C+G</t>
        </is>
      </c>
      <c r="M5687" s="12" t="inlineStr">
        <is>
          <t>8</t>
        </is>
      </c>
      <c r="N5687" s="12" t="n">
        <v>1</v>
      </c>
      <c r="O5687" s="12" t="n">
        <v>1</v>
      </c>
      <c r="P5687" s="12" t="n">
        <v>480</v>
      </c>
      <c r="Q5687" s="12" t="n">
        <v>10</v>
      </c>
      <c r="R5687" s="12" t="n">
        <v>14.2</v>
      </c>
      <c r="S5687" s="12" t="inlineStr">
        <is>
          <t>Duct bank</t>
        </is>
      </c>
      <c r="T5687" s="16" t="n">
        <v>492</v>
      </c>
      <c r="U5687" s="16" t="n">
        <v>70</v>
      </c>
      <c r="V5687" s="16">
        <f>ROUNDUP((T5687+U5687+2*'Read Me'!$B$13)*(1+'Read Me'!$B$12),-1)</f>
        <v/>
      </c>
      <c r="W5687" s="16">
        <f>V5687*N5687*O5687</f>
        <v/>
      </c>
      <c r="X5687" s="12">
        <f>IF(LEFT(I5687,2)="MV",2*N5687*IF(L5687="1/C",O5687,1),0)</f>
        <v/>
      </c>
      <c r="Y5687" s="12">
        <f>IF(OR(LEFT(K5687,4)="LVAX",LEFT(K5687,6)="MV15AX",LEFT(K5687,4)="CTAX",LEFT(K5687,2)="W|"),2*N5687*O5687,0)</f>
        <v/>
      </c>
      <c r="Z5687" s="12" t="inlineStr">
        <is>
          <t>VD 2.4 %</t>
        </is>
      </c>
      <c r="AA5687" s="12">
        <f>N5687*O5687</f>
        <v/>
      </c>
    </row>
    <row r="5688">
      <c r="A5688" s="12" t="inlineStr">
        <is>
          <t>K-P-0050</t>
        </is>
      </c>
      <c r="B5688" s="12" t="inlineStr">
        <is>
          <t>K</t>
        </is>
      </c>
      <c r="C5688" s="12" t="inlineStr">
        <is>
          <t>Fuel supply (adjacent market)</t>
        </is>
      </c>
      <c r="D5688" s="12" t="inlineStr">
        <is>
          <t>LV panel / distribution feeder</t>
        </is>
      </c>
      <c r="E5688" s="12" t="inlineStr"/>
      <c r="F5688" s="12" t="inlineStr">
        <is>
          <t>LNG 17: LNG e-house (13.8 kV / 480 V)</t>
        </is>
      </c>
      <c r="G5688" s="12" t="inlineStr"/>
      <c r="H5688" s="12" t="inlineStr">
        <is>
          <t>M&amp;R 7: gas quality + measurement building</t>
        </is>
      </c>
      <c r="I5688" s="12" t="inlineStr">
        <is>
          <t>LV 600 V</t>
        </is>
      </c>
      <c r="J5688" s="12" t="inlineStr">
        <is>
          <t>ARMOR-X MC-HL 600 V 3/C Cu XHHW-2 + ground, CWA, black PVC (Class I Div 2)</t>
        </is>
      </c>
      <c r="K5688" s="12" t="inlineStr">
        <is>
          <t>LVAX|3/C+G|2</t>
        </is>
      </c>
      <c r="L5688" s="12" t="inlineStr">
        <is>
          <t>3/C+G</t>
        </is>
      </c>
      <c r="M5688" s="12" t="inlineStr">
        <is>
          <t>2</t>
        </is>
      </c>
      <c r="N5688" s="12" t="n">
        <v>1</v>
      </c>
      <c r="O5688" s="12" t="n">
        <v>1</v>
      </c>
      <c r="P5688" s="12" t="n">
        <v>480</v>
      </c>
      <c r="Q5688" s="12" t="n">
        <v>30</v>
      </c>
      <c r="R5688" s="12" t="n">
        <v>42.5</v>
      </c>
      <c r="S5688" s="12" t="inlineStr">
        <is>
          <t>Duct bank</t>
        </is>
      </c>
      <c r="T5688" s="16" t="n">
        <v>661</v>
      </c>
      <c r="U5688" s="16" t="n">
        <v>66</v>
      </c>
      <c r="V5688" s="16">
        <f>ROUNDUP((T5688+U5688+2*'Read Me'!$B$13)*(1+'Read Me'!$B$12),-1)</f>
        <v/>
      </c>
      <c r="W5688" s="16">
        <f>V5688*N5688*O5688</f>
        <v/>
      </c>
      <c r="X5688" s="12">
        <f>IF(LEFT(I5688,2)="MV",2*N5688*IF(L5688="1/C",O5688,1),0)</f>
        <v/>
      </c>
      <c r="Y5688" s="12">
        <f>IF(OR(LEFT(K5688,4)="LVAX",LEFT(K5688,6)="MV15AX",LEFT(K5688,4)="CTAX",LEFT(K5688,2)="W|"),2*N5688*O5688,0)</f>
        <v/>
      </c>
      <c r="Z5688" s="12" t="inlineStr">
        <is>
          <t>VD 2.4 %</t>
        </is>
      </c>
      <c r="AA5688" s="12">
        <f>N5688*O5688</f>
        <v/>
      </c>
    </row>
    <row r="5689">
      <c r="A5689" s="12" t="inlineStr">
        <is>
          <t>K-P-0051</t>
        </is>
      </c>
      <c r="B5689" s="12" t="inlineStr">
        <is>
          <t>K</t>
        </is>
      </c>
      <c r="C5689" s="12" t="inlineStr">
        <is>
          <t>Fuel supply (adjacent market)</t>
        </is>
      </c>
      <c r="D5689" s="12" t="inlineStr">
        <is>
          <t>LV power feeder</t>
        </is>
      </c>
      <c r="E5689" s="12" t="inlineStr"/>
      <c r="F5689" s="12" t="inlineStr">
        <is>
          <t>LNG 17: LNG e-house (13.8 kV / 480 V)</t>
        </is>
      </c>
      <c r="G5689" s="12" t="inlineStr"/>
      <c r="H5689" s="12" t="inlineStr">
        <is>
          <t>M&amp;R 8: condensate tank</t>
        </is>
      </c>
      <c r="I5689" s="12" t="inlineStr">
        <is>
          <t>LV 600 V</t>
        </is>
      </c>
      <c r="J5689" s="12" t="inlineStr">
        <is>
          <t>ARMOR-X MC-HL 600 V 3/C Cu XHHW-2 + ground, CWA, black PVC (Class I Div 2)</t>
        </is>
      </c>
      <c r="K5689" s="12" t="inlineStr">
        <is>
          <t>LVAX|3/C+G|8</t>
        </is>
      </c>
      <c r="L5689" s="12" t="inlineStr">
        <is>
          <t>3/C+G</t>
        </is>
      </c>
      <c r="M5689" s="12" t="inlineStr">
        <is>
          <t>8</t>
        </is>
      </c>
      <c r="N5689" s="12" t="n">
        <v>1</v>
      </c>
      <c r="O5689" s="12" t="n">
        <v>1</v>
      </c>
      <c r="P5689" s="12" t="n">
        <v>480</v>
      </c>
      <c r="Q5689" s="12" t="n">
        <v>10</v>
      </c>
      <c r="R5689" s="12" t="n">
        <v>14.2</v>
      </c>
      <c r="S5689" s="12" t="inlineStr">
        <is>
          <t>Duct bank</t>
        </is>
      </c>
      <c r="T5689" s="16" t="n">
        <v>552</v>
      </c>
      <c r="U5689" s="16" t="n">
        <v>87</v>
      </c>
      <c r="V5689" s="16">
        <f>ROUNDUP((T5689+U5689+2*'Read Me'!$B$13)*(1+'Read Me'!$B$12),-1)</f>
        <v/>
      </c>
      <c r="W5689" s="16">
        <f>V5689*N5689*O5689</f>
        <v/>
      </c>
      <c r="X5689" s="12">
        <f>IF(LEFT(I5689,2)="MV",2*N5689*IF(L5689="1/C",O5689,1),0)</f>
        <v/>
      </c>
      <c r="Y5689" s="12">
        <f>IF(OR(LEFT(K5689,4)="LVAX",LEFT(K5689,6)="MV15AX",LEFT(K5689,4)="CTAX",LEFT(K5689,2)="W|"),2*N5689*O5689,0)</f>
        <v/>
      </c>
      <c r="Z5689" s="12" t="inlineStr">
        <is>
          <t>VD 2.7 %</t>
        </is>
      </c>
      <c r="AA5689" s="12">
        <f>N5689*O5689</f>
        <v/>
      </c>
    </row>
    <row r="5690">
      <c r="A5690" s="12" t="inlineStr">
        <is>
          <t>K-P-0052</t>
        </is>
      </c>
      <c r="B5690" s="12" t="inlineStr">
        <is>
          <t>K</t>
        </is>
      </c>
      <c r="C5690" s="12" t="inlineStr">
        <is>
          <t>Fuel supply (adjacent market)</t>
        </is>
      </c>
      <c r="D5690" s="12" t="inlineStr">
        <is>
          <t>LV power feeder</t>
        </is>
      </c>
      <c r="E5690" s="12" t="inlineStr"/>
      <c r="F5690" s="12" t="inlineStr">
        <is>
          <t>LNG 17: LNG e-house (13.8 kV / 480 V)</t>
        </is>
      </c>
      <c r="G5690" s="12" t="inlineStr"/>
      <c r="H5690" s="12" t="inlineStr">
        <is>
          <t>M&amp;R 9: service panel + UPS, SCADA RTU, CP</t>
        </is>
      </c>
      <c r="I5690" s="12" t="inlineStr">
        <is>
          <t>LV 600 V</t>
        </is>
      </c>
      <c r="J5690" s="12" t="inlineStr">
        <is>
          <t>ARMOR-X MC-HL 600 V 3/C Cu XHHW-2 + ground, CWA, black PVC (Class I Div 2)</t>
        </is>
      </c>
      <c r="K5690" s="12" t="inlineStr">
        <is>
          <t>LVAX|3/C+G|6</t>
        </is>
      </c>
      <c r="L5690" s="12" t="inlineStr">
        <is>
          <t>3/C+G</t>
        </is>
      </c>
      <c r="M5690" s="12" t="inlineStr">
        <is>
          <t>6</t>
        </is>
      </c>
      <c r="N5690" s="12" t="n">
        <v>1</v>
      </c>
      <c r="O5690" s="12" t="n">
        <v>1</v>
      </c>
      <c r="P5690" s="12" t="n">
        <v>480</v>
      </c>
      <c r="Q5690" s="12" t="n">
        <v>15</v>
      </c>
      <c r="R5690" s="12" t="n">
        <v>21.2</v>
      </c>
      <c r="S5690" s="12" t="inlineStr">
        <is>
          <t>Duct bank</t>
        </is>
      </c>
      <c r="T5690" s="16" t="n">
        <v>480</v>
      </c>
      <c r="U5690" s="16" t="n">
        <v>32</v>
      </c>
      <c r="V5690" s="16">
        <f>ROUNDUP((T5690+U5690+2*'Read Me'!$B$13)*(1+'Read Me'!$B$12),-1)</f>
        <v/>
      </c>
      <c r="W5690" s="16">
        <f>V5690*N5690*O5690</f>
        <v/>
      </c>
      <c r="X5690" s="12">
        <f>IF(LEFT(I5690,2)="MV",2*N5690*IF(L5690="1/C",O5690,1),0)</f>
        <v/>
      </c>
      <c r="Y5690" s="12">
        <f>IF(OR(LEFT(K5690,4)="LVAX",LEFT(K5690,6)="MV15AX",LEFT(K5690,4)="CTAX",LEFT(K5690,2)="W|"),2*N5690*O5690,0)</f>
        <v/>
      </c>
      <c r="Z5690" s="12" t="inlineStr">
        <is>
          <t>VD 2.1 %</t>
        </is>
      </c>
      <c r="AA5690" s="12">
        <f>N5690*O5690</f>
        <v/>
      </c>
    </row>
    <row r="5691">
      <c r="A5691" s="12" t="inlineStr">
        <is>
          <t>K-P-0053</t>
        </is>
      </c>
      <c r="B5691" s="12" t="inlineStr">
        <is>
          <t>K</t>
        </is>
      </c>
      <c r="C5691" s="12" t="inlineStr">
        <is>
          <t>Fuel supply (adjacent market)</t>
        </is>
      </c>
      <c r="D5691" s="12" t="inlineStr">
        <is>
          <t>LV power feeder</t>
        </is>
      </c>
      <c r="E5691" s="12" t="inlineStr"/>
      <c r="F5691" s="12" t="inlineStr">
        <is>
          <t>LNG 17: LNG e-house (13.8 kV / 480 V)</t>
        </is>
      </c>
      <c r="G5691" s="12" t="inlineStr"/>
      <c r="H5691" s="12" t="inlineStr">
        <is>
          <t>M&amp;R CP test station (as drawn)</t>
        </is>
      </c>
      <c r="I5691" s="12" t="inlineStr">
        <is>
          <t>LV 600 V</t>
        </is>
      </c>
      <c r="J5691" s="12" t="inlineStr">
        <is>
          <t>ARMOR-X MC-HL 600 V 3/C Cu XHHW-2 + ground, CWA, black PVC (Class I Div 2)</t>
        </is>
      </c>
      <c r="K5691" s="12" t="inlineStr">
        <is>
          <t>LVAX|3/C+G|6</t>
        </is>
      </c>
      <c r="L5691" s="12" t="inlineStr">
        <is>
          <t>3/C+G</t>
        </is>
      </c>
      <c r="M5691" s="12" t="inlineStr">
        <is>
          <t>6</t>
        </is>
      </c>
      <c r="N5691" s="12" t="n">
        <v>1</v>
      </c>
      <c r="O5691" s="12" t="n">
        <v>1</v>
      </c>
      <c r="P5691" s="12" t="n">
        <v>480</v>
      </c>
      <c r="Q5691" s="12" t="n">
        <v>15</v>
      </c>
      <c r="R5691" s="12" t="n">
        <v>21.2</v>
      </c>
      <c r="S5691" s="12" t="inlineStr">
        <is>
          <t>Duct bank</t>
        </is>
      </c>
      <c r="T5691" s="16" t="n">
        <v>461</v>
      </c>
      <c r="U5691" s="16" t="n">
        <v>42</v>
      </c>
      <c r="V5691" s="16">
        <f>ROUNDUP((T5691+U5691+2*'Read Me'!$B$13)*(1+'Read Me'!$B$12),-1)</f>
        <v/>
      </c>
      <c r="W5691" s="16">
        <f>V5691*N5691*O5691</f>
        <v/>
      </c>
      <c r="X5691" s="12">
        <f>IF(LEFT(I5691,2)="MV",2*N5691*IF(L5691="1/C",O5691,1),0)</f>
        <v/>
      </c>
      <c r="Y5691" s="12">
        <f>IF(OR(LEFT(K5691,4)="LVAX",LEFT(K5691,6)="MV15AX",LEFT(K5691,4)="CTAX",LEFT(K5691,2)="W|"),2*N5691*O5691,0)</f>
        <v/>
      </c>
      <c r="Z5691" s="12" t="inlineStr">
        <is>
          <t>VD 2.1 %</t>
        </is>
      </c>
      <c r="AA5691" s="12">
        <f>N5691*O5691</f>
        <v/>
      </c>
    </row>
    <row r="5692">
      <c r="A5692" s="12" t="inlineStr">
        <is>
          <t>K-P-0054</t>
        </is>
      </c>
      <c r="B5692" s="12" t="inlineStr">
        <is>
          <t>K</t>
        </is>
      </c>
      <c r="C5692" s="12" t="inlineStr">
        <is>
          <t>Fuel supply (adjacent market)</t>
        </is>
      </c>
      <c r="D5692" s="12" t="inlineStr">
        <is>
          <t>LV power feeder</t>
        </is>
      </c>
      <c r="E5692" s="12" t="inlineStr"/>
      <c r="F5692" s="12" t="inlineStr">
        <is>
          <t>LNG 17: LNG e-house (13.8 kV / 480 V)</t>
        </is>
      </c>
      <c r="G5692" s="12" t="inlineStr"/>
      <c r="H5692" s="12" t="inlineStr">
        <is>
          <t>M&amp;R SCADA antenna mast base (as drawn)</t>
        </is>
      </c>
      <c r="I5692" s="12" t="inlineStr">
        <is>
          <t>LV 600 V</t>
        </is>
      </c>
      <c r="J5692" s="12" t="inlineStr">
        <is>
          <t>ARMOR-X MC-HL 600 V 3/C Cu XHHW-2 + ground, CWA, black PVC (Class I Div 2)</t>
        </is>
      </c>
      <c r="K5692" s="12" t="inlineStr">
        <is>
          <t>LVAX|3/C+G|6</t>
        </is>
      </c>
      <c r="L5692" s="12" t="inlineStr">
        <is>
          <t>3/C+G</t>
        </is>
      </c>
      <c r="M5692" s="12" t="inlineStr">
        <is>
          <t>6</t>
        </is>
      </c>
      <c r="N5692" s="12" t="n">
        <v>1</v>
      </c>
      <c r="O5692" s="12" t="n">
        <v>1</v>
      </c>
      <c r="P5692" s="12" t="n">
        <v>480</v>
      </c>
      <c r="Q5692" s="12" t="n">
        <v>15</v>
      </c>
      <c r="R5692" s="12" t="n">
        <v>21.2</v>
      </c>
      <c r="S5692" s="12" t="inlineStr">
        <is>
          <t>Duct bank</t>
        </is>
      </c>
      <c r="T5692" s="16" t="n">
        <v>453</v>
      </c>
      <c r="U5692" s="16" t="n">
        <v>32</v>
      </c>
      <c r="V5692" s="16">
        <f>ROUNDUP((T5692+U5692+2*'Read Me'!$B$13)*(1+'Read Me'!$B$12),-1)</f>
        <v/>
      </c>
      <c r="W5692" s="16">
        <f>V5692*N5692*O5692</f>
        <v/>
      </c>
      <c r="X5692" s="12">
        <f>IF(LEFT(I5692,2)="MV",2*N5692*IF(L5692="1/C",O5692,1),0)</f>
        <v/>
      </c>
      <c r="Y5692" s="12">
        <f>IF(OR(LEFT(K5692,4)="LVAX",LEFT(K5692,6)="MV15AX",LEFT(K5692,4)="CTAX",LEFT(K5692,2)="W|"),2*N5692*O5692,0)</f>
        <v/>
      </c>
      <c r="Z5692" s="12" t="inlineStr">
        <is>
          <t>VD 2.0 %</t>
        </is>
      </c>
      <c r="AA5692" s="12">
        <f>N5692*O5692</f>
        <v/>
      </c>
    </row>
    <row r="5693">
      <c r="A5693" s="12" t="inlineStr">
        <is>
          <t>K-MV-0001</t>
        </is>
      </c>
      <c r="B5693" s="12" t="inlineStr">
        <is>
          <t>K</t>
        </is>
      </c>
      <c r="C5693" s="12" t="inlineStr">
        <is>
          <t>Fuel supply (adjacent market)</t>
        </is>
      </c>
      <c r="D5693" s="12" t="inlineStr">
        <is>
          <t>H2 13.8 kV e-house (electrolyzers)</t>
        </is>
      </c>
      <c r="E5693" s="12" t="inlineStr">
        <is>
          <t>SWGR-13.8-3</t>
        </is>
      </c>
      <c r="F5693" s="12" t="inlineStr">
        <is>
          <t>R1 SWGR-13.8-3 (11 x 36 in cubicles, 15 kV metal-clad)</t>
        </is>
      </c>
      <c r="G5693" s="12" t="inlineStr"/>
      <c r="H5693" s="12" t="inlineStr">
        <is>
          <t>H2 20: 13.8 kV e-house</t>
        </is>
      </c>
      <c r="I5693" s="12" t="inlineStr">
        <is>
          <t>MV 15 kV</t>
        </is>
      </c>
      <c r="J5693" s="12" t="inlineStr">
        <is>
          <t>MV-105 15 kV 1/C Cu, EPR 133%, Cu tape shield, PVC jacket (triplexed)</t>
        </is>
      </c>
      <c r="K5693" s="12" t="inlineStr">
        <is>
          <t>MV15|1/C|750</t>
        </is>
      </c>
      <c r="L5693" s="12" t="inlineStr">
        <is>
          <t>1/C</t>
        </is>
      </c>
      <c r="M5693" s="12" t="inlineStr">
        <is>
          <t>750 kcmil</t>
        </is>
      </c>
      <c r="N5693" s="12" t="n">
        <v>2</v>
      </c>
      <c r="O5693" s="12" t="n">
        <v>3</v>
      </c>
      <c r="P5693" s="12" t="n">
        <v>13800</v>
      </c>
      <c r="Q5693" s="12" t="n">
        <v>20000</v>
      </c>
      <c r="R5693" s="12" t="n">
        <v>837</v>
      </c>
      <c r="S5693" s="12" t="inlineStr">
        <is>
          <t>Trench</t>
        </is>
      </c>
      <c r="T5693" s="16" t="n">
        <v>4665</v>
      </c>
      <c r="U5693" s="16" t="n">
        <v>42</v>
      </c>
      <c r="V5693" s="16">
        <f>ROUNDUP((T5693+U5693+2*'Read Me'!$B$13)*(1+'Read Me'!$B$12),-1)</f>
        <v/>
      </c>
      <c r="W5693" s="16">
        <f>V5693*N5693*O5693</f>
        <v/>
      </c>
      <c r="X5693" s="12">
        <f>IF(LEFT(I5693,2)="MV",2*N5693*IF(L5693="1/C",O5693,1),0)</f>
        <v/>
      </c>
      <c r="Y5693" s="12">
        <f>IF(OR(LEFT(K5693,4)="LVAX",LEFT(K5693,6)="MV15AX",LEFT(K5693,4)="CTAX",LEFT(K5693,2)="W|"),2*N5693*O5693,0)</f>
        <v/>
      </c>
      <c r="Z5693" s="12" t="inlineStr"/>
      <c r="AA5693" s="12">
        <f>N5693*O5693</f>
        <v/>
      </c>
    </row>
    <row r="5694">
      <c r="A5694" s="12" t="inlineStr">
        <is>
          <t>K-MV-0002</t>
        </is>
      </c>
      <c r="B5694" s="12" t="inlineStr">
        <is>
          <t>K</t>
        </is>
      </c>
      <c r="C5694" s="12" t="inlineStr">
        <is>
          <t>Fuel supply (adjacent market)</t>
        </is>
      </c>
      <c r="D5694" s="12" t="inlineStr">
        <is>
          <t>LNG e-house</t>
        </is>
      </c>
      <c r="E5694" s="12" t="inlineStr">
        <is>
          <t>SWGR-13.8-3</t>
        </is>
      </c>
      <c r="F5694" s="12" t="inlineStr">
        <is>
          <t>R1 SWGR-13.8-3 (11 x 36 in cubicles, 15 kV metal-clad)</t>
        </is>
      </c>
      <c r="G5694" s="12" t="inlineStr"/>
      <c r="H5694" s="12" t="inlineStr">
        <is>
          <t>LNG 17: LNG e-house (13.8 kV / 480 V)</t>
        </is>
      </c>
      <c r="I5694" s="12" t="inlineStr">
        <is>
          <t>MV 15 kV</t>
        </is>
      </c>
      <c r="J5694" s="12" t="inlineStr">
        <is>
          <t>MV-105 15 kV 1/C Cu, EPR 133%, Cu tape shield, PVC jacket (triplexed)</t>
        </is>
      </c>
      <c r="K5694" s="12" t="inlineStr">
        <is>
          <t>MV15|1/C|4/0</t>
        </is>
      </c>
      <c r="L5694" s="12" t="inlineStr">
        <is>
          <t>1/C</t>
        </is>
      </c>
      <c r="M5694" s="12" t="inlineStr">
        <is>
          <t>4/0</t>
        </is>
      </c>
      <c r="N5694" s="12" t="n">
        <v>1</v>
      </c>
      <c r="O5694" s="12" t="n">
        <v>3</v>
      </c>
      <c r="P5694" s="12" t="n">
        <v>13800</v>
      </c>
      <c r="Q5694" s="12" t="n">
        <v>5000</v>
      </c>
      <c r="R5694" s="12" t="n">
        <v>209</v>
      </c>
      <c r="S5694" s="12" t="inlineStr">
        <is>
          <t>Duct bank</t>
        </is>
      </c>
      <c r="T5694" s="16" t="n">
        <v>2692</v>
      </c>
      <c r="U5694" s="16" t="n">
        <v>163</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C-C-0128</t>
        </is>
      </c>
      <c r="B5695" s="12" t="inlineStr">
        <is>
          <t>C</t>
        </is>
      </c>
      <c r="C5695" s="12" t="inlineStr">
        <is>
          <t>Grid interface</t>
        </is>
      </c>
      <c r="D5695" s="12" t="inlineStr">
        <is>
          <t>Motor 1 of 2: control / local station</t>
        </is>
      </c>
      <c r="E5695" s="12" t="inlineStr">
        <is>
          <t>MCC-C1</t>
        </is>
      </c>
      <c r="F5695" s="12" t="inlineStr">
        <is>
          <t>R1 MCC-C1</t>
        </is>
      </c>
      <c r="G5695" s="12" t="inlineStr"/>
      <c r="H5695" s="12" t="inlineStr">
        <is>
          <t>Small-bore piping: instrument air, service water, nitrogen, HRSG drain</t>
        </is>
      </c>
      <c r="I5695" s="12" t="inlineStr">
        <is>
          <t>Control</t>
        </is>
      </c>
      <c r="J5695" s="12" t="inlineStr">
        <is>
          <t>Control cable 600 V Type TC-ER, Cu #14 AWG, PVC jacket</t>
        </is>
      </c>
      <c r="K5695" s="12" t="inlineStr">
        <is>
          <t>CT|7/C|14</t>
        </is>
      </c>
      <c r="L5695" s="12" t="inlineStr">
        <is>
          <t>7/C</t>
        </is>
      </c>
      <c r="M5695" s="12" t="inlineStr">
        <is>
          <t>14</t>
        </is>
      </c>
      <c r="N5695" s="12" t="n">
        <v>1</v>
      </c>
      <c r="O5695" s="12" t="n">
        <v>1</v>
      </c>
      <c r="P5695" s="12" t="n"/>
      <c r="Q5695" s="12" t="n"/>
      <c r="R5695" s="12" t="n"/>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c r="AA5695" s="12">
        <f>N5695*O5695</f>
        <v/>
      </c>
    </row>
    <row r="5696">
      <c r="A5696" s="12" t="inlineStr">
        <is>
          <t>C-C-0129</t>
        </is>
      </c>
      <c r="B5696" s="12" t="inlineStr">
        <is>
          <t>C</t>
        </is>
      </c>
      <c r="C5696" s="12" t="inlineStr">
        <is>
          <t>Grid interface</t>
        </is>
      </c>
      <c r="D5696" s="12" t="inlineStr">
        <is>
          <t>Motor 2 of 2: control / local station</t>
        </is>
      </c>
      <c r="E5696" s="12" t="inlineStr">
        <is>
          <t>MCC-C1</t>
        </is>
      </c>
      <c r="F5696" s="12" t="inlineStr">
        <is>
          <t>R1 MCC-C1</t>
        </is>
      </c>
      <c r="G5696" s="12" t="inlineStr"/>
      <c r="H5696" s="12" t="inlineStr">
        <is>
          <t>Small-bore piping: instrument air, service water, nitrogen, HRSG drain</t>
        </is>
      </c>
      <c r="I5696" s="12" t="inlineStr">
        <is>
          <t>Control</t>
        </is>
      </c>
      <c r="J5696" s="12" t="inlineStr">
        <is>
          <t>Control cable 600 V Type TC-ER, Cu #14 AWG, PVC jacket</t>
        </is>
      </c>
      <c r="K5696" s="12" t="inlineStr">
        <is>
          <t>CT|7/C|14</t>
        </is>
      </c>
      <c r="L5696" s="12" t="inlineStr">
        <is>
          <t>7/C</t>
        </is>
      </c>
      <c r="M5696" s="12" t="inlineStr">
        <is>
          <t>14</t>
        </is>
      </c>
      <c r="N5696" s="12" t="n">
        <v>1</v>
      </c>
      <c r="O5696" s="12" t="n">
        <v>1</v>
      </c>
      <c r="P5696" s="12" t="n"/>
      <c r="Q5696" s="12" t="n"/>
      <c r="R5696" s="12" t="n"/>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C-I-0081</t>
        </is>
      </c>
      <c r="B5697" s="12" t="inlineStr">
        <is>
          <t>C</t>
        </is>
      </c>
      <c r="C5697" s="12" t="inlineStr">
        <is>
          <t>Grid interface</t>
        </is>
      </c>
      <c r="D5697" s="12" t="inlineStr">
        <is>
          <t>Analog instrument to JB JB-Small-bore piping:-AI01: 10 x 1 pr (field cables)</t>
        </is>
      </c>
      <c r="E5697" s="12" t="inlineStr"/>
      <c r="F5697" s="12" t="inlineStr">
        <is>
          <t>Small-bore piping: instrument air, service water, nitrogen, HRSG drain</t>
        </is>
      </c>
      <c r="G5697" s="12" t="inlineStr">
        <is>
          <t>JB-Small-bore piping:-AI01</t>
        </is>
      </c>
      <c r="H5697" s="12" t="inlineStr">
        <is>
          <t>Small-bore piping: instrument air, service water, nitrogen, HRSG drain</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10</v>
      </c>
      <c r="O5697" s="12" t="n">
        <v>1</v>
      </c>
      <c r="P5697" s="12" t="n"/>
      <c r="Q5697" s="12" t="n"/>
      <c r="R5697" s="12" t="n"/>
      <c r="S5697" s="12" t="inlineStr">
        <is>
          <t>Tray / conduit</t>
        </is>
      </c>
      <c r="T5697" s="16" t="n">
        <v>250</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C-I-0082</t>
        </is>
      </c>
      <c r="B5698" s="12" t="inlineStr">
        <is>
          <t>C</t>
        </is>
      </c>
      <c r="C5698" s="12" t="inlineStr">
        <is>
          <t>Grid interface</t>
        </is>
      </c>
      <c r="D5698" s="12" t="inlineStr">
        <is>
          <t>Home run JB-Small-bore piping:-AI01 to the control / marshalling room</t>
        </is>
      </c>
      <c r="E5698" s="12" t="inlineStr">
        <is>
          <t>R1</t>
        </is>
      </c>
      <c r="F5698" s="12" t="inlineStr">
        <is>
          <t>R1: main electrical building (64 x 180 ft)</t>
        </is>
      </c>
      <c r="G5698" s="12" t="inlineStr">
        <is>
          <t>JB-Small-bore piping:-AI01</t>
        </is>
      </c>
      <c r="H5698" s="12" t="inlineStr">
        <is>
          <t>Small-bore piping: instrument air, service water, nitrogen, HRSG drain</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6" t="n">
        <v>1332</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C-I-0083</t>
        </is>
      </c>
      <c r="B5699" s="12" t="inlineStr">
        <is>
          <t>C</t>
        </is>
      </c>
      <c r="C5699" s="12" t="inlineStr">
        <is>
          <t>Grid interface</t>
        </is>
      </c>
      <c r="D5699" s="12" t="inlineStr">
        <is>
          <t>Discrete device to JB JB-Small-bore piping:-DI01: 10 x 1 pr (field cables)</t>
        </is>
      </c>
      <c r="E5699" s="12" t="inlineStr"/>
      <c r="F5699" s="12" t="inlineStr">
        <is>
          <t>Small-bore piping: instrument air, service water, nitrogen, HRSG drain</t>
        </is>
      </c>
      <c r="G5699" s="12" t="inlineStr">
        <is>
          <t>JB-Small-bore piping:-DI01</t>
        </is>
      </c>
      <c r="H5699" s="12" t="inlineStr">
        <is>
          <t>Small-bore piping: instrument air, service water, nitrogen, HRSG drain</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10</v>
      </c>
      <c r="O5699" s="12" t="n">
        <v>1</v>
      </c>
      <c r="P5699" s="12" t="n"/>
      <c r="Q5699" s="12" t="n"/>
      <c r="R5699" s="12" t="n"/>
      <c r="S5699" s="12" t="inlineStr">
        <is>
          <t>Tray / conduit</t>
        </is>
      </c>
      <c r="T5699" s="16" t="n">
        <v>250</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C-I-0084</t>
        </is>
      </c>
      <c r="B5700" s="12" t="inlineStr">
        <is>
          <t>C</t>
        </is>
      </c>
      <c r="C5700" s="12" t="inlineStr">
        <is>
          <t>Grid interface</t>
        </is>
      </c>
      <c r="D5700" s="12" t="inlineStr">
        <is>
          <t>Home run JB-Small-bore piping:-DI01 to the control / marshalling room</t>
        </is>
      </c>
      <c r="E5700" s="12" t="inlineStr">
        <is>
          <t>R1</t>
        </is>
      </c>
      <c r="F5700" s="12" t="inlineStr">
        <is>
          <t>R1: main electrical building (64 x 180 ft)</t>
        </is>
      </c>
      <c r="G5700" s="12" t="inlineStr">
        <is>
          <t>JB-Small-bore piping:-DI01</t>
        </is>
      </c>
      <c r="H5700" s="12" t="inlineStr">
        <is>
          <t>Small-bore piping: instrument air, service water, nitrogen, HRSG drain</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6" t="n">
        <v>1332</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C-P-0006</t>
        </is>
      </c>
      <c r="B5701" s="12" t="inlineStr">
        <is>
          <t>C</t>
        </is>
      </c>
      <c r="C5701" s="12" t="inlineStr">
        <is>
          <t>Grid interface</t>
        </is>
      </c>
      <c r="D5701" s="12" t="inlineStr">
        <is>
          <t>Motor 1 of 2, 250 kW</t>
        </is>
      </c>
      <c r="E5701" s="12" t="inlineStr">
        <is>
          <t>MCC-C1</t>
        </is>
      </c>
      <c r="F5701" s="12" t="inlineStr">
        <is>
          <t>R1 MCC-C1</t>
        </is>
      </c>
      <c r="G5701" s="12" t="inlineStr"/>
      <c r="H5701" s="12" t="inlineStr">
        <is>
          <t>Small-bore piping: instrument air, service water, nitrogen, HRSG drain</t>
        </is>
      </c>
      <c r="I5701" s="12" t="inlineStr">
        <is>
          <t>LV 600 V</t>
        </is>
      </c>
      <c r="J5701" s="12" t="inlineStr">
        <is>
          <t>Type TC-ER 600 V 3/C Cu XHHW-2 + ground, PVC jacket</t>
        </is>
      </c>
      <c r="K5701" s="12" t="inlineStr">
        <is>
          <t>LV|3/C+G|250</t>
        </is>
      </c>
      <c r="L5701" s="12" t="inlineStr">
        <is>
          <t>3/C+G</t>
        </is>
      </c>
      <c r="M5701" s="12" t="inlineStr">
        <is>
          <t>250 kcmil</t>
        </is>
      </c>
      <c r="N5701" s="12" t="n">
        <v>2</v>
      </c>
      <c r="O5701" s="12" t="n">
        <v>1</v>
      </c>
      <c r="P5701" s="12" t="n">
        <v>480</v>
      </c>
      <c r="Q5701" s="12" t="n">
        <v>250</v>
      </c>
      <c r="R5701" s="12" t="n">
        <v>353.8</v>
      </c>
      <c r="S5701" s="12" t="inlineStr">
        <is>
          <t>Tray</t>
        </is>
      </c>
      <c r="T5701" s="16" t="n">
        <v>614</v>
      </c>
      <c r="U5701" s="16" t="n">
        <v>145</v>
      </c>
      <c r="V5701" s="16">
        <f>ROUNDUP((T5701+U5701+2*'Read Me'!$B$13)*(1+'Read Me'!$B$12),-1)</f>
        <v/>
      </c>
      <c r="W5701" s="16">
        <f>V5701*N5701*O5701</f>
        <v/>
      </c>
      <c r="X5701" s="12">
        <f>IF(LEFT(I5701,2)="MV",2*N5701*IF(L5701="1/C",O5701,1),0)</f>
        <v/>
      </c>
      <c r="Y5701" s="12">
        <f>IF(OR(LEFT(K5701,4)="LVAX",LEFT(K5701,6)="MV15AX",LEFT(K5701,4)="CTAX",LEFT(K5701,2)="W|"),2*N5701*O5701,0)</f>
        <v/>
      </c>
      <c r="Z5701" s="12" t="inlineStr">
        <is>
          <t>VD 2.7 %</t>
        </is>
      </c>
      <c r="AA5701" s="12">
        <f>N5701*O5701</f>
        <v/>
      </c>
    </row>
    <row r="5702">
      <c r="A5702" s="12" t="inlineStr">
        <is>
          <t>C-P-0007</t>
        </is>
      </c>
      <c r="B5702" s="12" t="inlineStr">
        <is>
          <t>C</t>
        </is>
      </c>
      <c r="C5702" s="12" t="inlineStr">
        <is>
          <t>Grid interface</t>
        </is>
      </c>
      <c r="D5702" s="12" t="inlineStr">
        <is>
          <t>Motor 2 of 2, 250 kW</t>
        </is>
      </c>
      <c r="E5702" s="12" t="inlineStr">
        <is>
          <t>MCC-C1</t>
        </is>
      </c>
      <c r="F5702" s="12" t="inlineStr">
        <is>
          <t>R1 MCC-C1</t>
        </is>
      </c>
      <c r="G5702" s="12" t="inlineStr"/>
      <c r="H5702" s="12" t="inlineStr">
        <is>
          <t>Small-bore piping: instrument air, service water, nitrogen, HRSG drain</t>
        </is>
      </c>
      <c r="I5702" s="12" t="inlineStr">
        <is>
          <t>LV 600 V</t>
        </is>
      </c>
      <c r="J5702" s="12" t="inlineStr">
        <is>
          <t>Type TC-ER 600 V 3/C Cu XHHW-2 + ground, PVC jacket</t>
        </is>
      </c>
      <c r="K5702" s="12" t="inlineStr">
        <is>
          <t>LV|3/C+G|250</t>
        </is>
      </c>
      <c r="L5702" s="12" t="inlineStr">
        <is>
          <t>3/C+G</t>
        </is>
      </c>
      <c r="M5702" s="12" t="inlineStr">
        <is>
          <t>250 kcmil</t>
        </is>
      </c>
      <c r="N5702" s="12" t="n">
        <v>2</v>
      </c>
      <c r="O5702" s="12" t="n">
        <v>1</v>
      </c>
      <c r="P5702" s="12" t="n">
        <v>480</v>
      </c>
      <c r="Q5702" s="12" t="n">
        <v>250</v>
      </c>
      <c r="R5702" s="12" t="n">
        <v>353.8</v>
      </c>
      <c r="S5702" s="12" t="inlineStr">
        <is>
          <t>Tray</t>
        </is>
      </c>
      <c r="T5702" s="16" t="n">
        <v>614</v>
      </c>
      <c r="U5702" s="16" t="n">
        <v>145</v>
      </c>
      <c r="V5702" s="16">
        <f>ROUNDUP((T5702+U5702+2*'Read Me'!$B$13)*(1+'Read Me'!$B$12),-1)</f>
        <v/>
      </c>
      <c r="W5702" s="16">
        <f>V5702*N5702*O5702</f>
        <v/>
      </c>
      <c r="X5702" s="12">
        <f>IF(LEFT(I5702,2)="MV",2*N5702*IF(L5702="1/C",O5702,1),0)</f>
        <v/>
      </c>
      <c r="Y5702" s="12">
        <f>IF(OR(LEFT(K5702,4)="LVAX",LEFT(K5702,6)="MV15AX",LEFT(K5702,4)="CTAX",LEFT(K5702,2)="W|"),2*N5702*O5702,0)</f>
        <v/>
      </c>
      <c r="Z5702" s="12" t="inlineStr">
        <is>
          <t>VD 2.7 %</t>
        </is>
      </c>
      <c r="AA5702" s="12">
        <f>N5702*O5702</f>
        <v/>
      </c>
    </row>
  </sheetData>
  <autoFilter ref="A1:AA570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Schedule'!$AA$2:$AA$5702,'Cable Schedule'!$K$2:$K$5702,A2)</f>
        <v/>
      </c>
      <c r="G2" s="18">
        <f>SUMIFS('Cable Schedule'!$W$2:$W$5702,'Cable Schedule'!$K$2:$K$5702,A2)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Schedule'!$AA$2:$AA$5702,'Cable Schedule'!$K$2:$K$5702,A3)</f>
        <v/>
      </c>
      <c r="G3" s="18">
        <f>SUMIFS('Cable Schedule'!$W$2:$W$5702,'Cable Schedule'!$K$2:$K$5702,A3)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Schedule'!$AA$2:$AA$5702,'Cable Schedule'!$K$2:$K$5702,A4)</f>
        <v/>
      </c>
      <c r="G4" s="18">
        <f>SUMIFS('Cable Schedule'!$W$2:$W$5702,'Cable Schedule'!$K$2:$K$5702,A4)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Schedule'!$AA$2:$AA$5702,'Cable Schedule'!$K$2:$K$5702,A5)</f>
        <v/>
      </c>
      <c r="G5" s="18">
        <f>SUMIFS('Cable Schedule'!$W$2:$W$5702,'Cable Schedule'!$K$2:$K$5702,A5)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Schedule'!$AA$2:$AA$5702,'Cable Schedule'!$K$2:$K$5702,A6)</f>
        <v/>
      </c>
      <c r="G6" s="18">
        <f>SUMIFS('Cable Schedule'!$W$2:$W$5702,'Cable Schedule'!$K$2:$K$5702,A6)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Schedule'!$AA$2:$AA$5702,'Cable Schedule'!$K$2:$K$5702,A7)</f>
        <v/>
      </c>
      <c r="G7" s="18">
        <f>SUMIFS('Cable Schedule'!$W$2:$W$5702,'Cable Schedule'!$K$2:$K$5702,A7)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Schedule'!$AA$2:$AA$5702,'Cable Schedule'!$K$2:$K$5702,A8)</f>
        <v/>
      </c>
      <c r="G8" s="18">
        <f>SUMIFS('Cable Schedule'!$W$2:$W$5702,'Cable Schedule'!$K$2:$K$5702,A8)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Schedule'!$AA$2:$AA$5702,'Cable Schedule'!$K$2:$K$5702,A9)</f>
        <v/>
      </c>
      <c r="G9" s="18">
        <f>SUMIFS('Cable Schedule'!$W$2:$W$5702,'Cable Schedule'!$K$2:$K$5702,A9)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Schedule'!$AA$2:$AA$5702,'Cable Schedule'!$K$2:$K$5702,A10)</f>
        <v/>
      </c>
      <c r="G10" s="18">
        <f>SUMIFS('Cable Schedule'!$W$2:$W$5702,'Cable Schedule'!$K$2:$K$5702,A10)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Schedule'!$AA$2:$AA$5702,'Cable Schedule'!$K$2:$K$5702,A11)</f>
        <v/>
      </c>
      <c r="G11" s="18">
        <f>SUMIFS('Cable Schedule'!$W$2:$W$5702,'Cable Schedule'!$K$2:$K$5702,A11)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Schedule'!$AA$2:$AA$5702,'Cable Schedule'!$K$2:$K$5702,A12)</f>
        <v/>
      </c>
      <c r="G12" s="18">
        <f>SUMIFS('Cable Schedule'!$W$2:$W$5702,'Cable Schedule'!$K$2:$K$5702,A12)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Schedule'!$AA$2:$AA$5702,'Cable Schedule'!$K$2:$K$5702,A13)</f>
        <v/>
      </c>
      <c r="G13" s="18">
        <f>SUMIFS('Cable Schedule'!$W$2:$W$5702,'Cable Schedule'!$K$2:$K$5702,A13)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Schedule'!$AA$2:$AA$5702,'Cable Schedule'!$K$2:$K$5702,A14)</f>
        <v/>
      </c>
      <c r="G14" s="18">
        <f>SUMIFS('Cable Schedule'!$W$2:$W$5702,'Cable Schedule'!$K$2:$K$5702,A14)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Schedule'!$AA$2:$AA$5702,'Cable Schedule'!$K$2:$K$5702,A15)</f>
        <v/>
      </c>
      <c r="G15" s="18">
        <f>SUMIFS('Cable Schedule'!$W$2:$W$5702,'Cable Schedule'!$K$2:$K$5702,A15)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Schedule'!$AA$2:$AA$5702,'Cable Schedule'!$K$2:$K$5702,A16)</f>
        <v/>
      </c>
      <c r="G16" s="18">
        <f>SUMIFS('Cable Schedule'!$W$2:$W$5702,'Cable Schedule'!$K$2:$K$5702,A16)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Schedule'!$AA$2:$AA$5702,'Cable Schedule'!$K$2:$K$5702,A17)</f>
        <v/>
      </c>
      <c r="G17" s="18">
        <f>SUMIFS('Cable Schedule'!$W$2:$W$5702,'Cable Schedule'!$K$2:$K$5702,A17)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Schedule'!$AA$2:$AA$5702,'Cable Schedule'!$K$2:$K$5702,A18)</f>
        <v/>
      </c>
      <c r="G18" s="18">
        <f>SUMIFS('Cable Schedule'!$W$2:$W$5702,'Cable Schedule'!$K$2:$K$5702,A18)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Schedule'!$AA$2:$AA$5702,'Cable Schedule'!$K$2:$K$5702,A19)</f>
        <v/>
      </c>
      <c r="G19" s="18">
        <f>SUMIFS('Cable Schedule'!$W$2:$W$5702,'Cable Schedule'!$K$2:$K$5702,A19)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Schedule'!$AA$2:$AA$5702,'Cable Schedule'!$K$2:$K$5702,A20)</f>
        <v/>
      </c>
      <c r="G20" s="18">
        <f>SUMIFS('Cable Schedule'!$W$2:$W$5702,'Cable Schedule'!$K$2:$K$5702,A20)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Schedule'!$AA$2:$AA$5702,'Cable Schedule'!$K$2:$K$5702,A21)</f>
        <v/>
      </c>
      <c r="G21" s="18">
        <f>SUMIFS('Cable Schedule'!$W$2:$W$5702,'Cable Schedule'!$K$2:$K$5702,A21)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Schedule'!$AA$2:$AA$5702,'Cable Schedule'!$K$2:$K$5702,A22)</f>
        <v/>
      </c>
      <c r="G22" s="18">
        <f>SUMIFS('Cable Schedule'!$W$2:$W$5702,'Cable Schedule'!$K$2:$K$5702,A22)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Schedule'!$AA$2:$AA$5702,'Cable Schedule'!$K$2:$K$5702,A23)</f>
        <v/>
      </c>
      <c r="G23" s="18">
        <f>SUMIFS('Cable Schedule'!$W$2:$W$5702,'Cable Schedule'!$K$2:$K$5702,A23)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Schedule'!$AA$2:$AA$5702,'Cable Schedule'!$K$2:$K$5702,A24)</f>
        <v/>
      </c>
      <c r="G24" s="18">
        <f>SUMIFS('Cable Schedule'!$W$2:$W$5702,'Cable Schedule'!$K$2:$K$5702,A24)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Schedule'!$AA$2:$AA$5702,'Cable Schedule'!$K$2:$K$5702,A25)</f>
        <v/>
      </c>
      <c r="G25" s="18">
        <f>SUMIFS('Cable Schedule'!$W$2:$W$5702,'Cable Schedule'!$K$2:$K$5702,A25)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Schedule'!$AA$2:$AA$5702,'Cable Schedule'!$K$2:$K$5702,A26)</f>
        <v/>
      </c>
      <c r="G26" s="18">
        <f>SUMIFS('Cable Schedule'!$W$2:$W$5702,'Cable Schedule'!$K$2:$K$5702,A26)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Schedule'!$AA$2:$AA$5702,'Cable Schedule'!$K$2:$K$5702,A27)</f>
        <v/>
      </c>
      <c r="G27" s="18">
        <f>SUMIFS('Cable Schedule'!$W$2:$W$5702,'Cable Schedule'!$K$2:$K$5702,A27)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Schedule'!$AA$2:$AA$5702,'Cable Schedule'!$K$2:$K$5702,A28)</f>
        <v/>
      </c>
      <c r="G28" s="18">
        <f>SUMIFS('Cable Schedule'!$W$2:$W$5702,'Cable Schedule'!$K$2:$K$5702,A28)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Schedule'!$AA$2:$AA$5702,'Cable Schedule'!$K$2:$K$5702,A29)</f>
        <v/>
      </c>
      <c r="G29" s="18">
        <f>SUMIFS('Cable Schedule'!$W$2:$W$5702,'Cable Schedule'!$K$2:$K$5702,A29)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Schedule'!$AA$2:$AA$5702,'Cable Schedule'!$K$2:$K$5702,A30)</f>
        <v/>
      </c>
      <c r="G30" s="18">
        <f>SUMIFS('Cable Schedule'!$W$2:$W$5702,'Cable Schedule'!$K$2:$K$5702,A30)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Schedule'!$AA$2:$AA$5702,'Cable Schedule'!$K$2:$K$5702,A31)</f>
        <v/>
      </c>
      <c r="G31" s="18">
        <f>SUMIFS('Cable Schedule'!$W$2:$W$5702,'Cable Schedule'!$K$2:$K$5702,A31)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Schedule'!$AA$2:$AA$5702,'Cable Schedule'!$K$2:$K$5702,A32)</f>
        <v/>
      </c>
      <c r="G32" s="18">
        <f>SUMIFS('Cable Schedule'!$W$2:$W$5702,'Cable Schedule'!$K$2:$K$5702,A32)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Schedule'!$AA$2:$AA$5702,'Cable Schedule'!$K$2:$K$5702,A33)</f>
        <v/>
      </c>
      <c r="G33" s="18">
        <f>SUMIFS('Cable Schedule'!$W$2:$W$5702,'Cable Schedule'!$K$2:$K$5702,A33)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Schedule'!$AA$2:$AA$5702,'Cable Schedule'!$K$2:$K$5702,A34)</f>
        <v/>
      </c>
      <c r="G34" s="18">
        <f>SUMIFS('Cable Schedule'!$W$2:$W$5702,'Cable Schedule'!$K$2:$K$5702,A34)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Schedule'!$AA$2:$AA$5702,'Cable Schedule'!$K$2:$K$5702,A35)</f>
        <v/>
      </c>
      <c r="G35" s="18">
        <f>SUMIFS('Cable Schedule'!$W$2:$W$5702,'Cable Schedule'!$K$2:$K$5702,A35)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Schedule'!$AA$2:$AA$5702,'Cable Schedule'!$K$2:$K$5702,A36)</f>
        <v/>
      </c>
      <c r="G36" s="18">
        <f>SUMIFS('Cable Schedule'!$W$2:$W$5702,'Cable Schedule'!$K$2:$K$5702,A36)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Schedule'!$AA$2:$AA$5702,'Cable Schedule'!$K$2:$K$5702,A37)</f>
        <v/>
      </c>
      <c r="G37" s="18">
        <f>SUMIFS('Cable Schedule'!$W$2:$W$5702,'Cable Schedule'!$K$2:$K$5702,A37)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Schedule'!$AA$2:$AA$5702,'Cable Schedule'!$K$2:$K$5702,A38)</f>
        <v/>
      </c>
      <c r="G38" s="18">
        <f>SUMIFS('Cable Schedule'!$W$2:$W$5702,'Cable Schedule'!$K$2:$K$5702,A38)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Schedule'!$AA$2:$AA$5702,'Cable Schedule'!$K$2:$K$5702,A39)</f>
        <v/>
      </c>
      <c r="G39" s="18">
        <f>SUMIFS('Cable Schedule'!$W$2:$W$5702,'Cable Schedule'!$K$2:$K$5702,A39)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Schedule'!$AA$2:$AA$5702,'Cable Schedule'!$K$2:$K$5702,A40)</f>
        <v/>
      </c>
      <c r="G40" s="18">
        <f>SUMIFS('Cable Schedule'!$W$2:$W$5702,'Cable Schedule'!$K$2:$K$5702,A40)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Schedule'!$AA$2:$AA$5702,'Cable Schedule'!$K$2:$K$5702,A41)</f>
        <v/>
      </c>
      <c r="G41" s="18">
        <f>SUMIFS('Cable Schedule'!$W$2:$W$5702,'Cable Schedule'!$K$2:$K$5702,A41)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Schedule'!$AA$2:$AA$5702,'Cable Schedule'!$K$2:$K$5702,A42)</f>
        <v/>
      </c>
      <c r="G42" s="18">
        <f>SUMIFS('Cable Schedule'!$W$2:$W$5702,'Cable Schedule'!$K$2:$K$5702,A42)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Schedule'!$AA$2:$AA$5702,'Cable Schedule'!$K$2:$K$5702,A43)</f>
        <v/>
      </c>
      <c r="G43" s="18">
        <f>SUMIFS('Cable Schedule'!$W$2:$W$5702,'Cable Schedule'!$K$2:$K$5702,A43)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Schedule'!$AA$2:$AA$5702,'Cable Schedule'!$K$2:$K$5702,A44)</f>
        <v/>
      </c>
      <c r="G44" s="18">
        <f>SUMIFS('Cable Schedule'!$W$2:$W$5702,'Cable Schedule'!$K$2:$K$5702,A44)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Schedule'!$AA$2:$AA$5702,'Cable Schedule'!$K$2:$K$5702,A45)</f>
        <v/>
      </c>
      <c r="G45" s="18">
        <f>SUMIFS('Cable Schedule'!$W$2:$W$5702,'Cable Schedule'!$K$2:$K$5702,A45)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Schedule'!$AA$2:$AA$5702,'Cable Schedule'!$K$2:$K$5702,A46)</f>
        <v/>
      </c>
      <c r="G46" s="18">
        <f>SUMIFS('Cable Schedule'!$W$2:$W$5702,'Cable Schedule'!$K$2:$K$5702,A46)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Schedule'!$AA$2:$AA$5702,'Cable Schedule'!$K$2:$K$5702,A47)</f>
        <v/>
      </c>
      <c r="G47" s="18">
        <f>SUMIFS('Cable Schedule'!$W$2:$W$5702,'Cable Schedule'!$K$2:$K$5702,A47)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Schedule'!$AA$2:$AA$5702,'Cable Schedule'!$K$2:$K$5702,A48)</f>
        <v/>
      </c>
      <c r="G48" s="18">
        <f>SUMIFS('Cable Schedule'!$W$2:$W$5702,'Cable Schedule'!$K$2:$K$5702,A48)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Schedule'!$AA$2:$AA$5702,'Cable Schedule'!$K$2:$K$5702,A49)</f>
        <v/>
      </c>
      <c r="G49" s="18">
        <f>SUMIFS('Cable Schedule'!$W$2:$W$5702,'Cable Schedule'!$K$2:$K$5702,A49)</f>
        <v/>
      </c>
      <c r="H49" s="19">
        <f>'Read Me'!$B$14</f>
        <v/>
      </c>
      <c r="I49" s="16">
        <f>ROUNDUP(G49*(1+H49),-2)</f>
        <v/>
      </c>
      <c r="J49" s="20" t="n">
        <v>2500</v>
      </c>
      <c r="K49" s="12">
        <f>IF(J49&gt;0,ROUNDUP(I49/J49,0),0)</f>
        <v/>
      </c>
      <c r="L49" s="21">
        <f>I49*0.3048/1000</f>
        <v/>
      </c>
    </row>
    <row r="50">
      <c r="A50" s="12" t="inlineStr">
        <is>
          <t>VFD|3/C+3G|1/0</t>
        </is>
      </c>
      <c r="B50" s="12" t="inlineStr">
        <is>
          <t>LV 600 V</t>
        </is>
      </c>
      <c r="C50" s="12" t="inlineStr">
        <is>
          <t>VFD cable 600 V 3/C Cu XHHW-2, 3 symmetrical grounds, overall Cu tape shield, TC-ER</t>
        </is>
      </c>
      <c r="D50" s="12" t="inlineStr">
        <is>
          <t>3/C+3G</t>
        </is>
      </c>
      <c r="E50" s="12" t="inlineStr">
        <is>
          <t>1/0</t>
        </is>
      </c>
      <c r="F50" s="17">
        <f>SUMIFS('Cable Schedule'!$AA$2:$AA$5702,'Cable Schedule'!$K$2:$K$5702,A50)</f>
        <v/>
      </c>
      <c r="G50" s="18">
        <f>SUMIFS('Cable Schedule'!$W$2:$W$5702,'Cable Schedule'!$K$2:$K$5702,A50)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Schedule'!$AA$2:$AA$5702,'Cable Schedule'!$K$2:$K$5702,A51)</f>
        <v/>
      </c>
      <c r="G51" s="18">
        <f>SUMIFS('Cable Schedule'!$W$2:$W$5702,'Cable Schedule'!$K$2:$K$5702,A51)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Schedule'!$AA$2:$AA$5702,'Cable Schedule'!$K$2:$K$5702,A52)</f>
        <v/>
      </c>
      <c r="G52" s="18">
        <f>SUMIFS('Cable Schedule'!$W$2:$W$5702,'Cable Schedule'!$K$2:$K$5702,A52)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Schedule'!$AA$2:$AA$5702,'Cable Schedule'!$K$2:$K$5702,A53)</f>
        <v/>
      </c>
      <c r="G53" s="18">
        <f>SUMIFS('Cable Schedule'!$W$2:$W$5702,'Cable Schedule'!$K$2:$K$5702,A53)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Schedule'!$AA$2:$AA$5702,'Cable Schedule'!$K$2:$K$5702,A54)</f>
        <v/>
      </c>
      <c r="G54" s="18">
        <f>SUMIFS('Cable Schedule'!$W$2:$W$5702,'Cable Schedule'!$K$2:$K$5702,A54)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Schedule'!$AA$2:$AA$5702,'Cable Schedule'!$K$2:$K$5702,A55)</f>
        <v/>
      </c>
      <c r="G55" s="18">
        <f>SUMIFS('Cable Schedule'!$W$2:$W$5702,'Cable Schedule'!$K$2:$K$5702,A55)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Schedule'!$AA$2:$AA$5702,'Cable Schedule'!$K$2:$K$5702,A56)</f>
        <v/>
      </c>
      <c r="G56" s="18">
        <f>SUMIFS('Cable Schedule'!$W$2:$W$5702,'Cable Schedule'!$K$2:$K$5702,A56)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Schedule'!$AA$2:$AA$5702,'Cable Schedule'!$K$2:$K$5702,A57)</f>
        <v/>
      </c>
      <c r="G57" s="18">
        <f>SUMIFS('Cable Schedule'!$W$2:$W$5702,'Cable Schedule'!$K$2:$K$5702,A57)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Schedule'!$AA$2:$AA$5702,'Cable Schedule'!$K$2:$K$5702,A58)</f>
        <v/>
      </c>
      <c r="G58" s="18">
        <f>SUMIFS('Cable Schedule'!$W$2:$W$5702,'Cable Schedule'!$K$2:$K$5702,A58)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Schedule'!$AA$2:$AA$5702,'Cable Schedule'!$K$2:$K$5702,A59)</f>
        <v/>
      </c>
      <c r="G59" s="18">
        <f>SUMIFS('Cable Schedule'!$W$2:$W$5702,'Cable Schedule'!$K$2:$K$5702,A59)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Schedule'!$AA$2:$AA$5702,'Cable Schedule'!$K$2:$K$5702,A60)</f>
        <v/>
      </c>
      <c r="G60" s="18">
        <f>SUMIFS('Cable Schedule'!$W$2:$W$5702,'Cable Schedule'!$K$2:$K$5702,A60)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Schedule'!$AA$2:$AA$5702,'Cable Schedule'!$K$2:$K$5702,A61)</f>
        <v/>
      </c>
      <c r="G61" s="18">
        <f>SUMIFS('Cable Schedule'!$W$2:$W$5702,'Cable Schedule'!$K$2:$K$5702,A61)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Schedule'!$AA$2:$AA$5702,'Cable Schedule'!$K$2:$K$5702,A62)</f>
        <v/>
      </c>
      <c r="G62" s="18">
        <f>SUMIFS('Cable Schedule'!$W$2:$W$5702,'Cable Schedule'!$K$2:$K$5702,A62)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Schedule'!$AA$2:$AA$5702,'Cable Schedule'!$K$2:$K$5702,A63)</f>
        <v/>
      </c>
      <c r="G63" s="18">
        <f>SUMIFS('Cable Schedule'!$W$2:$W$5702,'Cable Schedule'!$K$2:$K$5702,A63)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Schedule'!$AA$2:$AA$5702,'Cable Schedule'!$K$2:$K$5702,A64)</f>
        <v/>
      </c>
      <c r="G64" s="18">
        <f>SUMIFS('Cable Schedule'!$W$2:$W$5702,'Cable Schedule'!$K$2:$K$5702,A64)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Schedule'!$AA$2:$AA$5702,'Cable Schedule'!$K$2:$K$5702,A65)</f>
        <v/>
      </c>
      <c r="G65" s="18">
        <f>SUMIFS('Cable Schedule'!$W$2:$W$5702,'Cable Schedule'!$K$2:$K$5702,A65)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Schedule'!$AA$2:$AA$5702,'Cable Schedule'!$K$2:$K$5702,A66)</f>
        <v/>
      </c>
      <c r="G66" s="18">
        <f>SUMIFS('Cable Schedule'!$W$2:$W$5702,'Cable Schedule'!$K$2:$K$5702,A66)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Schedule'!$AA$2:$AA$5702,'Cable Schedule'!$K$2:$K$5702,A67)</f>
        <v/>
      </c>
      <c r="G67" s="18">
        <f>SUMIFS('Cable Schedule'!$W$2:$W$5702,'Cable Schedule'!$K$2:$K$5702,A67)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Schedule'!$AA$2:$AA$5702,'Cable Schedule'!$K$2:$K$5702,A68)</f>
        <v/>
      </c>
      <c r="G68" s="18">
        <f>SUMIFS('Cable Schedule'!$W$2:$W$5702,'Cable Schedule'!$K$2:$K$5702,A68)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Schedule'!$AA$2:$AA$5702,'Cable Schedule'!$K$2:$K$5702,A69)</f>
        <v/>
      </c>
      <c r="G69" s="18">
        <f>SUMIFS('Cable Schedule'!$W$2:$W$5702,'Cable Schedule'!$K$2:$K$5702,A69)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Schedule'!$AA$2:$AA$5702,'Cable Schedule'!$K$2:$K$5702,A70)</f>
        <v/>
      </c>
      <c r="G70" s="18">
        <f>SUMIFS('Cable Schedule'!$W$2:$W$5702,'Cable Schedule'!$K$2:$K$5702,A70)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Schedule'!$AA$2:$AA$5702,'Cable Schedule'!$K$2:$K$5702,A71)</f>
        <v/>
      </c>
      <c r="G71" s="18">
        <f>SUMIFS('Cable Schedule'!$W$2:$W$5702,'Cable Schedule'!$K$2:$K$5702,A71)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Schedule'!$AA$2:$AA$5702,'Cable Schedule'!$K$2:$K$5702,A72)</f>
        <v/>
      </c>
      <c r="G72" s="18">
        <f>SUMIFS('Cable Schedule'!$W$2:$W$5702,'Cable Schedule'!$K$2:$K$5702,A72)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Schedule'!$AA$2:$AA$5702,'Cable Schedule'!$K$2:$K$5702,A73)</f>
        <v/>
      </c>
      <c r="G73" s="18">
        <f>SUMIFS('Cable Schedule'!$W$2:$W$5702,'Cable Schedule'!$K$2:$K$5702,A73)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Schedule'!$AA$2:$AA$5702,'Cable Schedule'!$K$2:$K$5702,A74)</f>
        <v/>
      </c>
      <c r="G74" s="18">
        <f>SUMIFS('Cable Schedule'!$W$2:$W$5702,'Cable Schedule'!$K$2:$K$5702,A74)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Schedule'!$AA$2:$AA$5702,'Cable Schedule'!$K$2:$K$5702,A75)</f>
        <v/>
      </c>
      <c r="G75" s="18">
        <f>SUMIFS('Cable Schedule'!$W$2:$W$5702,'Cable Schedule'!$K$2:$K$5702,A75)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Schedule'!$AA$2:$AA$5702,'Cable Schedule'!$K$2:$K$5702,A76)</f>
        <v/>
      </c>
      <c r="G76" s="18">
        <f>SUMIFS('Cable Schedule'!$W$2:$W$5702,'Cable Schedule'!$K$2:$K$5702,A76)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Schedule'!$AA$2:$AA$5702,'Cable Schedule'!$K$2:$K$5702,A77)</f>
        <v/>
      </c>
      <c r="G77" s="18">
        <f>SUMIFS('Cable Schedule'!$W$2:$W$5702,'Cable Schedule'!$K$2:$K$5702,A77)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Schedule'!$AA$2:$AA$5702,'Cable Schedule'!$K$2:$K$5702,A78)</f>
        <v/>
      </c>
      <c r="G78" s="18">
        <f>SUMIFS('Cable Schedule'!$W$2:$W$5702,'Cable Schedule'!$K$2:$K$5702,A78)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Schedule'!$AA$2:$AA$5702,'Cable Schedule'!$K$2:$K$5702,A79)</f>
        <v/>
      </c>
      <c r="G79" s="18">
        <f>SUMIFS('Cable Schedule'!$W$2:$W$5702,'Cable Schedule'!$K$2:$K$5702,A79)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Schedule'!$AA$2:$AA$5702,'Cable Schedule'!$K$2:$K$5702,A80)</f>
        <v/>
      </c>
      <c r="G80" s="18">
        <f>SUMIFS('Cable Schedule'!$W$2:$W$5702,'Cable Schedule'!$K$2:$K$5702,A80)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Schedule'!$AA$2:$AA$5702,'Cable Schedule'!$K$2:$K$5702,A81)</f>
        <v/>
      </c>
      <c r="G81" s="18">
        <f>SUMIFS('Cable Schedule'!$W$2:$W$5702,'Cable Schedule'!$K$2:$K$5702,A81)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Schedule'!$AA$2:$AA$5702,'Cable Schedule'!$K$2:$K$5702,A82)</f>
        <v/>
      </c>
      <c r="G82" s="18">
        <f>SUMIFS('Cable Schedule'!$W$2:$W$5702,'Cable Schedule'!$K$2:$K$5702,A82)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Schedule'!X2:X5702)</f>
        <v/>
      </c>
    </row>
    <row r="3">
      <c r="A3" s="12" t="inlineStr">
        <is>
          <t>ARMOR-X / Type W connectors and glands</t>
        </is>
      </c>
      <c r="B3" s="18">
        <f>SUM('Cable Schedule'!Y2:Y5702)</f>
        <v/>
      </c>
    </row>
    <row r="4">
      <c r="A4" s="12" t="inlineStr">
        <is>
          <t>MV splice kits (allowance: 1 per 2,500 ft of MV 1/C)</t>
        </is>
      </c>
      <c r="B4" s="18">
        <f>ROUNDUP(SUMIFS('Cable Schedule'!W2:W5702,'Cable Schedule'!I2:I5702,"MV*",'Cable Schedule'!L2:L5702,"1/C")/2500,0)</f>
        <v/>
      </c>
    </row>
    <row r="5">
      <c r="A5" s="12" t="inlineStr">
        <is>
          <t>230 kV outdoor terminations</t>
        </is>
      </c>
      <c r="B5" s="18">
        <f>2*SUMIFS('Cable Schedule'!O2:O5702,'Cable Schedule'!I2:I5702,"HV 230 kV")</f>
        <v/>
      </c>
    </row>
    <row r="6">
      <c r="A6" s="12" t="inlineStr">
        <is>
          <t>600 V compression lugs (power, 4 per end)</t>
        </is>
      </c>
      <c r="B6" s="18">
        <f>2*4*SUMIFS('Cable Schedule'!N2:N5702,'Cable Schedule'!I2:I5702,"LV 600 V")</f>
        <v/>
      </c>
    </row>
    <row r="7">
      <c r="A7" s="12" t="inlineStr">
        <is>
          <t>Instrument / control cable glands (2 per run)</t>
        </is>
      </c>
      <c r="B7" s="18">
        <f>2*(COUNTIF('Cable Schedule'!I2:I5702,"Control")+COUNTIF('Cable Schedule'!I2:I5702,"Instrumentation"))</f>
        <v/>
      </c>
    </row>
    <row r="8">
      <c r="A8" s="12" t="inlineStr">
        <is>
          <t>Fibre patch / termination (2 per link)</t>
        </is>
      </c>
      <c r="B8" s="18">
        <f>2*COUNTIF('Cable Schedule'!I2:I5702,"Fibre / data")</f>
        <v/>
      </c>
    </row>
    <row r="9">
      <c r="A9" s="12" t="inlineStr">
        <is>
          <t>Ground connections: exothermic welds (allowance 1 per 25 ft of grid)</t>
        </is>
      </c>
      <c r="B9" s="18">
        <f>ROUNDUP(SUMIFS('Cable Schedule'!W2:W5702,'Cable Schedule'!I2:I5702,"Grounding")/25,0)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Schedule'!$W$2:$W$5702,'Cable Schedule'!$B$2:$B$5702,"A",'Cable Schedule'!$I$2:$I$5702,"MV 15 kV")</f>
        <v/>
      </c>
      <c r="C3" s="18">
        <f>SUMIFS('Cable Schedule'!$W$2:$W$5702,'Cable Schedule'!$B$2:$B$5702,"A",'Cable Schedule'!$I$2:$I$5702,"MV 5 kV")</f>
        <v/>
      </c>
      <c r="D3" s="18">
        <f>SUMIFS('Cable Schedule'!$W$2:$W$5702,'Cable Schedule'!$B$2:$B$5702,"A",'Cable Schedule'!$I$2:$I$5702,"MV 25 kV")</f>
        <v/>
      </c>
      <c r="E3" s="18">
        <f>SUMIFS('Cable Schedule'!$W$2:$W$5702,'Cable Schedule'!$B$2:$B$5702,"A",'Cable Schedule'!$I$2:$I$5702,"MV 35 kV")</f>
        <v/>
      </c>
      <c r="F3" s="18">
        <f>SUMIFS('Cable Schedule'!$W$2:$W$5702,'Cable Schedule'!$B$2:$B$5702,"A",'Cable Schedule'!$I$2:$I$5702,"HV 230 kV")</f>
        <v/>
      </c>
      <c r="G3" s="18">
        <f>SUMIFS('Cable Schedule'!$W$2:$W$5702,'Cable Schedule'!$B$2:$B$5702,"A",'Cable Schedule'!$I$2:$I$5702,"LV 600 V")</f>
        <v/>
      </c>
      <c r="H3" s="18">
        <f>SUMIFS('Cable Schedule'!$W$2:$W$5702,'Cable Schedule'!$B$2:$B$5702,"A",'Cable Schedule'!$I$2:$I$5702,"Control")</f>
        <v/>
      </c>
      <c r="I3" s="18">
        <f>SUMIFS('Cable Schedule'!$W$2:$W$5702,'Cable Schedule'!$B$2:$B$5702,"A",'Cable Schedule'!$I$2:$I$5702,"Instrumentation")</f>
        <v/>
      </c>
      <c r="J3" s="18">
        <f>SUMIFS('Cable Schedule'!$W$2:$W$5702,'Cable Schedule'!$B$2:$B$5702,"A",'Cable Schedule'!$I$2:$I$5702,"Fire alarm")</f>
        <v/>
      </c>
      <c r="K3" s="18">
        <f>SUMIFS('Cable Schedule'!$W$2:$W$5702,'Cable Schedule'!$B$2:$B$5702,"A",'Cable Schedule'!$I$2:$I$5702,"Fibre / data")</f>
        <v/>
      </c>
      <c r="L3" s="18">
        <f>SUMIFS('Cable Schedule'!$W$2:$W$5702,'Cable Schedule'!$B$2:$B$5702,"A",'Cable Schedule'!$I$2:$I$5702,"DC 2 kV")</f>
        <v/>
      </c>
      <c r="M3" s="18">
        <f>SUMIFS('Cable Schedule'!$W$2:$W$5702,'Cable Schedule'!$B$2:$B$5702,"A",'Cable Schedule'!$I$2:$I$5702,"Portable MV")</f>
        <v/>
      </c>
      <c r="N3" s="18">
        <f>SUMIFS('Cable Schedule'!$W$2:$W$5702,'Cable Schedule'!$B$2:$B$5702,"A",'Cable Schedule'!$I$2:$I$5702,"Portable LV")</f>
        <v/>
      </c>
      <c r="O3" s="18">
        <f>SUMIFS('Cable Schedule'!$W$2:$W$5702,'Cable Schedule'!$B$2:$B$5702,"A",'Cable Schedule'!$I$2:$I$5702,"Building wire")</f>
        <v/>
      </c>
      <c r="P3" s="18">
        <f>SUMIFS('Cable Schedule'!$W$2:$W$5702,'Cable Schedule'!$B$2:$B$5702,"A",'Cable Schedule'!$I$2:$I$5702,"Grounding")</f>
        <v/>
      </c>
      <c r="Q3" s="18">
        <f>SUMIFS('Cable Schedule'!$W$2:$W$5702,'Cable Schedule'!$B$2:$B$5702,"A",'Cable Schedule'!$I$2:$I$5702,"Overhead")</f>
        <v/>
      </c>
      <c r="R3" s="28">
        <f>SUM(B3:Q3)</f>
        <v/>
      </c>
    </row>
    <row r="4">
      <c r="A4" s="12" t="inlineStr">
        <is>
          <t>B  ACC</t>
        </is>
      </c>
      <c r="B4" s="18">
        <f>SUMIFS('Cable Schedule'!$W$2:$W$5702,'Cable Schedule'!$B$2:$B$5702,"B",'Cable Schedule'!$I$2:$I$5702,"MV 15 kV")</f>
        <v/>
      </c>
      <c r="C4" s="18">
        <f>SUMIFS('Cable Schedule'!$W$2:$W$5702,'Cable Schedule'!$B$2:$B$5702,"B",'Cable Schedule'!$I$2:$I$5702,"MV 5 kV")</f>
        <v/>
      </c>
      <c r="D4" s="18">
        <f>SUMIFS('Cable Schedule'!$W$2:$W$5702,'Cable Schedule'!$B$2:$B$5702,"B",'Cable Schedule'!$I$2:$I$5702,"MV 25 kV")</f>
        <v/>
      </c>
      <c r="E4" s="18">
        <f>SUMIFS('Cable Schedule'!$W$2:$W$5702,'Cable Schedule'!$B$2:$B$5702,"B",'Cable Schedule'!$I$2:$I$5702,"MV 35 kV")</f>
        <v/>
      </c>
      <c r="F4" s="18">
        <f>SUMIFS('Cable Schedule'!$W$2:$W$5702,'Cable Schedule'!$B$2:$B$5702,"B",'Cable Schedule'!$I$2:$I$5702,"HV 230 kV")</f>
        <v/>
      </c>
      <c r="G4" s="18">
        <f>SUMIFS('Cable Schedule'!$W$2:$W$5702,'Cable Schedule'!$B$2:$B$5702,"B",'Cable Schedule'!$I$2:$I$5702,"LV 600 V")</f>
        <v/>
      </c>
      <c r="H4" s="18">
        <f>SUMIFS('Cable Schedule'!$W$2:$W$5702,'Cable Schedule'!$B$2:$B$5702,"B",'Cable Schedule'!$I$2:$I$5702,"Control")</f>
        <v/>
      </c>
      <c r="I4" s="18">
        <f>SUMIFS('Cable Schedule'!$W$2:$W$5702,'Cable Schedule'!$B$2:$B$5702,"B",'Cable Schedule'!$I$2:$I$5702,"Instrumentation")</f>
        <v/>
      </c>
      <c r="J4" s="18">
        <f>SUMIFS('Cable Schedule'!$W$2:$W$5702,'Cable Schedule'!$B$2:$B$5702,"B",'Cable Schedule'!$I$2:$I$5702,"Fire alarm")</f>
        <v/>
      </c>
      <c r="K4" s="18">
        <f>SUMIFS('Cable Schedule'!$W$2:$W$5702,'Cable Schedule'!$B$2:$B$5702,"B",'Cable Schedule'!$I$2:$I$5702,"Fibre / data")</f>
        <v/>
      </c>
      <c r="L4" s="18">
        <f>SUMIFS('Cable Schedule'!$W$2:$W$5702,'Cable Schedule'!$B$2:$B$5702,"B",'Cable Schedule'!$I$2:$I$5702,"DC 2 kV")</f>
        <v/>
      </c>
      <c r="M4" s="18">
        <f>SUMIFS('Cable Schedule'!$W$2:$W$5702,'Cable Schedule'!$B$2:$B$5702,"B",'Cable Schedule'!$I$2:$I$5702,"Portable MV")</f>
        <v/>
      </c>
      <c r="N4" s="18">
        <f>SUMIFS('Cable Schedule'!$W$2:$W$5702,'Cable Schedule'!$B$2:$B$5702,"B",'Cable Schedule'!$I$2:$I$5702,"Portable LV")</f>
        <v/>
      </c>
      <c r="O4" s="18">
        <f>SUMIFS('Cable Schedule'!$W$2:$W$5702,'Cable Schedule'!$B$2:$B$5702,"B",'Cable Schedule'!$I$2:$I$5702,"Building wire")</f>
        <v/>
      </c>
      <c r="P4" s="18">
        <f>SUMIFS('Cable Schedule'!$W$2:$W$5702,'Cable Schedule'!$B$2:$B$5702,"B",'Cable Schedule'!$I$2:$I$5702,"Grounding")</f>
        <v/>
      </c>
      <c r="Q4" s="18">
        <f>SUMIFS('Cable Schedule'!$W$2:$W$5702,'Cable Schedule'!$B$2:$B$5702,"B",'Cable Schedule'!$I$2:$I$5702,"Overhead")</f>
        <v/>
      </c>
      <c r="R4" s="28">
        <f>SUM(B4:Q4)</f>
        <v/>
      </c>
    </row>
    <row r="5">
      <c r="A5" s="12" t="inlineStr">
        <is>
          <t>C  Grid interface</t>
        </is>
      </c>
      <c r="B5" s="18">
        <f>SUMIFS('Cable Schedule'!$W$2:$W$5702,'Cable Schedule'!$B$2:$B$5702,"C",'Cable Schedule'!$I$2:$I$5702,"MV 15 kV")</f>
        <v/>
      </c>
      <c r="C5" s="18">
        <f>SUMIFS('Cable Schedule'!$W$2:$W$5702,'Cable Schedule'!$B$2:$B$5702,"C",'Cable Schedule'!$I$2:$I$5702,"MV 5 kV")</f>
        <v/>
      </c>
      <c r="D5" s="18">
        <f>SUMIFS('Cable Schedule'!$W$2:$W$5702,'Cable Schedule'!$B$2:$B$5702,"C",'Cable Schedule'!$I$2:$I$5702,"MV 25 kV")</f>
        <v/>
      </c>
      <c r="E5" s="18">
        <f>SUMIFS('Cable Schedule'!$W$2:$W$5702,'Cable Schedule'!$B$2:$B$5702,"C",'Cable Schedule'!$I$2:$I$5702,"MV 35 kV")</f>
        <v/>
      </c>
      <c r="F5" s="18">
        <f>SUMIFS('Cable Schedule'!$W$2:$W$5702,'Cable Schedule'!$B$2:$B$5702,"C",'Cable Schedule'!$I$2:$I$5702,"HV 230 kV")</f>
        <v/>
      </c>
      <c r="G5" s="18">
        <f>SUMIFS('Cable Schedule'!$W$2:$W$5702,'Cable Schedule'!$B$2:$B$5702,"C",'Cable Schedule'!$I$2:$I$5702,"LV 600 V")</f>
        <v/>
      </c>
      <c r="H5" s="18">
        <f>SUMIFS('Cable Schedule'!$W$2:$W$5702,'Cable Schedule'!$B$2:$B$5702,"C",'Cable Schedule'!$I$2:$I$5702,"Control")</f>
        <v/>
      </c>
      <c r="I5" s="18">
        <f>SUMIFS('Cable Schedule'!$W$2:$W$5702,'Cable Schedule'!$B$2:$B$5702,"C",'Cable Schedule'!$I$2:$I$5702,"Instrumentation")</f>
        <v/>
      </c>
      <c r="J5" s="18">
        <f>SUMIFS('Cable Schedule'!$W$2:$W$5702,'Cable Schedule'!$B$2:$B$5702,"C",'Cable Schedule'!$I$2:$I$5702,"Fire alarm")</f>
        <v/>
      </c>
      <c r="K5" s="18">
        <f>SUMIFS('Cable Schedule'!$W$2:$W$5702,'Cable Schedule'!$B$2:$B$5702,"C",'Cable Schedule'!$I$2:$I$5702,"Fibre / data")</f>
        <v/>
      </c>
      <c r="L5" s="18">
        <f>SUMIFS('Cable Schedule'!$W$2:$W$5702,'Cable Schedule'!$B$2:$B$5702,"C",'Cable Schedule'!$I$2:$I$5702,"DC 2 kV")</f>
        <v/>
      </c>
      <c r="M5" s="18">
        <f>SUMIFS('Cable Schedule'!$W$2:$W$5702,'Cable Schedule'!$B$2:$B$5702,"C",'Cable Schedule'!$I$2:$I$5702,"Portable MV")</f>
        <v/>
      </c>
      <c r="N5" s="18">
        <f>SUMIFS('Cable Schedule'!$W$2:$W$5702,'Cable Schedule'!$B$2:$B$5702,"C",'Cable Schedule'!$I$2:$I$5702,"Portable LV")</f>
        <v/>
      </c>
      <c r="O5" s="18">
        <f>SUMIFS('Cable Schedule'!$W$2:$W$5702,'Cable Schedule'!$B$2:$B$5702,"C",'Cable Schedule'!$I$2:$I$5702,"Building wire")</f>
        <v/>
      </c>
      <c r="P5" s="18">
        <f>SUMIFS('Cable Schedule'!$W$2:$W$5702,'Cable Schedule'!$B$2:$B$5702,"C",'Cable Schedule'!$I$2:$I$5702,"Grounding")</f>
        <v/>
      </c>
      <c r="Q5" s="18">
        <f>SUMIFS('Cable Schedule'!$W$2:$W$5702,'Cable Schedule'!$B$2:$B$5702,"C",'Cable Schedule'!$I$2:$I$5702,"Overhead")</f>
        <v/>
      </c>
      <c r="R5" s="28">
        <f>SUM(B5:Q5)</f>
        <v/>
      </c>
    </row>
    <row r="6">
      <c r="A6" s="12" t="inlineStr">
        <is>
          <t>D  Fuel gas</t>
        </is>
      </c>
      <c r="B6" s="18">
        <f>SUMIFS('Cable Schedule'!$W$2:$W$5702,'Cable Schedule'!$B$2:$B$5702,"D",'Cable Schedule'!$I$2:$I$5702,"MV 15 kV")</f>
        <v/>
      </c>
      <c r="C6" s="18">
        <f>SUMIFS('Cable Schedule'!$W$2:$W$5702,'Cable Schedule'!$B$2:$B$5702,"D",'Cable Schedule'!$I$2:$I$5702,"MV 5 kV")</f>
        <v/>
      </c>
      <c r="D6" s="18">
        <f>SUMIFS('Cable Schedule'!$W$2:$W$5702,'Cable Schedule'!$B$2:$B$5702,"D",'Cable Schedule'!$I$2:$I$5702,"MV 25 kV")</f>
        <v/>
      </c>
      <c r="E6" s="18">
        <f>SUMIFS('Cable Schedule'!$W$2:$W$5702,'Cable Schedule'!$B$2:$B$5702,"D",'Cable Schedule'!$I$2:$I$5702,"MV 35 kV")</f>
        <v/>
      </c>
      <c r="F6" s="18">
        <f>SUMIFS('Cable Schedule'!$W$2:$W$5702,'Cable Schedule'!$B$2:$B$5702,"D",'Cable Schedule'!$I$2:$I$5702,"HV 230 kV")</f>
        <v/>
      </c>
      <c r="G6" s="18">
        <f>SUMIFS('Cable Schedule'!$W$2:$W$5702,'Cable Schedule'!$B$2:$B$5702,"D",'Cable Schedule'!$I$2:$I$5702,"LV 600 V")</f>
        <v/>
      </c>
      <c r="H6" s="18">
        <f>SUMIFS('Cable Schedule'!$W$2:$W$5702,'Cable Schedule'!$B$2:$B$5702,"D",'Cable Schedule'!$I$2:$I$5702,"Control")</f>
        <v/>
      </c>
      <c r="I6" s="18">
        <f>SUMIFS('Cable Schedule'!$W$2:$W$5702,'Cable Schedule'!$B$2:$B$5702,"D",'Cable Schedule'!$I$2:$I$5702,"Instrumentation")</f>
        <v/>
      </c>
      <c r="J6" s="18">
        <f>SUMIFS('Cable Schedule'!$W$2:$W$5702,'Cable Schedule'!$B$2:$B$5702,"D",'Cable Schedule'!$I$2:$I$5702,"Fire alarm")</f>
        <v/>
      </c>
      <c r="K6" s="18">
        <f>SUMIFS('Cable Schedule'!$W$2:$W$5702,'Cable Schedule'!$B$2:$B$5702,"D",'Cable Schedule'!$I$2:$I$5702,"Fibre / data")</f>
        <v/>
      </c>
      <c r="L6" s="18">
        <f>SUMIFS('Cable Schedule'!$W$2:$W$5702,'Cable Schedule'!$B$2:$B$5702,"D",'Cable Schedule'!$I$2:$I$5702,"DC 2 kV")</f>
        <v/>
      </c>
      <c r="M6" s="18">
        <f>SUMIFS('Cable Schedule'!$W$2:$W$5702,'Cable Schedule'!$B$2:$B$5702,"D",'Cable Schedule'!$I$2:$I$5702,"Portable MV")</f>
        <v/>
      </c>
      <c r="N6" s="18">
        <f>SUMIFS('Cable Schedule'!$W$2:$W$5702,'Cable Schedule'!$B$2:$B$5702,"D",'Cable Schedule'!$I$2:$I$5702,"Portable LV")</f>
        <v/>
      </c>
      <c r="O6" s="18">
        <f>SUMIFS('Cable Schedule'!$W$2:$W$5702,'Cable Schedule'!$B$2:$B$5702,"D",'Cable Schedule'!$I$2:$I$5702,"Building wire")</f>
        <v/>
      </c>
      <c r="P6" s="18">
        <f>SUMIFS('Cable Schedule'!$W$2:$W$5702,'Cable Schedule'!$B$2:$B$5702,"D",'Cable Schedule'!$I$2:$I$5702,"Grounding")</f>
        <v/>
      </c>
      <c r="Q6" s="18">
        <f>SUMIFS('Cable Schedule'!$W$2:$W$5702,'Cable Schedule'!$B$2:$B$5702,"D",'Cable Schedule'!$I$2:$I$5702,"Overhead")</f>
        <v/>
      </c>
      <c r="R6" s="28">
        <f>SUM(B6:Q6)</f>
        <v/>
      </c>
    </row>
    <row r="7">
      <c r="A7" s="12" t="inlineStr">
        <is>
          <t>E  Water / utilities</t>
        </is>
      </c>
      <c r="B7" s="18">
        <f>SUMIFS('Cable Schedule'!$W$2:$W$5702,'Cable Schedule'!$B$2:$B$5702,"E",'Cable Schedule'!$I$2:$I$5702,"MV 15 kV")</f>
        <v/>
      </c>
      <c r="C7" s="18">
        <f>SUMIFS('Cable Schedule'!$W$2:$W$5702,'Cable Schedule'!$B$2:$B$5702,"E",'Cable Schedule'!$I$2:$I$5702,"MV 5 kV")</f>
        <v/>
      </c>
      <c r="D7" s="18">
        <f>SUMIFS('Cable Schedule'!$W$2:$W$5702,'Cable Schedule'!$B$2:$B$5702,"E",'Cable Schedule'!$I$2:$I$5702,"MV 25 kV")</f>
        <v/>
      </c>
      <c r="E7" s="18">
        <f>SUMIFS('Cable Schedule'!$W$2:$W$5702,'Cable Schedule'!$B$2:$B$5702,"E",'Cable Schedule'!$I$2:$I$5702,"MV 35 kV")</f>
        <v/>
      </c>
      <c r="F7" s="18">
        <f>SUMIFS('Cable Schedule'!$W$2:$W$5702,'Cable Schedule'!$B$2:$B$5702,"E",'Cable Schedule'!$I$2:$I$5702,"HV 230 kV")</f>
        <v/>
      </c>
      <c r="G7" s="18">
        <f>SUMIFS('Cable Schedule'!$W$2:$W$5702,'Cable Schedule'!$B$2:$B$5702,"E",'Cable Schedule'!$I$2:$I$5702,"LV 600 V")</f>
        <v/>
      </c>
      <c r="H7" s="18">
        <f>SUMIFS('Cable Schedule'!$W$2:$W$5702,'Cable Schedule'!$B$2:$B$5702,"E",'Cable Schedule'!$I$2:$I$5702,"Control")</f>
        <v/>
      </c>
      <c r="I7" s="18">
        <f>SUMIFS('Cable Schedule'!$W$2:$W$5702,'Cable Schedule'!$B$2:$B$5702,"E",'Cable Schedule'!$I$2:$I$5702,"Instrumentation")</f>
        <v/>
      </c>
      <c r="J7" s="18">
        <f>SUMIFS('Cable Schedule'!$W$2:$W$5702,'Cable Schedule'!$B$2:$B$5702,"E",'Cable Schedule'!$I$2:$I$5702,"Fire alarm")</f>
        <v/>
      </c>
      <c r="K7" s="18">
        <f>SUMIFS('Cable Schedule'!$W$2:$W$5702,'Cable Schedule'!$B$2:$B$5702,"E",'Cable Schedule'!$I$2:$I$5702,"Fibre / data")</f>
        <v/>
      </c>
      <c r="L7" s="18">
        <f>SUMIFS('Cable Schedule'!$W$2:$W$5702,'Cable Schedule'!$B$2:$B$5702,"E",'Cable Schedule'!$I$2:$I$5702,"DC 2 kV")</f>
        <v/>
      </c>
      <c r="M7" s="18">
        <f>SUMIFS('Cable Schedule'!$W$2:$W$5702,'Cable Schedule'!$B$2:$B$5702,"E",'Cable Schedule'!$I$2:$I$5702,"Portable MV")</f>
        <v/>
      </c>
      <c r="N7" s="18">
        <f>SUMIFS('Cable Schedule'!$W$2:$W$5702,'Cable Schedule'!$B$2:$B$5702,"E",'Cable Schedule'!$I$2:$I$5702,"Portable LV")</f>
        <v/>
      </c>
      <c r="O7" s="18">
        <f>SUMIFS('Cable Schedule'!$W$2:$W$5702,'Cable Schedule'!$B$2:$B$5702,"E",'Cable Schedule'!$I$2:$I$5702,"Building wire")</f>
        <v/>
      </c>
      <c r="P7" s="18">
        <f>SUMIFS('Cable Schedule'!$W$2:$W$5702,'Cable Schedule'!$B$2:$B$5702,"E",'Cable Schedule'!$I$2:$I$5702,"Grounding")</f>
        <v/>
      </c>
      <c r="Q7" s="18">
        <f>SUMIFS('Cable Schedule'!$W$2:$W$5702,'Cable Schedule'!$B$2:$B$5702,"E",'Cable Schedule'!$I$2:$I$5702,"Overhead")</f>
        <v/>
      </c>
      <c r="R7" s="28">
        <f>SUM(B7:Q7)</f>
        <v/>
      </c>
    </row>
    <row r="8">
      <c r="A8" s="12" t="inlineStr">
        <is>
          <t>F  Controls / service</t>
        </is>
      </c>
      <c r="B8" s="18">
        <f>SUMIFS('Cable Schedule'!$W$2:$W$5702,'Cable Schedule'!$B$2:$B$5702,"F",'Cable Schedule'!$I$2:$I$5702,"MV 15 kV")</f>
        <v/>
      </c>
      <c r="C8" s="18">
        <f>SUMIFS('Cable Schedule'!$W$2:$W$5702,'Cable Schedule'!$B$2:$B$5702,"F",'Cable Schedule'!$I$2:$I$5702,"MV 5 kV")</f>
        <v/>
      </c>
      <c r="D8" s="18">
        <f>SUMIFS('Cable Schedule'!$W$2:$W$5702,'Cable Schedule'!$B$2:$B$5702,"F",'Cable Schedule'!$I$2:$I$5702,"MV 25 kV")</f>
        <v/>
      </c>
      <c r="E8" s="18">
        <f>SUMIFS('Cable Schedule'!$W$2:$W$5702,'Cable Schedule'!$B$2:$B$5702,"F",'Cable Schedule'!$I$2:$I$5702,"MV 35 kV")</f>
        <v/>
      </c>
      <c r="F8" s="18">
        <f>SUMIFS('Cable Schedule'!$W$2:$W$5702,'Cable Schedule'!$B$2:$B$5702,"F",'Cable Schedule'!$I$2:$I$5702,"HV 230 kV")</f>
        <v/>
      </c>
      <c r="G8" s="18">
        <f>SUMIFS('Cable Schedule'!$W$2:$W$5702,'Cable Schedule'!$B$2:$B$5702,"F",'Cable Schedule'!$I$2:$I$5702,"LV 600 V")</f>
        <v/>
      </c>
      <c r="H8" s="18">
        <f>SUMIFS('Cable Schedule'!$W$2:$W$5702,'Cable Schedule'!$B$2:$B$5702,"F",'Cable Schedule'!$I$2:$I$5702,"Control")</f>
        <v/>
      </c>
      <c r="I8" s="18">
        <f>SUMIFS('Cable Schedule'!$W$2:$W$5702,'Cable Schedule'!$B$2:$B$5702,"F",'Cable Schedule'!$I$2:$I$5702,"Instrumentation")</f>
        <v/>
      </c>
      <c r="J8" s="18">
        <f>SUMIFS('Cable Schedule'!$W$2:$W$5702,'Cable Schedule'!$B$2:$B$5702,"F",'Cable Schedule'!$I$2:$I$5702,"Fire alarm")</f>
        <v/>
      </c>
      <c r="K8" s="18">
        <f>SUMIFS('Cable Schedule'!$W$2:$W$5702,'Cable Schedule'!$B$2:$B$5702,"F",'Cable Schedule'!$I$2:$I$5702,"Fibre / data")</f>
        <v/>
      </c>
      <c r="L8" s="18">
        <f>SUMIFS('Cable Schedule'!$W$2:$W$5702,'Cable Schedule'!$B$2:$B$5702,"F",'Cable Schedule'!$I$2:$I$5702,"DC 2 kV")</f>
        <v/>
      </c>
      <c r="M8" s="18">
        <f>SUMIFS('Cable Schedule'!$W$2:$W$5702,'Cable Schedule'!$B$2:$B$5702,"F",'Cable Schedule'!$I$2:$I$5702,"Portable MV")</f>
        <v/>
      </c>
      <c r="N8" s="18">
        <f>SUMIFS('Cable Schedule'!$W$2:$W$5702,'Cable Schedule'!$B$2:$B$5702,"F",'Cable Schedule'!$I$2:$I$5702,"Portable LV")</f>
        <v/>
      </c>
      <c r="O8" s="18">
        <f>SUMIFS('Cable Schedule'!$W$2:$W$5702,'Cable Schedule'!$B$2:$B$5702,"F",'Cable Schedule'!$I$2:$I$5702,"Building wire")</f>
        <v/>
      </c>
      <c r="P8" s="18">
        <f>SUMIFS('Cable Schedule'!$W$2:$W$5702,'Cable Schedule'!$B$2:$B$5702,"F",'Cable Schedule'!$I$2:$I$5702,"Grounding")</f>
        <v/>
      </c>
      <c r="Q8" s="18">
        <f>SUMIFS('Cable Schedule'!$W$2:$W$5702,'Cable Schedule'!$B$2:$B$5702,"F",'Cable Schedule'!$I$2:$I$5702,"Overhead")</f>
        <v/>
      </c>
      <c r="R8" s="28">
        <f>SUM(B8:Q8)</f>
        <v/>
      </c>
    </row>
    <row r="9">
      <c r="A9" s="12" t="inlineStr">
        <is>
          <t>G  Carbon capture</t>
        </is>
      </c>
      <c r="B9" s="18">
        <f>SUMIFS('Cable Schedule'!$W$2:$W$5702,'Cable Schedule'!$B$2:$B$5702,"G",'Cable Schedule'!$I$2:$I$5702,"MV 15 kV")</f>
        <v/>
      </c>
      <c r="C9" s="18">
        <f>SUMIFS('Cable Schedule'!$W$2:$W$5702,'Cable Schedule'!$B$2:$B$5702,"G",'Cable Schedule'!$I$2:$I$5702,"MV 5 kV")</f>
        <v/>
      </c>
      <c r="D9" s="18">
        <f>SUMIFS('Cable Schedule'!$W$2:$W$5702,'Cable Schedule'!$B$2:$B$5702,"G",'Cable Schedule'!$I$2:$I$5702,"MV 25 kV")</f>
        <v/>
      </c>
      <c r="E9" s="18">
        <f>SUMIFS('Cable Schedule'!$W$2:$W$5702,'Cable Schedule'!$B$2:$B$5702,"G",'Cable Schedule'!$I$2:$I$5702,"MV 35 kV")</f>
        <v/>
      </c>
      <c r="F9" s="18">
        <f>SUMIFS('Cable Schedule'!$W$2:$W$5702,'Cable Schedule'!$B$2:$B$5702,"G",'Cable Schedule'!$I$2:$I$5702,"HV 230 kV")</f>
        <v/>
      </c>
      <c r="G9" s="18">
        <f>SUMIFS('Cable Schedule'!$W$2:$W$5702,'Cable Schedule'!$B$2:$B$5702,"G",'Cable Schedule'!$I$2:$I$5702,"LV 600 V")</f>
        <v/>
      </c>
      <c r="H9" s="18">
        <f>SUMIFS('Cable Schedule'!$W$2:$W$5702,'Cable Schedule'!$B$2:$B$5702,"G",'Cable Schedule'!$I$2:$I$5702,"Control")</f>
        <v/>
      </c>
      <c r="I9" s="18">
        <f>SUMIFS('Cable Schedule'!$W$2:$W$5702,'Cable Schedule'!$B$2:$B$5702,"G",'Cable Schedule'!$I$2:$I$5702,"Instrumentation")</f>
        <v/>
      </c>
      <c r="J9" s="18">
        <f>SUMIFS('Cable Schedule'!$W$2:$W$5702,'Cable Schedule'!$B$2:$B$5702,"G",'Cable Schedule'!$I$2:$I$5702,"Fire alarm")</f>
        <v/>
      </c>
      <c r="K9" s="18">
        <f>SUMIFS('Cable Schedule'!$W$2:$W$5702,'Cable Schedule'!$B$2:$B$5702,"G",'Cable Schedule'!$I$2:$I$5702,"Fibre / data")</f>
        <v/>
      </c>
      <c r="L9" s="18">
        <f>SUMIFS('Cable Schedule'!$W$2:$W$5702,'Cable Schedule'!$B$2:$B$5702,"G",'Cable Schedule'!$I$2:$I$5702,"DC 2 kV")</f>
        <v/>
      </c>
      <c r="M9" s="18">
        <f>SUMIFS('Cable Schedule'!$W$2:$W$5702,'Cable Schedule'!$B$2:$B$5702,"G",'Cable Schedule'!$I$2:$I$5702,"Portable MV")</f>
        <v/>
      </c>
      <c r="N9" s="18">
        <f>SUMIFS('Cable Schedule'!$W$2:$W$5702,'Cable Schedule'!$B$2:$B$5702,"G",'Cable Schedule'!$I$2:$I$5702,"Portable LV")</f>
        <v/>
      </c>
      <c r="O9" s="18">
        <f>SUMIFS('Cable Schedule'!$W$2:$W$5702,'Cable Schedule'!$B$2:$B$5702,"G",'Cable Schedule'!$I$2:$I$5702,"Building wire")</f>
        <v/>
      </c>
      <c r="P9" s="18">
        <f>SUMIFS('Cable Schedule'!$W$2:$W$5702,'Cable Schedule'!$B$2:$B$5702,"G",'Cable Schedule'!$I$2:$I$5702,"Grounding")</f>
        <v/>
      </c>
      <c r="Q9" s="18">
        <f>SUMIFS('Cable Schedule'!$W$2:$W$5702,'Cable Schedule'!$B$2:$B$5702,"G",'Cable Schedule'!$I$2:$I$5702,"Overhead")</f>
        <v/>
      </c>
      <c r="R9" s="28">
        <f>SUM(B9:Q9)</f>
        <v/>
      </c>
    </row>
    <row r="10">
      <c r="A10" s="12" t="inlineStr">
        <is>
          <t>H  BESS</t>
        </is>
      </c>
      <c r="B10" s="18">
        <f>SUMIFS('Cable Schedule'!$W$2:$W$5702,'Cable Schedule'!$B$2:$B$5702,"H",'Cable Schedule'!$I$2:$I$5702,"MV 15 kV")</f>
        <v/>
      </c>
      <c r="C10" s="18">
        <f>SUMIFS('Cable Schedule'!$W$2:$W$5702,'Cable Schedule'!$B$2:$B$5702,"H",'Cable Schedule'!$I$2:$I$5702,"MV 5 kV")</f>
        <v/>
      </c>
      <c r="D10" s="18">
        <f>SUMIFS('Cable Schedule'!$W$2:$W$5702,'Cable Schedule'!$B$2:$B$5702,"H",'Cable Schedule'!$I$2:$I$5702,"MV 25 kV")</f>
        <v/>
      </c>
      <c r="E10" s="18">
        <f>SUMIFS('Cable Schedule'!$W$2:$W$5702,'Cable Schedule'!$B$2:$B$5702,"H",'Cable Schedule'!$I$2:$I$5702,"MV 35 kV")</f>
        <v/>
      </c>
      <c r="F10" s="18">
        <f>SUMIFS('Cable Schedule'!$W$2:$W$5702,'Cable Schedule'!$B$2:$B$5702,"H",'Cable Schedule'!$I$2:$I$5702,"HV 230 kV")</f>
        <v/>
      </c>
      <c r="G10" s="18">
        <f>SUMIFS('Cable Schedule'!$W$2:$W$5702,'Cable Schedule'!$B$2:$B$5702,"H",'Cable Schedule'!$I$2:$I$5702,"LV 600 V")</f>
        <v/>
      </c>
      <c r="H10" s="18">
        <f>SUMIFS('Cable Schedule'!$W$2:$W$5702,'Cable Schedule'!$B$2:$B$5702,"H",'Cable Schedule'!$I$2:$I$5702,"Control")</f>
        <v/>
      </c>
      <c r="I10" s="18">
        <f>SUMIFS('Cable Schedule'!$W$2:$W$5702,'Cable Schedule'!$B$2:$B$5702,"H",'Cable Schedule'!$I$2:$I$5702,"Instrumentation")</f>
        <v/>
      </c>
      <c r="J10" s="18">
        <f>SUMIFS('Cable Schedule'!$W$2:$W$5702,'Cable Schedule'!$B$2:$B$5702,"H",'Cable Schedule'!$I$2:$I$5702,"Fire alarm")</f>
        <v/>
      </c>
      <c r="K10" s="18">
        <f>SUMIFS('Cable Schedule'!$W$2:$W$5702,'Cable Schedule'!$B$2:$B$5702,"H",'Cable Schedule'!$I$2:$I$5702,"Fibre / data")</f>
        <v/>
      </c>
      <c r="L10" s="18">
        <f>SUMIFS('Cable Schedule'!$W$2:$W$5702,'Cable Schedule'!$B$2:$B$5702,"H",'Cable Schedule'!$I$2:$I$5702,"DC 2 kV")</f>
        <v/>
      </c>
      <c r="M10" s="18">
        <f>SUMIFS('Cable Schedule'!$W$2:$W$5702,'Cable Schedule'!$B$2:$B$5702,"H",'Cable Schedule'!$I$2:$I$5702,"Portable MV")</f>
        <v/>
      </c>
      <c r="N10" s="18">
        <f>SUMIFS('Cable Schedule'!$W$2:$W$5702,'Cable Schedule'!$B$2:$B$5702,"H",'Cable Schedule'!$I$2:$I$5702,"Portable LV")</f>
        <v/>
      </c>
      <c r="O10" s="18">
        <f>SUMIFS('Cable Schedule'!$W$2:$W$5702,'Cable Schedule'!$B$2:$B$5702,"H",'Cable Schedule'!$I$2:$I$5702,"Building wire")</f>
        <v/>
      </c>
      <c r="P10" s="18">
        <f>SUMIFS('Cable Schedule'!$W$2:$W$5702,'Cable Schedule'!$B$2:$B$5702,"H",'Cable Schedule'!$I$2:$I$5702,"Grounding")</f>
        <v/>
      </c>
      <c r="Q10" s="18">
        <f>SUMIFS('Cable Schedule'!$W$2:$W$5702,'Cable Schedule'!$B$2:$B$5702,"H",'Cable Schedule'!$I$2:$I$5702,"Overhead")</f>
        <v/>
      </c>
      <c r="R10" s="28">
        <f>SUM(B10:Q10)</f>
        <v/>
      </c>
    </row>
    <row r="11">
      <c r="A11" s="12" t="inlineStr">
        <is>
          <t>I  Modular / portable power</t>
        </is>
      </c>
      <c r="B11" s="18">
        <f>SUMIFS('Cable Schedule'!$W$2:$W$5702,'Cable Schedule'!$B$2:$B$5702,"I",'Cable Schedule'!$I$2:$I$5702,"MV 15 kV")</f>
        <v/>
      </c>
      <c r="C11" s="18">
        <f>SUMIFS('Cable Schedule'!$W$2:$W$5702,'Cable Schedule'!$B$2:$B$5702,"I",'Cable Schedule'!$I$2:$I$5702,"MV 5 kV")</f>
        <v/>
      </c>
      <c r="D11" s="18">
        <f>SUMIFS('Cable Schedule'!$W$2:$W$5702,'Cable Schedule'!$B$2:$B$5702,"I",'Cable Schedule'!$I$2:$I$5702,"MV 25 kV")</f>
        <v/>
      </c>
      <c r="E11" s="18">
        <f>SUMIFS('Cable Schedule'!$W$2:$W$5702,'Cable Schedule'!$B$2:$B$5702,"I",'Cable Schedule'!$I$2:$I$5702,"MV 35 kV")</f>
        <v/>
      </c>
      <c r="F11" s="18">
        <f>SUMIFS('Cable Schedule'!$W$2:$W$5702,'Cable Schedule'!$B$2:$B$5702,"I",'Cable Schedule'!$I$2:$I$5702,"HV 230 kV")</f>
        <v/>
      </c>
      <c r="G11" s="18">
        <f>SUMIFS('Cable Schedule'!$W$2:$W$5702,'Cable Schedule'!$B$2:$B$5702,"I",'Cable Schedule'!$I$2:$I$5702,"LV 600 V")</f>
        <v/>
      </c>
      <c r="H11" s="18">
        <f>SUMIFS('Cable Schedule'!$W$2:$W$5702,'Cable Schedule'!$B$2:$B$5702,"I",'Cable Schedule'!$I$2:$I$5702,"Control")</f>
        <v/>
      </c>
      <c r="I11" s="18">
        <f>SUMIFS('Cable Schedule'!$W$2:$W$5702,'Cable Schedule'!$B$2:$B$5702,"I",'Cable Schedule'!$I$2:$I$5702,"Instrumentation")</f>
        <v/>
      </c>
      <c r="J11" s="18">
        <f>SUMIFS('Cable Schedule'!$W$2:$W$5702,'Cable Schedule'!$B$2:$B$5702,"I",'Cable Schedule'!$I$2:$I$5702,"Fire alarm")</f>
        <v/>
      </c>
      <c r="K11" s="18">
        <f>SUMIFS('Cable Schedule'!$W$2:$W$5702,'Cable Schedule'!$B$2:$B$5702,"I",'Cable Schedule'!$I$2:$I$5702,"Fibre / data")</f>
        <v/>
      </c>
      <c r="L11" s="18">
        <f>SUMIFS('Cable Schedule'!$W$2:$W$5702,'Cable Schedule'!$B$2:$B$5702,"I",'Cable Schedule'!$I$2:$I$5702,"DC 2 kV")</f>
        <v/>
      </c>
      <c r="M11" s="18">
        <f>SUMIFS('Cable Schedule'!$W$2:$W$5702,'Cable Schedule'!$B$2:$B$5702,"I",'Cable Schedule'!$I$2:$I$5702,"Portable MV")</f>
        <v/>
      </c>
      <c r="N11" s="18">
        <f>SUMIFS('Cable Schedule'!$W$2:$W$5702,'Cable Schedule'!$B$2:$B$5702,"I",'Cable Schedule'!$I$2:$I$5702,"Portable LV")</f>
        <v/>
      </c>
      <c r="O11" s="18">
        <f>SUMIFS('Cable Schedule'!$W$2:$W$5702,'Cable Schedule'!$B$2:$B$5702,"I",'Cable Schedule'!$I$2:$I$5702,"Building wire")</f>
        <v/>
      </c>
      <c r="P11" s="18">
        <f>SUMIFS('Cable Schedule'!$W$2:$W$5702,'Cable Schedule'!$B$2:$B$5702,"I",'Cable Schedule'!$I$2:$I$5702,"Grounding")</f>
        <v/>
      </c>
      <c r="Q11" s="18">
        <f>SUMIFS('Cable Schedule'!$W$2:$W$5702,'Cable Schedule'!$B$2:$B$5702,"I",'Cable Schedule'!$I$2:$I$5702,"Overhead")</f>
        <v/>
      </c>
      <c r="R11" s="28">
        <f>SUM(B11:Q11)</f>
        <v/>
      </c>
    </row>
    <row r="12">
      <c r="A12" s="12" t="inlineStr">
        <is>
          <t>J  GT inlet chilling</t>
        </is>
      </c>
      <c r="B12" s="18">
        <f>SUMIFS('Cable Schedule'!$W$2:$W$5702,'Cable Schedule'!$B$2:$B$5702,"J",'Cable Schedule'!$I$2:$I$5702,"MV 15 kV")</f>
        <v/>
      </c>
      <c r="C12" s="18">
        <f>SUMIFS('Cable Schedule'!$W$2:$W$5702,'Cable Schedule'!$B$2:$B$5702,"J",'Cable Schedule'!$I$2:$I$5702,"MV 5 kV")</f>
        <v/>
      </c>
      <c r="D12" s="18">
        <f>SUMIFS('Cable Schedule'!$W$2:$W$5702,'Cable Schedule'!$B$2:$B$5702,"J",'Cable Schedule'!$I$2:$I$5702,"MV 25 kV")</f>
        <v/>
      </c>
      <c r="E12" s="18">
        <f>SUMIFS('Cable Schedule'!$W$2:$W$5702,'Cable Schedule'!$B$2:$B$5702,"J",'Cable Schedule'!$I$2:$I$5702,"MV 35 kV")</f>
        <v/>
      </c>
      <c r="F12" s="18">
        <f>SUMIFS('Cable Schedule'!$W$2:$W$5702,'Cable Schedule'!$B$2:$B$5702,"J",'Cable Schedule'!$I$2:$I$5702,"HV 230 kV")</f>
        <v/>
      </c>
      <c r="G12" s="18">
        <f>SUMIFS('Cable Schedule'!$W$2:$W$5702,'Cable Schedule'!$B$2:$B$5702,"J",'Cable Schedule'!$I$2:$I$5702,"LV 600 V")</f>
        <v/>
      </c>
      <c r="H12" s="18">
        <f>SUMIFS('Cable Schedule'!$W$2:$W$5702,'Cable Schedule'!$B$2:$B$5702,"J",'Cable Schedule'!$I$2:$I$5702,"Control")</f>
        <v/>
      </c>
      <c r="I12" s="18">
        <f>SUMIFS('Cable Schedule'!$W$2:$W$5702,'Cable Schedule'!$B$2:$B$5702,"J",'Cable Schedule'!$I$2:$I$5702,"Instrumentation")</f>
        <v/>
      </c>
      <c r="J12" s="18">
        <f>SUMIFS('Cable Schedule'!$W$2:$W$5702,'Cable Schedule'!$B$2:$B$5702,"J",'Cable Schedule'!$I$2:$I$5702,"Fire alarm")</f>
        <v/>
      </c>
      <c r="K12" s="18">
        <f>SUMIFS('Cable Schedule'!$W$2:$W$5702,'Cable Schedule'!$B$2:$B$5702,"J",'Cable Schedule'!$I$2:$I$5702,"Fibre / data")</f>
        <v/>
      </c>
      <c r="L12" s="18">
        <f>SUMIFS('Cable Schedule'!$W$2:$W$5702,'Cable Schedule'!$B$2:$B$5702,"J",'Cable Schedule'!$I$2:$I$5702,"DC 2 kV")</f>
        <v/>
      </c>
      <c r="M12" s="18">
        <f>SUMIFS('Cable Schedule'!$W$2:$W$5702,'Cable Schedule'!$B$2:$B$5702,"J",'Cable Schedule'!$I$2:$I$5702,"Portable MV")</f>
        <v/>
      </c>
      <c r="N12" s="18">
        <f>SUMIFS('Cable Schedule'!$W$2:$W$5702,'Cable Schedule'!$B$2:$B$5702,"J",'Cable Schedule'!$I$2:$I$5702,"Portable LV")</f>
        <v/>
      </c>
      <c r="O12" s="18">
        <f>SUMIFS('Cable Schedule'!$W$2:$W$5702,'Cable Schedule'!$B$2:$B$5702,"J",'Cable Schedule'!$I$2:$I$5702,"Building wire")</f>
        <v/>
      </c>
      <c r="P12" s="18">
        <f>SUMIFS('Cable Schedule'!$W$2:$W$5702,'Cable Schedule'!$B$2:$B$5702,"J",'Cable Schedule'!$I$2:$I$5702,"Grounding")</f>
        <v/>
      </c>
      <c r="Q12" s="18">
        <f>SUMIFS('Cable Schedule'!$W$2:$W$5702,'Cable Schedule'!$B$2:$B$5702,"J",'Cable Schedule'!$I$2:$I$5702,"Overhead")</f>
        <v/>
      </c>
      <c r="R12" s="28">
        <f>SUM(B12:Q12)</f>
        <v/>
      </c>
    </row>
    <row r="13">
      <c r="A13" s="12" t="inlineStr">
        <is>
          <t>K  Fuel supply (adjacent market)</t>
        </is>
      </c>
      <c r="B13" s="18">
        <f>SUMIFS('Cable Schedule'!$W$2:$W$5702,'Cable Schedule'!$B$2:$B$5702,"K",'Cable Schedule'!$I$2:$I$5702,"MV 15 kV")</f>
        <v/>
      </c>
      <c r="C13" s="18">
        <f>SUMIFS('Cable Schedule'!$W$2:$W$5702,'Cable Schedule'!$B$2:$B$5702,"K",'Cable Schedule'!$I$2:$I$5702,"MV 5 kV")</f>
        <v/>
      </c>
      <c r="D13" s="18">
        <f>SUMIFS('Cable Schedule'!$W$2:$W$5702,'Cable Schedule'!$B$2:$B$5702,"K",'Cable Schedule'!$I$2:$I$5702,"MV 25 kV")</f>
        <v/>
      </c>
      <c r="E13" s="18">
        <f>SUMIFS('Cable Schedule'!$W$2:$W$5702,'Cable Schedule'!$B$2:$B$5702,"K",'Cable Schedule'!$I$2:$I$5702,"MV 35 kV")</f>
        <v/>
      </c>
      <c r="F13" s="18">
        <f>SUMIFS('Cable Schedule'!$W$2:$W$5702,'Cable Schedule'!$B$2:$B$5702,"K",'Cable Schedule'!$I$2:$I$5702,"HV 230 kV")</f>
        <v/>
      </c>
      <c r="G13" s="18">
        <f>SUMIFS('Cable Schedule'!$W$2:$W$5702,'Cable Schedule'!$B$2:$B$5702,"K",'Cable Schedule'!$I$2:$I$5702,"LV 600 V")</f>
        <v/>
      </c>
      <c r="H13" s="18">
        <f>SUMIFS('Cable Schedule'!$W$2:$W$5702,'Cable Schedule'!$B$2:$B$5702,"K",'Cable Schedule'!$I$2:$I$5702,"Control")</f>
        <v/>
      </c>
      <c r="I13" s="18">
        <f>SUMIFS('Cable Schedule'!$W$2:$W$5702,'Cable Schedule'!$B$2:$B$5702,"K",'Cable Schedule'!$I$2:$I$5702,"Instrumentation")</f>
        <v/>
      </c>
      <c r="J13" s="18">
        <f>SUMIFS('Cable Schedule'!$W$2:$W$5702,'Cable Schedule'!$B$2:$B$5702,"K",'Cable Schedule'!$I$2:$I$5702,"Fire alarm")</f>
        <v/>
      </c>
      <c r="K13" s="18">
        <f>SUMIFS('Cable Schedule'!$W$2:$W$5702,'Cable Schedule'!$B$2:$B$5702,"K",'Cable Schedule'!$I$2:$I$5702,"Fibre / data")</f>
        <v/>
      </c>
      <c r="L13" s="18">
        <f>SUMIFS('Cable Schedule'!$W$2:$W$5702,'Cable Schedule'!$B$2:$B$5702,"K",'Cable Schedule'!$I$2:$I$5702,"DC 2 kV")</f>
        <v/>
      </c>
      <c r="M13" s="18">
        <f>SUMIFS('Cable Schedule'!$W$2:$W$5702,'Cable Schedule'!$B$2:$B$5702,"K",'Cable Schedule'!$I$2:$I$5702,"Portable MV")</f>
        <v/>
      </c>
      <c r="N13" s="18">
        <f>SUMIFS('Cable Schedule'!$W$2:$W$5702,'Cable Schedule'!$B$2:$B$5702,"K",'Cable Schedule'!$I$2:$I$5702,"Portable LV")</f>
        <v/>
      </c>
      <c r="O13" s="18">
        <f>SUMIFS('Cable Schedule'!$W$2:$W$5702,'Cable Schedule'!$B$2:$B$5702,"K",'Cable Schedule'!$I$2:$I$5702,"Building wire")</f>
        <v/>
      </c>
      <c r="P13" s="18">
        <f>SUMIFS('Cable Schedule'!$W$2:$W$5702,'Cable Schedule'!$B$2:$B$5702,"K",'Cable Schedule'!$I$2:$I$5702,"Grounding")</f>
        <v/>
      </c>
      <c r="Q13" s="18">
        <f>SUMIFS('Cable Schedule'!$W$2:$W$5702,'Cable Schedule'!$B$2:$B$5702,"K",'Cable Schedule'!$I$2:$I$5702,"Overhead")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Schedule'!B2:B5702,"?")</f>
        <v/>
      </c>
    </row>
    <row r="18">
      <c r="A18" s="22" t="inlineStr">
        <is>
          <t>Cables (count)</t>
        </is>
      </c>
      <c r="B18" s="18">
        <f>SUM('Cable Schedule'!AA2:AA5702)</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7"/>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R2B: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R2B: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R2B: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R2B: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R2C: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R2C: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R2C: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R2C: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R3: ST auxiliary electrical e-house (40 x 65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R3: ST auxiliary electrical e-house (40 x 65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R3: ST auxiliary electrical e-house (40 x 65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R3: ST auxiliary electrical e-house (40 x 65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R2B: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R2B: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R2C: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R2C: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6</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R3: ST auxiliary electrical e-house (40 x 65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R3: ST auxiliary electrical e-house (40 x 65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R3: ST auxiliary electrical e-house (40 x 65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R3: ST auxiliary electrical e-house (40 x 65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R3: ST auxiliary electrical e-house (40 x 65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R3: ST auxiliary electrical e-house (40 x 65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R3: ST auxiliary electrical e-house (40 x 65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R3: ST auxiliary electrical e-house (40 x 65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R3: ST auxiliary electrical e-house (40 x 65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R3: ST auxiliary electrical e-house (40 x 65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R3: ST auxiliary electrical e-house (40 x 65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R3: ST auxiliary electrical e-house (40 x 65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R2B: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R2B: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R2B: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R2B: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R2B: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R2B: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R2C: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R2C: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R2C: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R2C: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R2C: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R2C: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R3: ST auxiliary electrical e-house (40 x 65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R3: ST auxiliary electrical e-house (40 x 65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R3: ST auxiliary electrical e-house (40 x 65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R3: ST auxiliary electrical e-house (40 x 65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R3: ST auxiliary electrical e-house (40 x 65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R3: ST auxiliary electrical e-house (40 x 65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R2B: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R2B: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R2C: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R2C: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R3: ST auxiliary electrical e-house (40 x 65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R3: ST auxiliary electrical e-house (40 x 65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6</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6</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6</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6</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R2B: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R2B: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R2B: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R2B: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R2B: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R2B: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R2C: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R2C: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R2C: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R2C: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R2C: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R2C: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R3: ST auxiliary electrical e-house (40 x 65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R3: ST auxiliary electrical e-house (40 x 65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R3: ST auxiliary electrical e-house (40 x 65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R3: ST auxiliary electrical e-house (40 x 65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R3: ST auxiliary electrical e-house (40 x 65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R3: ST auxiliary electrical e-house (40 x 65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4</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4</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6</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6</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1/0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1/0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1/0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6</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6</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2</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2</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2</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500 kcmil</t>
        </is>
      </c>
      <c r="K792" s="12" t="n">
        <v>1</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6</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4</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4</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4</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4</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4</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4</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4</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4</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3/0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1</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1</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1</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1</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4</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4</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6</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6</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8</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8</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CONT paralleling switchgear e-house</t>
        </is>
      </c>
      <c r="B1290" s="12" t="inlineStr">
        <is>
          <t>CONT-EH</t>
        </is>
      </c>
      <c r="C1290" s="12" t="inlineStr">
        <is>
          <t>I</t>
        </is>
      </c>
      <c r="D1290" s="12" t="inlineStr">
        <is>
          <t>LV panel / distribution feeder</t>
        </is>
      </c>
      <c r="E1290" s="12" t="n">
        <v>480</v>
      </c>
      <c r="F1290" s="12" t="n">
        <v>30</v>
      </c>
      <c r="G1290" s="12" t="n">
        <v>42.5</v>
      </c>
      <c r="H1290" s="12" t="inlineStr">
        <is>
          <t>PAD-LV 480 V paralleling switchboard</t>
        </is>
      </c>
      <c r="I1290" s="12" t="inlineStr">
        <is>
          <t>LV 600 V</t>
        </is>
      </c>
      <c r="J1290" s="12" t="inlineStr">
        <is>
          <t>6</t>
        </is>
      </c>
      <c r="K1290" s="12" t="n">
        <v>1</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FC-1 SOFC output to inverter / AC cabinet</t>
        </is>
      </c>
      <c r="E1299" s="12" t="n">
        <v>480</v>
      </c>
      <c r="F1299" s="12" t="n">
        <v>250</v>
      </c>
      <c r="G1299" s="12" t="n">
        <v>316.5</v>
      </c>
      <c r="H1299" s="12" t="inlineStr">
        <is>
          <t>FC-1: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FC-2 SOFC output to inverter / AC cabinet</t>
        </is>
      </c>
      <c r="E1300" s="12" t="n">
        <v>480</v>
      </c>
      <c r="F1300" s="12" t="n">
        <v>250</v>
      </c>
      <c r="G1300" s="12" t="n">
        <v>316.5</v>
      </c>
      <c r="H1300" s="12" t="inlineStr">
        <is>
          <t>FC-2: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FC-3 SOFC output to inverter / AC cabinet</t>
        </is>
      </c>
      <c r="E1301" s="12" t="n">
        <v>480</v>
      </c>
      <c r="F1301" s="12" t="n">
        <v>250</v>
      </c>
      <c r="G1301" s="12" t="n">
        <v>316.5</v>
      </c>
      <c r="H1301" s="12" t="inlineStr">
        <is>
          <t>FC-3: SOFC module (Bloom ES5 class, 200-300 kW)</t>
        </is>
      </c>
      <c r="I1301" s="12" t="inlineStr">
        <is>
          <t>LV 600 V</t>
        </is>
      </c>
      <c r="J1301" s="12" t="inlineStr">
        <is>
          <t>3/0</t>
        </is>
      </c>
      <c r="K1301" s="12" t="n">
        <v>2</v>
      </c>
    </row>
    <row r="1302">
      <c r="A1302" s="12" t="inlineStr">
        <is>
          <t>Fuel-cell inverter / AC cabinet / desulfurizer</t>
        </is>
      </c>
      <c r="B1302" s="12" t="inlineStr"/>
      <c r="C1302" s="12" t="inlineStr">
        <is>
          <t>I</t>
        </is>
      </c>
      <c r="D1302" s="12" t="inlineStr">
        <is>
          <t>FC-4 SOFC output to inverter / AC cabinet</t>
        </is>
      </c>
      <c r="E1302" s="12" t="n">
        <v>480</v>
      </c>
      <c r="F1302" s="12" t="n">
        <v>250</v>
      </c>
      <c r="G1302" s="12" t="n">
        <v>316.5</v>
      </c>
      <c r="H1302" s="12" t="inlineStr">
        <is>
          <t>FC-4: SOFC module (Bloom ES5 class, 200-300 kW)</t>
        </is>
      </c>
      <c r="I1302" s="12" t="inlineStr">
        <is>
          <t>LV 600 V</t>
        </is>
      </c>
      <c r="J1302" s="12" t="inlineStr">
        <is>
          <t>3/0</t>
        </is>
      </c>
      <c r="K1302" s="12" t="n">
        <v>2</v>
      </c>
    </row>
    <row r="1303">
      <c r="A1303" s="12" t="inlineStr">
        <is>
          <t>Fuel-gas compressors 3 x 100% electric</t>
        </is>
      </c>
      <c r="B1303" s="12" t="inlineStr"/>
      <c r="C1303" s="12" t="inlineStr">
        <is>
          <t>I</t>
        </is>
      </c>
      <c r="D1303" s="12" t="inlineStr">
        <is>
          <t>Motor 1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2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3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4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5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Fuel-gas compressors 3 x 100% electric</t>
        </is>
      </c>
      <c r="B1308" s="12" t="inlineStr"/>
      <c r="C1308" s="12" t="inlineStr">
        <is>
          <t>I</t>
        </is>
      </c>
      <c r="D1308" s="12" t="inlineStr">
        <is>
          <t>Motor 6 of 6, 15 kW</t>
        </is>
      </c>
      <c r="E1308" s="12" t="n">
        <v>480</v>
      </c>
      <c r="F1308" s="12" t="n">
        <v>15</v>
      </c>
      <c r="G1308" s="12" t="n">
        <v>21.2</v>
      </c>
      <c r="H1308" s="12" t="inlineStr">
        <is>
          <t>MOD-LV 480 V board + 480 V : 13.8 kV step-up</t>
        </is>
      </c>
      <c r="I1308" s="12" t="inlineStr">
        <is>
          <t>LV 600 V</t>
        </is>
      </c>
      <c r="J1308" s="12" t="inlineStr">
        <is>
          <t>3/0</t>
        </is>
      </c>
      <c r="K1308" s="12" t="n">
        <v>1</v>
      </c>
    </row>
    <row r="1309">
      <c r="A1309" s="12" t="inlineStr">
        <is>
          <t>Gas conditioning skid</t>
        </is>
      </c>
      <c r="B1309" s="12" t="inlineStr"/>
      <c r="C1309" s="12" t="inlineStr">
        <is>
          <t>I</t>
        </is>
      </c>
      <c r="D1309" s="12" t="inlineStr">
        <is>
          <t>LV power feeder</t>
        </is>
      </c>
      <c r="E1309" s="12" t="n">
        <v>480</v>
      </c>
      <c r="F1309" s="12" t="n">
        <v>30</v>
      </c>
      <c r="G1309" s="12" t="n">
        <v>42.5</v>
      </c>
      <c r="H1309" s="12" t="inlineStr">
        <is>
          <t>PCM: power control module</t>
        </is>
      </c>
      <c r="I1309" s="12" t="inlineStr">
        <is>
          <t>LV 600 V</t>
        </is>
      </c>
      <c r="J1309" s="12" t="inlineStr">
        <is>
          <t>6</t>
        </is>
      </c>
      <c r="K1309" s="12" t="n">
        <v>1</v>
      </c>
    </row>
    <row r="1310">
      <c r="A1310" s="12" t="inlineStr">
        <is>
          <t>Lube oil / starting air / oily water building</t>
        </is>
      </c>
      <c r="B1310" s="12" t="inlineStr"/>
      <c r="C1310" s="12" t="inlineStr">
        <is>
          <t>I</t>
        </is>
      </c>
      <c r="D1310" s="12" t="inlineStr">
        <is>
          <t>LV panel / distribution feeder</t>
        </is>
      </c>
      <c r="E1310" s="12" t="n">
        <v>480</v>
      </c>
      <c r="F1310" s="12" t="n">
        <v>79</v>
      </c>
      <c r="G1310" s="12" t="n">
        <v>111.8</v>
      </c>
      <c r="H1310" s="12" t="inlineStr">
        <is>
          <t>PCM: power control module</t>
        </is>
      </c>
      <c r="I1310" s="12" t="inlineStr">
        <is>
          <t>LV 600 V</t>
        </is>
      </c>
      <c r="J1310" s="12" t="inlineStr">
        <is>
          <t>1/0</t>
        </is>
      </c>
      <c r="K1310" s="12" t="n">
        <v>1</v>
      </c>
    </row>
    <row r="1311">
      <c r="A1311" s="12" t="inlineStr">
        <is>
          <t>MOD-EH: 13.8 kV modular collector e-house</t>
        </is>
      </c>
      <c r="B1311" s="12" t="inlineStr">
        <is>
          <t>MOD-EH</t>
        </is>
      </c>
      <c r="C1311" s="12" t="inlineStr">
        <is>
          <t>I</t>
        </is>
      </c>
      <c r="D1311" s="12" t="inlineStr">
        <is>
          <t>LV panel / distribution feeder</t>
        </is>
      </c>
      <c r="E1311" s="12" t="n">
        <v>480</v>
      </c>
      <c r="F1311" s="12" t="n">
        <v>30</v>
      </c>
      <c r="G1311" s="12" t="n">
        <v>42.5</v>
      </c>
      <c r="H1311" s="12" t="inlineStr">
        <is>
          <t>MOD-LV 480 V board + 480 V : 13.8 kV step-up</t>
        </is>
      </c>
      <c r="I1311" s="12" t="inlineStr">
        <is>
          <t>LV 600 V</t>
        </is>
      </c>
      <c r="J1311" s="12" t="inlineStr">
        <is>
          <t>4</t>
        </is>
      </c>
      <c r="K1311" s="12" t="n">
        <v>1</v>
      </c>
    </row>
    <row r="1312">
      <c r="A1312" s="12" t="inlineStr">
        <is>
          <t>MOD-LV 480 V board + 480 V : 13.8 kV step-up</t>
        </is>
      </c>
      <c r="B1312" s="12" t="inlineStr"/>
      <c r="C1312" s="12" t="inlineStr">
        <is>
          <t>I</t>
        </is>
      </c>
      <c r="D1312" s="12" t="inlineStr">
        <is>
          <t>Fuel-cell AC cabinet to MOD-LV</t>
        </is>
      </c>
      <c r="E1312" s="12" t="n">
        <v>480</v>
      </c>
      <c r="F1312" s="12" t="n">
        <v>1000</v>
      </c>
      <c r="G1312" s="12" t="n">
        <v>1266.2</v>
      </c>
      <c r="H1312" s="12" t="inlineStr">
        <is>
          <t>Fuel-cell inverter / AC cabinet / desulfurizer</t>
        </is>
      </c>
      <c r="I1312" s="12" t="inlineStr">
        <is>
          <t>LV 600 V</t>
        </is>
      </c>
      <c r="J1312" s="12" t="inlineStr">
        <is>
          <t>350 kcmil</t>
        </is>
      </c>
      <c r="K1312" s="12" t="n">
        <v>6</v>
      </c>
    </row>
    <row r="1313">
      <c r="A1313" s="12" t="inlineStr">
        <is>
          <t>MOD-LV 480 V board + 480 V : 13.8 kV step-up</t>
        </is>
      </c>
      <c r="B1313" s="12" t="inlineStr"/>
      <c r="C1313" s="12" t="inlineStr">
        <is>
          <t>I</t>
        </is>
      </c>
      <c r="D1313" s="12" t="inlineStr">
        <is>
          <t>Fuel-cell AC cabinet to MOD-LV</t>
        </is>
      </c>
      <c r="E1313" s="12" t="n">
        <v>480</v>
      </c>
      <c r="F1313" s="12" t="n">
        <v>2000</v>
      </c>
      <c r="G1313" s="12" t="n">
        <v>2532.3</v>
      </c>
      <c r="H1313" s="12" t="inlineStr">
        <is>
          <t>FC-5..12 inverter / AC cabinet / desulfurizer</t>
        </is>
      </c>
      <c r="I1313" s="12" t="inlineStr">
        <is>
          <t>LV 600 V</t>
        </is>
      </c>
      <c r="J1313" s="12" t="inlineStr">
        <is>
          <t>500 kcmil</t>
        </is>
      </c>
      <c r="K1313" s="12" t="n">
        <v>12</v>
      </c>
    </row>
    <row r="1314">
      <c r="A1314" s="12" t="inlineStr">
        <is>
          <t>MOD-LV 480 V board + 480 V : 13.8 kV step-up</t>
        </is>
      </c>
      <c r="B1314" s="12" t="inlineStr"/>
      <c r="C1314" s="12" t="inlineStr">
        <is>
          <t>I</t>
        </is>
      </c>
      <c r="D1314" s="12" t="inlineStr">
        <is>
          <t>MT-1 microturbine output</t>
        </is>
      </c>
      <c r="E1314" s="12" t="n">
        <v>480</v>
      </c>
      <c r="F1314" s="12" t="n">
        <v>1000</v>
      </c>
      <c r="G1314" s="12" t="n">
        <v>1266.2</v>
      </c>
      <c r="H1314" s="12" t="inlineStr">
        <is>
          <t>MT-1: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MT-2 microturbine output</t>
        </is>
      </c>
      <c r="E1315" s="12" t="n">
        <v>480</v>
      </c>
      <c r="F1315" s="12" t="n">
        <v>1000</v>
      </c>
      <c r="G1315" s="12" t="n">
        <v>1266.2</v>
      </c>
      <c r="H1315" s="12" t="inlineStr">
        <is>
          <t>MT-2: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MT-3 microturbine output</t>
        </is>
      </c>
      <c r="E1316" s="12" t="n">
        <v>480</v>
      </c>
      <c r="F1316" s="12" t="n">
        <v>1000</v>
      </c>
      <c r="G1316" s="12" t="n">
        <v>1266.2</v>
      </c>
      <c r="H1316" s="12" t="inlineStr">
        <is>
          <t>MT-3: microturbine 1 MW (Capstone C1000 class)</t>
        </is>
      </c>
      <c r="I1316" s="12" t="inlineStr">
        <is>
          <t>LV 600 V</t>
        </is>
      </c>
      <c r="J1316" s="12" t="inlineStr">
        <is>
          <t>350 kcmil</t>
        </is>
      </c>
      <c r="K1316" s="12" t="n">
        <v>6</v>
      </c>
    </row>
    <row r="1317">
      <c r="A1317" s="12" t="inlineStr">
        <is>
          <t>MOD-LV 480 V board + 480 V : 13.8 kV step-up</t>
        </is>
      </c>
      <c r="B1317" s="12" t="inlineStr"/>
      <c r="C1317" s="12" t="inlineStr">
        <is>
          <t>I</t>
        </is>
      </c>
      <c r="D1317" s="12" t="inlineStr">
        <is>
          <t>MT-4 microturbine output</t>
        </is>
      </c>
      <c r="E1317" s="12" t="n">
        <v>480</v>
      </c>
      <c r="F1317" s="12" t="n">
        <v>1000</v>
      </c>
      <c r="G1317" s="12" t="n">
        <v>1266.2</v>
      </c>
      <c r="H1317" s="12" t="inlineStr">
        <is>
          <t>MT-4: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MT-5 microturbine output</t>
        </is>
      </c>
      <c r="E1318" s="12" t="n">
        <v>480</v>
      </c>
      <c r="F1318" s="12" t="n">
        <v>1000</v>
      </c>
      <c r="G1318" s="12" t="n">
        <v>1266.2</v>
      </c>
      <c r="H1318" s="12" t="inlineStr">
        <is>
          <t>MT-5: microturbine 1 MW (Capstone C1000 class)</t>
        </is>
      </c>
      <c r="I1318" s="12" t="inlineStr">
        <is>
          <t>LV 600 V</t>
        </is>
      </c>
      <c r="J1318" s="12" t="inlineStr">
        <is>
          <t>500 kcmil</t>
        </is>
      </c>
      <c r="K1318" s="12" t="n">
        <v>12</v>
      </c>
    </row>
    <row r="1319">
      <c r="A1319" s="12" t="inlineStr">
        <is>
          <t>MOD-LV 480 V board + 480 V : 13.8 kV step-up</t>
        </is>
      </c>
      <c r="B1319" s="12" t="inlineStr"/>
      <c r="C1319" s="12" t="inlineStr">
        <is>
          <t>I</t>
        </is>
      </c>
      <c r="D1319" s="12" t="inlineStr">
        <is>
          <t>MT-6 microturbine output</t>
        </is>
      </c>
      <c r="E1319" s="12" t="n">
        <v>480</v>
      </c>
      <c r="F1319" s="12" t="n">
        <v>1000</v>
      </c>
      <c r="G1319" s="12" t="n">
        <v>1266.2</v>
      </c>
      <c r="H1319" s="12" t="inlineStr">
        <is>
          <t>MT-6: microturbine 1 MW (Capstone C1000 class)</t>
        </is>
      </c>
      <c r="I1319" s="12" t="inlineStr">
        <is>
          <t>LV 600 V</t>
        </is>
      </c>
      <c r="J1319" s="12" t="inlineStr">
        <is>
          <t>500 kcmil</t>
        </is>
      </c>
      <c r="K1319" s="12" t="n">
        <v>12</v>
      </c>
    </row>
    <row r="1320">
      <c r="A1320" s="12" t="inlineStr">
        <is>
          <t>PAD-TX 480 V : 13.8 kV</t>
        </is>
      </c>
      <c r="B1320" s="12" t="inlineStr">
        <is>
          <t>PAD-TX</t>
        </is>
      </c>
      <c r="C1320" s="12" t="inlineStr">
        <is>
          <t>I</t>
        </is>
      </c>
      <c r="D1320" s="12" t="inlineStr">
        <is>
          <t>PAD-LV to PAD-TX</t>
        </is>
      </c>
      <c r="E1320" s="12" t="n">
        <v>480</v>
      </c>
      <c r="F1320" s="12" t="n">
        <v>3000</v>
      </c>
      <c r="G1320" s="12" t="n">
        <v>3600</v>
      </c>
      <c r="H1320" s="12" t="inlineStr">
        <is>
          <t>PAD-LV 480 V paralleling switchboard</t>
        </is>
      </c>
      <c r="I1320" s="12" t="inlineStr">
        <is>
          <t>LV 600 V</t>
        </is>
      </c>
      <c r="J1320" s="12" t="inlineStr">
        <is>
          <t>500 kcmil</t>
        </is>
      </c>
      <c r="K1320" s="12" t="n">
        <v>12</v>
      </c>
    </row>
    <row r="1321">
      <c r="A1321" s="12" t="inlineStr">
        <is>
          <t>PCM: power control module</t>
        </is>
      </c>
      <c r="B1321" s="12" t="inlineStr"/>
      <c r="C1321" s="12" t="inlineStr">
        <is>
          <t>I</t>
        </is>
      </c>
      <c r="D1321" s="12" t="inlineStr">
        <is>
          <t>LV panel / distribution feeder</t>
        </is>
      </c>
      <c r="E1321" s="12" t="n">
        <v>480</v>
      </c>
      <c r="F1321" s="12" t="n">
        <v>38</v>
      </c>
      <c r="G1321" s="12" t="n">
        <v>53.8</v>
      </c>
      <c r="H1321" s="12" t="inlineStr">
        <is>
          <t>PCM: power control module</t>
        </is>
      </c>
      <c r="I1321" s="12" t="inlineStr">
        <is>
          <t>LV 600 V</t>
        </is>
      </c>
      <c r="J1321" s="12" t="inlineStr">
        <is>
          <t>4</t>
        </is>
      </c>
      <c r="K1321" s="12" t="n">
        <v>1</v>
      </c>
    </row>
    <row r="1322">
      <c r="A1322" s="12" t="inlineStr">
        <is>
          <t>RICE 1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1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1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1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1</t>
        </is>
      </c>
      <c r="K1328" s="12" t="n">
        <v>1</v>
      </c>
    </row>
    <row r="1329">
      <c r="A1329" s="12" t="inlineStr">
        <is>
          <t>RICE 2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2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2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2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2</t>
        </is>
      </c>
      <c r="K1335" s="12" t="n">
        <v>1</v>
      </c>
    </row>
    <row r="1336">
      <c r="A1336" s="12" t="inlineStr">
        <is>
          <t>RICE 3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3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3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3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4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4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4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5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5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5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6</t>
        </is>
      </c>
      <c r="K1357" s="12" t="n">
        <v>1</v>
      </c>
    </row>
    <row r="1358">
      <c r="A1358" s="12" t="inlineStr">
        <is>
          <t>RICE 6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6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6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7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7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7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7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8 SCR + oxidation catalyst and stack</t>
        </is>
      </c>
      <c r="B1371" s="12" t="inlineStr"/>
      <c r="C1371" s="12" t="inlineStr">
        <is>
          <t>I</t>
        </is>
      </c>
      <c r="D1371" s="12" t="inlineStr">
        <is>
          <t>Motor 1 of 1, 15 kW</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8 SCR + oxidation catalyst and stack</t>
        </is>
      </c>
      <c r="B1372" s="12" t="inlineStr"/>
      <c r="C1372" s="12" t="inlineStr">
        <is>
          <t>I</t>
        </is>
      </c>
      <c r="D1372" s="12" t="inlineStr">
        <is>
          <t>Area / platform lighting circuit 1 (6 fixtures)</t>
        </is>
      </c>
      <c r="E1372" s="12" t="n">
        <v>480</v>
      </c>
      <c r="F1372" s="12" t="n">
        <v>3</v>
      </c>
      <c r="G1372" s="12" t="n">
        <v>5</v>
      </c>
      <c r="H1372" s="12" t="inlineStr">
        <is>
          <t>PCM: power control module</t>
        </is>
      </c>
      <c r="I1372" s="12" t="inlineStr">
        <is>
          <t>LV 600 V</t>
        </is>
      </c>
      <c r="J1372" s="12" t="inlineStr">
        <is>
          <t>10</t>
        </is>
      </c>
      <c r="K1372" s="12" t="n">
        <v>1</v>
      </c>
    </row>
    <row r="1373">
      <c r="A1373" s="12" t="inlineStr">
        <is>
          <t>RICE 8 radiators (5)</t>
        </is>
      </c>
      <c r="B1373" s="12" t="inlineStr"/>
      <c r="C1373" s="12" t="inlineStr">
        <is>
          <t>I</t>
        </is>
      </c>
      <c r="D1373" s="12" t="inlineStr">
        <is>
          <t>Motor 1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2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3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4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8 radiators (5)</t>
        </is>
      </c>
      <c r="B1377" s="12" t="inlineStr"/>
      <c r="C1377" s="12" t="inlineStr">
        <is>
          <t>I</t>
        </is>
      </c>
      <c r="D1377" s="12" t="inlineStr">
        <is>
          <t>Motor 5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CEMS</t>
        </is>
      </c>
      <c r="B1378" s="12" t="inlineStr"/>
      <c r="C1378" s="12" t="inlineStr">
        <is>
          <t>I</t>
        </is>
      </c>
      <c r="D1378" s="12" t="inlineStr">
        <is>
          <t>LV panel / distribution feeder</t>
        </is>
      </c>
      <c r="E1378" s="12" t="n">
        <v>480</v>
      </c>
      <c r="F1378" s="12" t="n">
        <v>30</v>
      </c>
      <c r="G1378" s="12" t="n">
        <v>42.5</v>
      </c>
      <c r="H1378" s="12" t="inlineStr">
        <is>
          <t>PCM: power control module</t>
        </is>
      </c>
      <c r="I1378" s="12" t="inlineStr">
        <is>
          <t>LV 600 V</t>
        </is>
      </c>
      <c r="J1378" s="12" t="inlineStr">
        <is>
          <t>4</t>
        </is>
      </c>
      <c r="K1378" s="12" t="n">
        <v>1</v>
      </c>
    </row>
    <row r="1379">
      <c r="A1379" s="12" t="inlineStr">
        <is>
          <t>RICE engine hall (8 engines)</t>
        </is>
      </c>
      <c r="B1379" s="12" t="inlineStr">
        <is>
          <t>RICE</t>
        </is>
      </c>
      <c r="C1379" s="12" t="inlineStr">
        <is>
          <t>I</t>
        </is>
      </c>
      <c r="D1379" s="12" t="inlineStr">
        <is>
          <t>LV power feeder</t>
        </is>
      </c>
      <c r="E1379" s="12" t="n">
        <v>480</v>
      </c>
      <c r="F1379" s="12" t="n">
        <v>15</v>
      </c>
      <c r="G1379" s="12" t="n">
        <v>21.2</v>
      </c>
      <c r="H1379" s="12" t="inlineStr">
        <is>
          <t>PCM: power control module</t>
        </is>
      </c>
      <c r="I1379" s="12" t="inlineStr">
        <is>
          <t>LV 600 V</t>
        </is>
      </c>
      <c r="J1379" s="12" t="inlineStr">
        <is>
          <t>8</t>
        </is>
      </c>
      <c r="K1379" s="12" t="n">
        <v>1</v>
      </c>
    </row>
    <row r="1380">
      <c r="A1380" s="12" t="inlineStr">
        <is>
          <t>RICE engine-generator 1</t>
        </is>
      </c>
      <c r="B1380" s="12" t="inlineStr">
        <is>
          <t>RICE-1</t>
        </is>
      </c>
      <c r="C1380" s="12" t="inlineStr">
        <is>
          <t>I</t>
        </is>
      </c>
      <c r="D1380" s="12" t="inlineStr">
        <is>
          <t>Motor 1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2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3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4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5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Motor 6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1</t>
        </is>
      </c>
      <c r="B1386" s="12" t="inlineStr">
        <is>
          <t>RICE-1</t>
        </is>
      </c>
      <c r="C1386" s="12" t="inlineStr">
        <is>
          <t>I</t>
        </is>
      </c>
      <c r="D1386" s="12" t="inlineStr">
        <is>
          <t>480 V welding receptacle 1</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2</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3</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1</t>
        </is>
      </c>
      <c r="B1389" s="12" t="inlineStr">
        <is>
          <t>RICE-1</t>
        </is>
      </c>
      <c r="C1389" s="12" t="inlineStr">
        <is>
          <t>I</t>
        </is>
      </c>
      <c r="D1389" s="12" t="inlineStr">
        <is>
          <t>480 V welding receptacle 4</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Motor 1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2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3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4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5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Motor 6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2</t>
        </is>
      </c>
      <c r="B1396" s="12" t="inlineStr">
        <is>
          <t>RICE-2</t>
        </is>
      </c>
      <c r="C1396" s="12" t="inlineStr">
        <is>
          <t>I</t>
        </is>
      </c>
      <c r="D1396" s="12" t="inlineStr">
        <is>
          <t>480 V welding receptacle 1</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2</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3</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2</t>
        </is>
      </c>
      <c r="B1399" s="12" t="inlineStr">
        <is>
          <t>RICE-2</t>
        </is>
      </c>
      <c r="C1399" s="12" t="inlineStr">
        <is>
          <t>I</t>
        </is>
      </c>
      <c r="D1399" s="12" t="inlineStr">
        <is>
          <t>480 V welding receptacle 4</t>
        </is>
      </c>
      <c r="E1399" s="12" t="n">
        <v>480</v>
      </c>
      <c r="F1399" s="12" t="n">
        <v>60</v>
      </c>
      <c r="G1399" s="12" t="n">
        <v>76</v>
      </c>
      <c r="H1399" s="12" t="inlineStr">
        <is>
          <t>PCM: power control module</t>
        </is>
      </c>
      <c r="I1399" s="12" t="inlineStr">
        <is>
          <t>LV 600 V</t>
        </is>
      </c>
      <c r="J1399" s="12" t="inlineStr">
        <is>
          <t>1/0</t>
        </is>
      </c>
      <c r="K1399" s="12" t="n">
        <v>1</v>
      </c>
    </row>
    <row r="1400">
      <c r="A1400" s="12" t="inlineStr">
        <is>
          <t>RICE engine-generator 3</t>
        </is>
      </c>
      <c r="B1400" s="12" t="inlineStr">
        <is>
          <t>RICE-3</t>
        </is>
      </c>
      <c r="C1400" s="12" t="inlineStr">
        <is>
          <t>I</t>
        </is>
      </c>
      <c r="D1400" s="12" t="inlineStr">
        <is>
          <t>Motor 1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2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3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4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5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Motor 6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3</t>
        </is>
      </c>
      <c r="B1406" s="12" t="inlineStr">
        <is>
          <t>RICE-3</t>
        </is>
      </c>
      <c r="C1406" s="12" t="inlineStr">
        <is>
          <t>I</t>
        </is>
      </c>
      <c r="D1406" s="12" t="inlineStr">
        <is>
          <t>480 V welding receptacle 1</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2</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3</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3</t>
        </is>
      </c>
      <c r="B1409" s="12" t="inlineStr">
        <is>
          <t>RICE-3</t>
        </is>
      </c>
      <c r="C1409" s="12" t="inlineStr">
        <is>
          <t>I</t>
        </is>
      </c>
      <c r="D1409" s="12" t="inlineStr">
        <is>
          <t>480 V welding receptacle 4</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Motor 1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2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3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4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5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Motor 6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4</t>
        </is>
      </c>
      <c r="B1416" s="12" t="inlineStr">
        <is>
          <t>RICE-4</t>
        </is>
      </c>
      <c r="C1416" s="12" t="inlineStr">
        <is>
          <t>I</t>
        </is>
      </c>
      <c r="D1416" s="12" t="inlineStr">
        <is>
          <t>480 V welding receptacle 1</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2</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3</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4</t>
        </is>
      </c>
      <c r="B1419" s="12" t="inlineStr">
        <is>
          <t>RICE-4</t>
        </is>
      </c>
      <c r="C1419" s="12" t="inlineStr">
        <is>
          <t>I</t>
        </is>
      </c>
      <c r="D1419" s="12" t="inlineStr">
        <is>
          <t>480 V welding receptacle 4</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Motor 1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2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3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4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5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Motor 6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5</t>
        </is>
      </c>
      <c r="B1426" s="12" t="inlineStr">
        <is>
          <t>RICE-5</t>
        </is>
      </c>
      <c r="C1426" s="12" t="inlineStr">
        <is>
          <t>I</t>
        </is>
      </c>
      <c r="D1426" s="12" t="inlineStr">
        <is>
          <t>480 V welding receptacle 1</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2</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3</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5</t>
        </is>
      </c>
      <c r="B1429" s="12" t="inlineStr">
        <is>
          <t>RICE-5</t>
        </is>
      </c>
      <c r="C1429" s="12" t="inlineStr">
        <is>
          <t>I</t>
        </is>
      </c>
      <c r="D1429" s="12" t="inlineStr">
        <is>
          <t>480 V welding receptacle 4</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Motor 1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2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3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4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5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Motor 6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6</t>
        </is>
      </c>
      <c r="B1436" s="12" t="inlineStr">
        <is>
          <t>RICE-6</t>
        </is>
      </c>
      <c r="C1436" s="12" t="inlineStr">
        <is>
          <t>I</t>
        </is>
      </c>
      <c r="D1436" s="12" t="inlineStr">
        <is>
          <t>480 V welding receptacle 1</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2</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3</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6</t>
        </is>
      </c>
      <c r="B1439" s="12" t="inlineStr">
        <is>
          <t>RICE-6</t>
        </is>
      </c>
      <c r="C1439" s="12" t="inlineStr">
        <is>
          <t>I</t>
        </is>
      </c>
      <c r="D1439" s="12" t="inlineStr">
        <is>
          <t>480 V welding receptacle 4</t>
        </is>
      </c>
      <c r="E1439" s="12" t="n">
        <v>480</v>
      </c>
      <c r="F1439" s="12" t="n">
        <v>60</v>
      </c>
      <c r="G1439" s="12" t="n">
        <v>76</v>
      </c>
      <c r="H1439" s="12" t="inlineStr">
        <is>
          <t>PCM: power control module</t>
        </is>
      </c>
      <c r="I1439" s="12" t="inlineStr">
        <is>
          <t>LV 600 V</t>
        </is>
      </c>
      <c r="J1439" s="12" t="inlineStr">
        <is>
          <t>1</t>
        </is>
      </c>
      <c r="K1439" s="12" t="n">
        <v>1</v>
      </c>
    </row>
    <row r="1440">
      <c r="A1440" s="12" t="inlineStr">
        <is>
          <t>RICE engine-generator 7</t>
        </is>
      </c>
      <c r="B1440" s="12" t="inlineStr">
        <is>
          <t>RICE-7</t>
        </is>
      </c>
      <c r="C1440" s="12" t="inlineStr">
        <is>
          <t>I</t>
        </is>
      </c>
      <c r="D1440" s="12" t="inlineStr">
        <is>
          <t>Motor 1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2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3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4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5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Motor 6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7</t>
        </is>
      </c>
      <c r="B1446" s="12" t="inlineStr">
        <is>
          <t>RICE-7</t>
        </is>
      </c>
      <c r="C1446" s="12" t="inlineStr">
        <is>
          <t>I</t>
        </is>
      </c>
      <c r="D1446" s="12" t="inlineStr">
        <is>
          <t>480 V welding receptacle 1</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2</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3</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7</t>
        </is>
      </c>
      <c r="B1449" s="12" t="inlineStr">
        <is>
          <t>RICE-7</t>
        </is>
      </c>
      <c r="C1449" s="12" t="inlineStr">
        <is>
          <t>I</t>
        </is>
      </c>
      <c r="D1449" s="12" t="inlineStr">
        <is>
          <t>480 V welding receptacle 4</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Motor 1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2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3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4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5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Motor 6 of 6, 22 kW</t>
        </is>
      </c>
      <c r="E1455" s="12" t="n">
        <v>480</v>
      </c>
      <c r="F1455" s="12" t="n">
        <v>22</v>
      </c>
      <c r="G1455" s="12" t="n">
        <v>31.1</v>
      </c>
      <c r="H1455" s="12" t="inlineStr">
        <is>
          <t>PCM: power control module</t>
        </is>
      </c>
      <c r="I1455" s="12" t="inlineStr">
        <is>
          <t>LV 600 V</t>
        </is>
      </c>
      <c r="J1455" s="12" t="inlineStr">
        <is>
          <t>8</t>
        </is>
      </c>
      <c r="K1455" s="12" t="n">
        <v>1</v>
      </c>
    </row>
    <row r="1456">
      <c r="A1456" s="12" t="inlineStr">
        <is>
          <t>RICE engine-generator 8</t>
        </is>
      </c>
      <c r="B1456" s="12" t="inlineStr">
        <is>
          <t>RICE-8</t>
        </is>
      </c>
      <c r="C1456" s="12" t="inlineStr">
        <is>
          <t>I</t>
        </is>
      </c>
      <c r="D1456" s="12" t="inlineStr">
        <is>
          <t>480 V welding receptacle 1</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2</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3</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RICE engine-generator 8</t>
        </is>
      </c>
      <c r="B1459" s="12" t="inlineStr">
        <is>
          <t>RICE-8</t>
        </is>
      </c>
      <c r="C1459" s="12" t="inlineStr">
        <is>
          <t>I</t>
        </is>
      </c>
      <c r="D1459" s="12" t="inlineStr">
        <is>
          <t>480 V welding receptacle 4</t>
        </is>
      </c>
      <c r="E1459" s="12" t="n">
        <v>480</v>
      </c>
      <c r="F1459" s="12" t="n">
        <v>60</v>
      </c>
      <c r="G1459" s="12" t="n">
        <v>76</v>
      </c>
      <c r="H1459" s="12" t="inlineStr">
        <is>
          <t>PCM: power control module</t>
        </is>
      </c>
      <c r="I1459" s="12" t="inlineStr">
        <is>
          <t>LV 600 V</t>
        </is>
      </c>
      <c r="J1459" s="12" t="inlineStr">
        <is>
          <t>2</t>
        </is>
      </c>
      <c r="K1459" s="12" t="n">
        <v>1</v>
      </c>
    </row>
    <row r="1460">
      <c r="A1460" s="12" t="inlineStr">
        <is>
          <t>Reagent storage</t>
        </is>
      </c>
      <c r="B1460" s="12" t="inlineStr"/>
      <c r="C1460" s="12" t="inlineStr">
        <is>
          <t>I</t>
        </is>
      </c>
      <c r="D1460" s="12" t="inlineStr">
        <is>
          <t>LV power feeder</t>
        </is>
      </c>
      <c r="E1460" s="12" t="n">
        <v>480</v>
      </c>
      <c r="F1460" s="12" t="n">
        <v>15</v>
      </c>
      <c r="G1460" s="12" t="n">
        <v>21.2</v>
      </c>
      <c r="H1460" s="12" t="inlineStr">
        <is>
          <t>PCM: power control module</t>
        </is>
      </c>
      <c r="I1460" s="12" t="inlineStr">
        <is>
          <t>LV 600 V</t>
        </is>
      </c>
      <c r="J1460" s="12" t="inlineStr">
        <is>
          <t>10</t>
        </is>
      </c>
      <c r="K1460" s="12" t="n">
        <v>1</v>
      </c>
    </row>
    <row r="1461">
      <c r="A1461" s="12" t="inlineStr">
        <is>
          <t>SC-1 SCR / CO catalyst</t>
        </is>
      </c>
      <c r="B1461" s="12" t="inlineStr"/>
      <c r="C1461" s="12" t="inlineStr">
        <is>
          <t>I</t>
        </is>
      </c>
      <c r="D1461" s="12" t="inlineStr">
        <is>
          <t>Motor 1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SCR / CO catalyst</t>
        </is>
      </c>
      <c r="B1462" s="12" t="inlineStr"/>
      <c r="C1462" s="12" t="inlineStr">
        <is>
          <t>I</t>
        </is>
      </c>
      <c r="D1462" s="12" t="inlineStr">
        <is>
          <t>Motor 2 of 2,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lube-oil fin-fan cooler</t>
        </is>
      </c>
      <c r="B1463" s="12" t="inlineStr"/>
      <c r="C1463" s="12" t="inlineStr">
        <is>
          <t>I</t>
        </is>
      </c>
      <c r="D1463" s="12" t="inlineStr">
        <is>
          <t>Motor 1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2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3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lube-oil fin-fan cooler</t>
        </is>
      </c>
      <c r="B1466" s="12" t="inlineStr"/>
      <c r="C1466" s="12" t="inlineStr">
        <is>
          <t>I</t>
        </is>
      </c>
      <c r="D1466" s="12" t="inlineStr">
        <is>
          <t>Motor 4 of 4, 15 kW</t>
        </is>
      </c>
      <c r="E1466" s="12" t="n">
        <v>480</v>
      </c>
      <c r="F1466" s="12" t="n">
        <v>15</v>
      </c>
      <c r="G1466" s="12" t="n">
        <v>21.2</v>
      </c>
      <c r="H1466" s="12" t="inlineStr">
        <is>
          <t>PCM: power control module</t>
        </is>
      </c>
      <c r="I1466" s="12" t="inlineStr">
        <is>
          <t>LV 600 V</t>
        </is>
      </c>
      <c r="J1466" s="12" t="inlineStr">
        <is>
          <t>10</t>
        </is>
      </c>
      <c r="K1466" s="12" t="n">
        <v>1</v>
      </c>
    </row>
    <row r="1467">
      <c r="A1467" s="12" t="inlineStr">
        <is>
          <t>SC-1 stack (80 ft)</t>
        </is>
      </c>
      <c r="B1467" s="12" t="inlineStr"/>
      <c r="C1467" s="12" t="inlineStr">
        <is>
          <t>I</t>
        </is>
      </c>
      <c r="D1467" s="12" t="inlineStr">
        <is>
          <t>Area / platform lighting circuit 1 (4 fixtures)</t>
        </is>
      </c>
      <c r="E1467" s="12" t="n">
        <v>480</v>
      </c>
      <c r="F1467" s="12" t="n">
        <v>3</v>
      </c>
      <c r="G1467" s="12" t="n">
        <v>5</v>
      </c>
      <c r="H1467" s="12" t="inlineStr">
        <is>
          <t>PCM: power control module</t>
        </is>
      </c>
      <c r="I1467" s="12" t="inlineStr">
        <is>
          <t>LV 600 V</t>
        </is>
      </c>
      <c r="J1467" s="12" t="inlineStr">
        <is>
          <t>2</t>
        </is>
      </c>
      <c r="K1467" s="12" t="n">
        <v>1</v>
      </c>
    </row>
    <row r="1468">
      <c r="A1468" s="12" t="inlineStr">
        <is>
          <t>SC-1: aeroderivative simple-cycle unit (LM6000 class)</t>
        </is>
      </c>
      <c r="B1468" s="12" t="inlineStr">
        <is>
          <t>SC-1</t>
        </is>
      </c>
      <c r="C1468" s="12" t="inlineStr">
        <is>
          <t>I</t>
        </is>
      </c>
      <c r="D1468" s="12" t="inlineStr">
        <is>
          <t>Motor 1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2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3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4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5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6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7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8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9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SC-1: aeroderivative simple-cycle unit (LM6000 class)</t>
        </is>
      </c>
      <c r="B1477" s="12" t="inlineStr">
        <is>
          <t>SC-1</t>
        </is>
      </c>
      <c r="C1477" s="12" t="inlineStr">
        <is>
          <t>I</t>
        </is>
      </c>
      <c r="D1477" s="12" t="inlineStr">
        <is>
          <t>Motor 10 of 10, 30 kW</t>
        </is>
      </c>
      <c r="E1477" s="12" t="n">
        <v>480</v>
      </c>
      <c r="F1477" s="12" t="n">
        <v>30</v>
      </c>
      <c r="G1477" s="12" t="n">
        <v>42.5</v>
      </c>
      <c r="H1477" s="12" t="inlineStr">
        <is>
          <t>PCM: power control module</t>
        </is>
      </c>
      <c r="I1477" s="12" t="inlineStr">
        <is>
          <t>LV 600 V</t>
        </is>
      </c>
      <c r="J1477" s="12" t="inlineStr">
        <is>
          <t>6</t>
        </is>
      </c>
      <c r="K1477" s="12" t="n">
        <v>1</v>
      </c>
    </row>
    <row r="1478">
      <c r="A1478" s="12" t="inlineStr">
        <is>
          <t>SC-2 SCR / CO catalyst</t>
        </is>
      </c>
      <c r="B1478" s="12" t="inlineStr"/>
      <c r="C1478" s="12" t="inlineStr">
        <is>
          <t>I</t>
        </is>
      </c>
      <c r="D1478" s="12" t="inlineStr">
        <is>
          <t>Motor 1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SCR / CO catalyst</t>
        </is>
      </c>
      <c r="B1479" s="12" t="inlineStr"/>
      <c r="C1479" s="12" t="inlineStr">
        <is>
          <t>I</t>
        </is>
      </c>
      <c r="D1479" s="12" t="inlineStr">
        <is>
          <t>Motor 2 of 2,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lube-oil fin-fan cooler</t>
        </is>
      </c>
      <c r="B1480" s="12" t="inlineStr"/>
      <c r="C1480" s="12" t="inlineStr">
        <is>
          <t>I</t>
        </is>
      </c>
      <c r="D1480" s="12" t="inlineStr">
        <is>
          <t>Motor 1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2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3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lube-oil fin-fan cooler</t>
        </is>
      </c>
      <c r="B1483" s="12" t="inlineStr"/>
      <c r="C1483" s="12" t="inlineStr">
        <is>
          <t>I</t>
        </is>
      </c>
      <c r="D1483" s="12" t="inlineStr">
        <is>
          <t>Motor 4 of 4, 15 kW</t>
        </is>
      </c>
      <c r="E1483" s="12" t="n">
        <v>480</v>
      </c>
      <c r="F1483" s="12" t="n">
        <v>15</v>
      </c>
      <c r="G1483" s="12" t="n">
        <v>21.2</v>
      </c>
      <c r="H1483" s="12" t="inlineStr">
        <is>
          <t>MOD-LV 480 V board + 480 V : 13.8 kV step-up</t>
        </is>
      </c>
      <c r="I1483" s="12" t="inlineStr">
        <is>
          <t>LV 600 V</t>
        </is>
      </c>
      <c r="J1483" s="12" t="inlineStr">
        <is>
          <t>3/0</t>
        </is>
      </c>
      <c r="K1483" s="12" t="n">
        <v>1</v>
      </c>
    </row>
    <row r="1484">
      <c r="A1484" s="12" t="inlineStr">
        <is>
          <t>SC-2 stack (80 ft)</t>
        </is>
      </c>
      <c r="B1484" s="12" t="inlineStr"/>
      <c r="C1484" s="12" t="inlineStr">
        <is>
          <t>I</t>
        </is>
      </c>
      <c r="D1484" s="12" t="inlineStr">
        <is>
          <t>Area / platform lighting circuit 1 (4 fixtures)</t>
        </is>
      </c>
      <c r="E1484" s="12" t="n">
        <v>480</v>
      </c>
      <c r="F1484" s="12" t="n">
        <v>3</v>
      </c>
      <c r="G1484" s="12" t="n">
        <v>5</v>
      </c>
      <c r="H1484" s="12" t="inlineStr">
        <is>
          <t>MOD-LV 480 V board + 480 V : 13.8 kV step-up</t>
        </is>
      </c>
      <c r="I1484" s="12" t="inlineStr">
        <is>
          <t>LV 600 V</t>
        </is>
      </c>
      <c r="J1484" s="12" t="inlineStr">
        <is>
          <t>4</t>
        </is>
      </c>
      <c r="K1484" s="12" t="n">
        <v>1</v>
      </c>
    </row>
    <row r="1485">
      <c r="A1485" s="12" t="inlineStr">
        <is>
          <t>SC-2: aeroderivative simple-cycle unit (LM6000 class)</t>
        </is>
      </c>
      <c r="B1485" s="12" t="inlineStr">
        <is>
          <t>SC-2</t>
        </is>
      </c>
      <c r="C1485" s="12" t="inlineStr">
        <is>
          <t>I</t>
        </is>
      </c>
      <c r="D1485" s="12" t="inlineStr">
        <is>
          <t>Motor 1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2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3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4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5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6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7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8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9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SC-2: aeroderivative simple-cycle unit (LM6000 class)</t>
        </is>
      </c>
      <c r="B1494" s="12" t="inlineStr">
        <is>
          <t>SC-2</t>
        </is>
      </c>
      <c r="C1494" s="12" t="inlineStr">
        <is>
          <t>I</t>
        </is>
      </c>
      <c r="D1494" s="12" t="inlineStr">
        <is>
          <t>Motor 10 of 10, 30 kW</t>
        </is>
      </c>
      <c r="E1494" s="12" t="n">
        <v>480</v>
      </c>
      <c r="F1494" s="12" t="n">
        <v>30</v>
      </c>
      <c r="G1494" s="12" t="n">
        <v>42.5</v>
      </c>
      <c r="H1494" s="12" t="inlineStr">
        <is>
          <t>MOD-LV 480 V board + 480 V : 13.8 kV step-up</t>
        </is>
      </c>
      <c r="I1494" s="12" t="inlineStr">
        <is>
          <t>LV 600 V</t>
        </is>
      </c>
      <c r="J1494" s="12" t="inlineStr">
        <is>
          <t>350 kcmil</t>
        </is>
      </c>
      <c r="K1494" s="12" t="n">
        <v>1</v>
      </c>
    </row>
    <row r="1495">
      <c r="A1495" s="12" t="inlineStr">
        <is>
          <t>T-MOD 230 kV take-off gantry with arresters</t>
        </is>
      </c>
      <c r="B1495" s="12" t="inlineStr"/>
      <c r="C1495" s="12" t="inlineStr">
        <is>
          <t>I</t>
        </is>
      </c>
      <c r="D1495" s="12" t="inlineStr">
        <is>
          <t>Motor 1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2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3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4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5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 230 kV take-off gantry with arresters</t>
        </is>
      </c>
      <c r="B1500" s="12" t="inlineStr"/>
      <c r="C1500" s="12" t="inlineStr">
        <is>
          <t>I</t>
        </is>
      </c>
      <c r="D1500" s="12" t="inlineStr">
        <is>
          <t>Motor 6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1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2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3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4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5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 T-MOD-2 firewall</t>
        </is>
      </c>
      <c r="B1506" s="12" t="inlineStr"/>
      <c r="C1506" s="12" t="inlineStr">
        <is>
          <t>I</t>
        </is>
      </c>
      <c r="D1506" s="12" t="inlineStr">
        <is>
          <t>Motor 6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1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2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3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4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5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T-MOD-1: 13.8/230 kV</t>
        </is>
      </c>
      <c r="B1512" s="12" t="inlineStr">
        <is>
          <t>T-MOD-1</t>
        </is>
      </c>
      <c r="C1512" s="12" t="inlineStr">
        <is>
          <t>I</t>
        </is>
      </c>
      <c r="D1512" s="12" t="inlineStr">
        <is>
          <t>Motor 6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1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2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3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4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5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T-MOD-2: 13.8/230 kV</t>
        </is>
      </c>
      <c r="B1518" s="12" t="inlineStr">
        <is>
          <t>T-MOD-2</t>
        </is>
      </c>
      <c r="C1518" s="12" t="inlineStr">
        <is>
          <t>I</t>
        </is>
      </c>
      <c r="D1518" s="12" t="inlineStr">
        <is>
          <t>Motor 6 of 6, 2 kW</t>
        </is>
      </c>
      <c r="E1518" s="12" t="n">
        <v>480</v>
      </c>
      <c r="F1518" s="12" t="n">
        <v>2</v>
      </c>
      <c r="G1518" s="12" t="n">
        <v>2.8</v>
      </c>
      <c r="H1518" s="12" t="inlineStr">
        <is>
          <t>MOD-LV 480 V board + 480 V : 13.8 kV step-up</t>
        </is>
      </c>
      <c r="I1518" s="12" t="inlineStr">
        <is>
          <t>LV 600 V</t>
        </is>
      </c>
      <c r="J1518" s="12" t="inlineStr">
        <is>
          <t>10</t>
        </is>
      </c>
      <c r="K1518" s="12" t="n">
        <v>1</v>
      </c>
    </row>
    <row r="1519">
      <c r="A1519" s="12" t="inlineStr">
        <is>
          <t>TM-1: trailer-mounted aeroderivative GT (TM2500 class, ~35 MW)</t>
        </is>
      </c>
      <c r="B1519" s="12" t="inlineStr">
        <is>
          <t>TM-1</t>
        </is>
      </c>
      <c r="C1519" s="12" t="inlineStr">
        <is>
          <t>I</t>
        </is>
      </c>
      <c r="D1519" s="12" t="inlineStr">
        <is>
          <t>Motor 1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2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3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4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5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TM-1: trailer-mounted aeroderivative GT (TM2500 class, ~35 MW)</t>
        </is>
      </c>
      <c r="B1524" s="12" t="inlineStr">
        <is>
          <t>TM-1</t>
        </is>
      </c>
      <c r="C1524" s="12" t="inlineStr">
        <is>
          <t>I</t>
        </is>
      </c>
      <c r="D1524" s="12" t="inlineStr">
        <is>
          <t>Motor 6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1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2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3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4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5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TM-2: trailer-mounted aeroderivative GT (TM2500 class, ~35 MW)</t>
        </is>
      </c>
      <c r="B1530" s="12" t="inlineStr">
        <is>
          <t>TM-2</t>
        </is>
      </c>
      <c r="C1530" s="12" t="inlineStr">
        <is>
          <t>I</t>
        </is>
      </c>
      <c r="D1530" s="12" t="inlineStr">
        <is>
          <t>Motor 6 of 6, 22 kW</t>
        </is>
      </c>
      <c r="E1530" s="12" t="n">
        <v>480</v>
      </c>
      <c r="F1530" s="12" t="n">
        <v>22</v>
      </c>
      <c r="G1530" s="12" t="n">
        <v>31.1</v>
      </c>
      <c r="H1530" s="12" t="inlineStr">
        <is>
          <t>MOD-LV 480 V board + 480 V : 13.8 kV step-up</t>
        </is>
      </c>
      <c r="I1530" s="12" t="inlineStr">
        <is>
          <t>LV 600 V</t>
        </is>
      </c>
      <c r="J1530" s="12" t="inlineStr">
        <is>
          <t>4/0</t>
        </is>
      </c>
      <c r="K1530" s="12" t="n">
        <v>1</v>
      </c>
    </row>
    <row r="1531">
      <c r="A1531" s="12" t="inlineStr">
        <is>
          <t>Water-injection skid</t>
        </is>
      </c>
      <c r="B1531" s="12" t="inlineStr"/>
      <c r="C1531" s="12" t="inlineStr">
        <is>
          <t>I</t>
        </is>
      </c>
      <c r="D1531" s="12" t="inlineStr">
        <is>
          <t>LV power feeder</t>
        </is>
      </c>
      <c r="E1531" s="12" t="n">
        <v>480</v>
      </c>
      <c r="F1531" s="12" t="n">
        <v>15</v>
      </c>
      <c r="G1531" s="12" t="n">
        <v>21.2</v>
      </c>
      <c r="H1531" s="12" t="inlineStr">
        <is>
          <t>MOD-LV 480 V board + 480 V : 13.8 kV step-up</t>
        </is>
      </c>
      <c r="I1531" s="12" t="inlineStr">
        <is>
          <t>LV 600 V</t>
        </is>
      </c>
      <c r="J1531" s="12" t="inlineStr">
        <is>
          <t>3/0</t>
        </is>
      </c>
      <c r="K1531" s="12" t="n">
        <v>1</v>
      </c>
    </row>
    <row r="1532">
      <c r="A1532" s="12" t="inlineStr">
        <is>
          <t>CONT paralleling switchgear e-house</t>
        </is>
      </c>
      <c r="B1532" s="12" t="inlineStr">
        <is>
          <t>CONT-EH</t>
        </is>
      </c>
      <c r="C1532" s="12" t="inlineStr">
        <is>
          <t>I</t>
        </is>
      </c>
      <c r="D1532" s="12" t="inlineStr">
        <is>
          <t>CONT-3 13.8 kV to CONT-EH (ground tray)</t>
        </is>
      </c>
      <c r="E1532" s="12" t="n">
        <v>13800</v>
      </c>
      <c r="F1532" s="12" t="n">
        <v>2000</v>
      </c>
      <c r="G1532" s="12" t="n">
        <v>93</v>
      </c>
      <c r="H1532" s="12" t="inlineStr">
        <is>
          <t>CONT-3: containerized gas genset 13.8 kV (40 ft)</t>
        </is>
      </c>
      <c r="I1532" s="12" t="inlineStr">
        <is>
          <t>MV 15 kV</t>
        </is>
      </c>
      <c r="J1532" s="12" t="inlineStr">
        <is>
          <t>2</t>
        </is>
      </c>
      <c r="K1532" s="12" t="n">
        <v>1</v>
      </c>
    </row>
    <row r="1533">
      <c r="A1533" s="12" t="inlineStr">
        <is>
          <t>CONT paralleling switchgear e-house</t>
        </is>
      </c>
      <c r="B1533" s="12" t="inlineStr">
        <is>
          <t>CONT-EH</t>
        </is>
      </c>
      <c r="C1533" s="12" t="inlineStr">
        <is>
          <t>I</t>
        </is>
      </c>
      <c r="D1533" s="12" t="inlineStr">
        <is>
          <t>CONT-4 13.8 kV to CONT-EH (ground tray)</t>
        </is>
      </c>
      <c r="E1533" s="12" t="n">
        <v>13800</v>
      </c>
      <c r="F1533" s="12" t="n">
        <v>2000</v>
      </c>
      <c r="G1533" s="12" t="n">
        <v>93</v>
      </c>
      <c r="H1533" s="12" t="inlineStr">
        <is>
          <t>CONT-4: containerized gas genset 13.8 kV (40 ft)</t>
        </is>
      </c>
      <c r="I1533" s="12" t="inlineStr">
        <is>
          <t>MV 15 kV</t>
        </is>
      </c>
      <c r="J1533" s="12" t="inlineStr">
        <is>
          <t>2</t>
        </is>
      </c>
      <c r="K1533" s="12" t="n">
        <v>1</v>
      </c>
    </row>
    <row r="1534">
      <c r="A1534" s="12" t="inlineStr">
        <is>
          <t>CONT paralleling switchgear e-house</t>
        </is>
      </c>
      <c r="B1534" s="12" t="inlineStr">
        <is>
          <t>CONT-EH</t>
        </is>
      </c>
      <c r="C1534" s="12" t="inlineStr">
        <is>
          <t>I</t>
        </is>
      </c>
      <c r="D1534" s="12" t="inlineStr">
        <is>
          <t>CONT-5 13.8 kV to CONT-EH (ground tray)</t>
        </is>
      </c>
      <c r="E1534" s="12" t="n">
        <v>13800</v>
      </c>
      <c r="F1534" s="12" t="n">
        <v>2000</v>
      </c>
      <c r="G1534" s="12" t="n">
        <v>93</v>
      </c>
      <c r="H1534" s="12" t="inlineStr">
        <is>
          <t>CONT-5: containerized gas genset 13.8 kV (40 ft)</t>
        </is>
      </c>
      <c r="I1534" s="12" t="inlineStr">
        <is>
          <t>MV 15 kV</t>
        </is>
      </c>
      <c r="J1534" s="12" t="inlineStr">
        <is>
          <t>2</t>
        </is>
      </c>
      <c r="K1534" s="12" t="n">
        <v>1</v>
      </c>
    </row>
    <row r="1535">
      <c r="A1535" s="12" t="inlineStr">
        <is>
          <t>CONT paralleling switchgear e-house</t>
        </is>
      </c>
      <c r="B1535" s="12" t="inlineStr">
        <is>
          <t>CONT-EH</t>
        </is>
      </c>
      <c r="C1535" s="12" t="inlineStr">
        <is>
          <t>I</t>
        </is>
      </c>
      <c r="D1535" s="12" t="inlineStr">
        <is>
          <t>CONT-6 13.8 kV to CONT-EH (ground tray)</t>
        </is>
      </c>
      <c r="E1535" s="12" t="n">
        <v>13800</v>
      </c>
      <c r="F1535" s="12" t="n">
        <v>2000</v>
      </c>
      <c r="G1535" s="12" t="n">
        <v>93</v>
      </c>
      <c r="H1535" s="12" t="inlineStr">
        <is>
          <t>CONT-6: containerized gas genset 13.8 kV (40 ft)</t>
        </is>
      </c>
      <c r="I1535" s="12" t="inlineStr">
        <is>
          <t>MV 15 kV</t>
        </is>
      </c>
      <c r="J1535" s="12" t="inlineStr">
        <is>
          <t>2</t>
        </is>
      </c>
      <c r="K1535" s="12" t="n">
        <v>1</v>
      </c>
    </row>
    <row r="1536">
      <c r="A1536" s="12" t="inlineStr">
        <is>
          <t>CONT paralleling switchgear e-house</t>
        </is>
      </c>
      <c r="B1536" s="12" t="inlineStr">
        <is>
          <t>CONT-EH</t>
        </is>
      </c>
      <c r="C1536" s="12" t="inlineStr">
        <is>
          <t>I</t>
        </is>
      </c>
      <c r="D1536" s="12" t="inlineStr">
        <is>
          <t>CONT-7 13.8 kV to CONT-EH (ground tray)</t>
        </is>
      </c>
      <c r="E1536" s="12" t="n">
        <v>13800</v>
      </c>
      <c r="F1536" s="12" t="n">
        <v>2000</v>
      </c>
      <c r="G1536" s="12" t="n">
        <v>93</v>
      </c>
      <c r="H1536" s="12" t="inlineStr">
        <is>
          <t>CONT-7: containerized gas genset 13.8 kV (40 ft)</t>
        </is>
      </c>
      <c r="I1536" s="12" t="inlineStr">
        <is>
          <t>MV 15 kV</t>
        </is>
      </c>
      <c r="J1536" s="12" t="inlineStr">
        <is>
          <t>2</t>
        </is>
      </c>
      <c r="K1536" s="12" t="n">
        <v>1</v>
      </c>
    </row>
    <row r="1537">
      <c r="A1537" s="12" t="inlineStr">
        <is>
          <t>CONT paralleling switchgear e-house</t>
        </is>
      </c>
      <c r="B1537" s="12" t="inlineStr">
        <is>
          <t>CONT-EH</t>
        </is>
      </c>
      <c r="C1537" s="12" t="inlineStr">
        <is>
          <t>I</t>
        </is>
      </c>
      <c r="D1537" s="12" t="inlineStr">
        <is>
          <t>CONT-8 13.8 kV to CONT-EH (ground tray)</t>
        </is>
      </c>
      <c r="E1537" s="12" t="n">
        <v>13800</v>
      </c>
      <c r="F1537" s="12" t="n">
        <v>2000</v>
      </c>
      <c r="G1537" s="12" t="n">
        <v>93</v>
      </c>
      <c r="H1537" s="12" t="inlineStr">
        <is>
          <t>CONT-8: containerized gas genset 13.8 kV (40 ft)</t>
        </is>
      </c>
      <c r="I1537" s="12" t="inlineStr">
        <is>
          <t>MV 15 kV</t>
        </is>
      </c>
      <c r="J1537" s="12" t="inlineStr">
        <is>
          <t>2</t>
        </is>
      </c>
      <c r="K1537" s="12" t="n">
        <v>1</v>
      </c>
    </row>
    <row r="1538">
      <c r="A1538" s="12" t="inlineStr">
        <is>
          <t>Fuel-gas compressors 3 x 100% electric</t>
        </is>
      </c>
      <c r="B1538" s="12" t="inlineStr"/>
      <c r="C1538" s="12" t="inlineStr">
        <is>
          <t>I</t>
        </is>
      </c>
      <c r="D1538" s="12" t="inlineStr">
        <is>
          <t>Modular-yard fuel-gas compressor</t>
        </is>
      </c>
      <c r="E1538" s="12" t="n">
        <v>13800</v>
      </c>
      <c r="F1538" s="12" t="n">
        <v>1500</v>
      </c>
      <c r="G1538" s="12" t="n">
        <v>70</v>
      </c>
      <c r="H1538" s="12" t="inlineStr">
        <is>
          <t>MOD-EH: 13.8 kV modular collector e-house</t>
        </is>
      </c>
      <c r="I1538" s="12" t="inlineStr">
        <is>
          <t>MV 15 kV</t>
        </is>
      </c>
      <c r="J1538" s="12" t="inlineStr">
        <is>
          <t>2</t>
        </is>
      </c>
      <c r="K1538" s="12" t="n">
        <v>1</v>
      </c>
    </row>
    <row r="1539">
      <c r="A1539" s="12" t="inlineStr">
        <is>
          <t>Fuel-gas compressors 3 x 100% electric</t>
        </is>
      </c>
      <c r="B1539" s="12" t="inlineStr"/>
      <c r="C1539" s="12" t="inlineStr">
        <is>
          <t>I</t>
        </is>
      </c>
      <c r="D1539" s="12" t="inlineStr">
        <is>
          <t>Modular-yard fuel-gas compressor</t>
        </is>
      </c>
      <c r="E1539" s="12" t="n">
        <v>13800</v>
      </c>
      <c r="F1539" s="12" t="n">
        <v>1500</v>
      </c>
      <c r="G1539" s="12" t="n">
        <v>70</v>
      </c>
      <c r="H1539" s="12" t="inlineStr">
        <is>
          <t>MOD-EH: 13.8 kV modular collector e-house</t>
        </is>
      </c>
      <c r="I1539" s="12" t="inlineStr">
        <is>
          <t>MV 15 kV</t>
        </is>
      </c>
      <c r="J1539" s="12" t="inlineStr">
        <is>
          <t>2</t>
        </is>
      </c>
      <c r="K1539" s="12" t="n">
        <v>1</v>
      </c>
    </row>
    <row r="1540">
      <c r="A1540" s="12" t="inlineStr">
        <is>
          <t>Fuel-gas compressors 3 x 100% electric</t>
        </is>
      </c>
      <c r="B1540" s="12" t="inlineStr"/>
      <c r="C1540" s="12" t="inlineStr">
        <is>
          <t>I</t>
        </is>
      </c>
      <c r="D1540" s="12" t="inlineStr">
        <is>
          <t>Modular-yard fuel-gas compressor</t>
        </is>
      </c>
      <c r="E1540" s="12" t="n">
        <v>13800</v>
      </c>
      <c r="F1540" s="12" t="n">
        <v>1500</v>
      </c>
      <c r="G1540" s="12" t="n">
        <v>70</v>
      </c>
      <c r="H1540" s="12" t="inlineStr">
        <is>
          <t>MOD-EH: 13.8 kV modular collector e-house</t>
        </is>
      </c>
      <c r="I1540" s="12" t="inlineStr">
        <is>
          <t>MV 15 kV</t>
        </is>
      </c>
      <c r="J1540" s="12" t="inlineStr">
        <is>
          <t>2</t>
        </is>
      </c>
      <c r="K1540" s="12" t="n">
        <v>1</v>
      </c>
    </row>
    <row r="1541">
      <c r="A1541" s="12" t="inlineStr">
        <is>
          <t>MOD-EH: 13.8 kV modular collector e-house</t>
        </is>
      </c>
      <c r="B1541" s="12" t="inlineStr">
        <is>
          <t>MOD-EH</t>
        </is>
      </c>
      <c r="C1541" s="12" t="inlineStr">
        <is>
          <t>I</t>
        </is>
      </c>
      <c r="D1541" s="12" t="inlineStr">
        <is>
          <t>SC-1 PCM to MOD-EH</t>
        </is>
      </c>
      <c r="E1541" s="12" t="n">
        <v>13800</v>
      </c>
      <c r="F1541" s="12" t="n">
        <v>50000</v>
      </c>
      <c r="G1541" s="12" t="n">
        <v>2092</v>
      </c>
      <c r="H1541" s="12" t="inlineStr">
        <is>
          <t>SC-1 PCM + 15 kV GCB</t>
        </is>
      </c>
      <c r="I1541" s="12" t="inlineStr">
        <is>
          <t>MV 15 kV</t>
        </is>
      </c>
      <c r="J1541" s="12" t="inlineStr">
        <is>
          <t>750 kcmil</t>
        </is>
      </c>
      <c r="K1541" s="12" t="n">
        <v>5</v>
      </c>
    </row>
    <row r="1542">
      <c r="A1542" s="12" t="inlineStr">
        <is>
          <t>MOD-EH: 13.8 kV modular collector e-house</t>
        </is>
      </c>
      <c r="B1542" s="12" t="inlineStr">
        <is>
          <t>MOD-EH</t>
        </is>
      </c>
      <c r="C1542" s="12" t="inlineStr">
        <is>
          <t>I</t>
        </is>
      </c>
      <c r="D1542" s="12" t="inlineStr">
        <is>
          <t>SC-2 PCM to MOD-EH</t>
        </is>
      </c>
      <c r="E1542" s="12" t="n">
        <v>13800</v>
      </c>
      <c r="F1542" s="12" t="n">
        <v>50000</v>
      </c>
      <c r="G1542" s="12" t="n">
        <v>2092</v>
      </c>
      <c r="H1542" s="12" t="inlineStr">
        <is>
          <t>SC-2 PCM + 15 kV GCB</t>
        </is>
      </c>
      <c r="I1542" s="12" t="inlineStr">
        <is>
          <t>MV 15 kV</t>
        </is>
      </c>
      <c r="J1542" s="12" t="inlineStr">
        <is>
          <t>750 kcmil</t>
        </is>
      </c>
      <c r="K1542" s="12" t="n">
        <v>5</v>
      </c>
    </row>
    <row r="1543">
      <c r="A1543" s="12" t="inlineStr">
        <is>
          <t>MOD-EH: 13.8 kV modular collector e-house</t>
        </is>
      </c>
      <c r="B1543" s="12" t="inlineStr">
        <is>
          <t>MOD-EH</t>
        </is>
      </c>
      <c r="C1543" s="12" t="inlineStr">
        <is>
          <t>I</t>
        </is>
      </c>
      <c r="D1543" s="12" t="inlineStr">
        <is>
          <t>MOD-LV step-up to MOD-EH</t>
        </is>
      </c>
      <c r="E1543" s="12" t="n">
        <v>13800</v>
      </c>
      <c r="F1543" s="12" t="n">
        <v>7500</v>
      </c>
      <c r="G1543" s="12" t="n">
        <v>314</v>
      </c>
      <c r="H1543" s="12" t="inlineStr">
        <is>
          <t>MOD-LV 480 V board + 480 V : 13.8 kV step-up</t>
        </is>
      </c>
      <c r="I1543" s="12" t="inlineStr">
        <is>
          <t>MV 15 kV</t>
        </is>
      </c>
      <c r="J1543" s="12" t="inlineStr">
        <is>
          <t>500 kcmil</t>
        </is>
      </c>
      <c r="K1543" s="12" t="n">
        <v>1</v>
      </c>
    </row>
    <row r="1544">
      <c r="A1544" s="12" t="inlineStr">
        <is>
          <t>PAD-EH 13.8 kV switchgear e-house</t>
        </is>
      </c>
      <c r="B1544" s="12" t="inlineStr">
        <is>
          <t>PAD-EH</t>
        </is>
      </c>
      <c r="C1544" s="12" t="inlineStr">
        <is>
          <t>I</t>
        </is>
      </c>
      <c r="D1544" s="12" t="inlineStr">
        <is>
          <t>CONT-EH to PAD-EH</t>
        </is>
      </c>
      <c r="E1544" s="12" t="n">
        <v>13800</v>
      </c>
      <c r="F1544" s="12" t="n">
        <v>12000</v>
      </c>
      <c r="G1544" s="12" t="n">
        <v>558</v>
      </c>
      <c r="H1544" s="12" t="inlineStr">
        <is>
          <t>CONT paralleling switchgear e-house</t>
        </is>
      </c>
      <c r="I1544" s="12" t="inlineStr">
        <is>
          <t>MV 15 kV</t>
        </is>
      </c>
      <c r="J1544" s="12" t="inlineStr">
        <is>
          <t>500 kcmil</t>
        </is>
      </c>
      <c r="K1544" s="12" t="n">
        <v>2</v>
      </c>
    </row>
    <row r="1545">
      <c r="A1545" s="12" t="inlineStr">
        <is>
          <t>PAD-EH 13.8 kV switchgear e-house</t>
        </is>
      </c>
      <c r="B1545" s="12" t="inlineStr">
        <is>
          <t>PAD-EH</t>
        </is>
      </c>
      <c r="C1545" s="12" t="inlineStr">
        <is>
          <t>I</t>
        </is>
      </c>
      <c r="D1545" s="12" t="inlineStr">
        <is>
          <t>TM-1 (TM2500) generator leads to PAD-EH</t>
        </is>
      </c>
      <c r="E1545" s="12" t="n">
        <v>13800</v>
      </c>
      <c r="F1545" s="12" t="n">
        <v>35000</v>
      </c>
      <c r="G1545" s="12" t="n">
        <v>1464</v>
      </c>
      <c r="H1545" s="12" t="inlineStr">
        <is>
          <t>TM-1: trailer-mounted aeroderivative GT (TM2500 class, ~35 M</t>
        </is>
      </c>
      <c r="I1545" s="12" t="inlineStr">
        <is>
          <t>MV 15 kV</t>
        </is>
      </c>
      <c r="J1545" s="12" t="inlineStr">
        <is>
          <t>1000 kcmil</t>
        </is>
      </c>
      <c r="K1545" s="12" t="n">
        <v>3</v>
      </c>
    </row>
    <row r="1546">
      <c r="A1546" s="12" t="inlineStr">
        <is>
          <t>PAD-EH 13.8 kV switchgear e-house</t>
        </is>
      </c>
      <c r="B1546" s="12" t="inlineStr">
        <is>
          <t>PAD-EH</t>
        </is>
      </c>
      <c r="C1546" s="12" t="inlineStr">
        <is>
          <t>I</t>
        </is>
      </c>
      <c r="D1546" s="12" t="inlineStr">
        <is>
          <t>TM-2 (TM2500) generator leads to PAD-EH</t>
        </is>
      </c>
      <c r="E1546" s="12" t="n">
        <v>13800</v>
      </c>
      <c r="F1546" s="12" t="n">
        <v>35000</v>
      </c>
      <c r="G1546" s="12" t="n">
        <v>1464</v>
      </c>
      <c r="H1546" s="12" t="inlineStr">
        <is>
          <t>TM-2: trailer-mounted aeroderivative GT (TM2500 class, ~35 M</t>
        </is>
      </c>
      <c r="I1546" s="12" t="inlineStr">
        <is>
          <t>MV 15 kV</t>
        </is>
      </c>
      <c r="J1546" s="12" t="inlineStr">
        <is>
          <t>1000 kcmil</t>
        </is>
      </c>
      <c r="K1546" s="12" t="n">
        <v>3</v>
      </c>
    </row>
    <row r="1547">
      <c r="A1547" s="12" t="inlineStr">
        <is>
          <t>PCM: power control module</t>
        </is>
      </c>
      <c r="B1547" s="12" t="inlineStr"/>
      <c r="C1547" s="12" t="inlineStr">
        <is>
          <t>I</t>
        </is>
      </c>
      <c r="D1547" s="12" t="inlineStr">
        <is>
          <t>RICE-1 generator leads to the PCM</t>
        </is>
      </c>
      <c r="E1547" s="12" t="n">
        <v>13800</v>
      </c>
      <c r="F1547" s="12" t="n">
        <v>18400</v>
      </c>
      <c r="G1547" s="12" t="n">
        <v>770</v>
      </c>
      <c r="H1547" s="12" t="inlineStr">
        <is>
          <t>RICE engine-generator 1</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RICE-2 generator leads to the PCM</t>
        </is>
      </c>
      <c r="E1548" s="12" t="n">
        <v>13800</v>
      </c>
      <c r="F1548" s="12" t="n">
        <v>18400</v>
      </c>
      <c r="G1548" s="12" t="n">
        <v>770</v>
      </c>
      <c r="H1548" s="12" t="inlineStr">
        <is>
          <t>RICE engine-generator 2</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RICE-3 generator leads to the PCM</t>
        </is>
      </c>
      <c r="E1549" s="12" t="n">
        <v>13800</v>
      </c>
      <c r="F1549" s="12" t="n">
        <v>18400</v>
      </c>
      <c r="G1549" s="12" t="n">
        <v>770</v>
      </c>
      <c r="H1549" s="12" t="inlineStr">
        <is>
          <t>RICE engine-generator 3</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RICE-4 generator leads to the PCM</t>
        </is>
      </c>
      <c r="E1550" s="12" t="n">
        <v>13800</v>
      </c>
      <c r="F1550" s="12" t="n">
        <v>18400</v>
      </c>
      <c r="G1550" s="12" t="n">
        <v>770</v>
      </c>
      <c r="H1550" s="12" t="inlineStr">
        <is>
          <t>RICE engine-generator 4</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RICE-5 generator leads to the PCM</t>
        </is>
      </c>
      <c r="E1551" s="12" t="n">
        <v>13800</v>
      </c>
      <c r="F1551" s="12" t="n">
        <v>18400</v>
      </c>
      <c r="G1551" s="12" t="n">
        <v>770</v>
      </c>
      <c r="H1551" s="12" t="inlineStr">
        <is>
          <t>RICE engine-generator 5</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RICE-6 generator leads to the PCM</t>
        </is>
      </c>
      <c r="E1552" s="12" t="n">
        <v>13800</v>
      </c>
      <c r="F1552" s="12" t="n">
        <v>18400</v>
      </c>
      <c r="G1552" s="12" t="n">
        <v>770</v>
      </c>
      <c r="H1552" s="12" t="inlineStr">
        <is>
          <t>RICE engine-generator 6</t>
        </is>
      </c>
      <c r="I1552" s="12" t="inlineStr">
        <is>
          <t>MV 15 kV</t>
        </is>
      </c>
      <c r="J1552" s="12" t="inlineStr">
        <is>
          <t>750 kcmil</t>
        </is>
      </c>
      <c r="K1552" s="12" t="n">
        <v>2</v>
      </c>
    </row>
    <row r="1553">
      <c r="A1553" s="12" t="inlineStr">
        <is>
          <t>PCM: power control module</t>
        </is>
      </c>
      <c r="B1553" s="12" t="inlineStr"/>
      <c r="C1553" s="12" t="inlineStr">
        <is>
          <t>I</t>
        </is>
      </c>
      <c r="D1553" s="12" t="inlineStr">
        <is>
          <t>RICE-7 generator leads to the PCM</t>
        </is>
      </c>
      <c r="E1553" s="12" t="n">
        <v>13800</v>
      </c>
      <c r="F1553" s="12" t="n">
        <v>18400</v>
      </c>
      <c r="G1553" s="12" t="n">
        <v>770</v>
      </c>
      <c r="H1553" s="12" t="inlineStr">
        <is>
          <t>RICE engine-generator 7</t>
        </is>
      </c>
      <c r="I1553" s="12" t="inlineStr">
        <is>
          <t>MV 15 kV</t>
        </is>
      </c>
      <c r="J1553" s="12" t="inlineStr">
        <is>
          <t>750 kcmil</t>
        </is>
      </c>
      <c r="K1553" s="12" t="n">
        <v>2</v>
      </c>
    </row>
    <row r="1554">
      <c r="A1554" s="12" t="inlineStr">
        <is>
          <t>PCM: power control module</t>
        </is>
      </c>
      <c r="B1554" s="12" t="inlineStr"/>
      <c r="C1554" s="12" t="inlineStr">
        <is>
          <t>I</t>
        </is>
      </c>
      <c r="D1554" s="12" t="inlineStr">
        <is>
          <t>RICE-8 generator leads to the PCM</t>
        </is>
      </c>
      <c r="E1554" s="12" t="n">
        <v>13800</v>
      </c>
      <c r="F1554" s="12" t="n">
        <v>18400</v>
      </c>
      <c r="G1554" s="12" t="n">
        <v>770</v>
      </c>
      <c r="H1554" s="12" t="inlineStr">
        <is>
          <t>RICE engine-generator 8</t>
        </is>
      </c>
      <c r="I1554" s="12" t="inlineStr">
        <is>
          <t>MV 15 kV</t>
        </is>
      </c>
      <c r="J1554" s="12" t="inlineStr">
        <is>
          <t>750 kcmil</t>
        </is>
      </c>
      <c r="K1554" s="12" t="n">
        <v>2</v>
      </c>
    </row>
    <row r="1555">
      <c r="A1555" s="12" t="inlineStr">
        <is>
          <t>SC-1 PCM + 15 kV GCB</t>
        </is>
      </c>
      <c r="B1555" s="12" t="inlineStr"/>
      <c r="C1555" s="12" t="inlineStr">
        <is>
          <t>I</t>
        </is>
      </c>
      <c r="D1555" s="12" t="inlineStr">
        <is>
          <t>SC-1 (LM6000 class) generator leads to its PCM / GCB</t>
        </is>
      </c>
      <c r="E1555" s="12" t="n">
        <v>13800</v>
      </c>
      <c r="F1555" s="12" t="n">
        <v>50000</v>
      </c>
      <c r="G1555" s="12" t="n">
        <v>2092</v>
      </c>
      <c r="H1555" s="12" t="inlineStr">
        <is>
          <t>SC-1: aeroderivative simple-cycle unit (LM6000 class)</t>
        </is>
      </c>
      <c r="I1555" s="12" t="inlineStr">
        <is>
          <t>MV 15 kV</t>
        </is>
      </c>
      <c r="J1555" s="12" t="inlineStr">
        <is>
          <t>750 kcmil</t>
        </is>
      </c>
      <c r="K1555" s="12" t="n">
        <v>5</v>
      </c>
    </row>
    <row r="1556">
      <c r="A1556" s="12" t="inlineStr">
        <is>
          <t>SC-2 PCM + 15 kV GCB</t>
        </is>
      </c>
      <c r="B1556" s="12" t="inlineStr"/>
      <c r="C1556" s="12" t="inlineStr">
        <is>
          <t>I</t>
        </is>
      </c>
      <c r="D1556" s="12" t="inlineStr">
        <is>
          <t>SC-2 (LM6000 class) generator leads to its PCM / GCB</t>
        </is>
      </c>
      <c r="E1556" s="12" t="n">
        <v>13800</v>
      </c>
      <c r="F1556" s="12" t="n">
        <v>50000</v>
      </c>
      <c r="G1556" s="12" t="n">
        <v>2092</v>
      </c>
      <c r="H1556" s="12" t="inlineStr">
        <is>
          <t>SC-2: aeroderivative simple-cycle unit (LM6000 class)</t>
        </is>
      </c>
      <c r="I1556" s="12" t="inlineStr">
        <is>
          <t>MV 15 kV</t>
        </is>
      </c>
      <c r="J1556" s="12" t="inlineStr">
        <is>
          <t>750 kcmil</t>
        </is>
      </c>
      <c r="K1556" s="12" t="n">
        <v>5</v>
      </c>
    </row>
    <row r="1557">
      <c r="A1557" s="12" t="inlineStr">
        <is>
          <t>PAD-LV 480 V paralleling switchboard</t>
        </is>
      </c>
      <c r="B1557" s="12" t="inlineStr">
        <is>
          <t>PAD-LV</t>
        </is>
      </c>
      <c r="C1557" s="12" t="inlineStr">
        <is>
          <t>I</t>
        </is>
      </c>
      <c r="D1557" s="12" t="inlineStr">
        <is>
          <t>GEN-E 480 V to PAD-LV (Type W sets, cam-lock)</t>
        </is>
      </c>
      <c r="E1557" s="12" t="n">
        <v>480</v>
      </c>
      <c r="F1557" s="12" t="n">
        <v>2000</v>
      </c>
      <c r="G1557" s="12" t="n">
        <v>2406</v>
      </c>
      <c r="H1557" s="12" t="inlineStr">
        <is>
          <t>GEN-E: enclosed industrial gas genset 2 MW</t>
        </is>
      </c>
      <c r="I1557" s="12" t="inlineStr">
        <is>
          <t>Portable LV</t>
        </is>
      </c>
      <c r="J1557" s="12" t="inlineStr">
        <is>
          <t>4/0</t>
        </is>
      </c>
      <c r="K1557" s="12" t="n">
        <v>8</v>
      </c>
    </row>
    <row r="1558">
      <c r="A1558" s="12" t="inlineStr">
        <is>
          <t>PAD-LV 480 V paralleling switchboard</t>
        </is>
      </c>
      <c r="B1558" s="12" t="inlineStr">
        <is>
          <t>PAD-LV</t>
        </is>
      </c>
      <c r="C1558" s="12" t="inlineStr">
        <is>
          <t>I</t>
        </is>
      </c>
      <c r="D1558" s="12" t="inlineStr">
        <is>
          <t>GEN-O 480 V to PAD-LV (Type W sets, cam-lock)</t>
        </is>
      </c>
      <c r="E1558" s="12" t="n">
        <v>480</v>
      </c>
      <c r="F1558" s="12" t="n">
        <v>1000</v>
      </c>
      <c r="G1558" s="12" t="n">
        <v>1203</v>
      </c>
      <c r="H1558" s="12" t="inlineStr">
        <is>
          <t>GEN-O: open engine-generator skid</t>
        </is>
      </c>
      <c r="I1558" s="12" t="inlineStr">
        <is>
          <t>Portable LV</t>
        </is>
      </c>
      <c r="J1558" s="12" t="inlineStr">
        <is>
          <t>4/0</t>
        </is>
      </c>
      <c r="K1558" s="12" t="n">
        <v>4</v>
      </c>
    </row>
    <row r="1559">
      <c r="A1559" s="12" t="inlineStr">
        <is>
          <t>GSP-1: generator breaker / protection</t>
        </is>
      </c>
      <c r="B1559" s="12" t="inlineStr">
        <is>
          <t>GSP-1</t>
        </is>
      </c>
      <c r="C1559" s="12" t="inlineStr">
        <is>
          <t>I</t>
        </is>
      </c>
      <c r="D1559" s="12" t="inlineStr">
        <is>
          <t>CONT-1 13.8 kV leads to GSP-1</t>
        </is>
      </c>
      <c r="E1559" s="12" t="n">
        <v>13800</v>
      </c>
      <c r="F1559" s="12" t="n">
        <v>2000</v>
      </c>
      <c r="G1559" s="12" t="n">
        <v>93</v>
      </c>
      <c r="H1559" s="12" t="inlineStr">
        <is>
          <t>CONT-1: containerized genset 13.8 kV (40 ft)</t>
        </is>
      </c>
      <c r="I1559" s="12" t="inlineStr">
        <is>
          <t>Portable MV</t>
        </is>
      </c>
      <c r="J1559" s="12" t="inlineStr">
        <is>
          <t>2</t>
        </is>
      </c>
      <c r="K1559" s="12" t="n">
        <v>1</v>
      </c>
    </row>
    <row r="1560">
      <c r="A1560" s="12" t="inlineStr">
        <is>
          <t>GSP-2: generator breaker / protection</t>
        </is>
      </c>
      <c r="B1560" s="12" t="inlineStr">
        <is>
          <t>GSP-2</t>
        </is>
      </c>
      <c r="C1560" s="12" t="inlineStr">
        <is>
          <t>I</t>
        </is>
      </c>
      <c r="D1560" s="12" t="inlineStr">
        <is>
          <t>CONT-2 13.8 kV leads to GSP-2</t>
        </is>
      </c>
      <c r="E1560" s="12" t="n">
        <v>13800</v>
      </c>
      <c r="F1560" s="12" t="n">
        <v>2000</v>
      </c>
      <c r="G1560" s="12" t="n">
        <v>93</v>
      </c>
      <c r="H1560" s="12" t="inlineStr">
        <is>
          <t>CONT-2: containerized genset 13.8 kV (40 ft)</t>
        </is>
      </c>
      <c r="I1560" s="12" t="inlineStr">
        <is>
          <t>Portable MV</t>
        </is>
      </c>
      <c r="J1560" s="12" t="inlineStr">
        <is>
          <t>2</t>
        </is>
      </c>
      <c r="K1560" s="12" t="n">
        <v>1</v>
      </c>
    </row>
    <row r="1561">
      <c r="A1561" s="12" t="inlineStr">
        <is>
          <t>LB: commissioning load bank (trailer)</t>
        </is>
      </c>
      <c r="B1561" s="12" t="inlineStr">
        <is>
          <t>LB</t>
        </is>
      </c>
      <c r="C1561" s="12" t="inlineStr">
        <is>
          <t>I</t>
        </is>
      </c>
      <c r="D1561" s="12" t="inlineStr">
        <is>
          <t>PIC to commissioning load bank</t>
        </is>
      </c>
      <c r="E1561" s="12" t="n">
        <v>13800</v>
      </c>
      <c r="F1561" s="12" t="n">
        <v>2000</v>
      </c>
      <c r="G1561" s="12" t="n">
        <v>93</v>
      </c>
      <c r="H1561" s="12" t="inlineStr">
        <is>
          <t>PIC: portable input cabinet</t>
        </is>
      </c>
      <c r="I1561" s="12" t="inlineStr">
        <is>
          <t>Portable MV</t>
        </is>
      </c>
      <c r="J1561" s="12" t="inlineStr">
        <is>
          <t>2</t>
        </is>
      </c>
      <c r="K1561" s="12" t="n">
        <v>1</v>
      </c>
    </row>
    <row r="1562">
      <c r="A1562" s="12" t="inlineStr">
        <is>
          <t>PAD-EH 13.8 kV switchgear e-house</t>
        </is>
      </c>
      <c r="B1562" s="12" t="inlineStr">
        <is>
          <t>PAD-EH</t>
        </is>
      </c>
      <c r="C1562" s="12" t="inlineStr">
        <is>
          <t>I</t>
        </is>
      </c>
      <c r="D1562" s="12" t="inlineStr">
        <is>
          <t>GSP-1 to PAD-EH</t>
        </is>
      </c>
      <c r="E1562" s="12" t="n">
        <v>13800</v>
      </c>
      <c r="F1562" s="12" t="n">
        <v>2000</v>
      </c>
      <c r="G1562" s="12" t="n">
        <v>93</v>
      </c>
      <c r="H1562" s="12" t="inlineStr">
        <is>
          <t>GSP-1: generator breaker / protection</t>
        </is>
      </c>
      <c r="I1562" s="12" t="inlineStr">
        <is>
          <t>Portable MV</t>
        </is>
      </c>
      <c r="J1562" s="12" t="inlineStr">
        <is>
          <t>2</t>
        </is>
      </c>
      <c r="K1562" s="12" t="n">
        <v>1</v>
      </c>
    </row>
    <row r="1563">
      <c r="A1563" s="12" t="inlineStr">
        <is>
          <t>PAD-EH 13.8 kV switchgear e-house</t>
        </is>
      </c>
      <c r="B1563" s="12" t="inlineStr">
        <is>
          <t>PAD-EH</t>
        </is>
      </c>
      <c r="C1563" s="12" t="inlineStr">
        <is>
          <t>I</t>
        </is>
      </c>
      <c r="D1563" s="12" t="inlineStr">
        <is>
          <t>GSP-2 to PAD-EH</t>
        </is>
      </c>
      <c r="E1563" s="12" t="n">
        <v>13800</v>
      </c>
      <c r="F1563" s="12" t="n">
        <v>2000</v>
      </c>
      <c r="G1563" s="12" t="n">
        <v>93</v>
      </c>
      <c r="H1563" s="12" t="inlineStr">
        <is>
          <t>GSP-2: generator breaker / protection</t>
        </is>
      </c>
      <c r="I1563" s="12" t="inlineStr">
        <is>
          <t>Portable MV</t>
        </is>
      </c>
      <c r="J1563" s="12" t="inlineStr">
        <is>
          <t>2</t>
        </is>
      </c>
      <c r="K1563" s="12" t="n">
        <v>1</v>
      </c>
    </row>
    <row r="1564">
      <c r="A1564" s="12" t="inlineStr">
        <is>
          <t>PIC: portable input cabinet</t>
        </is>
      </c>
      <c r="B1564" s="12" t="inlineStr">
        <is>
          <t>PIC</t>
        </is>
      </c>
      <c r="C1564" s="12" t="inlineStr">
        <is>
          <t>I</t>
        </is>
      </c>
      <c r="D1564" s="12" t="inlineStr">
        <is>
          <t>MOB-1 13.8 kV to PIC through the C-L01 ramp</t>
        </is>
      </c>
      <c r="E1564" s="12" t="n">
        <v>13800</v>
      </c>
      <c r="F1564" s="12" t="n">
        <v>2000</v>
      </c>
      <c r="G1564" s="12" t="n">
        <v>93</v>
      </c>
      <c r="H1564" s="12" t="inlineStr">
        <is>
          <t>MOB-1: trailer genset</t>
        </is>
      </c>
      <c r="I1564" s="12" t="inlineStr">
        <is>
          <t>Portable MV</t>
        </is>
      </c>
      <c r="J1564" s="12" t="inlineStr">
        <is>
          <t>2</t>
        </is>
      </c>
      <c r="K1564" s="12" t="n">
        <v>1</v>
      </c>
    </row>
    <row r="1565">
      <c r="A1565" s="12" t="inlineStr">
        <is>
          <t>CHW pumps</t>
        </is>
      </c>
      <c r="B1565" s="12" t="inlineStr"/>
      <c r="C1565" s="12" t="inlineStr">
        <is>
          <t>J</t>
        </is>
      </c>
      <c r="D1565" s="12" t="inlineStr">
        <is>
          <t>Motor 1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2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CHW pumps</t>
        </is>
      </c>
      <c r="B1567" s="12" t="inlineStr"/>
      <c r="C1567" s="12" t="inlineStr">
        <is>
          <t>J</t>
        </is>
      </c>
      <c r="D1567" s="12" t="inlineStr">
        <is>
          <t>Motor 3 of 4, 150 kW</t>
        </is>
      </c>
      <c r="E1567" s="12" t="n">
        <v>480</v>
      </c>
      <c r="F1567" s="12" t="n">
        <v>150</v>
      </c>
      <c r="G1567" s="12" t="n">
        <v>212.3</v>
      </c>
      <c r="H1567" s="12" t="inlineStr">
        <is>
          <t>Inlet-chilling e-house / transformer</t>
        </is>
      </c>
      <c r="I1567" s="12" t="inlineStr">
        <is>
          <t>LV 600 V</t>
        </is>
      </c>
      <c r="J1567" s="12" t="inlineStr">
        <is>
          <t>350 kcmil</t>
        </is>
      </c>
      <c r="K1567" s="12" t="n">
        <v>1</v>
      </c>
    </row>
    <row r="1568">
      <c r="A1568" s="12" t="inlineStr">
        <is>
          <t>CHW pumps</t>
        </is>
      </c>
      <c r="B1568" s="12" t="inlineStr"/>
      <c r="C1568" s="12" t="inlineStr">
        <is>
          <t>J</t>
        </is>
      </c>
      <c r="D1568" s="12" t="inlineStr">
        <is>
          <t>Motor 4 of 4, 150 kW</t>
        </is>
      </c>
      <c r="E1568" s="12" t="n">
        <v>480</v>
      </c>
      <c r="F1568" s="12" t="n">
        <v>150</v>
      </c>
      <c r="G1568" s="12" t="n">
        <v>212.3</v>
      </c>
      <c r="H1568" s="12" t="inlineStr">
        <is>
          <t>Inlet-chilling e-house / transformer</t>
        </is>
      </c>
      <c r="I1568" s="12" t="inlineStr">
        <is>
          <t>LV 600 V</t>
        </is>
      </c>
      <c r="J1568" s="12" t="inlineStr">
        <is>
          <t>350 kcmil</t>
        </is>
      </c>
      <c r="K1568" s="12" t="n">
        <v>1</v>
      </c>
    </row>
    <row r="1569">
      <c r="A1569" s="12" t="inlineStr">
        <is>
          <t>CONDITIONAL: TES chilled-water tank</t>
        </is>
      </c>
      <c r="B1569" s="12" t="inlineStr"/>
      <c r="C1569" s="12" t="inlineStr">
        <is>
          <t>J</t>
        </is>
      </c>
      <c r="D1569" s="12" t="inlineStr">
        <is>
          <t>LV power feeder</t>
        </is>
      </c>
      <c r="E1569" s="12" t="n">
        <v>480</v>
      </c>
      <c r="F1569" s="12" t="n">
        <v>10</v>
      </c>
      <c r="G1569" s="12" t="n">
        <v>14.2</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1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2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3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4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Chillers x6 (water-cooled)</t>
        </is>
      </c>
      <c r="B1574" s="12" t="inlineStr"/>
      <c r="C1574" s="12" t="inlineStr">
        <is>
          <t>J</t>
        </is>
      </c>
      <c r="D1574" s="12" t="inlineStr">
        <is>
          <t>Motor 5 of 6, 7 kW</t>
        </is>
      </c>
      <c r="E1574" s="12" t="n">
        <v>480</v>
      </c>
      <c r="F1574" s="12" t="n">
        <v>7</v>
      </c>
      <c r="G1574" s="12" t="n">
        <v>9.9</v>
      </c>
      <c r="H1574" s="12" t="inlineStr">
        <is>
          <t>Inlet-chilling e-house / transformer</t>
        </is>
      </c>
      <c r="I1574" s="12" t="inlineStr">
        <is>
          <t>LV 600 V</t>
        </is>
      </c>
      <c r="J1574" s="12" t="inlineStr">
        <is>
          <t>10</t>
        </is>
      </c>
      <c r="K1574" s="12" t="n">
        <v>1</v>
      </c>
    </row>
    <row r="1575">
      <c r="A1575" s="12" t="inlineStr">
        <is>
          <t>Chillers x6 (water-cooled)</t>
        </is>
      </c>
      <c r="B1575" s="12" t="inlineStr"/>
      <c r="C1575" s="12" t="inlineStr">
        <is>
          <t>J</t>
        </is>
      </c>
      <c r="D1575" s="12" t="inlineStr">
        <is>
          <t>Motor 6 of 6, 7 kW</t>
        </is>
      </c>
      <c r="E1575" s="12" t="n">
        <v>480</v>
      </c>
      <c r="F1575" s="12" t="n">
        <v>7</v>
      </c>
      <c r="G1575" s="12" t="n">
        <v>9.9</v>
      </c>
      <c r="H1575" s="12" t="inlineStr">
        <is>
          <t>Inlet-chilling e-house / transformer</t>
        </is>
      </c>
      <c r="I1575" s="12" t="inlineStr">
        <is>
          <t>LV 600 V</t>
        </is>
      </c>
      <c r="J1575" s="12" t="inlineStr">
        <is>
          <t>10</t>
        </is>
      </c>
      <c r="K1575" s="12" t="n">
        <v>1</v>
      </c>
    </row>
    <row r="1576">
      <c r="A1576" s="12" t="inlineStr">
        <is>
          <t>Inlet-chilling tower (12 cells): chiller heat rejection</t>
        </is>
      </c>
      <c r="B1576" s="12" t="inlineStr"/>
      <c r="C1576" s="12" t="inlineStr">
        <is>
          <t>J</t>
        </is>
      </c>
      <c r="D1576" s="12" t="inlineStr">
        <is>
          <t>Motor 1 of 12, 75 kW (VFD output)</t>
        </is>
      </c>
      <c r="E1576" s="12" t="n">
        <v>480</v>
      </c>
      <c r="F1576" s="12" t="n">
        <v>75</v>
      </c>
      <c r="G1576" s="12" t="n">
        <v>106</v>
      </c>
      <c r="H1576" s="12" t="inlineStr">
        <is>
          <t>Inlet-chilling e-house / transformer</t>
        </is>
      </c>
      <c r="I1576" s="12" t="inlineStr">
        <is>
          <t>LV 600 V</t>
        </is>
      </c>
      <c r="J1576" s="12" t="inlineStr">
        <is>
          <t>1/0</t>
        </is>
      </c>
      <c r="K1576" s="12" t="n">
        <v>1</v>
      </c>
    </row>
    <row r="1577">
      <c r="A1577" s="12" t="inlineStr">
        <is>
          <t>Inlet-chilling tower (12 cells): chiller heat rejection</t>
        </is>
      </c>
      <c r="B1577" s="12" t="inlineStr"/>
      <c r="C1577" s="12" t="inlineStr">
        <is>
          <t>J</t>
        </is>
      </c>
      <c r="D1577" s="12" t="inlineStr">
        <is>
          <t>Motor 2 of 12, 75 kW (VFD output)</t>
        </is>
      </c>
      <c r="E1577" s="12" t="n">
        <v>480</v>
      </c>
      <c r="F1577" s="12" t="n">
        <v>75</v>
      </c>
      <c r="G1577" s="12" t="n">
        <v>106</v>
      </c>
      <c r="H1577" s="12" t="inlineStr">
        <is>
          <t>Inlet-chilling e-house / transformer</t>
        </is>
      </c>
      <c r="I1577" s="12" t="inlineStr">
        <is>
          <t>LV 600 V</t>
        </is>
      </c>
      <c r="J1577" s="12" t="inlineStr">
        <is>
          <t>1/0</t>
        </is>
      </c>
      <c r="K1577" s="12" t="n">
        <v>1</v>
      </c>
    </row>
    <row r="1578">
      <c r="A1578" s="12" t="inlineStr">
        <is>
          <t>Inlet-chilling tower (12 cells): chiller heat rejection</t>
        </is>
      </c>
      <c r="B1578" s="12" t="inlineStr"/>
      <c r="C1578" s="12" t="inlineStr">
        <is>
          <t>J</t>
        </is>
      </c>
      <c r="D1578" s="12" t="inlineStr">
        <is>
          <t>Motor 3 of 12, 75 kW (VFD output)</t>
        </is>
      </c>
      <c r="E1578" s="12" t="n">
        <v>480</v>
      </c>
      <c r="F1578" s="12" t="n">
        <v>75</v>
      </c>
      <c r="G1578" s="12" t="n">
        <v>106</v>
      </c>
      <c r="H1578" s="12" t="inlineStr">
        <is>
          <t>Inlet-chilling e-house / transformer</t>
        </is>
      </c>
      <c r="I1578" s="12" t="inlineStr">
        <is>
          <t>LV 600 V</t>
        </is>
      </c>
      <c r="J1578" s="12" t="inlineStr">
        <is>
          <t>1/0</t>
        </is>
      </c>
      <c r="K1578" s="12" t="n">
        <v>1</v>
      </c>
    </row>
    <row r="1579">
      <c r="A1579" s="12" t="inlineStr">
        <is>
          <t>Inlet-chilling tower (12 cells): chiller heat rejection</t>
        </is>
      </c>
      <c r="B1579" s="12" t="inlineStr"/>
      <c r="C1579" s="12" t="inlineStr">
        <is>
          <t>J</t>
        </is>
      </c>
      <c r="D1579" s="12" t="inlineStr">
        <is>
          <t>Motor 4 of 12, 75 kW (VFD output)</t>
        </is>
      </c>
      <c r="E1579" s="12" t="n">
        <v>480</v>
      </c>
      <c r="F1579" s="12" t="n">
        <v>75</v>
      </c>
      <c r="G1579" s="12" t="n">
        <v>106</v>
      </c>
      <c r="H1579" s="12" t="inlineStr">
        <is>
          <t>Inlet-chilling e-house / transformer</t>
        </is>
      </c>
      <c r="I1579" s="12" t="inlineStr">
        <is>
          <t>LV 600 V</t>
        </is>
      </c>
      <c r="J1579" s="12" t="inlineStr">
        <is>
          <t>1/0</t>
        </is>
      </c>
      <c r="K1579" s="12" t="n">
        <v>1</v>
      </c>
    </row>
    <row r="1580">
      <c r="A1580" s="12" t="inlineStr">
        <is>
          <t>Inlet-chilling tower (12 cells): chiller heat rejection</t>
        </is>
      </c>
      <c r="B1580" s="12" t="inlineStr"/>
      <c r="C1580" s="12" t="inlineStr">
        <is>
          <t>J</t>
        </is>
      </c>
      <c r="D1580" s="12" t="inlineStr">
        <is>
          <t>Motor 5 of 12, 75 kW (VFD output)</t>
        </is>
      </c>
      <c r="E1580" s="12" t="n">
        <v>480</v>
      </c>
      <c r="F1580" s="12" t="n">
        <v>75</v>
      </c>
      <c r="G1580" s="12" t="n">
        <v>106</v>
      </c>
      <c r="H1580" s="12" t="inlineStr">
        <is>
          <t>Inlet-chilling e-house / transformer</t>
        </is>
      </c>
      <c r="I1580" s="12" t="inlineStr">
        <is>
          <t>LV 600 V</t>
        </is>
      </c>
      <c r="J1580" s="12" t="inlineStr">
        <is>
          <t>1/0</t>
        </is>
      </c>
      <c r="K1580" s="12" t="n">
        <v>1</v>
      </c>
    </row>
    <row r="1581">
      <c r="A1581" s="12" t="inlineStr">
        <is>
          <t>Inlet-chilling tower (12 cells): chiller heat rejection</t>
        </is>
      </c>
      <c r="B1581" s="12" t="inlineStr"/>
      <c r="C1581" s="12" t="inlineStr">
        <is>
          <t>J</t>
        </is>
      </c>
      <c r="D1581" s="12" t="inlineStr">
        <is>
          <t>Motor 6 of 12, 75 kW (VFD output)</t>
        </is>
      </c>
      <c r="E1581" s="12" t="n">
        <v>480</v>
      </c>
      <c r="F1581" s="12" t="n">
        <v>75</v>
      </c>
      <c r="G1581" s="12" t="n">
        <v>106</v>
      </c>
      <c r="H1581" s="12" t="inlineStr">
        <is>
          <t>Inlet-chilling e-house / transformer</t>
        </is>
      </c>
      <c r="I1581" s="12" t="inlineStr">
        <is>
          <t>LV 600 V</t>
        </is>
      </c>
      <c r="J1581" s="12" t="inlineStr">
        <is>
          <t>1/0</t>
        </is>
      </c>
      <c r="K1581" s="12" t="n">
        <v>1</v>
      </c>
    </row>
    <row r="1582">
      <c r="A1582" s="12" t="inlineStr">
        <is>
          <t>Inlet-chilling tower (12 cells): chiller heat rejection</t>
        </is>
      </c>
      <c r="B1582" s="12" t="inlineStr"/>
      <c r="C1582" s="12" t="inlineStr">
        <is>
          <t>J</t>
        </is>
      </c>
      <c r="D1582" s="12" t="inlineStr">
        <is>
          <t>Motor 7 of 12, 75 kW (VFD output)</t>
        </is>
      </c>
      <c r="E1582" s="12" t="n">
        <v>480</v>
      </c>
      <c r="F1582" s="12" t="n">
        <v>75</v>
      </c>
      <c r="G1582" s="12" t="n">
        <v>106</v>
      </c>
      <c r="H1582" s="12" t="inlineStr">
        <is>
          <t>Inlet-chilling e-house / transformer</t>
        </is>
      </c>
      <c r="I1582" s="12" t="inlineStr">
        <is>
          <t>LV 600 V</t>
        </is>
      </c>
      <c r="J1582" s="12" t="inlineStr">
        <is>
          <t>1/0</t>
        </is>
      </c>
      <c r="K1582" s="12" t="n">
        <v>1</v>
      </c>
    </row>
    <row r="1583">
      <c r="A1583" s="12" t="inlineStr">
        <is>
          <t>Inlet-chilling tower (12 cells): chiller heat rejection</t>
        </is>
      </c>
      <c r="B1583" s="12" t="inlineStr"/>
      <c r="C1583" s="12" t="inlineStr">
        <is>
          <t>J</t>
        </is>
      </c>
      <c r="D1583" s="12" t="inlineStr">
        <is>
          <t>Motor 8 of 12, 75 kW (VFD output)</t>
        </is>
      </c>
      <c r="E1583" s="12" t="n">
        <v>480</v>
      </c>
      <c r="F1583" s="12" t="n">
        <v>75</v>
      </c>
      <c r="G1583" s="12" t="n">
        <v>106</v>
      </c>
      <c r="H1583" s="12" t="inlineStr">
        <is>
          <t>Inlet-chilling e-house / transformer</t>
        </is>
      </c>
      <c r="I1583" s="12" t="inlineStr">
        <is>
          <t>LV 600 V</t>
        </is>
      </c>
      <c r="J1583" s="12" t="inlineStr">
        <is>
          <t>1/0</t>
        </is>
      </c>
      <c r="K1583" s="12" t="n">
        <v>1</v>
      </c>
    </row>
    <row r="1584">
      <c r="A1584" s="12" t="inlineStr">
        <is>
          <t>Inlet-chilling tower (12 cells): chiller heat rejection</t>
        </is>
      </c>
      <c r="B1584" s="12" t="inlineStr"/>
      <c r="C1584" s="12" t="inlineStr">
        <is>
          <t>J</t>
        </is>
      </c>
      <c r="D1584" s="12" t="inlineStr">
        <is>
          <t>Motor 9 of 12, 75 kW (VFD output)</t>
        </is>
      </c>
      <c r="E1584" s="12" t="n">
        <v>480</v>
      </c>
      <c r="F1584" s="12" t="n">
        <v>75</v>
      </c>
      <c r="G1584" s="12" t="n">
        <v>106</v>
      </c>
      <c r="H1584" s="12" t="inlineStr">
        <is>
          <t>Inlet-chilling e-house / transformer</t>
        </is>
      </c>
      <c r="I1584" s="12" t="inlineStr">
        <is>
          <t>LV 600 V</t>
        </is>
      </c>
      <c r="J1584" s="12" t="inlineStr">
        <is>
          <t>1/0</t>
        </is>
      </c>
      <c r="K1584" s="12" t="n">
        <v>1</v>
      </c>
    </row>
    <row r="1585">
      <c r="A1585" s="12" t="inlineStr">
        <is>
          <t>Inlet-chilling tower (12 cells): chiller heat rejection</t>
        </is>
      </c>
      <c r="B1585" s="12" t="inlineStr"/>
      <c r="C1585" s="12" t="inlineStr">
        <is>
          <t>J</t>
        </is>
      </c>
      <c r="D1585" s="12" t="inlineStr">
        <is>
          <t>Motor 10 of 12, 75 kW (VFD output)</t>
        </is>
      </c>
      <c r="E1585" s="12" t="n">
        <v>480</v>
      </c>
      <c r="F1585" s="12" t="n">
        <v>75</v>
      </c>
      <c r="G1585" s="12" t="n">
        <v>106</v>
      </c>
      <c r="H1585" s="12" t="inlineStr">
        <is>
          <t>Inlet-chilling e-house / transformer</t>
        </is>
      </c>
      <c r="I1585" s="12" t="inlineStr">
        <is>
          <t>LV 600 V</t>
        </is>
      </c>
      <c r="J1585" s="12" t="inlineStr">
        <is>
          <t>1/0</t>
        </is>
      </c>
      <c r="K1585" s="12" t="n">
        <v>1</v>
      </c>
    </row>
    <row r="1586">
      <c r="A1586" s="12" t="inlineStr">
        <is>
          <t>Inlet-chilling tower (12 cells): chiller heat rejection</t>
        </is>
      </c>
      <c r="B1586" s="12" t="inlineStr"/>
      <c r="C1586" s="12" t="inlineStr">
        <is>
          <t>J</t>
        </is>
      </c>
      <c r="D1586" s="12" t="inlineStr">
        <is>
          <t>Motor 11 of 12, 75 kW (VFD output)</t>
        </is>
      </c>
      <c r="E1586" s="12" t="n">
        <v>480</v>
      </c>
      <c r="F1586" s="12" t="n">
        <v>75</v>
      </c>
      <c r="G1586" s="12" t="n">
        <v>106</v>
      </c>
      <c r="H1586" s="12" t="inlineStr">
        <is>
          <t>Inlet-chilling e-house / transformer</t>
        </is>
      </c>
      <c r="I1586" s="12" t="inlineStr">
        <is>
          <t>LV 600 V</t>
        </is>
      </c>
      <c r="J1586" s="12" t="inlineStr">
        <is>
          <t>1/0</t>
        </is>
      </c>
      <c r="K1586" s="12" t="n">
        <v>1</v>
      </c>
    </row>
    <row r="1587">
      <c r="A1587" s="12" t="inlineStr">
        <is>
          <t>Inlet-chilling tower (12 cells): chiller heat rejection</t>
        </is>
      </c>
      <c r="B1587" s="12" t="inlineStr"/>
      <c r="C1587" s="12" t="inlineStr">
        <is>
          <t>J</t>
        </is>
      </c>
      <c r="D1587" s="12" t="inlineStr">
        <is>
          <t>Motor 12 of 12, 75 kW (VFD output)</t>
        </is>
      </c>
      <c r="E1587" s="12" t="n">
        <v>480</v>
      </c>
      <c r="F1587" s="12" t="n">
        <v>75</v>
      </c>
      <c r="G1587" s="12" t="n">
        <v>106</v>
      </c>
      <c r="H1587" s="12" t="inlineStr">
        <is>
          <t>Inlet-chilling e-house / transformer</t>
        </is>
      </c>
      <c r="I1587" s="12" t="inlineStr">
        <is>
          <t>LV 600 V</t>
        </is>
      </c>
      <c r="J1587" s="12" t="inlineStr">
        <is>
          <t>1/0</t>
        </is>
      </c>
      <c r="K1587" s="12" t="n">
        <v>1</v>
      </c>
    </row>
    <row r="1588">
      <c r="A1588" s="12" t="inlineStr">
        <is>
          <t>Inlet-chilling tower (12 cells): chiller heat rejection</t>
        </is>
      </c>
      <c r="B1588" s="12" t="inlineStr"/>
      <c r="C1588" s="12" t="inlineStr">
        <is>
          <t>J</t>
        </is>
      </c>
      <c r="D1588" s="12" t="inlineStr">
        <is>
          <t>Area / platform lighting circuit 1 (12 fixtures)</t>
        </is>
      </c>
      <c r="E1588" s="12" t="n">
        <v>480</v>
      </c>
      <c r="F1588" s="12" t="n">
        <v>3</v>
      </c>
      <c r="G1588" s="12" t="n">
        <v>5</v>
      </c>
      <c r="H1588" s="12" t="inlineStr">
        <is>
          <t>Inlet-chilling e-house / transformer</t>
        </is>
      </c>
      <c r="I1588" s="12" t="inlineStr">
        <is>
          <t>LV 600 V</t>
        </is>
      </c>
      <c r="J1588" s="12" t="inlineStr">
        <is>
          <t>10</t>
        </is>
      </c>
      <c r="K1588" s="12" t="n">
        <v>1</v>
      </c>
    </row>
    <row r="1589">
      <c r="A1589" s="12" t="inlineStr">
        <is>
          <t>Inlet-chilling e-house / transformer</t>
        </is>
      </c>
      <c r="B1589" s="12" t="inlineStr"/>
      <c r="C1589" s="12" t="inlineStr">
        <is>
          <t>J</t>
        </is>
      </c>
      <c r="D1589" s="12" t="inlineStr">
        <is>
          <t>Inlet-chilling e-house / transformer</t>
        </is>
      </c>
      <c r="E1589" s="12" t="n">
        <v>13800</v>
      </c>
      <c r="F1589" s="12" t="n">
        <v>12000</v>
      </c>
      <c r="G1589" s="12" t="n">
        <v>502</v>
      </c>
      <c r="H1589" s="12" t="inlineStr">
        <is>
          <t>R1 SWGR-13.8-1 (11 x 36 in cubicles, 15 kV metal-clad)</t>
        </is>
      </c>
      <c r="I1589" s="12" t="inlineStr">
        <is>
          <t>MV 15 kV</t>
        </is>
      </c>
      <c r="J1589" s="12" t="inlineStr">
        <is>
          <t>1000 kcmil</t>
        </is>
      </c>
      <c r="K1589" s="12" t="n">
        <v>1</v>
      </c>
    </row>
    <row r="1590">
      <c r="A1590" s="12" t="inlineStr">
        <is>
          <t>CW pumps (inlet chilling)</t>
        </is>
      </c>
      <c r="B1590" s="12" t="inlineStr"/>
      <c r="C1590" s="12" t="inlineStr">
        <is>
          <t>J</t>
        </is>
      </c>
      <c r="D1590" s="12" t="inlineStr">
        <is>
          <t>Inlet-chilling CW pump 1</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2</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CW pumps (inlet chilling)</t>
        </is>
      </c>
      <c r="B1592" s="12" t="inlineStr"/>
      <c r="C1592" s="12" t="inlineStr">
        <is>
          <t>J</t>
        </is>
      </c>
      <c r="D1592" s="12" t="inlineStr">
        <is>
          <t>Inlet-chilling CW pump 3</t>
        </is>
      </c>
      <c r="E1592" s="12" t="n">
        <v>4160</v>
      </c>
      <c r="F1592" s="12" t="n">
        <v>450</v>
      </c>
      <c r="G1592" s="12" t="n">
        <v>69</v>
      </c>
      <c r="H1592" s="12" t="inlineStr">
        <is>
          <t>Inlet-chilling e-house / transformer</t>
        </is>
      </c>
      <c r="I1592" s="12" t="inlineStr">
        <is>
          <t>MV 5 kV</t>
        </is>
      </c>
      <c r="J1592" s="12" t="inlineStr">
        <is>
          <t>2</t>
        </is>
      </c>
      <c r="K1592" s="12" t="n">
        <v>1</v>
      </c>
    </row>
    <row r="1593">
      <c r="A1593" s="12" t="inlineStr">
        <is>
          <t>CW pumps (inlet chilling)</t>
        </is>
      </c>
      <c r="B1593" s="12" t="inlineStr"/>
      <c r="C1593" s="12" t="inlineStr">
        <is>
          <t>J</t>
        </is>
      </c>
      <c r="D1593" s="12" t="inlineStr">
        <is>
          <t>Inlet-chilling CW pump 4</t>
        </is>
      </c>
      <c r="E1593" s="12" t="n">
        <v>4160</v>
      </c>
      <c r="F1593" s="12" t="n">
        <v>450</v>
      </c>
      <c r="G1593" s="12" t="n">
        <v>69</v>
      </c>
      <c r="H1593" s="12" t="inlineStr">
        <is>
          <t>Inlet-chilling e-house / transformer</t>
        </is>
      </c>
      <c r="I1593" s="12" t="inlineStr">
        <is>
          <t>MV 5 kV</t>
        </is>
      </c>
      <c r="J1593" s="12" t="inlineStr">
        <is>
          <t>2</t>
        </is>
      </c>
      <c r="K1593" s="12" t="n">
        <v>1</v>
      </c>
    </row>
    <row r="1594">
      <c r="A1594" s="12" t="inlineStr">
        <is>
          <t>Chillers x6 (water-cooled)</t>
        </is>
      </c>
      <c r="B1594" s="12" t="inlineStr"/>
      <c r="C1594" s="12" t="inlineStr">
        <is>
          <t>J</t>
        </is>
      </c>
      <c r="D1594" s="12" t="inlineStr">
        <is>
          <t>Water-cooled chiller CH-1</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CH-2</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CH-3</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CH-4</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Chillers x6 (water-cooled)</t>
        </is>
      </c>
      <c r="B1598" s="12" t="inlineStr"/>
      <c r="C1598" s="12" t="inlineStr">
        <is>
          <t>J</t>
        </is>
      </c>
      <c r="D1598" s="12" t="inlineStr">
        <is>
          <t>Water-cooled chiller CH-5</t>
        </is>
      </c>
      <c r="E1598" s="12" t="n">
        <v>4160</v>
      </c>
      <c r="F1598" s="12" t="n">
        <v>1500</v>
      </c>
      <c r="G1598" s="12" t="n">
        <v>231</v>
      </c>
      <c r="H1598" s="12" t="inlineStr">
        <is>
          <t>Inlet-chilling e-house / transformer</t>
        </is>
      </c>
      <c r="I1598" s="12" t="inlineStr">
        <is>
          <t>MV 5 kV</t>
        </is>
      </c>
      <c r="J1598" s="12" t="inlineStr">
        <is>
          <t>250 kcmil</t>
        </is>
      </c>
      <c r="K1598" s="12" t="n">
        <v>1</v>
      </c>
    </row>
    <row r="1599">
      <c r="A1599" s="12" t="inlineStr">
        <is>
          <t>Chillers x6 (water-cooled)</t>
        </is>
      </c>
      <c r="B1599" s="12" t="inlineStr"/>
      <c r="C1599" s="12" t="inlineStr">
        <is>
          <t>J</t>
        </is>
      </c>
      <c r="D1599" s="12" t="inlineStr">
        <is>
          <t>Water-cooled chiller CH-6</t>
        </is>
      </c>
      <c r="E1599" s="12" t="n">
        <v>4160</v>
      </c>
      <c r="F1599" s="12" t="n">
        <v>1500</v>
      </c>
      <c r="G1599" s="12" t="n">
        <v>231</v>
      </c>
      <c r="H1599" s="12" t="inlineStr">
        <is>
          <t>Inlet-chilling e-house / transformer</t>
        </is>
      </c>
      <c r="I1599" s="12" t="inlineStr">
        <is>
          <t>MV 5 kV</t>
        </is>
      </c>
      <c r="J1599" s="12" t="inlineStr">
        <is>
          <t>250 kcmil</t>
        </is>
      </c>
      <c r="K1599" s="12" t="n">
        <v>1</v>
      </c>
    </row>
    <row r="1600">
      <c r="A1600" s="12" t="inlineStr">
        <is>
          <t>H2 19: T-H2 230/13.8 kV (about 40 MVA)</t>
        </is>
      </c>
      <c r="B1600" s="12" t="inlineStr">
        <is>
          <t>T-H2</t>
        </is>
      </c>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20: 13.8 kV e-house</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21: rectifier transformer 1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2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3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8</t>
        </is>
      </c>
      <c r="K1604" s="12" t="n">
        <v>1</v>
      </c>
    </row>
    <row r="1605">
      <c r="A1605" s="12" t="inlineStr">
        <is>
          <t>H2 21: rectifier transformer 4 (7 MVA)</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21: rectifier transformer 5 (7 MVA)</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22: electrolyzer building (5 x HyLYZER-1000 + 5 rectifiers)</t>
        </is>
      </c>
      <c r="B1607" s="12" t="inlineStr">
        <is>
          <t>H2-EL</t>
        </is>
      </c>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8</t>
        </is>
      </c>
      <c r="K1607" s="12" t="n">
        <v>1</v>
      </c>
    </row>
    <row r="1608">
      <c r="A1608" s="12" t="inlineStr">
        <is>
          <t>H2 23: dry coolers</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24: water purification (RO / EDI)</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25: H2 dryer / purification</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26: H2 compressor 1 (40 ft ISO)</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26: H2 compressor 2 (40 ft ISO)</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27: storage tube bank (~40 ft tubes)</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27: storage tube bank (~40 ft tubes)</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28: N2 purge supply</t>
        </is>
      </c>
      <c r="B1617" s="12" t="inlineStr"/>
      <c r="C1617" s="12" t="inlineStr">
        <is>
          <t>K</t>
        </is>
      </c>
      <c r="D1617" s="12" t="inlineStr">
        <is>
          <t>Motor 1 of 1, 15 kW</t>
        </is>
      </c>
      <c r="E1617" s="12" t="n">
        <v>480</v>
      </c>
      <c r="F1617" s="12" t="n">
        <v>15</v>
      </c>
      <c r="G1617" s="12" t="n">
        <v>21.2</v>
      </c>
      <c r="H1617" s="12" t="inlineStr">
        <is>
          <t>H2 20: 13.8 kV e-house</t>
        </is>
      </c>
      <c r="I1617" s="12" t="inlineStr">
        <is>
          <t>LV 600 V</t>
        </is>
      </c>
      <c r="J1617" s="12" t="inlineStr">
        <is>
          <t>10</t>
        </is>
      </c>
      <c r="K1617" s="12" t="n">
        <v>1</v>
      </c>
    </row>
    <row r="1618">
      <c r="A1618" s="12" t="inlineStr">
        <is>
          <t>H2 29: vent stack</t>
        </is>
      </c>
      <c r="B1618" s="12" t="inlineStr"/>
      <c r="C1618" s="12" t="inlineStr">
        <is>
          <t>K</t>
        </is>
      </c>
      <c r="D1618" s="12" t="inlineStr">
        <is>
          <t>Motor 1 of 1, 15 kW</t>
        </is>
      </c>
      <c r="E1618" s="12" t="n">
        <v>480</v>
      </c>
      <c r="F1618" s="12" t="n">
        <v>15</v>
      </c>
      <c r="G1618" s="12" t="n">
        <v>21.2</v>
      </c>
      <c r="H1618" s="12" t="inlineStr">
        <is>
          <t>H2 20: 13.8 kV e-house</t>
        </is>
      </c>
      <c r="I1618" s="12" t="inlineStr">
        <is>
          <t>LV 600 V</t>
        </is>
      </c>
      <c r="J1618" s="12" t="inlineStr">
        <is>
          <t>10</t>
        </is>
      </c>
      <c r="K1618" s="12" t="n">
        <v>1</v>
      </c>
    </row>
    <row r="1619">
      <c r="A1619" s="12" t="inlineStr">
        <is>
          <t>H2 30: H2 / gas blending station (plant gas yard)</t>
        </is>
      </c>
      <c r="B1619" s="12" t="inlineStr"/>
      <c r="C1619" s="12" t="inlineStr">
        <is>
          <t>K</t>
        </is>
      </c>
      <c r="D1619" s="12" t="inlineStr">
        <is>
          <t>Motor 1 of 1, 15 kW</t>
        </is>
      </c>
      <c r="E1619" s="12" t="n">
        <v>480</v>
      </c>
      <c r="F1619" s="12" t="n">
        <v>15</v>
      </c>
      <c r="G1619" s="12" t="n">
        <v>21.2</v>
      </c>
      <c r="H1619" s="12" t="inlineStr">
        <is>
          <t>LNG 17: LNG e-house (13.8 kV / 480 V)</t>
        </is>
      </c>
      <c r="I1619" s="12" t="inlineStr">
        <is>
          <t>LV 600 V</t>
        </is>
      </c>
      <c r="J1619" s="12" t="inlineStr">
        <is>
          <t>4</t>
        </is>
      </c>
      <c r="K1619" s="12" t="n">
        <v>1</v>
      </c>
    </row>
    <row r="1620">
      <c r="A1620" s="12" t="inlineStr">
        <is>
          <t>H2 pipe track and cable trench, hall -&gt; dryer / compressors (N2, instr</t>
        </is>
      </c>
      <c r="B1620" s="12" t="inlineStr"/>
      <c r="C1620" s="12" t="inlineStr">
        <is>
          <t>K</t>
        </is>
      </c>
      <c r="D1620" s="12" t="inlineStr">
        <is>
          <t>Motor 1 of 2, 250 kW</t>
        </is>
      </c>
      <c r="E1620" s="12" t="n">
        <v>480</v>
      </c>
      <c r="F1620" s="12" t="n">
        <v>250</v>
      </c>
      <c r="G1620" s="12" t="n">
        <v>353.8</v>
      </c>
      <c r="H1620" s="12" t="inlineStr">
        <is>
          <t>H2 20: 13.8 kV e-house</t>
        </is>
      </c>
      <c r="I1620" s="12" t="inlineStr">
        <is>
          <t>LV 600 V</t>
        </is>
      </c>
      <c r="J1620" s="12" t="inlineStr">
        <is>
          <t>4/0</t>
        </is>
      </c>
      <c r="K1620" s="12" t="n">
        <v>2</v>
      </c>
    </row>
    <row r="1621">
      <c r="A1621" s="12" t="inlineStr">
        <is>
          <t>H2 pipe track and cable trench, hall -&gt; dryer / compressors (N2, instr</t>
        </is>
      </c>
      <c r="B1621" s="12" t="inlineStr"/>
      <c r="C1621" s="12" t="inlineStr">
        <is>
          <t>K</t>
        </is>
      </c>
      <c r="D1621" s="12" t="inlineStr">
        <is>
          <t>Motor 2 of 2, 250 kW</t>
        </is>
      </c>
      <c r="E1621" s="12" t="n">
        <v>480</v>
      </c>
      <c r="F1621" s="12" t="n">
        <v>250</v>
      </c>
      <c r="G1621" s="12" t="n">
        <v>353.8</v>
      </c>
      <c r="H1621" s="12" t="inlineStr">
        <is>
          <t>H2 20: 13.8 kV e-house</t>
        </is>
      </c>
      <c r="I1621" s="12" t="inlineStr">
        <is>
          <t>LV 600 V</t>
        </is>
      </c>
      <c r="J1621" s="12" t="inlineStr">
        <is>
          <t>4/0</t>
        </is>
      </c>
      <c r="K1621" s="12" t="n">
        <v>2</v>
      </c>
    </row>
    <row r="1622">
      <c r="A1622" s="12" t="inlineStr">
        <is>
          <t>H2 storage tube banks x4</t>
        </is>
      </c>
      <c r="B1622" s="12" t="inlineStr">
        <is>
          <t>H2-ST</t>
        </is>
      </c>
      <c r="C1622" s="12" t="inlineStr">
        <is>
          <t>K</t>
        </is>
      </c>
      <c r="D1622" s="12" t="inlineStr">
        <is>
          <t>LV power feeder</t>
        </is>
      </c>
      <c r="E1622" s="12" t="n">
        <v>480</v>
      </c>
      <c r="F1622" s="12" t="n">
        <v>15</v>
      </c>
      <c r="G1622" s="12" t="n">
        <v>21.2</v>
      </c>
      <c r="H1622" s="12" t="inlineStr">
        <is>
          <t>H2 20: 13.8 kV e-house</t>
        </is>
      </c>
      <c r="I1622" s="12" t="inlineStr">
        <is>
          <t>LV 600 V</t>
        </is>
      </c>
      <c r="J1622" s="12" t="inlineStr">
        <is>
          <t>10</t>
        </is>
      </c>
      <c r="K1622" s="12" t="n">
        <v>1</v>
      </c>
    </row>
    <row r="1623">
      <c r="A1623" s="12" t="inlineStr">
        <is>
          <t>H2R: hydrogen pipeline receiving station (pig receiver, filters, meter</t>
        </is>
      </c>
      <c r="B1623" s="12" t="inlineStr">
        <is>
          <t>H2R</t>
        </is>
      </c>
      <c r="C1623" s="12" t="inlineStr">
        <is>
          <t>K</t>
        </is>
      </c>
      <c r="D1623" s="12" t="inlineStr">
        <is>
          <t>LV power feeder</t>
        </is>
      </c>
      <c r="E1623" s="12" t="n">
        <v>480</v>
      </c>
      <c r="F1623" s="12" t="n">
        <v>15</v>
      </c>
      <c r="G1623" s="12" t="n">
        <v>21.2</v>
      </c>
      <c r="H1623" s="12" t="inlineStr">
        <is>
          <t>H2 20: 13.8 kV e-house</t>
        </is>
      </c>
      <c r="I1623" s="12" t="inlineStr">
        <is>
          <t>LV 600 V</t>
        </is>
      </c>
      <c r="J1623" s="12" t="inlineStr">
        <is>
          <t>10</t>
        </is>
      </c>
      <c r="K1623" s="12" t="n">
        <v>1</v>
      </c>
    </row>
    <row r="1624">
      <c r="A1624" s="12" t="inlineStr">
        <is>
          <t>LNG 10: truck unloading bay 1</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8</t>
        </is>
      </c>
      <c r="K1624" s="12" t="n">
        <v>1</v>
      </c>
    </row>
    <row r="1625">
      <c r="A1625" s="12" t="inlineStr">
        <is>
          <t>LNG 10: truck unloading bay 2</t>
        </is>
      </c>
      <c r="B1625" s="12" t="inlineStr"/>
      <c r="C1625" s="12" t="inlineStr">
        <is>
          <t>K</t>
        </is>
      </c>
      <c r="D1625" s="12" t="inlineStr">
        <is>
          <t>Motor 1 of 1, 15 kW</t>
        </is>
      </c>
      <c r="E1625" s="12" t="n">
        <v>480</v>
      </c>
      <c r="F1625" s="12" t="n">
        <v>15</v>
      </c>
      <c r="G1625" s="12" t="n">
        <v>21.2</v>
      </c>
      <c r="H1625" s="12" t="inlineStr">
        <is>
          <t>LNG 17: LNG e-house (13.8 kV / 480 V)</t>
        </is>
      </c>
      <c r="I1625" s="12" t="inlineStr">
        <is>
          <t>LV 600 V</t>
        </is>
      </c>
      <c r="J1625" s="12" t="inlineStr">
        <is>
          <t>10</t>
        </is>
      </c>
      <c r="K1625" s="12" t="n">
        <v>1</v>
      </c>
    </row>
    <row r="1626">
      <c r="A1626" s="12" t="inlineStr">
        <is>
          <t>LNG 10: unloading skid</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11: tank 1, Chart HS 50000 (51,780 gal)</t>
        </is>
      </c>
      <c r="B1627" s="12" t="inlineStr">
        <is>
          <t>LNG-T1</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2, Chart HS 50000 (51,780 gal)</t>
        </is>
      </c>
      <c r="B1628" s="12" t="inlineStr">
        <is>
          <t>LNG-T2</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3, Chart HS 50000 (51,780 gal)</t>
        </is>
      </c>
      <c r="B1629" s="12" t="inlineStr">
        <is>
          <t>LNG-T3</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4, Chart HS 50000 (51,780 gal)</t>
        </is>
      </c>
      <c r="B1630" s="12" t="inlineStr">
        <is>
          <t>LNG-T4</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5, Chart HS 50000 (51,780 gal)</t>
        </is>
      </c>
      <c r="B1631" s="12" t="inlineStr">
        <is>
          <t>LNG-T5</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6, Chart HS 50000 (51,780 gal)</t>
        </is>
      </c>
      <c r="B1632" s="12" t="inlineStr">
        <is>
          <t>LNG-T6</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11: tank 7, Chart HS 50000 (51,780 gal)</t>
        </is>
      </c>
      <c r="B1633" s="12" t="inlineStr">
        <is>
          <t>LNG-T7</t>
        </is>
      </c>
      <c r="C1633" s="12" t="inlineStr">
        <is>
          <t>K</t>
        </is>
      </c>
      <c r="D1633" s="12" t="inlineStr">
        <is>
          <t>LV power feeder</t>
        </is>
      </c>
      <c r="E1633" s="12" t="n">
        <v>480</v>
      </c>
      <c r="F1633" s="12" t="n">
        <v>10</v>
      </c>
      <c r="G1633" s="12" t="n">
        <v>14.2</v>
      </c>
      <c r="H1633" s="12" t="inlineStr">
        <is>
          <t>LNG 17: LNG e-house (13.8 kV / 480 V)</t>
        </is>
      </c>
      <c r="I1633" s="12" t="inlineStr">
        <is>
          <t>LV 600 V</t>
        </is>
      </c>
      <c r="J1633" s="12" t="inlineStr">
        <is>
          <t>10</t>
        </is>
      </c>
      <c r="K1633" s="12" t="n">
        <v>1</v>
      </c>
    </row>
    <row r="1634">
      <c r="A1634" s="12" t="inlineStr">
        <is>
          <t>LNG 11: tank 8, Chart HS 50000 (51,780 gal)</t>
        </is>
      </c>
      <c r="B1634" s="12" t="inlineStr">
        <is>
          <t>LNG-T8</t>
        </is>
      </c>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10</t>
        </is>
      </c>
      <c r="K1634" s="12" t="n">
        <v>1</v>
      </c>
    </row>
    <row r="1635">
      <c r="A1635" s="12" t="inlineStr">
        <is>
          <t>LNG 12: spill impoundment (NFPA 59A, to verify)</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13: send-out pumps 2 x 100%</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14: vaporizers + glycol heater</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15: boil-off gas compressor</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16: send-out metering + pressure control</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17: LNG e-house (13.8 kV / 480 V)</t>
        </is>
      </c>
      <c r="B1640" s="12" t="inlineStr"/>
      <c r="C1640" s="12" t="inlineStr">
        <is>
          <t>K</t>
        </is>
      </c>
      <c r="D1640" s="12" t="inlineStr">
        <is>
          <t>Motor 1 of 1, 15 kW</t>
        </is>
      </c>
      <c r="E1640" s="12" t="n">
        <v>480</v>
      </c>
      <c r="F1640" s="12" t="n">
        <v>15</v>
      </c>
      <c r="G1640" s="12" t="n">
        <v>21.2</v>
      </c>
      <c r="H1640" s="12" t="inlineStr">
        <is>
          <t>LNG 17: LNG e-house (13.8 kV / 480 V)</t>
        </is>
      </c>
      <c r="I1640" s="12" t="inlineStr">
        <is>
          <t>LV 600 V</t>
        </is>
      </c>
      <c r="J1640" s="12" t="inlineStr">
        <is>
          <t>10</t>
        </is>
      </c>
      <c r="K1640" s="12" t="n">
        <v>1</v>
      </c>
    </row>
    <row r="1641">
      <c r="A1641" s="12" t="inlineStr">
        <is>
          <t>LNG 18: vent stack</t>
        </is>
      </c>
      <c r="B1641" s="12" t="inlineStr"/>
      <c r="C1641" s="12" t="inlineStr">
        <is>
          <t>K</t>
        </is>
      </c>
      <c r="D1641" s="12" t="inlineStr">
        <is>
          <t>Motor 1 of 1, 15 kW</t>
        </is>
      </c>
      <c r="E1641" s="12" t="n">
        <v>480</v>
      </c>
      <c r="F1641" s="12" t="n">
        <v>15</v>
      </c>
      <c r="G1641" s="12" t="n">
        <v>21.2</v>
      </c>
      <c r="H1641" s="12" t="inlineStr">
        <is>
          <t>LNG 17: LNG e-house (13.8 kV / 480 V)</t>
        </is>
      </c>
      <c r="I1641" s="12" t="inlineStr">
        <is>
          <t>LV 600 V</t>
        </is>
      </c>
      <c r="J1641" s="12" t="inlineStr">
        <is>
          <t>10</t>
        </is>
      </c>
      <c r="K1641" s="12" t="n">
        <v>1</v>
      </c>
    </row>
    <row r="1642">
      <c r="A1642" s="12" t="inlineStr">
        <is>
          <t>LNG impoundment sump pump</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8</t>
        </is>
      </c>
      <c r="K1642" s="12" t="n">
        <v>1</v>
      </c>
    </row>
    <row r="1643">
      <c r="A1643" s="12" t="inlineStr">
        <is>
          <t>M&amp;R 2: insulating joint + ESD valve</t>
        </is>
      </c>
      <c r="B1643" s="12" t="inlineStr"/>
      <c r="C1643" s="12" t="inlineStr">
        <is>
          <t>K</t>
        </is>
      </c>
      <c r="D1643" s="12" t="inlineStr">
        <is>
          <t>LV power feeder</t>
        </is>
      </c>
      <c r="E1643" s="12" t="n">
        <v>480</v>
      </c>
      <c r="F1643" s="12" t="n">
        <v>10</v>
      </c>
      <c r="G1643" s="12" t="n">
        <v>14.2</v>
      </c>
      <c r="H1643" s="12" t="inlineStr">
        <is>
          <t>LNG 17: LNG e-house (13.8 kV / 480 V)</t>
        </is>
      </c>
      <c r="I1643" s="12" t="inlineStr">
        <is>
          <t>LV 600 V</t>
        </is>
      </c>
      <c r="J1643" s="12" t="inlineStr">
        <is>
          <t>6</t>
        </is>
      </c>
      <c r="K1643" s="12" t="n">
        <v>1</v>
      </c>
    </row>
    <row r="1644">
      <c r="A1644" s="12" t="inlineStr">
        <is>
          <t>M&amp;R 3: horizontal filter-separator</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4</t>
        </is>
      </c>
      <c r="K1644" s="12" t="n">
        <v>1</v>
      </c>
    </row>
    <row r="1645">
      <c r="A1645" s="12" t="inlineStr">
        <is>
          <t>M&amp;R 4: line heater 1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4: line heater 2 (water bath)</t>
        </is>
      </c>
      <c r="B1646" s="12" t="inlineStr"/>
      <c r="C1646" s="12" t="inlineStr">
        <is>
          <t>K</t>
        </is>
      </c>
      <c r="D1646" s="12" t="inlineStr">
        <is>
          <t>LV power feeder</t>
        </is>
      </c>
      <c r="E1646" s="12" t="n">
        <v>480</v>
      </c>
      <c r="F1646" s="12" t="n">
        <v>15</v>
      </c>
      <c r="G1646" s="12" t="n">
        <v>21.2</v>
      </c>
      <c r="H1646" s="12" t="inlineStr">
        <is>
          <t>LNG 17: LNG e-house (13.8 kV / 480 V)</t>
        </is>
      </c>
      <c r="I1646" s="12" t="inlineStr">
        <is>
          <t>LV 600 V</t>
        </is>
      </c>
      <c r="J1646" s="12" t="inlineStr">
        <is>
          <t>6</t>
        </is>
      </c>
      <c r="K1646" s="12" t="n">
        <v>1</v>
      </c>
    </row>
    <row r="1647">
      <c r="A1647" s="12" t="inlineStr">
        <is>
          <t>M&amp;R 4: line heater 3 (water bath)</t>
        </is>
      </c>
      <c r="B1647" s="12" t="inlineStr"/>
      <c r="C1647" s="12" t="inlineStr">
        <is>
          <t>K</t>
        </is>
      </c>
      <c r="D1647" s="12" t="inlineStr">
        <is>
          <t>LV power feeder</t>
        </is>
      </c>
      <c r="E1647" s="12" t="n">
        <v>480</v>
      </c>
      <c r="F1647" s="12" t="n">
        <v>15</v>
      </c>
      <c r="G1647" s="12" t="n">
        <v>21.2</v>
      </c>
      <c r="H1647" s="12" t="inlineStr">
        <is>
          <t>LNG 17: LNG e-house (13.8 kV / 480 V)</t>
        </is>
      </c>
      <c r="I1647" s="12" t="inlineStr">
        <is>
          <t>LV 600 V</t>
        </is>
      </c>
      <c r="J1647" s="12" t="inlineStr">
        <is>
          <t>6</t>
        </is>
      </c>
      <c r="K1647" s="12" t="n">
        <v>1</v>
      </c>
    </row>
    <row r="1648">
      <c r="A1648" s="12" t="inlineStr">
        <is>
          <t>M&amp;R 6: regulation / flow control building</t>
        </is>
      </c>
      <c r="B1648" s="12" t="inlineStr"/>
      <c r="C1648" s="12" t="inlineStr">
        <is>
          <t>K</t>
        </is>
      </c>
      <c r="D1648" s="12" t="inlineStr">
        <is>
          <t>LV panel / distribution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7: gas quality + measurement building</t>
        </is>
      </c>
      <c r="B1649" s="12" t="inlineStr"/>
      <c r="C1649" s="12" t="inlineStr">
        <is>
          <t>K</t>
        </is>
      </c>
      <c r="D1649" s="12" t="inlineStr">
        <is>
          <t>LV panel / distribution feeder</t>
        </is>
      </c>
      <c r="E1649" s="12" t="n">
        <v>480</v>
      </c>
      <c r="F1649" s="12" t="n">
        <v>30</v>
      </c>
      <c r="G1649" s="12" t="n">
        <v>42.5</v>
      </c>
      <c r="H1649" s="12" t="inlineStr">
        <is>
          <t>LNG 17: LNG e-house (13.8 kV / 480 V)</t>
        </is>
      </c>
      <c r="I1649" s="12" t="inlineStr">
        <is>
          <t>LV 600 V</t>
        </is>
      </c>
      <c r="J1649" s="12" t="inlineStr">
        <is>
          <t>2</t>
        </is>
      </c>
      <c r="K1649" s="12" t="n">
        <v>1</v>
      </c>
    </row>
    <row r="1650">
      <c r="A1650" s="12" t="inlineStr">
        <is>
          <t>M&amp;R 8: condensate tank</t>
        </is>
      </c>
      <c r="B1650" s="12" t="inlineStr"/>
      <c r="C1650" s="12" t="inlineStr">
        <is>
          <t>K</t>
        </is>
      </c>
      <c r="D1650" s="12" t="inlineStr">
        <is>
          <t>LV power feeder</t>
        </is>
      </c>
      <c r="E1650" s="12" t="n">
        <v>480</v>
      </c>
      <c r="F1650" s="12" t="n">
        <v>10</v>
      </c>
      <c r="G1650" s="12" t="n">
        <v>14.2</v>
      </c>
      <c r="H1650" s="12" t="inlineStr">
        <is>
          <t>LNG 17: LNG e-house (13.8 kV / 480 V)</t>
        </is>
      </c>
      <c r="I1650" s="12" t="inlineStr">
        <is>
          <t>LV 600 V</t>
        </is>
      </c>
      <c r="J1650" s="12" t="inlineStr">
        <is>
          <t>8</t>
        </is>
      </c>
      <c r="K1650" s="12" t="n">
        <v>1</v>
      </c>
    </row>
    <row r="1651">
      <c r="A1651" s="12" t="inlineStr">
        <is>
          <t>M&amp;R 9: service panel + UPS, SCADA RTU, CP</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6</t>
        </is>
      </c>
      <c r="K1651" s="12" t="n">
        <v>1</v>
      </c>
    </row>
    <row r="1652">
      <c r="A1652" s="12" t="inlineStr">
        <is>
          <t>M&amp;R CP test station (as drawn)</t>
        </is>
      </c>
      <c r="B1652" s="12" t="inlineStr"/>
      <c r="C1652" s="12" t="inlineStr">
        <is>
          <t>K</t>
        </is>
      </c>
      <c r="D1652" s="12" t="inlineStr">
        <is>
          <t>LV power feeder</t>
        </is>
      </c>
      <c r="E1652" s="12" t="n">
        <v>480</v>
      </c>
      <c r="F1652" s="12" t="n">
        <v>15</v>
      </c>
      <c r="G1652" s="12" t="n">
        <v>21.2</v>
      </c>
      <c r="H1652" s="12" t="inlineStr">
        <is>
          <t>LNG 17: LNG e-house (13.8 kV / 480 V)</t>
        </is>
      </c>
      <c r="I1652" s="12" t="inlineStr">
        <is>
          <t>LV 600 V</t>
        </is>
      </c>
      <c r="J1652" s="12" t="inlineStr">
        <is>
          <t>6</t>
        </is>
      </c>
      <c r="K1652" s="12" t="n">
        <v>1</v>
      </c>
    </row>
    <row r="1653">
      <c r="A1653" s="12" t="inlineStr">
        <is>
          <t>M&amp;R SCADA antenna mast base (as drawn)</t>
        </is>
      </c>
      <c r="B1653" s="12" t="inlineStr"/>
      <c r="C1653" s="12" t="inlineStr">
        <is>
          <t>K</t>
        </is>
      </c>
      <c r="D1653" s="12" t="inlineStr">
        <is>
          <t>LV power feeder</t>
        </is>
      </c>
      <c r="E1653" s="12" t="n">
        <v>480</v>
      </c>
      <c r="F1653" s="12" t="n">
        <v>15</v>
      </c>
      <c r="G1653" s="12" t="n">
        <v>21.2</v>
      </c>
      <c r="H1653" s="12" t="inlineStr">
        <is>
          <t>LNG 17: LNG e-house (13.8 kV / 480 V)</t>
        </is>
      </c>
      <c r="I1653" s="12" t="inlineStr">
        <is>
          <t>LV 600 V</t>
        </is>
      </c>
      <c r="J1653" s="12" t="inlineStr">
        <is>
          <t>6</t>
        </is>
      </c>
      <c r="K1653" s="12" t="n">
        <v>1</v>
      </c>
    </row>
    <row r="1654">
      <c r="A1654" s="12" t="inlineStr">
        <is>
          <t>H2 20: 13.8 kV e-house</t>
        </is>
      </c>
      <c r="B1654" s="12" t="inlineStr"/>
      <c r="C1654" s="12" t="inlineStr">
        <is>
          <t>K</t>
        </is>
      </c>
      <c r="D1654" s="12" t="inlineStr">
        <is>
          <t>H2 13.8 kV e-house (electrolyzers)</t>
        </is>
      </c>
      <c r="E1654" s="12" t="n">
        <v>13800</v>
      </c>
      <c r="F1654" s="12" t="n">
        <v>20000</v>
      </c>
      <c r="G1654" s="12" t="n">
        <v>837</v>
      </c>
      <c r="H1654" s="12" t="inlineStr">
        <is>
          <t>R1 SWGR-13.8-3 (11 x 36 in cubicles, 15 kV metal-clad)</t>
        </is>
      </c>
      <c r="I1654" s="12" t="inlineStr">
        <is>
          <t>MV 15 kV</t>
        </is>
      </c>
      <c r="J1654" s="12" t="inlineStr">
        <is>
          <t>750 kcmil</t>
        </is>
      </c>
      <c r="K1654" s="12" t="n">
        <v>2</v>
      </c>
    </row>
    <row r="1655">
      <c r="A1655" s="12" t="inlineStr">
        <is>
          <t>LNG 17: LNG e-house (13.8 kV / 480 V)</t>
        </is>
      </c>
      <c r="B1655" s="12" t="inlineStr"/>
      <c r="C1655" s="12" t="inlineStr">
        <is>
          <t>K</t>
        </is>
      </c>
      <c r="D1655" s="12" t="inlineStr">
        <is>
          <t>LNG e-house</t>
        </is>
      </c>
      <c r="E1655" s="12" t="n">
        <v>13800</v>
      </c>
      <c r="F1655" s="12" t="n">
        <v>5000</v>
      </c>
      <c r="G1655" s="12" t="n">
        <v>209</v>
      </c>
      <c r="H1655" s="12" t="inlineStr">
        <is>
          <t>R1 SWGR-13.8-3 (11 x 36 in cubicles, 15 kV metal-clad)</t>
        </is>
      </c>
      <c r="I1655" s="12" t="inlineStr">
        <is>
          <t>MV 15 kV</t>
        </is>
      </c>
      <c r="J1655" s="12" t="inlineStr">
        <is>
          <t>4/0</t>
        </is>
      </c>
      <c r="K1655" s="12" t="n">
        <v>1</v>
      </c>
    </row>
    <row r="1656">
      <c r="A1656" s="12" t="inlineStr">
        <is>
          <t>Small-bore piping: instrument air, service water, nitrogen, HRSG drain</t>
        </is>
      </c>
      <c r="B1656" s="12" t="inlineStr"/>
      <c r="C1656" s="12" t="inlineStr"/>
      <c r="D1656" s="12" t="inlineStr">
        <is>
          <t>Motor 1 of 2, 250 kW</t>
        </is>
      </c>
      <c r="E1656" s="12" t="n">
        <v>480</v>
      </c>
      <c r="F1656" s="12" t="n">
        <v>250</v>
      </c>
      <c r="G1656" s="12" t="n">
        <v>353.8</v>
      </c>
      <c r="H1656" s="12" t="inlineStr">
        <is>
          <t>R1 MCC-C1</t>
        </is>
      </c>
      <c r="I1656" s="12" t="inlineStr">
        <is>
          <t>LV 600 V</t>
        </is>
      </c>
      <c r="J1656" s="12" t="inlineStr">
        <is>
          <t>250 kcmil</t>
        </is>
      </c>
      <c r="K1656" s="12" t="n">
        <v>2</v>
      </c>
    </row>
    <row r="1657">
      <c r="A1657" s="12" t="inlineStr">
        <is>
          <t>Small-bore piping: instrument air, service water, nitrogen, HRSG drain</t>
        </is>
      </c>
      <c r="B1657" s="12" t="inlineStr"/>
      <c r="C1657" s="12" t="inlineStr"/>
      <c r="D1657" s="12" t="inlineStr">
        <is>
          <t>Motor 2 of 2, 250 kW</t>
        </is>
      </c>
      <c r="E1657" s="12" t="n">
        <v>480</v>
      </c>
      <c r="F1657" s="12" t="n">
        <v>250</v>
      </c>
      <c r="G1657" s="12" t="n">
        <v>353.8</v>
      </c>
      <c r="H1657" s="12" t="inlineStr">
        <is>
          <t>R1 MCC-C1</t>
        </is>
      </c>
      <c r="I1657" s="12" t="inlineStr">
        <is>
          <t>LV 600 V</t>
        </is>
      </c>
      <c r="J1657" s="12" t="inlineStr">
        <is>
          <t>250 kcmil</t>
        </is>
      </c>
      <c r="K1657"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2026-10-15T22:27:46Z</dcterms:created>
  <dcterms:modified xsi:type="dcterms:W3CDTF">2026-10-15T22:27:49Z</dcterms:modified>
</cp:coreProperties>
</file>