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UMATIF" sheetId="1" r:id="rId5"/>
    <sheet state="hidden" name="GAB-SUM" sheetId="2" r:id="rId6"/>
    <sheet state="hidden" name="GAB-CK" sheetId="3" r:id="rId7"/>
    <sheet state="hidden" name="PEMBENTUK US" sheetId="4" r:id="rId8"/>
    <sheet state="visible" name="INPUT CP" sheetId="5" r:id="rId9"/>
    <sheet state="hidden" name="OLAH P5" sheetId="6" r:id="rId10"/>
    <sheet state="visible" name="AREA-WALAS" sheetId="7" r:id="rId11"/>
    <sheet state="visible" name="LEGER" sheetId="8" r:id="rId12"/>
    <sheet state="visible" name="Cetak" sheetId="9" r:id="rId13"/>
    <sheet state="hidden" name="INFAQ" sheetId="10" r:id="rId14"/>
    <sheet state="hidden" name="RAPORT P5" sheetId="11" r:id="rId15"/>
    <sheet state="hidden" name="OLAH RAPORT P5" sheetId="12" r:id="rId16"/>
    <sheet state="hidden" name="Transfer Nilai" sheetId="13" r:id="rId17"/>
    <sheet state="visible" name="CetakP5" sheetId="14" r:id="rId18"/>
    <sheet state="visible" name="CetakBiodata" sheetId="15" r:id="rId19"/>
    <sheet state="visible" name="COCOKOLOGI" sheetId="16" r:id="rId20"/>
    <sheet state="visible" name="SETTING" sheetId="17" r:id="rId21"/>
    <sheet state="visible" name="MASTER" sheetId="18" r:id="rId22"/>
    <sheet state="visible" name="PROPERTI" sheetId="19" r:id="rId23"/>
    <sheet state="visible" name="LogGenerate" sheetId="20" r:id="rId24"/>
  </sheets>
  <definedNames>
    <definedName localSheetId="13" name="RAPORSUMATIF">#REF!</definedName>
    <definedName name="NamaKelasSaatKelasX">MASTER!$F$4:$F$60</definedName>
    <definedName name="NAMAP5">'OLAH P5'!$D$6:$D$55</definedName>
    <definedName name="RAPORSUMATIF">Cetak!$A$1:$R$53</definedName>
    <definedName name="HEADERGABCK">'GAB-CK'!$A$2:$AZ$2</definedName>
    <definedName name="HeaderInputSumatif">'INPUT SUMATIF'!$A$2:$CH$2</definedName>
    <definedName name="DataBiodataSetting">SETTING!$E$3:$AH$56</definedName>
    <definedName name="DataNamaInputCP">'INPUT CP'!$D$4:$D$53</definedName>
    <definedName name="HeaderInputCP">'INPUT CP'!$3:$3</definedName>
    <definedName name="NamaKelasSaatXI">MASTER!$F$4:$F$60</definedName>
    <definedName name="RAPORCK2">Cetak!$S$103:$AB$151</definedName>
    <definedName localSheetId="3" name="DataPembentukUS">'PEMBENTUK US'!$A$5:$CH$54</definedName>
    <definedName name="DataInputSumatif">'INPUT SUMATIF'!$A$5:$CH$54</definedName>
    <definedName name="NIPWalas">MASTER!$AT$4:$AT$60</definedName>
    <definedName localSheetId="3" name="HeaderPembentukUS">'PEMBENTUK US'!$A$2:$CH$2</definedName>
    <definedName name="HeaderBiodata">SETTING!$E$2:$AH$2</definedName>
    <definedName name="masterKonsKeahlian">MASTER!$AM$4:$AM$30</definedName>
    <definedName name="RAPORCK1">Cetak!$S$58:$AB$82</definedName>
    <definedName name="KelasWalas">MASTER!$AR$4:$AR$30</definedName>
    <definedName name="DataNamaInputSumatif">'INPUT SUMATIF'!$D$5:$D$54</definedName>
    <definedName name="masterProgKeahlian">MASTER!$AN$4:$AN$30</definedName>
    <definedName localSheetId="13" name="RAPORCK1">#REF!</definedName>
    <definedName name="NamaRombelXI">MASTER!$AN$4:$AN$60</definedName>
    <definedName name="NamaKelasSaatXII">MASTER!$AJ$4:$AJ$60</definedName>
    <definedName name="DATAP5">'OLAH P5'!$A$6:$AB$55</definedName>
    <definedName name="NamaWalas">MASTER!$AS$4:$AS$60</definedName>
    <definedName name="HEADERGABSUM">'GAB-SUM'!$A$1:$CD$1</definedName>
    <definedName name="NamaBiodata">SETTING!$H$3:$H$56</definedName>
    <definedName name="NamaRombelXII">MASTER!$AO$4:$AO$60</definedName>
    <definedName localSheetId="3" name="DataNamaPembentukUS">'PEMBENTUK US'!$D$5:$D$54</definedName>
    <definedName name="HEADERP5">'OLAH P5'!$2:$2</definedName>
    <definedName name="TahunPelajaran">MASTER!$AQ$4:$AQ$30</definedName>
    <definedName name="masternamsiswa">MASTER!$B$4:$F$60</definedName>
    <definedName name="masterkkelasnya">MASTER!$F$4:$F$60</definedName>
    <definedName localSheetId="13" name="RAPORCK2">#REF!</definedName>
    <definedName name="DataInputCP">'INPUT CP'!$A$4:$BB$53</definedName>
    <definedName hidden="1" localSheetId="3" name="Z_79EE3C4A_0945_4681_9057_27B392D1B277_.wvu.FilterData">'PEMBENTUK US'!$A$3:$A$4</definedName>
    <definedName hidden="1" localSheetId="0" name="Z_79EE3C4A_0945_4681_9057_27B392D1B277_.wvu.FilterData">'INPUT SUMATIF'!$A$3:$A$5</definedName>
  </definedNames>
  <calcPr/>
  <customWorkbookViews>
    <customWorkbookView activeSheetId="0" maximized="1" windowHeight="0" windowWidth="0" guid="{79EE3C4A-0945-4681-9057-27B392D1B277}" name="XII-PAI-TKJ"/>
  </customWorkbookViews>
</workbook>
</file>

<file path=xl/sharedStrings.xml><?xml version="1.0" encoding="utf-8"?>
<sst xmlns="http://schemas.openxmlformats.org/spreadsheetml/2006/main" count="6884" uniqueCount="1029">
  <si>
    <t>NO</t>
  </si>
  <si>
    <t>NIS</t>
  </si>
  <si>
    <t>NISN</t>
  </si>
  <si>
    <t>NAMA</t>
  </si>
  <si>
    <t>KELAS</t>
  </si>
  <si>
    <t>SEMESTER</t>
  </si>
  <si>
    <t>PAI RATA-RATA SUMATIF</t>
  </si>
  <si>
    <t>PAI NILAI SUMATIF AKHIR</t>
  </si>
  <si>
    <t>PKN RATA-RATA SUMATIF</t>
  </si>
  <si>
    <t>PKN NILAI SUMATIF AKHIR</t>
  </si>
  <si>
    <t>B. INDONESIA RATA-RATA SUMATIF</t>
  </si>
  <si>
    <t>B. INDONESIA NILAI SUMATIF AKHIR</t>
  </si>
  <si>
    <t>PJOK RATA-RATA SUMATIF</t>
  </si>
  <si>
    <t>PJOK NILAI SUMATIF AKHIR</t>
  </si>
  <si>
    <t>SEJARAH RATA-RATA SUMATIF</t>
  </si>
  <si>
    <t>SEJARAH NILAI SUMATIF AKHIR</t>
  </si>
  <si>
    <t>SENI BUDAYA RATA-RATA SUMATIF</t>
  </si>
  <si>
    <t>SENI BUDAYA NILAI SUMATIF AKHIR</t>
  </si>
  <si>
    <t>B. SUNDA RATA-RATA SUMATIF</t>
  </si>
  <si>
    <t>B. SUNDA NILAI SUMATIF AKHIR</t>
  </si>
  <si>
    <t>MATEMATIKA RATA-RATA SUMATIF</t>
  </si>
  <si>
    <t>MATEMATIKA NILAI SUMATIF AKHIR</t>
  </si>
  <si>
    <t>B. INGGRIS RATA-RATA SUMATIF</t>
  </si>
  <si>
    <t>B. INGGRIS NILAI SUMATIF AKHIR</t>
  </si>
  <si>
    <t>INFORMATIKA RATA-RATA SUMATIF</t>
  </si>
  <si>
    <t>INFORMATIKA NILAI SUMATIF AKHIR</t>
  </si>
  <si>
    <t>PROJEK IPAS RATA-RATA SUMATIF</t>
  </si>
  <si>
    <t>PROJEK IPAS NILAI SUMATIF AKHIR</t>
  </si>
  <si>
    <t>DDPK RATA-RATA SUMATIF</t>
  </si>
  <si>
    <t>NIS LAMA</t>
  </si>
  <si>
    <t>DDPK NILAI SUMATIF AKHIR</t>
  </si>
  <si>
    <t>KONS. KEAHLIAN RATA-RATA SUMATIF</t>
  </si>
  <si>
    <t>KONS. KEAHLIAN NILAI SUMATIF AKHIR</t>
  </si>
  <si>
    <t>PKK RATA-RATA SUMATIF</t>
  </si>
  <si>
    <t>PKK NILAI SUMATIF AKHIR</t>
  </si>
  <si>
    <t>NAMA RAPORT</t>
  </si>
  <si>
    <t>MAPEL PILIHAN RATA-RATA SUMATIF</t>
  </si>
  <si>
    <t>MAPEL PILIHAN NILAI SUMATIF AKHIR</t>
  </si>
  <si>
    <t>EKSKUL-1</t>
  </si>
  <si>
    <t>PAI SUMATIF 1</t>
  </si>
  <si>
    <t>EKSKUL-2</t>
  </si>
  <si>
    <t>PAI SUMATIF 2</t>
  </si>
  <si>
    <t>PREDIKAT-1</t>
  </si>
  <si>
    <t>PREDIKAT-2</t>
  </si>
  <si>
    <t>KET-1</t>
  </si>
  <si>
    <t>KET-2</t>
  </si>
  <si>
    <t>SAKIT</t>
  </si>
  <si>
    <t>IZIN</t>
  </si>
  <si>
    <t>TANPA KETERANGAN</t>
  </si>
  <si>
    <t>CATATAN WALI KELAS</t>
  </si>
  <si>
    <t>NAIK OR TINGGAL</t>
  </si>
  <si>
    <t>PAI SUMATIF 3</t>
  </si>
  <si>
    <t>PAI</t>
  </si>
  <si>
    <t>CP PAI</t>
  </si>
  <si>
    <t>PKN</t>
  </si>
  <si>
    <t>PKN SUMATIF 1</t>
  </si>
  <si>
    <t>CP PKN</t>
  </si>
  <si>
    <t>B. INDONESIA</t>
  </si>
  <si>
    <t>PKN SUMATIF 2</t>
  </si>
  <si>
    <t>CP B. INDONESIA</t>
  </si>
  <si>
    <t>PKN SUMATIF 3</t>
  </si>
  <si>
    <t>PJOK</t>
  </si>
  <si>
    <t>CP PJOK</t>
  </si>
  <si>
    <t>SEJARAH</t>
  </si>
  <si>
    <t>CP SEJARAH</t>
  </si>
  <si>
    <t>B. INDONESIA SUMATIF 1</t>
  </si>
  <si>
    <t>SENI BUDAYA</t>
  </si>
  <si>
    <t>B. INDONESIA SUMATIF 2</t>
  </si>
  <si>
    <t>CP SENI BUDAYA</t>
  </si>
  <si>
    <t>B. INDONESIA SUMATIF 3</t>
  </si>
  <si>
    <t>B. SUNDA</t>
  </si>
  <si>
    <t>CP B. SUNDA</t>
  </si>
  <si>
    <t>MTK</t>
  </si>
  <si>
    <t>CP MTK</t>
  </si>
  <si>
    <t>PJOK SUMATIF 1</t>
  </si>
  <si>
    <t>B. INGGRIS</t>
  </si>
  <si>
    <t>CP B. INGGRIS</t>
  </si>
  <si>
    <t>INFORMATIKA</t>
  </si>
  <si>
    <t>PJOK SUMATIF 2</t>
  </si>
  <si>
    <t>CP INFORMATIKA</t>
  </si>
  <si>
    <t>PJOK SUMATIF 3</t>
  </si>
  <si>
    <t>PROJEK IPAS</t>
  </si>
  <si>
    <t>CP PROJEK IPAS</t>
  </si>
  <si>
    <t>DDPK</t>
  </si>
  <si>
    <t>CP DDPK</t>
  </si>
  <si>
    <t>SEJARAH SUMATIF 1</t>
  </si>
  <si>
    <t>KONS. KEAHLIAN</t>
  </si>
  <si>
    <t>SEJARAH SUMATIF 2</t>
  </si>
  <si>
    <t>CP KK</t>
  </si>
  <si>
    <t>SEJARAH SUMATIF 3</t>
  </si>
  <si>
    <t>PKK</t>
  </si>
  <si>
    <t>CP PKK</t>
  </si>
  <si>
    <t>MAPEL PILIHAN</t>
  </si>
  <si>
    <t>SENI BUDAYA SUMATIF 1</t>
  </si>
  <si>
    <t>CP MAPEL PILIHAN</t>
  </si>
  <si>
    <t>SENI BUDAYA SUMATIF 2</t>
  </si>
  <si>
    <t>TEMPAT PKL</t>
  </si>
  <si>
    <t>SENI BUDAYA SUMATIF 3</t>
  </si>
  <si>
    <t>ALAMAT PKL</t>
  </si>
  <si>
    <t>NILAI PKL</t>
  </si>
  <si>
    <t>NILAI UKK</t>
  </si>
  <si>
    <t>B. SUNDA SUMATIF 1</t>
  </si>
  <si>
    <t>B. SUNDA SUMATIF 2</t>
  </si>
  <si>
    <t>B. SUNDA SUMATIF 3</t>
  </si>
  <si>
    <t>MATEMATIKA SUMATIF 1</t>
  </si>
  <si>
    <t>MATEMATIKA SUMATIF 2</t>
  </si>
  <si>
    <t>MATEMATIKA SUMATIF 3</t>
  </si>
  <si>
    <t>B. INGGRIS SUMATIF 1</t>
  </si>
  <si>
    <t>B. INGGRIS SUMATIF 2</t>
  </si>
  <si>
    <t>B. INGGRIS SUMATIF 3</t>
  </si>
  <si>
    <t>INFORMATIKA SUMATIF 1</t>
  </si>
  <si>
    <t>INFORMATIKA SUMATIF 2</t>
  </si>
  <si>
    <t>INFORMATIKA SUMATIF 3</t>
  </si>
  <si>
    <t>PROJEK IPAS SUMATIF 1</t>
  </si>
  <si>
    <t>PROJEK IPAS SUMATIF 2</t>
  </si>
  <si>
    <t>PROJEK IPAS SUMATIF 3</t>
  </si>
  <si>
    <t>DDPK SUMATIF 1</t>
  </si>
  <si>
    <t>DDPK SUMATIF 2</t>
  </si>
  <si>
    <t>DDPK SUMATIF 3</t>
  </si>
  <si>
    <t>KONS. KEAHLIAN SUMATIF 1</t>
  </si>
  <si>
    <t>KONS. KEAHLIAN SUMATIF 2</t>
  </si>
  <si>
    <t>KONS. KEAHLIAN SUMATIF 3</t>
  </si>
  <si>
    <t>PKK SUMATIF 1</t>
  </si>
  <si>
    <t>PKK SUMATIF 2</t>
  </si>
  <si>
    <t>PKK SUMATIF 3</t>
  </si>
  <si>
    <t>MAPEL PILIHAN SUMATIF 1</t>
  </si>
  <si>
    <t>MAPEL PILIHAN SUMATIF 2</t>
  </si>
  <si>
    <t>MAPEL PILIHAN SUMATIF 3</t>
  </si>
  <si>
    <t>🕌</t>
  </si>
  <si>
    <t>🏛️</t>
  </si>
  <si>
    <t>📖</t>
  </si>
  <si>
    <t>⚽</t>
  </si>
  <si>
    <t>📜</t>
  </si>
  <si>
    <t>🎨</t>
  </si>
  <si>
    <t>🏞️</t>
  </si>
  <si>
    <t>1</t>
  </si>
  <si>
    <t>✖️ ➖</t>
  </si>
  <si>
    <t>MATEMATIKA</t>
  </si>
  <si>
    <t>📘</t>
  </si>
  <si>
    <t>💻</t>
  </si>
  <si>
    <t>🔬</t>
  </si>
  <si>
    <t>🛠️</t>
  </si>
  <si>
    <t>🚗</t>
  </si>
  <si>
    <t>2</t>
  </si>
  <si>
    <t>💰</t>
  </si>
  <si>
    <t>3</t>
  </si>
  <si>
    <t>4</t>
  </si>
  <si>
    <t>🎯</t>
  </si>
  <si>
    <t>SUMATIF 1</t>
  </si>
  <si>
    <t>SUMATIF 2</t>
  </si>
  <si>
    <t>5</t>
  </si>
  <si>
    <t>SUMATIF 3</t>
  </si>
  <si>
    <t>RATA-RATA SUMATIF</t>
  </si>
  <si>
    <t>NILAI SUMATIF AKHIR</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</si>
  <si>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</si>
  <si>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</si>
  <si>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</si>
  <si>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</si>
  <si>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</si>
  <si>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</si>
  <si>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</si>
  <si>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</si>
  <si>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</si>
  <si>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</si>
  <si>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</si>
  <si>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</si>
  <si>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</si>
  <si>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</si>
  <si>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</si>
  <si>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</si>
  <si>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</si>
  <si>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</si>
  <si>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</si>
  <si>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</si>
  <si>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</si>
  <si>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</si>
  <si>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</si>
  <si>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</si>
  <si>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</si>
  <si>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</si>
  <si>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</si>
  <si>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</si>
  <si>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</si>
  <si>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</si>
  <si>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</si>
  <si>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</si>
  <si>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</si>
  <si>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</si>
  <si>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</si>
  <si>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</si>
  <si>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</si>
  <si>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</si>
  <si>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</si>
  <si>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</si>
  <si>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KEWIRAUSAHAAN / Berwirausaha Dari Hasil Kebun Ibu</t>
  </si>
  <si>
    <t>Mandiri</t>
  </si>
  <si>
    <t>Kreatif</t>
  </si>
  <si>
    <t>Kolom PSAT</t>
  </si>
  <si>
    <t>Bergotong Royong</t>
  </si>
  <si>
    <t>Nilai</t>
  </si>
  <si>
    <t>Artinya</t>
  </si>
  <si>
    <t>Keterangan</t>
  </si>
  <si>
    <t>keterangan</t>
  </si>
  <si>
    <t xml:space="preserve">No </t>
  </si>
  <si>
    <t>Ket</t>
  </si>
  <si>
    <t>KODING</t>
  </si>
  <si>
    <t>CP KODING</t>
  </si>
  <si>
    <t>👨🏻‍💻</t>
  </si>
  <si>
    <t>KONSENTRASI KEAHLIAN</t>
  </si>
  <si>
    <t>Penugasan</t>
  </si>
  <si>
    <t>Tes Tertulis</t>
  </si>
  <si>
    <t>KOKURIKULER</t>
  </si>
  <si>
    <t>Praktik</t>
  </si>
  <si>
    <t>-</t>
  </si>
  <si>
    <t>BB</t>
  </si>
  <si>
    <t>Memahami ayat Al-qur'an dan hadits tentang perintah berlomba-lomba dalam kebaikan serta menganalisis manfaat menghiundari akhlak mazmumah.</t>
  </si>
  <si>
    <t>Siswa masih membutuhkan bimbingan dalam mengembangkan kemampuannya</t>
  </si>
  <si>
    <t>Belum Berkembang</t>
  </si>
  <si>
    <t>menganalisis cara pandang para pendiri negara tentang rumusan Pancasila sebagai dasar negara hak dan kewajiban warga negara yang diatur dalam Undang- Undang Dasar Negara Republik Indonesia Tahun 1945</t>
  </si>
  <si>
    <t>memiliki kemampuan berbahasa untuk berkomunikasi dan bernalar sesuai dengan tujuan, konteks sosial, akademis, dan dunia kerja, serta mampu memahami, mengolah, menginterpretasi, dan mengevaluasi informasi dari berbagai tipe teks tentang topik yang beragam.</t>
  </si>
  <si>
    <t>Ganjil</t>
  </si>
  <si>
    <t>dapat menunjukkan kemampuan merancang dengan mengikuti beragam pola yang ada dan mempraktikkan berbagai aktivitas penerapan keterampilan gerak (motor skills) dilandasi dengan pengetahuan yang benar</t>
  </si>
  <si>
    <t>Prinsip dasar ilmu Sejarah, Tahapan jaman Praejarah dengan manusia pendukungnya</t>
  </si>
  <si>
    <t>MB</t>
  </si>
  <si>
    <t>Siswa mulai mengembangkan kemampuan namun masih belum ajek</t>
  </si>
  <si>
    <t>Mulai Berkembang</t>
  </si>
  <si>
    <t>BSH</t>
  </si>
  <si>
    <t>Siswa telah mengembangkan kemampuan hingga berada dalam tahap ajek</t>
  </si>
  <si>
    <t>Berkembang Sesuai Harapan</t>
  </si>
  <si>
    <t>Siswa mampu memahami genre musik dan instrumen musik dengan baik</t>
  </si>
  <si>
    <t>SB</t>
  </si>
  <si>
    <t>Siswa mengembangkan kemampuannya melampaui harapan</t>
  </si>
  <si>
    <t>Sangat Berkembang</t>
  </si>
  <si>
    <t>Mampu memahami sejarah dan fungsi aksara sunda , bentuk dasara serta membaca aksara sunda</t>
  </si>
  <si>
    <t xml:space="preserve">menggeneralisasi sifat-sifat bilangan berpangkat (termasuk bilangan pangkat pecahan)
</t>
  </si>
  <si>
    <t>memperkenalkan diri kepada orang lain, pengungkapan congratulation &amp; compliment, membuat pengumuman serta penggunaan kata ganti orang pertama kedua ketiga.</t>
  </si>
  <si>
    <t>memanfaatkan berbagai aplikasi secara bersamaan dan optimal untuk berkomunikasi, mencari sumber data yang akan diolah menjadi informasi, baik di dunia nyata maupun di internet, serta mahir menggunakan fitur lanjut aplikasi perkantoran (pengolah kata, angka, dan presentasi) beserta otomasinya untuk mengintegrasikan dan menyajikan konten aplikasi dalam berbagai representasi yang memudahkan analisis dan interpretasi konten tersebut.</t>
  </si>
  <si>
    <t>menjelaskan fenomena-fenomena yang terjadi di lingkungan sekitarnya dilihat dari berbagai aspek seperti makhluk hidup dan lingkungan nya, zat dan perubahan nya, energi dan perubahan nya. Peserta didik juga mengaitkan fenomena-fenomena tersebut dengan keterampilan teknis pada bidang keahliannya</t>
  </si>
  <si>
    <t>menggunakan tools dan alat ukur dasar untuk servis  sepeda motor</t>
  </si>
  <si>
    <t>menunjukkan sikap kerja yang sistematis, gigih (persisten), dan logis dalam menghadapi masalah komputasi yang kompleks dan dalam proses debugging kode.</t>
  </si>
  <si>
    <t>Peserta didik secara konsisten menunjukkan sikap disiplin dan tanggung jawab (Mandiri), aktif bekerja sama dan saling menghargai (Gotong Royong), serta menerapkan nilai-nilai akhlak mulia dalam setiap kegiatan (Beriman dan Bertakwa kepada Tuhan YME serta Berakhlak Mulia).</t>
  </si>
  <si>
    <t>Tingkatkan lagi prestasimu di semester berikutnya, sehingga apa yang telah didapat sekarang bisa lebih berguna lagi dimasa depan</t>
  </si>
  <si>
    <t>NAIK</t>
  </si>
  <si>
    <t>menganalisis cara pandang para pendiri negara tentang rumusan Pancasila sebagai dasar negara hak dan kewajiban warga negara yang diatur dalam Undang- Undang Dasar Negara Republik Indonesia Tahun 1946</t>
  </si>
  <si>
    <t/>
  </si>
  <si>
    <t>Peserta didik menunjukkan upaya dalam bersikap disiplin dan bertanggung jawab (Mandiri), serta bekerja sama dengan teman (Gotong Royong), namun masih perlu meningkatkan konsistensi dalam menerapkan nilai-nilai akhlak mulia (Beriman dan Bertakwa kepada Tuhan YME serta Berakhlak Mulia).</t>
  </si>
  <si>
    <t>Log Eksekusi</t>
  </si>
  <si>
    <t>HALAMAN WALI KELAS</t>
  </si>
  <si>
    <t>LULUS</t>
  </si>
  <si>
    <t>🗂️ LINK INPUT BIODATA</t>
  </si>
  <si>
    <t>GENERATE PDF DAN PRINT RAPOR</t>
  </si>
  <si>
    <t>menganalisis cara pandang para pendiri negara tentang rumusan Pancasila sebagai dasar negara hak dan kewajiban warga negara yang diatur dalam Undang- Undang Dasar Negara Republik Indonesia Tahun 1947</t>
  </si>
  <si>
    <t>Pilih Siswa :</t>
  </si>
  <si>
    <t>Informasi !</t>
  </si>
  <si>
    <t>🔄</t>
  </si>
  <si>
    <t>MUHAMMAD GALANG GUNAWAN</t>
  </si>
  <si>
    <t>Walas di sini hanya melakukan Generate Rapor Setiap Siswa. Dengan cara Pilih Siswa, Kemudian Klik Tombol Generate Rapor, Lalu Buka Link File nya</t>
  </si>
  <si>
    <t>Sebelum Input Biodata Klik menu Setting.</t>
  </si>
  <si>
    <t>SUMATIF</t>
  </si>
  <si>
    <t>RAPOR CK1</t>
  </si>
  <si>
    <t>RAPOR CK2</t>
  </si>
  <si>
    <t>RAPOR P5</t>
  </si>
  <si>
    <t>Cover BIODATA</t>
  </si>
  <si>
    <t>Biodata Sekolah</t>
  </si>
  <si>
    <t>Biodata Siswa</t>
  </si>
  <si>
    <t>LEGER</t>
  </si>
  <si>
    <t>Dipojok kiri atas</t>
  </si>
  <si>
    <t>A1:R53</t>
  </si>
  <si>
    <t>S55:AB90</t>
  </si>
  <si>
    <t>S103:AB151</t>
  </si>
  <si>
    <t>A1:H41</t>
  </si>
  <si>
    <t>A1:G39</t>
  </si>
  <si>
    <t>I39:O54</t>
  </si>
  <si>
    <t>Q55:X92</t>
  </si>
  <si>
    <t>A1:AD64</t>
  </si>
  <si>
    <t>Setelah itu pilih Tahun Masuk dan Kelas</t>
  </si>
  <si>
    <t>NAMA SISWA</t>
  </si>
  <si>
    <t>Peserta didik menunjukkan sikap disiplin dan tanggung jawab (Mandiri), mampu bekerja sama dan saling menghargai (Gotong Royong), serta menerapkan nilai-nilai akhlak mulia dalam kegiatan sekolah (Beriman dan Bertakwa kepada Tuhan YME serta Berakhlak Mulia).</t>
  </si>
  <si>
    <t>🗂️GENERATED SISWA :</t>
  </si>
  <si>
    <t>AHMAD FAUZI</t>
  </si>
  <si>
    <t>menganalisis cara pandang para pendiri negara tentang rumusan Pancasila sebagai dasar negara hak dan kewajiban warga negara yang diatur dalam Undang- Undang Dasar Negara Republik Indonesia Tahun 1948</t>
  </si>
  <si>
    <t>AHMAD YOPI JUMAEDI</t>
  </si>
  <si>
    <t>🎓</t>
  </si>
  <si>
    <t>ALGI FALGIAN</t>
  </si>
  <si>
    <t>ALI PERMANA</t>
  </si>
  <si>
    <t>AZRIL EKA NUGRAHA</t>
  </si>
  <si>
    <t>DIKA MUSTIKA SAPUTRA</t>
  </si>
  <si>
    <t>FAWAZ NAUPAL ALFATIR</t>
  </si>
  <si>
    <t>FIKRI AHMAD NAWAWI</t>
  </si>
  <si>
    <t>HADI NURYADI</t>
  </si>
  <si>
    <t>IBNU WANALI</t>
  </si>
  <si>
    <t>menganalisis cara pandang para pendiri negara tentang rumusan Pancasila sebagai dasar negara hak dan kewajiban warga negara yang diatur dalam Undang- Undang Dasar Negara Republik Indonesia Tahun 1949</t>
  </si>
  <si>
    <t xml:space="preserve">IHSAN ABDULOH </t>
  </si>
  <si>
    <t>INDRA NURMAN</t>
  </si>
  <si>
    <t>IWAN SOPYAN</t>
  </si>
  <si>
    <t>JEJEN JAENI</t>
  </si>
  <si>
    <t>M.HASAN ASARI</t>
  </si>
  <si>
    <t>MUHAMAD ABIB RIZAL</t>
  </si>
  <si>
    <t>MUHAMAD AL FARIZ</t>
  </si>
  <si>
    <t>MUHAMAD ASRUL</t>
  </si>
  <si>
    <t>MUHAMAD FARHAN</t>
  </si>
  <si>
    <t>MUHAMAD MIFTAH NASHIRUDIN</t>
  </si>
  <si>
    <t>menganalisis cara pandang para pendiri negara tentang rumusan Pancasila sebagai dasar negara hak dan kewajiban warga negara yang diatur dalam Undang- Undang Dasar Negara Republik Indonesia Tahun 1950</t>
  </si>
  <si>
    <t>MUHAMAD NUR KHOLIS ROMDONI</t>
  </si>
  <si>
    <t>MUHAMAD RIDWAN</t>
  </si>
  <si>
    <t>MUHAMAD RUDI RIVIANSYAH</t>
  </si>
  <si>
    <t>MUHAMAD SALMAN</t>
  </si>
  <si>
    <t>MUHAMAD SUTIAWAN ALI</t>
  </si>
  <si>
    <t>MUHAMMAD FAHRI MAULANA</t>
  </si>
  <si>
    <t>MUHAMMAD GOZALI</t>
  </si>
  <si>
    <t>MUHAMMAD HADAD AT'TOILLAH</t>
  </si>
  <si>
    <t>MUHAMMAD ILHAM</t>
  </si>
  <si>
    <t>menganalisis cara pandang para pendiri negara tentang rumusan Pancasila sebagai dasar negara hak dan kewajiban warga negara yang diatur dalam Undang- Undang Dasar Negara Republik Indonesia Tahun 1951</t>
  </si>
  <si>
    <t xml:space="preserve">M. IRPAN SAEPUL IBRAHIM </t>
  </si>
  <si>
    <t>MUHAMMAD NAZIL SIBTHURRIDHO</t>
  </si>
  <si>
    <t>MUHAMMAD RAGIL</t>
  </si>
  <si>
    <t>NAJMI ERIANA</t>
  </si>
  <si>
    <t>PANO PAIZAL</t>
  </si>
  <si>
    <t>PIRMAN ADRIYANI PUTRA</t>
  </si>
  <si>
    <t>RAFFA RAMADHAN</t>
  </si>
  <si>
    <t>RAFQA NUZULUL AKBAR SETIANA</t>
  </si>
  <si>
    <t>menganalisis cara pandang para pendiri negara tentang rumusan Pancasila sebagai dasar negara hak dan kewajiban warga negara yang diatur dalam Undang- Undang Dasar Negara Republik Indonesia Tahun 1952</t>
  </si>
  <si>
    <t>RIDO MUHAMAD NUR FADILAH</t>
  </si>
  <si>
    <t>RIFAL KAMILUL AJHAR</t>
  </si>
  <si>
    <t>RIVALDI MAULANA</t>
  </si>
  <si>
    <t>RIZAL RISMAYANDI</t>
  </si>
  <si>
    <t>RIZKI ADITIA PRATAMA</t>
  </si>
  <si>
    <t>SURYA BAGJA JUNIOR</t>
  </si>
  <si>
    <t>WILDAN RIPAI</t>
  </si>
  <si>
    <t>YUDHA PRASETYO</t>
  </si>
  <si>
    <t>menganalisis cara pandang para pendiri negara tentang rumusan Pancasila sebagai dasar negara hak dan kewajiban warga negara yang diatur dalam Undang- Undang Dasar Negara Republik Indonesia Tahun 1953</t>
  </si>
  <si>
    <t>menganalisis cara pandang para pendiri negara tentang rumusan Pancasila sebagai dasar negara hak dan kewajiban warga negara yang diatur dalam Undang- Undang Dasar Negara Republik Indonesia Tahun 1954</t>
  </si>
  <si>
    <t>JUMLAH</t>
  </si>
  <si>
    <t>RATA-RATA</t>
  </si>
  <si>
    <t>RANKING</t>
  </si>
  <si>
    <t xml:space="preserve">Nama             </t>
  </si>
  <si>
    <t>:</t>
  </si>
  <si>
    <t>Kelas</t>
  </si>
  <si>
    <t>NIS/NISN</t>
  </si>
  <si>
    <t>Fase</t>
  </si>
  <si>
    <t>Nama Sekolah</t>
  </si>
  <si>
    <t>Semester</t>
  </si>
  <si>
    <t>Alamat</t>
  </si>
  <si>
    <t>Tahun Pelajaran</t>
  </si>
  <si>
    <t>menganalisis cara pandang para pendiri negara tentang rumusan Pancasila sebagai dasar negara hak dan kewajiban warga negara yang diatur dalam Undang- Undang Dasar Negara Republik Indonesia Tahun 1955</t>
  </si>
  <si>
    <t>LAPORAN HASIL PENILAIAN SUMATIF SISWA</t>
  </si>
  <si>
    <t>No</t>
  </si>
  <si>
    <t>Mata Pelajaran</t>
  </si>
  <si>
    <t xml:space="preserve">Rerata Nilai </t>
  </si>
  <si>
    <t>Rincian Nilai Sumatif</t>
  </si>
  <si>
    <t>Mata Pelajaran Umum</t>
  </si>
  <si>
    <t>Pendidikan Agama Islam dan Budi Pekerti</t>
  </si>
  <si>
    <t>,</t>
  </si>
  <si>
    <t>DAFTAR PENGAMBILAN RAPORT</t>
  </si>
  <si>
    <t xml:space="preserve">Pendidikan Pancasila </t>
  </si>
  <si>
    <t>NAMA ORANG TUA</t>
  </si>
  <si>
    <t>TTD</t>
  </si>
  <si>
    <t>PKS/POLSIS</t>
  </si>
  <si>
    <t>A</t>
  </si>
  <si>
    <t>siswa mampu mengikuti ekstrakurikuler dengan sangat baik</t>
  </si>
  <si>
    <t>menganalisis cara pandang para pendiri negara tentang rumusan Pancasila sebagai dasar negara hak dan kewajiban warga negara yang diatur dalam Undang- Undang Dasar Negara Republik Indonesia Tahun 1956</t>
  </si>
  <si>
    <t>Bahasa Indonesia</t>
  </si>
  <si>
    <t>Pendidikan Jasmani, Olahraga, dan Kesehatan</t>
  </si>
  <si>
    <t>Sejarah</t>
  </si>
  <si>
    <t>Seni dan Budaya</t>
  </si>
  <si>
    <t>Mata Pelajaran Kejuruan</t>
  </si>
  <si>
    <t>Mengetahui,</t>
  </si>
  <si>
    <t>Matematika</t>
  </si>
  <si>
    <t>Wali Kelas,</t>
  </si>
  <si>
    <t>menganalisis cara pandang para pendiri negara tentang rumusan Pancasila sebagai dasar negara hak dan kewajiban warga negara yang diatur dalam Undang- Undang Dasar Negara Republik Indonesia Tahun 1957</t>
  </si>
  <si>
    <t>Bahasa Inggris</t>
  </si>
  <si>
    <t>Informatika</t>
  </si>
  <si>
    <t>Projek Ilmu Pengetahuan Alam dan Sosial</t>
  </si>
  <si>
    <t>Dasar - Dasar Program Keahlian</t>
  </si>
  <si>
    <t>menganalisis cara pandang para pendiri negara tentang rumusan Pancasila sebagai dasar negara hak dan kewajiban warga negara yang diatur dalam Undang- Undang Dasar Negara Republik Indonesia Tahun 1958</t>
  </si>
  <si>
    <t>Projek Kreatif dan Kewirausahaan</t>
  </si>
  <si>
    <t>Konsentrasi Keahlian</t>
  </si>
  <si>
    <t>Mata Pelajaran Pilihan</t>
  </si>
  <si>
    <t>Koding dan Kecerdasan Artifisial</t>
  </si>
  <si>
    <t>menganalisis cara pandang para pendiri negara tentang rumusan Pancasila sebagai dasar negara hak dan kewajiban warga negara yang diatur dalam Undang- Undang Dasar Negara Republik Indonesia Tahun 1959</t>
  </si>
  <si>
    <t>Muatan Lokal</t>
  </si>
  <si>
    <t>Bahasa Sunda</t>
  </si>
  <si>
    <t>KETIDAKHADIRAN</t>
  </si>
  <si>
    <t>Sakit</t>
  </si>
  <si>
    <t>Izin</t>
  </si>
  <si>
    <t>Tanpa Keterangan</t>
  </si>
  <si>
    <t>menganalisis cara pandang para pendiri negara tentang rumusan Pancasila sebagai dasar negara hak dan kewajiban warga negara yang diatur dalam Undang- Undang Dasar Negara Republik Indonesia Tahun 1960</t>
  </si>
  <si>
    <t>Orang Tua/Wali Siswa,</t>
  </si>
  <si>
    <t>………………………………………</t>
  </si>
  <si>
    <t>Mengetahui;</t>
  </si>
  <si>
    <t>Kepala Sekolah,</t>
  </si>
  <si>
    <t>PROJEK PENGUATAN PROFIL PELAJAR PANCASILA (P5)</t>
  </si>
  <si>
    <t>menganalisis cara pandang para pendiri negara tentang rumusan Pancasila sebagai dasar negara hak dan kewajiban warga negara yang diatur dalam Undang- Undang Dasar Negara Republik Indonesia Tahun 1961</t>
  </si>
  <si>
    <t xml:space="preserve">     Nama Peserta Didik                </t>
  </si>
  <si>
    <t>E</t>
  </si>
  <si>
    <t xml:space="preserve">     NIS/NISN</t>
  </si>
  <si>
    <t>LAPORAN HASIL BELAJAR</t>
  </si>
  <si>
    <t xml:space="preserve">Satuan Pendidikan   </t>
  </si>
  <si>
    <t>SMKN 1 PLERED</t>
  </si>
  <si>
    <t xml:space="preserve">     Kelas</t>
  </si>
  <si>
    <t>Program Keahlian</t>
  </si>
  <si>
    <t>Akuntansi Keuangan Lembaga</t>
  </si>
  <si>
    <t>(RAPOR)</t>
  </si>
  <si>
    <t xml:space="preserve">     Semester</t>
  </si>
  <si>
    <t>Akuntansi</t>
  </si>
  <si>
    <t xml:space="preserve">     Tema Projek</t>
  </si>
  <si>
    <t>Kearifan Lokal</t>
  </si>
  <si>
    <t xml:space="preserve">     Judul Projek</t>
  </si>
  <si>
    <t>Pembiasaan Sarapan  Sehat Dengan Kearifan Lokal</t>
  </si>
  <si>
    <t>Nama Peserta Didik</t>
  </si>
  <si>
    <t>Mengembangkan Impian Peserta Didik SMK</t>
  </si>
  <si>
    <t>🏠 Home</t>
  </si>
  <si>
    <t>a.</t>
  </si>
  <si>
    <t>Menyesuaikan dan mulai menjalankian rencana dan strategi pengembangan potensi diri</t>
  </si>
  <si>
    <t>Berkebinekaan Global</t>
  </si>
  <si>
    <t>Merefleksikan   secara kritis dampak dari keberagamana kuliner terhadap pembiasaan berkehidupan dalam sehari-hari</t>
  </si>
  <si>
    <t>Bidang Keahlian</t>
  </si>
  <si>
    <t>b.</t>
  </si>
  <si>
    <t>Mengetahui tantangan dan keutungan hidup dalam budaya yang penuh dengan keanekaragaman kuliner Nusantara</t>
  </si>
  <si>
    <t>Membangun tim dan mengelola Kerjasama untuk mencapai tujuan Bersama sesuai dengan target yang ditentukan</t>
  </si>
  <si>
    <t>I. INTRA KURIKULER</t>
  </si>
  <si>
    <t>Capaian Kompetensi</t>
  </si>
  <si>
    <t>menganalisis cara pandang para pendiri negara tentang rumusan Pancasila sebagai dasar negara hak dan kewajiban warga negara yang diatur dalam Undang- Undang Dasar Negara Republik Indonesia Tahun 1962</t>
  </si>
  <si>
    <t>menganalisis cara pandang para pendiri negara tentang rumusan Pancasila sebagai dasar negara hak dan kewajiban warga negara yang diatur dalam Undang- Undang Dasar Negara Republik Indonesia Tahun 1963</t>
  </si>
  <si>
    <t>menganalisis cara pandang para pendiri negara tentang rumusan Pancasila sebagai dasar negara hak dan kewajiban warga negara yang diatur dalam Undang- Undang Dasar Negara Republik Indonesia Tahun 1964</t>
  </si>
  <si>
    <t>HIDE</t>
  </si>
  <si>
    <t>menganalisis cara pandang para pendiri negara tentang rumusan Pancasila sebagai dasar negara hak dan kewajiban warga negara yang diatur dalam Undang- Undang Dasar Negara Republik Indonesia Tahun 1965</t>
  </si>
  <si>
    <t>🏠 Kembali</t>
  </si>
  <si>
    <t>II. KOKURIKULER</t>
  </si>
  <si>
    <t>menganalisis cara pandang para pendiri negara tentang rumusan Pancasila sebagai dasar negara hak dan kewajiban warga negara yang diatur dalam Undang- Undang Dasar Negara Republik Indonesia Tahun 1966</t>
  </si>
  <si>
    <t>III. EKSTRA KURIKULER</t>
  </si>
  <si>
    <t>Ekstrakurikuler</t>
  </si>
  <si>
    <t>1.</t>
  </si>
  <si>
    <t>2.</t>
  </si>
  <si>
    <t>POLSIS</t>
  </si>
  <si>
    <t>Sangat baik dalam menjalankan tugas menjaga ketertiban sekolah. Memiliki kedisiplinan yang tinggi, jiwa kepemimpinan yang kuat, serta mampu menjadi contoh teladan yang baik bagi siswa lainnya.</t>
  </si>
  <si>
    <t>IV. KETIDAKHADIRAN</t>
  </si>
  <si>
    <t>menganalisis cara pandang para pendiri negara tentang rumusan Pancasila sebagai dasar negara hak dan kewajiban warga negara yang diatur dalam Undang- Undang Dasar Negara Republik Indonesia Tahun 1967</t>
  </si>
  <si>
    <t>Ketidakhadiran</t>
  </si>
  <si>
    <t>Catatan Wali Kelas</t>
  </si>
  <si>
    <t>menganalisis cara pandang para pendiri negara tentang rumusan Pancasila sebagai dasar negara hak dan kewajiban warga negara yang diatur dalam Undang- Undang Dasar Negara Republik Indonesia Tahun 1968</t>
  </si>
  <si>
    <t>Sepak Bola</t>
  </si>
  <si>
    <t>B</t>
  </si>
  <si>
    <t>Siswa menunjukkan kemampuan yang baik dan konsisten, dengan potensi pengembangan, seperti menguasai teknik dasar (dribbling, passing, shooting) secara efektif, menunjukkan kerja sama tim yang solid, disiplin, dan memiliki semangat juang yang tinggi</t>
  </si>
  <si>
    <t>menganalisis cara pandang para pendiri negara tentang rumusan Pancasila sebagai dasar negara hak dan kewajiban warga negara yang diatur dalam Undang- Undang Dasar Negara Republik Indonesia Tahun 1969</t>
  </si>
  <si>
    <t>50</t>
  </si>
  <si>
    <t>menganalisis cara pandang para pendiri negara tentang rumusan Pancasila sebagai dasar negara hak dan kewajiban warga negara yang diatur dalam Undang- Undang Dasar Negara Republik Indonesia Tahun 1970</t>
  </si>
  <si>
    <t>menganalisis cara pandang para pendiri negara tentang rumusan Pancasila sebagai dasar negara hak dan kewajiban warga negara yang diatur dalam Undang- Undang Dasar Negara Republik Indonesia Tahun 1971</t>
  </si>
  <si>
    <t>menganalisis cara pandang para pendiri negara tentang rumusan Pancasila sebagai dasar negara hak dan kewajiban warga negara yang diatur dalam Undang- Undang Dasar Negara Republik Indonesia Tahun 1972</t>
  </si>
  <si>
    <t xml:space="preserve">   Tema Projek</t>
  </si>
  <si>
    <t>Kewirausahaan</t>
  </si>
  <si>
    <t xml:space="preserve">   Judul Projek</t>
  </si>
  <si>
    <t>Berwirausaha Dari Hasil Kebun Ibu</t>
  </si>
  <si>
    <t>Mengenali kualitas dan minat diri serta tantangan yang dihadapi &amp; Mengembangkan refleksi diri</t>
  </si>
  <si>
    <t>Regulasi emosi, penetapan tujuan dan rencana strategis pengembangan diri dan prestasi serta memiliki inisiatif dan bekerja secara mandiri, mengembangkan kendali dan disiplin diri, percaya diri, resilien dan adaptif</t>
  </si>
  <si>
    <t>Menghasilkan gagasan yang beragam dan tepat sesuai dengan kebutuhan masyarakat terhadap sebuah permasalahan yang ada.</t>
  </si>
  <si>
    <t>Mengeksplorasi dan mengekspresikan pikiran dan perasaannya kedalam sebuah karya.</t>
  </si>
  <si>
    <t>c.</t>
  </si>
  <si>
    <t>Mampu mengevaluasi tindakan dan gagasan yang sudah dimiliki serta mengetahui kesesuaian dengan kebutuhan masyarakat umum</t>
  </si>
  <si>
    <t>Kerjasama, komunikasi untuk mencapai tujuan Bersama, saling ketergantungan positif dan koordinasi sosial</t>
  </si>
  <si>
    <t>Tanggap terhadap lingkungan, persepsi sosial</t>
  </si>
  <si>
    <t>Membagi peran dan menyelaraskan tindakan dalam kelompok supaya tercipta keselarasan dan keterbukaan dalam berbagi dengan kelompok.</t>
  </si>
  <si>
    <t>menganalisis cara pandang para pendiri negara tentang rumusan Pancasila sebagai dasar negara hak dan kewajiban warga negara yang diatur dalam Undang- Undang Dasar Negara Republik Indonesia Tahun 1973</t>
  </si>
  <si>
    <t>menganalisis cara pandang para pendiri negara tentang rumusan Pancasila sebagai dasar negara hak dan kewajiban warga negara yang diatur dalam Undang- Undang Dasar Negara Republik Indonesia Tahun 1974</t>
  </si>
  <si>
    <t>menganalisis cara pandang para pendiri negara tentang rumusan Pancasila sebagai dasar negara hak dan kewajiban warga negara yang diatur dalam Undang- Undang Dasar Negara Republik Indonesia Tahun 1975</t>
  </si>
  <si>
    <t>menganalisis cara pandang para pendiri negara tentang rumusan Pancasila sebagai dasar negara hak dan kewajiban warga negara yang diatur dalam Undang- Undang Dasar Negara Republik Indonesia Tahun 1976</t>
  </si>
  <si>
    <t>SEKOLAH MENENGAH KEJURURAN</t>
  </si>
  <si>
    <t>(SMK)</t>
  </si>
  <si>
    <t>Nama Peserta Didik :</t>
  </si>
  <si>
    <t>NIS / NISN :</t>
  </si>
  <si>
    <t>SISPALA PANEL</t>
  </si>
  <si>
    <t>siswa mampu memahami materi dan mendemonstrasikan ke-Pecinta Alaman dengan sangat baik</t>
  </si>
  <si>
    <t>KEMENTERIAN PENDIDIKAN, KEBUDAYAAN, RISET, DAN TEKNOLOGI</t>
  </si>
  <si>
    <t>REPUBLIK INDONESIA</t>
  </si>
  <si>
    <t>SEKOLAH MENENGAH KEJURUAN</t>
  </si>
  <si>
    <t>menganalisis cara pandang para pendiri negara tentang rumusan Pancasila sebagai dasar negara hak dan kewajiban warga negara yang diatur dalam Undang- Undang Dasar Negara Republik Indonesia Tahun 1977</t>
  </si>
  <si>
    <t>NPSN</t>
  </si>
  <si>
    <t>NIS/NSS/NDS</t>
  </si>
  <si>
    <t>Alamat Sekolah</t>
  </si>
  <si>
    <t>Desa</t>
  </si>
  <si>
    <t>Kecamatan</t>
  </si>
  <si>
    <t>Kabupaten</t>
  </si>
  <si>
    <t>Provinsi</t>
  </si>
  <si>
    <t>Website</t>
  </si>
  <si>
    <t>Email</t>
  </si>
  <si>
    <t>KETERANGAN TENTANG DIRI PESERTA DIDIK</t>
  </si>
  <si>
    <t>Nama Peserta Didik Lengkap</t>
  </si>
  <si>
    <t>Nomor Induk Siswa / NISN</t>
  </si>
  <si>
    <t>3.</t>
  </si>
  <si>
    <t>Tempat Tanggal Lahir</t>
  </si>
  <si>
    <t>4.</t>
  </si>
  <si>
    <t>Jenis Kelamin</t>
  </si>
  <si>
    <t>5.</t>
  </si>
  <si>
    <t>Agama / Kepercayaan</t>
  </si>
  <si>
    <t>6.</t>
  </si>
  <si>
    <t>Status dalam Keluarga</t>
  </si>
  <si>
    <t>7.</t>
  </si>
  <si>
    <t>Anak ke</t>
  </si>
  <si>
    <t>8.</t>
  </si>
  <si>
    <t>Alamat Peserta Didik</t>
  </si>
  <si>
    <t>menganalisis cara pandang para pendiri negara tentang rumusan Pancasila sebagai dasar negara hak dan kewajiban warga negara yang diatur dalam Undang- Undang Dasar Negara Republik Indonesia Tahun 1978</t>
  </si>
  <si>
    <t>9.</t>
  </si>
  <si>
    <t>Nomor Telepon Rumah</t>
  </si>
  <si>
    <t>10.</t>
  </si>
  <si>
    <t>Sekolah Asal</t>
  </si>
  <si>
    <t>11.</t>
  </si>
  <si>
    <t>Diterima di sekolah ini</t>
  </si>
  <si>
    <t>Di kelas</t>
  </si>
  <si>
    <t>Pada tanggal</t>
  </si>
  <si>
    <t>12.</t>
  </si>
  <si>
    <t>Nama Orang Tua</t>
  </si>
  <si>
    <t>TOOL UNTUK MELAKUKAN PENYUSUNAN DAN PENCOCOKAN DATA YANG DI SALIN BERDASARKAN STRUKTUR FORM NILAI</t>
  </si>
  <si>
    <t>a. Ayah</t>
  </si>
  <si>
    <t>COPY PASTE KESINI DATA DARI EXCEL
BESERTA KOLOM NAMA NYA !</t>
  </si>
  <si>
    <t>b. Ibu</t>
  </si>
  <si>
    <t>LUCUTI FORMAT</t>
  </si>
  <si>
    <r>
      <rPr>
        <rFont val="Calibri"/>
        <b/>
        <color theme="1"/>
      </rPr>
      <t xml:space="preserve">✅ DATA SIAP DI COPY PASTE KE INPUT SUMATIF
</t>
    </r>
    <r>
      <rPr>
        <rFont val="Calibri"/>
        <b/>
        <color rgb="FFFF0000"/>
      </rPr>
      <t>COPY KOLOM NILAI SAJA (TANPA NAMA) !</t>
    </r>
  </si>
  <si>
    <t>13.</t>
  </si>
  <si>
    <t>Alamat Orang Tua</t>
  </si>
  <si>
    <t>SUMATIF1</t>
  </si>
  <si>
    <t>SUMATIF2</t>
  </si>
  <si>
    <t>SUMATIF3</t>
  </si>
  <si>
    <t>14.</t>
  </si>
  <si>
    <t>Pekerjaan Orang Tua</t>
  </si>
  <si>
    <t>15.</t>
  </si>
  <si>
    <t>Nama Wali Peserta Didik</t>
  </si>
  <si>
    <t>16.</t>
  </si>
  <si>
    <t>Alamat Wali Peserta Didik</t>
  </si>
  <si>
    <t>PASKIBRA</t>
  </si>
  <si>
    <t>Siswa menunjukkan sikap disiplin yang baik, aktif mengikuti latihan rutin, mampu melaksanakan instruksi PBB dengan benar, dan menunjukkan rasa tanggung jawab dalam menjalankan tugas.</t>
  </si>
  <si>
    <t>17.</t>
  </si>
  <si>
    <t>Pekerjaan Wali Peserta Didik</t>
  </si>
  <si>
    <t>Kepala Sekolah</t>
  </si>
  <si>
    <t>menganalisis cara pandang para pendiri negara tentang rumusan Pancasila sebagai dasar negara hak dan kewajiban warga negara yang diatur dalam Undang- Undang Dasar Negara Republik Indonesia Tahun 1979</t>
  </si>
  <si>
    <t>Setting Raport</t>
  </si>
  <si>
    <t>Tingkat 10</t>
  </si>
  <si>
    <t>HASIL FILTER SISWA :</t>
  </si>
  <si>
    <t>Col6,Col7,Col8,Col9,Col10,Col11,Col12,Col13,Col14,Col15,
Col16,Col17,Col18,Col19,Col20,Col21,Col22,Col23,Col24,
Col25,Col26,Col27,Col28,Col29,Col30,Col31</t>
  </si>
  <si>
    <t>HASIL SCAN</t>
  </si>
  <si>
    <t>1byDG8s8xrKqPoOVH4qighqm3HTGpuAdk</t>
  </si>
  <si>
    <t>X TO 4</t>
  </si>
  <si>
    <t>Tempat Lahir</t>
  </si>
  <si>
    <t>Tanggal Lahir</t>
  </si>
  <si>
    <t>JK</t>
  </si>
  <si>
    <t>Agama</t>
  </si>
  <si>
    <t>Anak ke-</t>
  </si>
  <si>
    <t>Alamat Siswa</t>
  </si>
  <si>
    <t>No. Telp</t>
  </si>
  <si>
    <t>Diterima di Kelas</t>
  </si>
  <si>
    <t>Tanggal</t>
  </si>
  <si>
    <t>Data Ayah</t>
  </si>
  <si>
    <t>Data Ibu</t>
  </si>
  <si>
    <t>No. Telp Ortu</t>
  </si>
  <si>
    <t>Pekerjaan Ayah</t>
  </si>
  <si>
    <t>Pekerjaan Ibu</t>
  </si>
  <si>
    <t>Nama Wali</t>
  </si>
  <si>
    <t>Alamat Wali</t>
  </si>
  <si>
    <t>No. Telp Wali</t>
  </si>
  <si>
    <t>Pekerjaan Wali</t>
  </si>
  <si>
    <t>NPSN Sekolah</t>
  </si>
  <si>
    <t>UPDATE PDF</t>
  </si>
  <si>
    <t>PRINT</t>
  </si>
  <si>
    <t>TAHUN MASUK</t>
  </si>
  <si>
    <t>TGL RAPORT X GANJIL</t>
  </si>
  <si>
    <t>RAPOR_SUMATIF</t>
  </si>
  <si>
    <t>RAPOR_CK_1</t>
  </si>
  <si>
    <t>RAPOR_CK_2</t>
  </si>
  <si>
    <t>Pilih Semester</t>
  </si>
  <si>
    <t>RAPOR_CK_1_2025 / 2026_Ganjil_X TO 4_AHMAD YOPI JUMAEDI.pdf</t>
  </si>
  <si>
    <t>2025 / 2026</t>
  </si>
  <si>
    <t>RAPOR_CK_1_2025 / 2026_Ganjil_X TO 4_AHMAD FAUZI.pdf</t>
  </si>
  <si>
    <t>LEGER_2025 / 2026_Ganjil_X TO 4.pdf</t>
  </si>
  <si>
    <t>RAPOR_BIO_SEK_2025 / 2026_Ganjil_X TO 4_SURYA BAGJA JUNIOR.pdf</t>
  </si>
  <si>
    <t>RAPOR_CK_2_2025 / 2026_Ganjil_X TO 4_SURYA BAGJA JUNIOR.pdf</t>
  </si>
  <si>
    <t>menganalisis cara pandang para pendiri negara tentang rumusan Pancasila sebagai dasar negara hak dan kewajiban warga negara yang diatur dalam Undang- Undang Dasar Negara Republik Indonesia Tahun 1980</t>
  </si>
  <si>
    <t>RAPOR_CK_2_2025 / 2026_Ganjil_X TO 4_RIZKI ADITIA PRATAMA.pdf</t>
  </si>
  <si>
    <t>WALAS</t>
  </si>
  <si>
    <t>RAPOR_CK_2_2025 / 2026_Ganjil_X TO 4_NAJMI ERIANA.pdf</t>
  </si>
  <si>
    <t>NIP WALAS</t>
  </si>
  <si>
    <t>PILIH SESI :</t>
  </si>
  <si>
    <t>TINGKAT 10</t>
  </si>
  <si>
    <t>RAPOR_CK_2_2025 / 2026_Ganjil_X TO 4_MUHAMAD NUR KHOLIS ROMDONI.pdf</t>
  </si>
  <si>
    <t>ID_SISWA</t>
  </si>
  <si>
    <t>File ID Orkestrator</t>
  </si>
  <si>
    <t>TINGKAT 11</t>
  </si>
  <si>
    <t>TINGKAT 12</t>
  </si>
  <si>
    <t>TINGKAT 13</t>
  </si>
  <si>
    <t>1cLL4JGUykkqv_Uw0l_vBul3Fmvht3eY2WzvujTSBgDU</t>
  </si>
  <si>
    <t>RAPOR_CK_2_2025 / 2026_Ganjil_X TO 4_IHSAN ABDULOH .pdf</t>
  </si>
  <si>
    <t>Sumber : Aplikasi Input Biodata</t>
  </si>
  <si>
    <t>File ID Konfigurasi Sesi</t>
  </si>
  <si>
    <t>RAPOR_CK_2_2025 / 2026_Ganjil_X TO 4_FIKRI AHMAD NAWAWI.pdf</t>
  </si>
  <si>
    <t>OWN_ID (otomatis)</t>
  </si>
  <si>
    <t>1l4oEEPmaA5bYsnlZkxW5CcxHsb7UiNmFbZSTH1SjnDM</t>
  </si>
  <si>
    <t>RAPOR_CK_2_2025 / 2026_Ganjil_X TO 4_ALGI FALGIAN.pdf</t>
  </si>
  <si>
    <t>URL Web App (otomatis)</t>
  </si>
  <si>
    <t>menganalisis cara pandang para pendiri negara tentang rumusan Pancasila sebagai dasar negara hak dan kewajiban warga negara yang diatur dalam Undang- Undang Dasar Negara Republik Indonesia Tahun 1981</t>
  </si>
  <si>
    <t>RAPOR_CK_2_2025 / 2026_Ganjil_X TO 4_YUDHA PRASETYO.pdf</t>
  </si>
  <si>
    <t>Kalimat Keputusan untuk Kelas x</t>
  </si>
  <si>
    <t>X</t>
  </si>
  <si>
    <t>V. KENAIKAN KELAS</t>
  </si>
  <si>
    <t>RAPOR_CK_2_2025 / 2026_Ganjil_X TO 4_WILDAN RIPAI.pdf</t>
  </si>
  <si>
    <t>RAPOR_CK_2_2025 / 2026_Ganjil_X TO 4_RIZAL RISMAYANDI.pdf</t>
  </si>
  <si>
    <t>Berdasarkan hasil yang dicapai pada semester 1 dan 2, peserta didik ditetapkan</t>
  </si>
  <si>
    <t>RAPOR_CK_2_2025 / 2026_Ganjil_X TO 4_RIFAL KAMILUL AJHAR.pdf</t>
  </si>
  <si>
    <t>Naik ke kelas XI (Sebelas)</t>
  </si>
  <si>
    <t>RAPOR_CK_2_2025 / 2026_Ganjil_X TO 4_RIDO MUHAMAD NUR FADILAH.pdf</t>
  </si>
  <si>
    <t>Tinggal di  kelas X (Sepuluh)   *)</t>
  </si>
  <si>
    <t>RAPOR_CK_2_2025 / 2026_Ganjil_X TO 4_RAFQA NUZULUL AKBAR SETIANA.pdf</t>
  </si>
  <si>
    <t>Kalimat Keputusan untuk Kelas XI</t>
  </si>
  <si>
    <t>XI</t>
  </si>
  <si>
    <t>Pertahankan prestasi ini di semester selanjutnya, dan apa yang telah didapat semoga bisa berguna di masa yang akan datang</t>
  </si>
  <si>
    <t>RAPOR_CK_2_2025 / 2026_Ganjil_X TO 4_RAFFA RAMADHAN.pdf</t>
  </si>
  <si>
    <t>menganalisis cara pandang para pendiri negara tentang rumusan Pancasila sebagai dasar negara hak dan kewajiban warga negara yang diatur dalam Undang- Undang Dasar Negara Republik Indonesia Tahun 1982</t>
  </si>
  <si>
    <t>RAPOR_CK_2_2025 / 2026_Ganjil_X TO 4_PIRMAN ADRIYANI PUTRA.pdf</t>
  </si>
  <si>
    <t>RAPOR_CK_2_2025 / 2026_Ganjil_X TO 4_PANO PAIZAL.pdf</t>
  </si>
  <si>
    <t>Naik ke kelas XII (Dua Belas)</t>
  </si>
  <si>
    <t>RAPOR_CK_2_2025 / 2026_Ganjil_X TO 4_MUHAMMAD RAGIL.pdf</t>
  </si>
  <si>
    <t>Tinggal di  kelas XI (Sebelas)   *)</t>
  </si>
  <si>
    <t>RAPOR_CK_2_2025 / 2026_Ganjil_X TO 4_MUHAMMAD NAZIL SIBTHURRIDHO.pdf</t>
  </si>
  <si>
    <t>Kalimat Keputusan untuk Kelas XII</t>
  </si>
  <si>
    <t>XII</t>
  </si>
  <si>
    <t>RAPOR_CK_2_2025 / 2026_Ganjil_X TO 4_M. IRPAN SAEPUL IBRAHIM .pdf</t>
  </si>
  <si>
    <t>RAPOR_CK_2_2025 / 2026_Ganjil_X TO 4_MUHAMMAD ILHAM.pdf</t>
  </si>
  <si>
    <t>RAPOR_CK_2_2025 / 2026_Ganjil_X TO 4_MUHAMMAD HADAD AT'TOILLAH.pdf</t>
  </si>
  <si>
    <t>menganalisis cara pandang para pendiri negara tentang rumusan Pancasila sebagai dasar negara hak dan kewajiban warga negara yang diatur dalam Undang- Undang Dasar Negara Republik Indonesia Tahun 1983</t>
  </si>
  <si>
    <t>( LULUS</t>
  </si>
  <si>
    <t>/ TIDAK LULUS )</t>
  </si>
  <si>
    <t>RAPOR_CK_2_2025 / 2026_Ganjil_X TO 4_MUHAMMAD GOZALI.pdf</t>
  </si>
  <si>
    <t>RAPOR_CK_2_2025 / 2026_Ganjil_X TO 4_MUHAMMAD FAHRI MAULANA.pdf</t>
  </si>
  <si>
    <t>RAPOR_CK_2_2025 / 2026_Ganjil_X TO 4_MUHAMAD SALMAN.pdf</t>
  </si>
  <si>
    <t>RAPOR_CK_2_2025 / 2026_Ganjil_X TO 4_MUHAMAD RUDI RIVIANSYAH.pdf</t>
  </si>
  <si>
    <t>RAPOR_CK_2_2025 / 2026_Ganjil_X TO 4_MUHAMAD RIDWAN.pdf</t>
  </si>
  <si>
    <t>menganalisis cara pandang para pendiri negara tentang rumusan Pancasila sebagai dasar negara hak dan kewajiban warga negara yang diatur dalam Undang- Undang Dasar Negara Republik Indonesia Tahun 1984</t>
  </si>
  <si>
    <t>RAPOR_CK_2_2025 / 2026_Ganjil_X TO 4_MUHAMAD MIFTAH NASHIRUDIN.pdf</t>
  </si>
  <si>
    <t>Key</t>
  </si>
  <si>
    <t>Value</t>
  </si>
  <si>
    <t>Timestamp</t>
  </si>
  <si>
    <t>Batch Number</t>
  </si>
  <si>
    <t>Siswa yang Diproses</t>
  </si>
  <si>
    <t>Status</t>
  </si>
  <si>
    <t>Pesan Error</t>
  </si>
  <si>
    <t>lastIndex</t>
  </si>
  <si>
    <t>processId</t>
  </si>
  <si>
    <t>User</t>
  </si>
  <si>
    <t>RAPOR_CK_2_2025 / 2026_Ganjil_X TO 4_MUHAMAD FARHAN.pdf</t>
  </si>
  <si>
    <t>RAPOR COV_BIO_</t>
  </si>
  <si>
    <t>✅Berhasil Generate</t>
  </si>
  <si>
    <t>RAPOR_COV_BIO_2025 / 2026_Ganjil_X TO 4_AHMAD FAUZI.pdf</t>
  </si>
  <si>
    <t>7cef7075-08fe-45f8-9cbf-e237e0168e71</t>
  </si>
  <si>
    <t>anonim</t>
  </si>
  <si>
    <t>Mulai Batch</t>
  </si>
  <si>
    <t>Inisiasi</t>
  </si>
  <si>
    <t>Dilewati</t>
  </si>
  <si>
    <t>Sudah dicetak atau kosong</t>
  </si>
  <si>
    <t>947fe3ef-7733-4755-a9f5-a1f412c0cdf0</t>
  </si>
  <si>
    <t>RAPOR_COV_BIO_2025 / 2026_Ganjil_X TO 4_AHMAD YOPI JUMAEDI.pdf</t>
  </si>
  <si>
    <t>9858fd03-0211-4e01-bf7c-db7b7b858414</t>
  </si>
  <si>
    <t>✅ Berhasil</t>
  </si>
  <si>
    <t>RAPOR_COV_BIO_2025 / 2026_Ganjil_X TO 4_ALGI FALGIAN.pdf</t>
  </si>
  <si>
    <t>9a964b1c-a7dd-4502-a58c-b12dcc04fc53</t>
  </si>
  <si>
    <t>RAPOR_COV_BIO_2025 / 2026_Ganjil_X TO 4_ALI PERMANA.pdf</t>
  </si>
  <si>
    <t>0855e9bc-688a-4686-9584-092a1806a03c</t>
  </si>
  <si>
    <t>RAPOR_COV_BIO_2025 / 2026_Ganjil_X TO 4_AZRIL EKA NUGRAHA.pdf</t>
  </si>
  <si>
    <t>44a363f3-8b21-4a66-92fc-7d2f170d96d5</t>
  </si>
  <si>
    <t>RAPOR_COV_BIO_2025 / 2026_Ganjil_X TO 4_DIKA MUSTIKA SAPUTRA.pdf</t>
  </si>
  <si>
    <t>1cfc43ef-43cb-4163-9423-1b967cfae83d</t>
  </si>
  <si>
    <t>RAPOR_COV_BIO_2025 / 2026_Ganjil_X TO 4_FAWAZ NAUPAL ALFATIR.pdf</t>
  </si>
  <si>
    <t>5953113c-47fc-4cfd-ae33-6998ee20f5db</t>
  </si>
  <si>
    <t>RAPOR_COV_BIO_2025 / 2026_Ganjil_X TO 4_FIKRI AHMAD NAWAWI.pdf</t>
  </si>
  <si>
    <t>d827f56e-a056-4267-a81b-9a5d19ae630c</t>
  </si>
  <si>
    <t>RAPOR_COV_BIO_2025 / 2026_Ganjil_X TO 4_HADI NURYADI.pdf</t>
  </si>
  <si>
    <t>52110ed3-b5cd-4ca0-a2ce-2af861a75996</t>
  </si>
  <si>
    <t>RAPOR_COV_BIO_2025 / 2026_Ganjil_X TO 4_IBNU WANALI.pdf</t>
  </si>
  <si>
    <t>RAPOR_CK_2_2025 / 2026_Ganjil_X TO 4_MUHAMAD ASRUL.pdf</t>
  </si>
  <si>
    <t>fc47a72d-3b30-41c9-b613-ec32c78af248</t>
  </si>
  <si>
    <t>RAPOR_COV_BIO_2025 / 2026_Ganjil_X TO 4_IHSAN ABDULOH .pdf</t>
  </si>
  <si>
    <t>67ab9e87-9905-4bb6-b7cd-e022ef6d2f51</t>
  </si>
  <si>
    <t>RAPOR_COV_BIO_2025 / 2026_Ganjil_X TO 4_INDRA NURMAN.pdf</t>
  </si>
  <si>
    <t>6344f8f5-ec1d-49aa-a91a-bce3a0761486</t>
  </si>
  <si>
    <t>RAPOR_COV_BIO_2025 / 2026_Ganjil_X TO 4_IWAN SOPYAN.pdf</t>
  </si>
  <si>
    <t>e699866e-876b-4a71-a9a3-7c608c445a53</t>
  </si>
  <si>
    <t>RAPOR_COV_BIO_2025 / 2026_Ganjil_X TO 4_JEJEN JAENI.pdf</t>
  </si>
  <si>
    <t>2a9d7cb4-01e7-4e88-a689-91de34bf79e9</t>
  </si>
  <si>
    <t>RAPOR_COV_BIO_2025 / 2026_Ganjil_X TO 4_M.HASAN ASARI.pdf</t>
  </si>
  <si>
    <t>ac38581f-de35-41dc-9491-0fead6492815</t>
  </si>
  <si>
    <t>RAPOR_COV_BIO_2025 / 2026_Ganjil_X TO 4_MUHAMAD ABIB RIZAL.pdf</t>
  </si>
  <si>
    <t>b6eaebbf-5b84-4bea-9e6e-a064deb871ee</t>
  </si>
  <si>
    <t>RAPOR_COV_BIO_2025 / 2026_Ganjil_X TO 4_MUHAMAD AL FARIZ.pdf</t>
  </si>
  <si>
    <t>0f76d2d1-6015-4cc8-8c82-ff3569080f9a</t>
  </si>
  <si>
    <t>RAPOR_COV_BIO_2025 / 2026_Ganjil_X TO 4_MUHAMAD ASRUL.pdf</t>
  </si>
  <si>
    <t>dd209386-7e51-4131-afcd-76f829e410bc</t>
  </si>
  <si>
    <t>Selesai Batch</t>
  </si>
  <si>
    <t>carifolderdanfile berhasil</t>
  </si>
  <si>
    <t>Menjadwalkan Batch Berikutnya</t>
  </si>
  <si>
    <t>⏱️ Menunggu Batch Berikutnya</t>
  </si>
  <si>
    <t>RAPOR_COV_BIO_2025 / 2026_Ganjil_X TO 4_MUHAMAD FARHAN.pdf</t>
  </si>
  <si>
    <t>25aaf6be-aae3-4814-abed-c03fdc0bc735</t>
  </si>
  <si>
    <t>user.smkn1pld@gmail.com</t>
  </si>
  <si>
    <t>fae5141a-9a0a-4181-a33c-a37bec11988b</t>
  </si>
  <si>
    <t>RAPOR_COV_BIO_2025 / 2026_Ganjil_X TO 4_MUHAMAD MIFTAH NASHIRUDIN.pdf</t>
  </si>
  <si>
    <t>27cbfad8-e2af-4d9c-b50d-2bcc4b9d3c64</t>
  </si>
  <si>
    <t>RAPOR_COV_BIO_2025 / 2026_Ganjil_X TO 4_MUHAMAD NUR KHOLIS ROMDONI.pdf</t>
  </si>
  <si>
    <t>37f80e10-d9ca-4efb-9e2e-91d6f15f681d</t>
  </si>
  <si>
    <t>RAPOR_COV_BIO_2025 / 2026_Ganjil_X TO 4_MUHAMAD RIDWAN.pdf</t>
  </si>
  <si>
    <t>53e26b33-7feb-4c79-9bfe-0cfe621d9810</t>
  </si>
  <si>
    <t>RAPOR_COV_BIO_2025 / 2026_Ganjil_X TO 4_MUHAMAD RUDI RIVIANSYAH.pdf</t>
  </si>
  <si>
    <t>ba8a8f46-2d26-469a-a096-61c8215addcc</t>
  </si>
  <si>
    <t>RAPOR_COV_BIO_2025 / 2026_Ganjil_X TO 4_MUHAMAD SALMAN.pdf</t>
  </si>
  <si>
    <t>32c219c9-512f-423e-bf73-42f1afc80a0c</t>
  </si>
  <si>
    <t>RAPOR_COV_BIO_2025 / 2026_Ganjil_X TO 4_MUHAMAD SUTIAWAN ALI.pdf</t>
  </si>
  <si>
    <t>5a31c6c0-78c9-46be-8ccf-07431c5ce464</t>
  </si>
  <si>
    <t>RAPOR_COV_BIO_2025 / 2026_Ganjil_X TO 4_MUHAMMAD FAHRI MAULANA.pdf</t>
  </si>
  <si>
    <t>02c66f95-3bd2-4abc-9f65-19eaf8ea9c98</t>
  </si>
  <si>
    <t>RAPOR_CK_2_2025 / 2026_Ganjil_X TO 4_MUHAMAD AL FARIZ.pdf</t>
  </si>
  <si>
    <t>RAPOR_COV_BIO_2025 / 2026_Ganjil_X TO 4_MUHAMMAD GALANG GUNAWAN.pdf</t>
  </si>
  <si>
    <t>442480bb-eacb-4f98-8f7d-f8dbd87e5715</t>
  </si>
  <si>
    <t>RAPOR_COV_BIO_2025 / 2026_Ganjil_X TO 4_MUHAMMAD GOZALI.pdf</t>
  </si>
  <si>
    <t>764d1a5e-9f3c-402f-a3d1-89759e559945</t>
  </si>
  <si>
    <t>RAPOR_COV_BIO_2025 / 2026_Ganjil_X TO 4_MUHAMMAD HADAD AT'TOILLAH.pdf</t>
  </si>
  <si>
    <t>d4dd0f3a-fe18-4f81-a348-3a1c18324d74</t>
  </si>
  <si>
    <t>RAPOR_COV_BIO_2025 / 2026_Ganjil_X TO 4_MUHAMMAD ILHAM.pdf</t>
  </si>
  <si>
    <t>1336d494-aabb-462f-b0f6-c264377e0342</t>
  </si>
  <si>
    <t>RAPOR_COV_BIO_2025 / 2026_Ganjil_X TO 4_M. IRPAN SAEPUL IBRAHIM .pdf</t>
  </si>
  <si>
    <t>af71e758-ac6a-4992-9e83-b6d8827ce93b</t>
  </si>
  <si>
    <t>RAPOR BIO_SEK_</t>
  </si>
  <si>
    <t>RAPOR_BIO_SEK_2025 / 2026_Ganjil_X TO 4_MUHAMMAD NAZIL SIBTHURRIDHO.pdf</t>
  </si>
  <si>
    <t>d3c9e742-16f4-4ee5-be8e-043e9b630d82</t>
  </si>
  <si>
    <t>RAPOR_COV_BIO_2025 / 2026_Ganjil_X TO 4_MUHAMMAD NAZIL SIBTHURRIDHO.pdf</t>
  </si>
  <si>
    <t>fa8edcb9-d345-4850-a5ac-312e4ccf6d81</t>
  </si>
  <si>
    <t>RAPOR_COV_BIO_2025 / 2026_Ganjil_X TO 4_MUHAMMAD RAGIL.pdf</t>
  </si>
  <si>
    <t>457b222a-07ca-4ead-b0ab-9843b07c9bc3</t>
  </si>
  <si>
    <t>RAPOR_COV_BIO_2025 / 2026_Ganjil_X TO 4_NAJMI ERIANA.pdf</t>
  </si>
  <si>
    <t>144d667f-405c-4071-93e1-9619ecdefbd0</t>
  </si>
  <si>
    <t>RAPOR_COV_BIO_2025 / 2026_Ganjil_X TO 4_PANO PAIZAL.pdf</t>
  </si>
  <si>
    <t>91cfc8e1-cadf-461e-8253-8483d652b44d</t>
  </si>
  <si>
    <t>RAPOR_COV_BIO_2025 / 2026_Ganjil_X TO 4_PIRMAN ADRIYANI PUTRA.pdf</t>
  </si>
  <si>
    <t>8e8ed73d-7627-498a-a5f7-4c1f261fe80b</t>
  </si>
  <si>
    <t>RAPOR_COV_BIO_2025 / 2026_Ganjil_X TO 4_RAFFA RAMADHAN.pdf</t>
  </si>
  <si>
    <t>8fdd660a-f37c-48ef-ae2d-cf7ea04f320d</t>
  </si>
  <si>
    <t>927cda1e-5ba2-4e5a-b9f5-b4dff36feb7c</t>
  </si>
  <si>
    <t>RAPOR_COV_BIO_2025 / 2026_Ganjil_X TO 4_RAFQA NUZULUL AKBAR SETIANA.pdf</t>
  </si>
  <si>
    <t>e830df14-6e83-4e72-9d5c-7f7a2f401566</t>
  </si>
  <si>
    <t>RAPOR_COV_BIO_2025 / 2026_Ganjil_X TO 4_RIDO MUHAMAD NUR FADILAH.pdf</t>
  </si>
  <si>
    <t>bd9bd35d-8d02-440d-977e-9af35f10c425</t>
  </si>
  <si>
    <t>RAPOR_CK_2_2025 / 2026_Ganjil_X TO 4_MUHAMAD ABIB RIZAL.pdf</t>
  </si>
  <si>
    <t>RAPOR_COV_BIO_2025 / 2026_Ganjil_X TO 4_RIFAL KAMILUL AJHAR.pdf</t>
  </si>
  <si>
    <t>da06b46a-2018-4092-ac6d-153bdbe7858c</t>
  </si>
  <si>
    <t>RAPOR_COV_BIO_2025 / 2026_Ganjil_X TO 4_RIVALDI MAULANA.pdf</t>
  </si>
  <si>
    <t>08996eb0-0853-4ca4-b7ba-a9c497f79335</t>
  </si>
  <si>
    <t>RAPOR_COV_BIO_2025 / 2026_Ganjil_X TO 4_RIZAL RISMAYANDI.pdf</t>
  </si>
  <si>
    <t>ca453e2c-f9a7-4ed5-9aff-ddab7d1924aa</t>
  </si>
  <si>
    <t>RAPOR_COV_BIO_2025 / 2026_Ganjil_X TO 4_RIZKI ADITIA PRATAMA.pdf</t>
  </si>
  <si>
    <t>49a780e0-85c9-439e-9296-63b753e5a125</t>
  </si>
  <si>
    <t>RAPOR_COV_BIO_2025 / 2026_Ganjil_X TO 4_SURYA BAGJA JUNIOR.pdf</t>
  </si>
  <si>
    <t>4ade9962-de35-4cf1-9693-ee9c68284f7e</t>
  </si>
  <si>
    <t>RAPOR_COV_BIO_2025 / 2026_Ganjil_X TO 4_WILDAN RIPAI.pdf</t>
  </si>
  <si>
    <t>e7baf83f-235f-4088-aa83-d9efd0a01ac5</t>
  </si>
  <si>
    <t>RAPOR_COV_BIO_2025 / 2026_Ganjil_X TO 4_YUDHA PRASETYO.pdf</t>
  </si>
  <si>
    <t>5b6c38dd-6b9c-4f44-9995-ccaef7711a69</t>
  </si>
  <si>
    <t>Selesai Semua Batch</t>
  </si>
  <si>
    <t>✅ Sukses</t>
  </si>
  <si>
    <t>01a09eb4-e17e-4fd4-996b-79b826c0b893</t>
  </si>
  <si>
    <t>RAPOR_CK_2_2025 / 2026_Ganjil_X TO 4_M.HASAN ASARI.pdf</t>
  </si>
  <si>
    <t>d85ecb23-5440-4bff-9888-1281ffa25caf</t>
  </si>
  <si>
    <t>RAPOR_CK_2_2025 / 2026_Ganjil_X TO 4_JEJEN JAENI.pdf</t>
  </si>
  <si>
    <t>733e83d6-35c3-4718-b47c-ac6b75e62b8c</t>
  </si>
  <si>
    <t>menganalisis cara pandang para pendiri negara tentang rumusan Pancasila sebagai dasar negara hak dan kewajiban warga negara yang diatur dalam Undang- Undang Dasar Negara Republik Indonesia Tahun 1985</t>
  </si>
  <si>
    <t>844946bf-0a5d-4855-b033-19368d1dbb4f</t>
  </si>
  <si>
    <t>RAPOR_CK_2_2025 / 2026_Ganjil_X TO 4_IWAN SOPYAN.pdf</t>
  </si>
  <si>
    <t>d8bc1776-52b7-4c37-9570-d794b4e96314</t>
  </si>
  <si>
    <t>RAPOR_CK_2_2025 / 2026_Ganjil_X TO 4_INDRA NURMAN.pdf</t>
  </si>
  <si>
    <t>63bfd03a-c689-4c8e-93bc-3f915eaf9af1</t>
  </si>
  <si>
    <t>2afcb753-727b-463f-8762-0934457c1b14</t>
  </si>
  <si>
    <t>RAPOR_CK_2_2025 / 2026_Ganjil_X TO 4_IBNU WANALI.pdf</t>
  </si>
  <si>
    <t>08ccf661-e918-4f08-9bdc-29e9768c219c</t>
  </si>
  <si>
    <t>RAPOR_CK_2_2025 / 2026_Ganjil_X TO 4_HADI NURYADI.pdf</t>
  </si>
  <si>
    <t>6583f981-2bd4-4568-ace7-d9e9fdfdff2a</t>
  </si>
  <si>
    <t>RAPOR BIO_SIS_</t>
  </si>
  <si>
    <t>RAPOR_BIO_SIS_2025 / 2026_Ganjil_X TO 4_AHMAD FAUZI.pdf</t>
  </si>
  <si>
    <t>c19582bb-568b-471e-af06-74887615215e</t>
  </si>
  <si>
    <t>RAPOR_CK_2_2025 / 2026_Ganjil_X TO 4_FAWAZ NAUPAL ALFATIR.pdf</t>
  </si>
  <si>
    <t>RAPOR_BIO_SIS_2025 / 2026_Ganjil_X TO 4_AHMAD YOPI JUMAEDI.pdf</t>
  </si>
  <si>
    <t>07c9ae5e-c60d-48a2-bfff-5fc224b7994c</t>
  </si>
  <si>
    <t>ae0ae7e8-c7d6-4045-91fc-81722dae72dd</t>
  </si>
  <si>
    <t>RAPOR_BIO_SIS_2025 / 2026_Ganjil_X TO 4_ALGI FALGIAN.pdf</t>
  </si>
  <si>
    <t>80ae39ac-4a90-46d3-a0ea-235404e6c16a</t>
  </si>
  <si>
    <t>RAPOR_BIO_SIS_2025 / 2026_Ganjil_X TO 4_AZRIL EKA NUGRAHA.pdf</t>
  </si>
  <si>
    <t>75266e2a-822f-4a02-b78a-4432cbd5178f</t>
  </si>
  <si>
    <t>RAPOR_BIO_SIS_2025 / 2026_Ganjil_X TO 4_DIKA MUSTIKA SAPUTRA.pdf</t>
  </si>
  <si>
    <t>5d7083b4-028d-4202-857f-4f9163388195</t>
  </si>
  <si>
    <t>RAPOR_BIO_SIS_2025 / 2026_Ganjil_X TO 4_FAWAZ NAUPAL ALFATIR.pdf</t>
  </si>
  <si>
    <t>c7200310-422d-473c-8ef1-a839fb8da3c9</t>
  </si>
  <si>
    <t>RAPOR_BIO_SIS_2025 / 2026_Ganjil_X TO 4_FIKRI AHMAD NAWAWI.pdf</t>
  </si>
  <si>
    <t>ec4b7d34-a5f8-4f4a-b555-953dab21c925</t>
  </si>
  <si>
    <t>RAPOR_BIO_SIS_2025 / 2026_Ganjil_X TO 4_HADI NURYADI.pdf</t>
  </si>
  <si>
    <t>aaf0dd75-b45d-4d4e-9091-a3c4c5c28078</t>
  </si>
  <si>
    <t>RAPOR_BIO_SIS_2025 / 2026_Ganjil_X TO 4_IBNU WANALI.pdf</t>
  </si>
  <si>
    <t>0ef7a8a9-b96e-4b10-ab7c-8896da9b075e</t>
  </si>
  <si>
    <t>RAPOR_BIO_SIS_2025 / 2026_Ganjil_X TO 4_IHSAN ABDULOH .pdf</t>
  </si>
  <si>
    <t>cd3b8143-2868-4e90-a2f8-341241de633f</t>
  </si>
  <si>
    <t>RAPOR_BIO_SIS_2025 / 2026_Ganjil_X TO 4_INDRA NURMAN.pdf</t>
  </si>
  <si>
    <t>RAPOR_CK_2_2025 / 2026_Ganjil_X TO 4_DIKA MUSTIKA SAPUTRA.pdf</t>
  </si>
  <si>
    <t>931f7477-0b56-4803-b55e-36dfd51eadd8</t>
  </si>
  <si>
    <t>RAPOR_BIO_SIS_2025 / 2026_Ganjil_X TO 4_IWAN SOPYAN.pdf</t>
  </si>
  <si>
    <t>e661c384-054d-44b2-9935-3867fa2fc69d</t>
  </si>
  <si>
    <t>RAPOR_BIO_SIS_2025 / 2026_Ganjil_X TO 4_JEJEN JAENI.pdf</t>
  </si>
  <si>
    <t>b9345bb1-70d4-4b4a-819f-deb36ad7cd14</t>
  </si>
  <si>
    <t>RAPOR_BIO_SIS_2025 / 2026_Ganjil_X TO 4_M.HASAN ASARI.pdf</t>
  </si>
  <si>
    <t>04bfb0d4-508c-4d48-bdfb-4b34debcfe8f</t>
  </si>
  <si>
    <t>RAPOR_BIO_SIS_2025 / 2026_Ganjil_X TO 4_MUHAMAD ABIB RIZAL.pdf</t>
  </si>
  <si>
    <t>65648ee6-4131-4a05-9f8b-dcd076777c9c</t>
  </si>
  <si>
    <t>RAPOR_BIO_SIS_2025 / 2026_Ganjil_X TO 4_MUHAMAD AL FARIZ.pdf</t>
  </si>
  <si>
    <t>aab8b96d-956b-412d-b223-7c4a1bfd4ca1</t>
  </si>
  <si>
    <t>RAPOR_BIO_SIS_2025 / 2026_Ganjil_X TO 4_MUHAMAD ASRUL.pdf</t>
  </si>
  <si>
    <t>925dac1a-1c70-4f21-b353-9ca008df4cda</t>
  </si>
  <si>
    <t>RAPOR_BIO_SIS_2025 / 2026_Ganjil_X TO 4_MUHAMAD FARHAN.pdf</t>
  </si>
  <si>
    <t>833c40a3-d547-454e-948b-349d66cd84cd</t>
  </si>
  <si>
    <t>RAPOR_BIO_SIS_2025 / 2026_Ganjil_X TO 4_MUHAMAD MIFTAH NASHIRUDIN.pdf</t>
  </si>
  <si>
    <t>ee6260d4-a369-42ac-9b3b-ac8b97595656</t>
  </si>
  <si>
    <t>RAPOR_BIO_SIS_2025 / 2026_Ganjil_X TO 4_MUHAMAD NUR KHOLIS ROMDONI.pdf</t>
  </si>
  <si>
    <t>8ea6f5c5-5d36-4829-a144-57e369f6020f</t>
  </si>
  <si>
    <t>RAPOR_BIO_SIS_2025 / 2026_Ganjil_X TO 4_MUHAMAD RIDWAN.pdf</t>
  </si>
  <si>
    <t>5b17bf14-a879-4bc5-8a94-781d1401a6eb</t>
  </si>
  <si>
    <t>RAPOR_BIO_SIS_2025 / 2026_Ganjil_X TO 4_MUHAMAD RUDI RIVIANSYAH.pdf</t>
  </si>
  <si>
    <t>fd8d08fa-cf56-4578-8cf6-11fd79f643de</t>
  </si>
  <si>
    <t>RAPOR_BIO_SIS_2025 / 2026_Ganjil_X TO 4_MUHAMAD SALMAN.pdf</t>
  </si>
  <si>
    <t>875e1c78-131c-41af-8acd-bb40c0069cc4</t>
  </si>
  <si>
    <t>RAPOR_BIO_SIS_2025 / 2026_Ganjil_X TO 4_MUHAMMAD FAHRI MAULANA.pdf</t>
  </si>
  <si>
    <t>50c62c9e-a500-4dd6-8a68-e5db2bcd6bb8</t>
  </si>
  <si>
    <t>RAPOR_BIO_SIS_2025 / 2026_Ganjil_X TO 4_MUHAMMAD GOZALI.pdf</t>
  </si>
  <si>
    <t>afb5ac3c-62e8-4bb6-9916-f9e0467ee4f1</t>
  </si>
  <si>
    <t>RAPOR_BIO_SIS_2025 / 2026_Ganjil_X TO 4_MUHAMMAD HADAD AT'TOILLAH.pdf</t>
  </si>
  <si>
    <t>c45ed0aa-ad90-44a7-b48d-d9373796f884</t>
  </si>
  <si>
    <t>RAPOR_BIO_SIS_2025 / 2026_Ganjil_X TO 4_MUHAMMAD ILHAM.pdf</t>
  </si>
  <si>
    <t>5cd8074c-30c9-44b7-9471-c5b695da2837</t>
  </si>
  <si>
    <t>RAPOR_BIO_SIS_2025 / 2026_Ganjil_X TO 4_M. IRPAN SAEPUL IBRAHIM .pdf</t>
  </si>
  <si>
    <t>e7b1957b-de94-485a-b318-74f4a84e1d31</t>
  </si>
  <si>
    <t>RAPOR_BIO_SIS_2025 / 2026_Ganjil_X TO 4_MUHAMMAD NAZIL SIBTHURRIDHO.pdf</t>
  </si>
  <si>
    <t>de3a2be4-a6bc-4f46-bbdd-27811ed05c0c</t>
  </si>
  <si>
    <t>RAPOR_BIO_SIS_2025 / 2026_Ganjil_X TO 4_MUHAMMAD RAGIL.pdf</t>
  </si>
  <si>
    <t>d6fbe4b0-c913-41e3-9511-ea30065d705f</t>
  </si>
  <si>
    <t>RAPOR_BIO_SIS_2025 / 2026_Ganjil_X TO 4_NAJMI ERIANA.pdf</t>
  </si>
  <si>
    <t>09299f65-53e7-4207-add3-0eef3152ebf0</t>
  </si>
  <si>
    <t>RAPOR_BIO_SIS_2025 / 2026_Ganjil_X TO 4_PANO PAIZAL.pdf</t>
  </si>
  <si>
    <t>45313780-4126-49e9-9117-951bdbf839a3</t>
  </si>
  <si>
    <t>RAPOR_BIO_SIS_2025 / 2026_Ganjil_X TO 4_PIRMAN ADRIYANI PUTRA.pdf</t>
  </si>
  <si>
    <t>c2558456-a376-49bf-9228-325e37244490</t>
  </si>
  <si>
    <t>menganalisis cara pandang para pendiri negara tentang rumusan Pancasila sebagai dasar negara hak dan kewajiban warga negara yang diatur dalam Undang- Undang Dasar Negara Republik Indonesia Tahun 1986</t>
  </si>
  <si>
    <t>RAPOR_BIO_SIS_2025 / 2026_Ganjil_X TO 4_RAFFA RAMADHAN.pdf</t>
  </si>
  <si>
    <t>23c58d98-8362-4212-96c5-bd6caca11a55</t>
  </si>
  <si>
    <t>RAPOR_BIO_SIS_2025 / 2026_Ganjil_X TO 4_RAFQA NUZULUL AKBAR SETIANA.pdf</t>
  </si>
  <si>
    <t>ffe4d28b-8a6d-4182-b8ca-16dc172d9d6f</t>
  </si>
  <si>
    <t>RAPOR_BIO_SIS_2025 / 2026_Ganjil_X TO 4_RIDO MUHAMAD NUR FADILAH.pdf</t>
  </si>
  <si>
    <t>f196ca22-b949-4f4d-8b67-a4d1b380238e</t>
  </si>
  <si>
    <t>RAPOR_BIO_SIS_2025 / 2026_Ganjil_X TO 4_RIFAL KAMILUL AJHAR.pdf</t>
  </si>
  <si>
    <t>1f0cf535-29e2-4be8-a8a6-c80762165f76</t>
  </si>
  <si>
    <t>RAPOR_BIO_SIS_2025 / 2026_Ganjil_X TO 4_RIZAL RISMAYANDI.pdf</t>
  </si>
  <si>
    <t>62499845-26cd-4516-be45-4a615c752994</t>
  </si>
  <si>
    <t>RAPOR_BIO_SIS_2025 / 2026_Ganjil_X TO 4_RIZKI ADITIA PRATAMA.pdf</t>
  </si>
  <si>
    <t>RAPOR_CK_2_2025 / 2026_Ganjil_X TO 4_AZRIL EKA NUGRAHA.pdf</t>
  </si>
  <si>
    <t>ff488446-8269-425a-9d7b-5ffa13f30eae</t>
  </si>
  <si>
    <t>RAPOR_BIO_SIS_2025 / 2026_Ganjil_X TO 4_SURYA BAGJA JUNIOR.pdf</t>
  </si>
  <si>
    <t>fbd3e570-9ce4-4d16-9d9f-5cec8afd100c</t>
  </si>
  <si>
    <t>RAPOR_BIO_SIS_2025 / 2026_Ganjil_X TO 4_WILDAN RIPAI.pdf</t>
  </si>
  <si>
    <t>b104b9a5-a56c-44b9-b58d-e44a7f6adcbf</t>
  </si>
  <si>
    <t>RAPOR_BIO_SIS_2025 / 2026_Ganjil_X TO 4_YUDHA PRASETYO.pdf</t>
  </si>
  <si>
    <t>eedff306-0441-4053-89b6-a709dfe520bf</t>
  </si>
  <si>
    <t>RAPOR CK_2_</t>
  </si>
  <si>
    <t>RAPOR_CK_2_2025 / 2026_Ganjil_X TO 4_AHMAD FAUZI.pdf</t>
  </si>
  <si>
    <t>ecdd6e54-36bb-4b5c-aba0-5a28173a8126</t>
  </si>
  <si>
    <t>RAPOR_CK_2_2025 / 2026_Ganjil_X TO 4_AHMAD YOPI JUMAEDI.pdf</t>
  </si>
  <si>
    <t>3984f3b6-7d67-4a1b-91c2-60ce8f666719</t>
  </si>
  <si>
    <t>da67b773-86b8-4d86-8df5-58ed1c0c85d1</t>
  </si>
  <si>
    <t>ed6494cd-35d2-4b20-8c91-469eb75a5340</t>
  </si>
  <si>
    <t>2a72a8b3-a6ef-41da-b21f-fc7b3a9a03ac</t>
  </si>
  <si>
    <t>45a74024-152b-427c-9b7d-a93f010d8f3d</t>
  </si>
  <si>
    <t>b2ab3c20-1290-4458-a39c-5ebb8d0df7d3</t>
  </si>
  <si>
    <t>3e55283a-f5b0-4ca9-8f7e-fd99e11c4e1e</t>
  </si>
  <si>
    <t>180a2178-4d22-471f-ae86-a751b156d265</t>
  </si>
  <si>
    <t>46189748-5c37-46e8-adc9-e6a60e69c537</t>
  </si>
  <si>
    <t>40e79f30-8ad3-4f95-b41d-02e22ac68b08</t>
  </si>
  <si>
    <t>07fba515-1fa1-4065-9e26-0fb356802953</t>
  </si>
  <si>
    <t>af40c543-2c55-4e2b-b092-037e91bde7d7</t>
  </si>
  <si>
    <t>9af36906-be33-4e5d-8a18-11616c6038e7</t>
  </si>
  <si>
    <t>4f795514-1102-49f8-8f58-1e38d4e03757</t>
  </si>
  <si>
    <t>19bd0613-df37-4be1-b5f2-20c3a8b3bb99</t>
  </si>
  <si>
    <t>bbf39399-396f-4726-bf3e-32fe5960cec4</t>
  </si>
  <si>
    <t>a965032a-10cf-4d3c-94f9-00353a0c7924</t>
  </si>
  <si>
    <t>0fbfbd2c-6b25-45a9-89c8-ffd457f7d6af</t>
  </si>
  <si>
    <t>f2d8bc45-ea5b-413d-991a-a9b21d9d1d46</t>
  </si>
  <si>
    <t>0e4271d6-781d-4c9f-912b-499f8e948704</t>
  </si>
  <si>
    <t>fd6ea985-6fdc-4cde-8f95-44e31dd1e5da</t>
  </si>
  <si>
    <t>3b12c79c-6e67-476d-977e-3ba5a0d19c07</t>
  </si>
  <si>
    <t>a586ea75-17eb-474d-8c02-70c0ec976425</t>
  </si>
  <si>
    <t>cf150877-4d4f-48cc-a188-228721f21700</t>
  </si>
  <si>
    <t>680784ef-3431-42ae-aa69-35822a992ca8</t>
  </si>
  <si>
    <t>260473eb-108f-4f3a-a25d-c1d241b6fe15</t>
  </si>
  <si>
    <t>0bd51b9c-490c-4ada-9c7b-23e012a3207e</t>
  </si>
  <si>
    <t>ca16bbf5-b1c2-4461-88ca-22afdf5a8d20</t>
  </si>
  <si>
    <t>ce5cd470-3653-4b35-bec1-a3d3e6c822c5</t>
  </si>
  <si>
    <t>25418723-0a42-4c8f-961a-52a67dc3384c</t>
  </si>
  <si>
    <t>e55ca8a7-a4b3-4cfe-874f-4994ad54ab17</t>
  </si>
  <si>
    <t>7c3d6371-de08-4480-a2d8-b9c2e3e910f8</t>
  </si>
  <si>
    <t>af6dded3-aeaf-4b4e-b00c-bea547f2fa38</t>
  </si>
  <si>
    <t>5ad4553d-3607-4d09-be5a-23ca5763225c</t>
  </si>
  <si>
    <t>5628dacc-c721-4151-bd46-9670a5d4d2fb</t>
  </si>
  <si>
    <t>0256cd0e-bb72-495a-919a-6d1d217ebf78</t>
  </si>
  <si>
    <t>ba8c1a3a-cb5f-49cd-9e63-f2507d246ad1</t>
  </si>
  <si>
    <t>45678906-6880-4f28-9b20-a8fa612e0b9b</t>
  </si>
  <si>
    <t>80611194-1e53-4a6a-8c6a-d27e3b72231d</t>
  </si>
  <si>
    <t>b80cfca7-943f-4a42-b08e-962208829a6d</t>
  </si>
  <si>
    <t>8e11a9e7-5f37-497f-bb9b-62819857aef4</t>
  </si>
  <si>
    <t>🗑️Menghapus Permanen</t>
  </si>
  <si>
    <t>319b467a-32e6-42ef-8e5c-8c561cd8a682</t>
  </si>
  <si>
    <t>2ba2fa70-4e70-4d60-8ebf-54cb04819b8e</t>
  </si>
  <si>
    <t>e13c97e1-401a-4827-af9c-ea8f24896760</t>
  </si>
  <si>
    <t>9bffd7a6-b405-44e1-a451-0b66d89bfda1</t>
  </si>
  <si>
    <t>1e4db9db-d0f6-4e22-85a0-ec141f134ad5</t>
  </si>
  <si>
    <t>2d4a97ba-f431-4ed7-815b-778c794cecbe</t>
  </si>
  <si>
    <t>f1cd4bef-c7dc-4dca-8c2d-a5afbbf2281d</t>
  </si>
  <si>
    <t>8af9c207-bda1-4423-b665-bc5c9cbe924b</t>
  </si>
  <si>
    <t xml:space="preserve">LEGER </t>
  </si>
  <si>
    <t>11f335b0-13c3-4ad1-ad7b-a0497e6ae5a9</t>
  </si>
  <si>
    <t>5b7e5e1c-38e6-4c3e-975d-9045625b370a</t>
  </si>
  <si>
    <t>RAPOR CK_1_</t>
  </si>
  <si>
    <t>eeffefc3-487c-4382-aba6-4f5f8c9b9cb9</t>
  </si>
  <si>
    <t>c8c76507-d520-45ec-9ed2-2b475ff00fbe</t>
  </si>
  <si>
    <t>d928e84d-6f77-4150-8231-5374d4bb532c</t>
  </si>
  <si>
    <t>2a8fb209-530c-4230-bfb7-b0e5891a7fb8</t>
  </si>
  <si>
    <t>menganalisis cara pandang para pendiri negara tentang rumusan Pancasila sebagai dasar negara hak dan kewajiban warga negara yang diatur dalam Undang- Undang Dasar Negara Republik Indonesia Tahun 1987</t>
  </si>
  <si>
    <t>RAPOR_CK_1_2025 / 2026_Ganjil_X TO 4_ALGI FALGIAN.pdf</t>
  </si>
  <si>
    <t>d52dd563-d9fa-49ff-bdd3-d2943a2bbd50</t>
  </si>
  <si>
    <t>RAPOR_CK_1_2025 / 2026_Ganjil_X TO 4_AZRIL EKA NUGRAHA.pdf</t>
  </si>
  <si>
    <t>d0122e45-96ca-4165-a6e4-5a7de60b92e6</t>
  </si>
  <si>
    <t>RAPOR_CK_1_2025 / 2026_Ganjil_X TO 4_DIKA MUSTIKA SAPUTRA.pdf</t>
  </si>
  <si>
    <t>b8ea7fac-70ae-4333-86d7-4c6974b3b312</t>
  </si>
  <si>
    <t>RAPOR_CK_1_2025 / 2026_Ganjil_X TO 4_FAWAZ NAUPAL ALFATIR.pdf</t>
  </si>
  <si>
    <t>16eee723-7428-408c-a1de-3599e0254d96</t>
  </si>
  <si>
    <t>RAPOR_CK_1_2025 / 2026_Ganjil_X TO 4_FIKRI AHMAD NAWAWI.pdf</t>
  </si>
  <si>
    <t>acd464b9-3e35-448d-beb5-6e09f21d4a29</t>
  </si>
  <si>
    <t>46242cfe-3713-44de-969e-e4e43522893b</t>
  </si>
  <si>
    <t>RAPOR_CK_1_2025 / 2026_Ganjil_X TO 4_HADI NURYADI.pdf</t>
  </si>
  <si>
    <t>c08bac92-d37e-4537-b503-d09e6c7f646a</t>
  </si>
  <si>
    <t>RAPOR_CK_1_2025 / 2026_Ganjil_X TO 4_IBNU WANALI.pdf</t>
  </si>
  <si>
    <t>5a2fe8f4-1310-4e6d-9d72-2280f604ce50</t>
  </si>
  <si>
    <t>RAPOR_CK_1_2025 / 2026_Ganjil_X TO 4_IHSAN ABDULOH .pdf</t>
  </si>
  <si>
    <t>56e14aae-6635-45bc-bd03-56836d9520ba</t>
  </si>
  <si>
    <t>RAPOR_CK_1_2025 / 2026_Ganjil_X TO 4_INDRA NURMAN.pdf</t>
  </si>
  <si>
    <t>ec9b313f-2f4a-4f06-9421-50592141b67c</t>
  </si>
  <si>
    <t>RAPOR_CK_1_2025 / 2026_Ganjil_X TO 4_IWAN SOPYAN.pdf</t>
  </si>
  <si>
    <t>10f7328d-b183-4362-9165-a268a6cd4c1c</t>
  </si>
  <si>
    <t>RAPOR_CK_1_2025 / 2026_Ganjil_X TO 4_JEJEN JAENI.pdf</t>
  </si>
  <si>
    <t>c96e16b8-a1ec-4c78-942d-bf7be8db774a</t>
  </si>
  <si>
    <t>RAPOR_CK_1_2025 / 2026_Ganjil_X TO 4_M.HASAN ASARI.pdf</t>
  </si>
  <si>
    <t>6eb1b2a4-f44f-4c78-b74c-ad92628d5762</t>
  </si>
  <si>
    <t>RAPOR_CK_1_2025 / 2026_Ganjil_X TO 4_MUHAMAD ABIB RIZAL.pdf</t>
  </si>
  <si>
    <t>a69b1db5-62ea-4d4d-87b8-0b0ee614ae2f</t>
  </si>
  <si>
    <t>RAPOR_CK_1_2025 / 2026_Ganjil_X TO 4_MUHAMAD AL FARIZ.pdf</t>
  </si>
  <si>
    <t>194545ad-f8e0-4a52-b9c7-583d63b4ad74</t>
  </si>
  <si>
    <t>RAPOR_CK_1_2025 / 2026_Ganjil_X TO 4_MUHAMAD ASRUL.pdf</t>
  </si>
  <si>
    <t>1a8c92d8-5025-4ad0-9224-fbd3fe6f9275</t>
  </si>
  <si>
    <t>RAPOR_CK_1_2025 / 2026_Ganjil_X TO 4_MUHAMAD FARHAN.pdf</t>
  </si>
  <si>
    <t>9b88e3e5-4d1f-4438-bbed-7bb3f0fcf725</t>
  </si>
  <si>
    <t>RAPOR_CK_1_2025 / 2026_Ganjil_X TO 4_MUHAMAD MIFTAH NASHIRUDIN.pdf</t>
  </si>
  <si>
    <t>9509e6a1-a098-4ab3-99c2-ecd084c13808</t>
  </si>
  <si>
    <t>RAPOR_CK_1_2025 / 2026_Ganjil_X TO 4_MUHAMAD NUR KHOLIS ROMDONI.pdf</t>
  </si>
  <si>
    <t>726a1528-128e-419c-ba86-e8caa9cc7b79</t>
  </si>
  <si>
    <t>7ac8c9b2-4d23-49e4-a44e-aeb05a5d4f50</t>
  </si>
  <si>
    <t>RAPOR_CK_1_2025 / 2026_Ganjil_X TO 4_MUHAMAD RIDWAN.pdf</t>
  </si>
  <si>
    <t>da8ca754-91f4-46e8-ad94-bbe41b049a58</t>
  </si>
  <si>
    <t>RAPOR_CK_1_2025 / 2026_Ganjil_X TO 4_MUHAMAD RUDI RIVIANSYAH.pdf</t>
  </si>
  <si>
    <t>e21b66c7-e9eb-4105-8b5c-b8b393e47a9a</t>
  </si>
  <si>
    <t>RAPOR_CK_1_2025 / 2026_Ganjil_X TO 4_MUHAMAD SALMAN.pdf</t>
  </si>
  <si>
    <t>14075bb0-73c0-462b-b2f0-1a956deb4770</t>
  </si>
  <si>
    <t>RAPOR_CK_1_2025 / 2026_Ganjil_X TO 4_MUHAMMAD FAHRI MAULANA.pdf</t>
  </si>
  <si>
    <t>15738196-a8d9-4d07-a5c0-0044051fdaa2</t>
  </si>
  <si>
    <t>RAPOR_CK_1_2025 / 2026_Ganjil_X TO 4_MUHAMMAD GOZALI.pdf</t>
  </si>
  <si>
    <t>2ee92878-69a5-4f58-8a74-499850786cfd</t>
  </si>
  <si>
    <t>RAPOR_CK_1_2025 / 2026_Ganjil_X TO 4_MUHAMMAD HADAD AT'TOILLAH.pdf</t>
  </si>
  <si>
    <t>9eb74e1a-4832-44c8-bc60-1ee799ca29dd</t>
  </si>
  <si>
    <t>RAPOR_CK_1_2025 / 2026_Ganjil_X TO 4_MUHAMMAD ILHAM.pdf</t>
  </si>
  <si>
    <t>67d47b1f-2548-45cd-9897-315776b5b4c1</t>
  </si>
  <si>
    <t>RAPOR_CK_1_2025 / 2026_Ganjil_X TO 4_M. IRPAN SAEPUL IBRAHIM .pdf</t>
  </si>
  <si>
    <t>a37c17a9-f6a1-4e78-855d-5f3d81cef7e5</t>
  </si>
  <si>
    <t>RAPOR_CK_1_2025 / 2026_Ganjil_X TO 4_MUHAMMAD NAZIL SIBTHURRIDHO.pdf</t>
  </si>
  <si>
    <t>2571c8a1-93d6-4af6-b9fc-a9022545754e</t>
  </si>
  <si>
    <t>RAPOR_CK_1_2025 / 2026_Ganjil_X TO 4_MUHAMMAD RAGIL.pdf</t>
  </si>
  <si>
    <t>472bed4a-8fd2-4a83-9c9d-dc691ed1b218</t>
  </si>
  <si>
    <t>RAPOR_CK_1_2025 / 2026_Ganjil_X TO 4_NAJMI ERIANA.pdf</t>
  </si>
  <si>
    <t>5334685c-469d-443c-84c2-144fd9631054</t>
  </si>
  <si>
    <t>RAPOR_CK_1_2025 / 2026_Ganjil_X TO 4_PANO PAIZAL.pdf</t>
  </si>
  <si>
    <t>e2fa5d9f-72dd-4e0e-a741-1e317e114d4a</t>
  </si>
  <si>
    <t>RAPOR_CK_1_2025 / 2026_Ganjil_X TO 4_PIRMAN ADRIYANI PUTRA.pdf</t>
  </si>
  <si>
    <t>9db38f76-39a5-4e44-bf8a-78816eb1bbd7</t>
  </si>
  <si>
    <t>RAPOR_CK_1_2025 / 2026_Ganjil_X TO 4_RAFFA RAMADHAN.pdf</t>
  </si>
  <si>
    <t>ec10cd16-e116-4f74-932d-d945a7fabbe8</t>
  </si>
  <si>
    <t>RAPOR_CK_1_2025 / 2026_Ganjil_X TO 4_RAFQA NUZULUL AKBAR SETIANA.pdf</t>
  </si>
  <si>
    <t>771a7e73-4688-47a7-b9fe-e8d7a185039e</t>
  </si>
  <si>
    <t>RAPOR_CK_1_2025 / 2026_Ganjil_X TO 4_RIDO MUHAMAD NUR FADILAH.pdf</t>
  </si>
  <si>
    <t>0760b153-92c1-4bc2-ae5e-20cb0561ff8c</t>
  </si>
  <si>
    <t>RAPOR_CK_1_2025 / 2026_Ganjil_X TO 4_RIFAL KAMILUL AJHAR.pdf</t>
  </si>
  <si>
    <t>433a3e24-9f74-4020-aa3e-8e7040b103d3</t>
  </si>
  <si>
    <t>RAPOR_CK_1_2025 / 2026_Ganjil_X TO 4_RIZAL RISMAYANDI.pdf</t>
  </si>
  <si>
    <t>367fea59-d56c-4196-813b-4303f66c6ad1</t>
  </si>
  <si>
    <t>RAPOR_CK_1_2025 / 2026_Ganjil_X TO 4_RIZKI ADITIA PRATAMA.pdf</t>
  </si>
  <si>
    <t>41f4557f-71c2-45c3-818a-643fc85a83af</t>
  </si>
  <si>
    <t>RAPOR_CK_1_2025 / 2026_Ganjil_X TO 4_SURYA BAGJA JUNIOR.pdf</t>
  </si>
  <si>
    <t>d6bce963-8a62-4876-b2dd-a0cb6fdae276</t>
  </si>
  <si>
    <t>RAPOR_CK_1_2025 / 2026_Ganjil_X TO 4_WILDAN RIPAI.pdf</t>
  </si>
  <si>
    <t>abe40802-1204-40b1-a42e-68b8801a5398</t>
  </si>
  <si>
    <t>RAPOR_CK_1_2025 / 2026_Ganjil_X TO 4_YUDHA PRASETYO.pdf</t>
  </si>
  <si>
    <t>1adf867d-a170-49fa-9d57-ffcd997102c6</t>
  </si>
  <si>
    <t>ca399d8c-7eb9-425b-bcde-c76b32237162</t>
  </si>
  <si>
    <t>b811b809-b2e5-4bfc-90f6-5bdbaf2176d6</t>
  </si>
  <si>
    <t>RAPOR_CK_1_2025 / 2026_Ganjil_X TO 4_MUHAMMAD GALANG GUNAWAN.pdf</t>
  </si>
  <si>
    <t>1ed50d88-5ed2-459e-b062-a9141b0e31da</t>
  </si>
  <si>
    <t>RAPOR_BIO_SEK_2025 / 2026_Ganjil_X TO 4_MUHAMMAD GALANG GUNAWAN.pdf</t>
  </si>
  <si>
    <t>e562ae84-c965-44b8-b6fe-dadb443901b6</t>
  </si>
  <si>
    <t>RAPOR_BIO_SIS_2025 / 2026_Ganjil_X TO 4_MUHAMMAD GALANG GUNAWAN.pdf</t>
  </si>
  <si>
    <t>c1b3e654-cfdb-4802-8824-1ccfecac5be4</t>
  </si>
  <si>
    <t>7f984d66-d0ed-444f-a488-cabd8b447200</t>
  </si>
  <si>
    <t>5152fe2b-0ac9-48d3-b587-c4cae826a994</t>
  </si>
  <si>
    <t>RAPOR_CK_2_2025 / 2026_Ganjil_X TO 4_MUHAMMAD GALANG GUNAWAN.pdf</t>
  </si>
  <si>
    <t>3e971366-fd45-4192-aed8-55acd37fecbb</t>
  </si>
  <si>
    <t>menganalisis cara pandang para pendiri negara tentang rumusan Pancasila sebagai dasar negara hak dan kewajiban warga negara yang diatur dalam Undang- Undang Dasar Negara Republik Indonesia Tahun 1988</t>
  </si>
  <si>
    <t>menganalisis cara pandang para pendiri negara tentang rumusan Pancasila sebagai dasar negara hak dan kewajiban warga negara yang diatur dalam Undang- Undang Dasar Negara Republik Indonesia Tahun 1989</t>
  </si>
  <si>
    <t>Tingkatkan lagi prestasimu di semester berikutnya</t>
  </si>
  <si>
    <t>menganalisis cara pandang para pendiri negara tentang rumusan Pancasila sebagai dasar negara hak dan kewajiban warga negara yang diatur dalam Undang- Undang Dasar Negara Republik Indonesia Tahun 1990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</si>
</sst>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quot; , &quot;dd&quot; &quot;mmm&quot; &quot;yy&quot; | &quot;hh&quot;:&quot;mm"/>
    <numFmt numFmtId="165" formatCode="d&quot; &quot;mmmm&quot; &quot;yyyy"/>
    <numFmt numFmtId="166" formatCode="dd/MM/yyyy"/>
    <numFmt numFmtId="167" formatCode="m/d/yyyy h:mm:ss"/>
  </numFmts>
  <fonts count="133">
    <font>
      <sz val="11.0"/>
      <color theme="1"/>
      <name val="Calibri"/>
      <scheme val="minor"/>
    </font>
    <font>
      <color theme="1"/>
      <name val="Calibri"/>
      <scheme val="minor"/>
    </font>
    <font>
      <sz val="10.0"/>
      <color theme="1"/>
      <name val="Calibri"/>
    </font>
    <font>
      <sz val="7.0"/>
      <color theme="1"/>
      <name val="Calibri"/>
      <scheme val="minor"/>
    </font>
    <font>
      <sz val="11.0"/>
      <color theme="1"/>
      <name val="Calibri"/>
    </font>
    <font>
      <b/>
      <sz val="15.0"/>
      <color rgb="FFFFFFFF"/>
      <name val="Calibri"/>
    </font>
    <font>
      <b/>
      <sz val="15.0"/>
      <color rgb="FFEFEFEF"/>
      <name val="Calibri"/>
    </font>
    <font>
      <sz val="15.0"/>
      <color theme="1"/>
      <name val="Calibri"/>
    </font>
    <font/>
    <font>
      <b/>
      <sz val="10.0"/>
      <color rgb="FFFFFFFF"/>
      <name val="Calibri"/>
    </font>
    <font>
      <b/>
      <sz val="16.0"/>
      <color rgb="FFFFFFFF"/>
      <name val="Arial"/>
    </font>
    <font>
      <b/>
      <sz val="12.0"/>
      <color rgb="FFFFFFFF"/>
      <name val="Arial"/>
    </font>
    <font>
      <b/>
      <sz val="15.0"/>
      <color theme="1"/>
      <name val="Calibri"/>
    </font>
    <font>
      <b/>
      <sz val="7.0"/>
      <color rgb="FFEFEFEF"/>
      <name val="Arial"/>
    </font>
    <font>
      <b/>
      <sz val="7.0"/>
      <color rgb="FFFFFFFF"/>
      <name val="Arial"/>
    </font>
    <font>
      <b/>
      <sz val="16.0"/>
      <color theme="0"/>
      <name val="Arial"/>
    </font>
    <font>
      <b/>
      <sz val="12.0"/>
      <color theme="0"/>
      <name val="Arial"/>
    </font>
    <font>
      <b/>
      <sz val="7.0"/>
      <color theme="0"/>
      <name val="Arial"/>
    </font>
    <font>
      <b/>
      <sz val="8.0"/>
      <color rgb="FFFFFFFF"/>
      <name val="Arial"/>
    </font>
    <font>
      <b/>
      <sz val="11.0"/>
      <color rgb="FFFFFFFF"/>
      <name val="Arial"/>
    </font>
    <font>
      <sz val="11.0"/>
      <color rgb="FF434343"/>
      <name val="Calibri"/>
    </font>
    <font>
      <sz val="12.0"/>
      <color rgb="FFFFFFFF"/>
      <name val="Arial"/>
    </font>
    <font>
      <sz val="11.0"/>
      <color rgb="FFFFFFFF"/>
      <name val="Arial"/>
    </font>
    <font>
      <b/>
      <sz val="10.0"/>
      <color rgb="FF000000"/>
      <name val="Calibri"/>
    </font>
    <font>
      <sz val="11.0"/>
      <color rgb="FFFFFFFF"/>
      <name val="Calibri"/>
    </font>
    <font>
      <sz val="10.0"/>
      <color rgb="FFFFFFFF"/>
      <name val="Calibri"/>
    </font>
    <font>
      <sz val="10.0"/>
      <color theme="1"/>
      <name val="Arial Narrow"/>
    </font>
    <font>
      <sz val="10.0"/>
      <color theme="1"/>
      <name val="Calibri"/>
      <scheme val="minor"/>
    </font>
    <font>
      <sz val="11.0"/>
      <color rgb="FF000000"/>
      <name val="Calibri"/>
    </font>
    <font>
      <b/>
      <sz val="11.0"/>
      <color rgb="FFEFEFEF"/>
      <name val="Calibri"/>
    </font>
    <font>
      <b/>
      <sz val="11.0"/>
      <color rgb="FF434343"/>
      <name val="Calibri"/>
    </font>
    <font>
      <b/>
      <sz val="11.0"/>
      <color rgb="FFFFFFFF"/>
      <name val="Calibri"/>
    </font>
    <font>
      <b/>
      <sz val="11.0"/>
      <color theme="0"/>
      <name val="Calibri"/>
    </font>
    <font>
      <sz val="11.0"/>
      <color rgb="FFFF0000"/>
      <name val="Calibri"/>
    </font>
    <font>
      <color rgb="FFFFFFFF"/>
      <name val="Calibri"/>
      <scheme val="minor"/>
    </font>
    <font>
      <b/>
      <sz val="16.0"/>
      <color theme="1"/>
      <name val="Calibri"/>
      <scheme val="minor"/>
    </font>
    <font>
      <b/>
      <sz val="18.0"/>
      <color theme="1"/>
      <name val="Calibri"/>
      <scheme val="minor"/>
    </font>
    <font>
      <b/>
      <sz val="15.0"/>
      <color theme="1"/>
      <name val="Calibri"/>
      <scheme val="minor"/>
    </font>
    <font>
      <sz val="12.0"/>
      <color theme="1"/>
      <name val="Calibri"/>
      <scheme val="minor"/>
    </font>
    <font>
      <u/>
      <color theme="1"/>
    </font>
    <font>
      <u/>
      <sz val="18.0"/>
      <color rgb="FF0000FF"/>
    </font>
    <font>
      <sz val="8.0"/>
      <color theme="1"/>
      <name val="Calibri"/>
      <scheme val="minor"/>
    </font>
    <font>
      <color rgb="FF000000"/>
      <name val="Calibri"/>
      <scheme val="minor"/>
    </font>
    <font>
      <b/>
      <color rgb="FFFFFFFF"/>
      <name val="Calibri"/>
      <scheme val="minor"/>
    </font>
    <font>
      <sz val="18.0"/>
      <color theme="1"/>
      <name val="Calibri"/>
      <scheme val="minor"/>
    </font>
    <font>
      <u/>
      <sz val="11.0"/>
      <color rgb="FF0563C1"/>
      <name val="Calibri"/>
    </font>
    <font>
      <u/>
      <sz val="11.0"/>
      <color rgb="FF0000FF"/>
    </font>
    <font>
      <u/>
      <color rgb="FF000000"/>
    </font>
    <font>
      <color rgb="FF434343"/>
      <name val="Calibri"/>
      <scheme val="minor"/>
    </font>
    <font>
      <u/>
      <color rgb="FF434343"/>
    </font>
    <font>
      <sz val="18.0"/>
      <color rgb="FF000000"/>
      <name val="Calibri"/>
      <scheme val="minor"/>
    </font>
    <font>
      <u/>
      <color rgb="FF434343"/>
    </font>
    <font>
      <sz val="18.0"/>
      <color rgb="FFFFFFFF"/>
      <name val="Calibri"/>
      <scheme val="minor"/>
    </font>
    <font>
      <u/>
      <color rgb="FF434343"/>
    </font>
    <font>
      <u/>
      <color rgb="FF434343"/>
    </font>
    <font>
      <b/>
      <sz val="12.0"/>
      <color theme="1"/>
      <name val="Calibri"/>
    </font>
    <font>
      <b/>
      <sz val="12.0"/>
      <color rgb="FFFFFFFF"/>
      <name val="Calibri"/>
    </font>
    <font>
      <b/>
      <sz val="8.0"/>
      <color rgb="FFFFFFFF"/>
      <name val="Calibri"/>
    </font>
    <font>
      <sz val="10.0"/>
      <color rgb="FF000000"/>
      <name val="Calibri"/>
    </font>
    <font>
      <sz val="8.0"/>
      <color rgb="FF434343"/>
      <name val="Calibri"/>
    </font>
    <font>
      <b/>
      <sz val="10.0"/>
      <color theme="1"/>
      <name val="Calibri"/>
    </font>
    <font>
      <b/>
      <u/>
      <sz val="20.0"/>
      <color rgb="FF0563C1"/>
      <name val="Calibri"/>
    </font>
    <font>
      <sz val="8.0"/>
      <color rgb="FFFFFFFF"/>
      <name val="Calibri"/>
    </font>
    <font>
      <b/>
      <sz val="11.0"/>
      <color theme="1"/>
      <name val="Calibri"/>
    </font>
    <font>
      <b/>
      <sz val="11.0"/>
      <color rgb="FF000000"/>
      <name val="Calibri"/>
    </font>
    <font>
      <sz val="9.0"/>
      <color rgb="FF000000"/>
      <name val="Calibri"/>
    </font>
    <font>
      <b/>
      <sz val="16.0"/>
      <color theme="1"/>
      <name val="Calibri"/>
    </font>
    <font>
      <b/>
      <sz val="16.0"/>
      <color theme="1"/>
      <name val="Arial Narrow"/>
    </font>
    <font>
      <b/>
      <sz val="18.0"/>
      <color theme="1"/>
      <name val="Arial Narrow"/>
    </font>
    <font>
      <b/>
      <sz val="18.0"/>
      <color theme="1"/>
      <name val="Calibri"/>
    </font>
    <font>
      <b/>
      <sz val="14.0"/>
      <color theme="1"/>
      <name val="Calibri"/>
    </font>
    <font>
      <b/>
      <sz val="14.0"/>
      <color theme="1"/>
      <name val="Arial Narrow"/>
    </font>
    <font>
      <sz val="10.0"/>
      <color rgb="FF000000"/>
      <name val="Arial Narrow"/>
    </font>
    <font>
      <sz val="9.0"/>
      <color theme="1"/>
      <name val="Calibri"/>
    </font>
    <font>
      <b/>
      <u/>
      <sz val="9.0"/>
      <color theme="1"/>
      <name val="Calibri"/>
    </font>
    <font>
      <b/>
      <u/>
      <sz val="9.0"/>
      <color theme="1"/>
      <name val="Calibri"/>
    </font>
    <font>
      <b/>
      <u/>
      <sz val="11.0"/>
      <color theme="1"/>
      <name val="Calibri"/>
    </font>
    <font>
      <b/>
      <u/>
      <sz val="11.0"/>
      <color theme="1"/>
      <name val="Calibri"/>
    </font>
    <font>
      <u/>
      <sz val="11.0"/>
      <color theme="1"/>
      <name val="Calibri"/>
    </font>
    <font>
      <u/>
      <sz val="10.0"/>
      <color theme="1"/>
      <name val="Arial Narrow"/>
    </font>
    <font>
      <b/>
      <u/>
      <sz val="11.0"/>
      <color theme="1"/>
      <name val="Calibri"/>
    </font>
    <font>
      <i/>
      <sz val="11.0"/>
      <color theme="1"/>
      <name val="Calibri"/>
    </font>
    <font>
      <b/>
      <u/>
      <sz val="11.0"/>
      <color theme="1"/>
      <name val="Calibri"/>
    </font>
    <font>
      <b/>
      <sz val="14.0"/>
      <color rgb="FF000000"/>
      <name val="Calibri"/>
    </font>
    <font>
      <b/>
      <sz val="9.0"/>
      <color rgb="FF000000"/>
      <name val="Tahoma"/>
    </font>
    <font>
      <i/>
      <sz val="10.0"/>
      <color theme="1"/>
      <name val="Calibri"/>
    </font>
    <font>
      <b/>
      <u/>
      <sz val="10.0"/>
      <color rgb="FF0563C1"/>
      <name val="Calibri"/>
    </font>
    <font>
      <sz val="12.0"/>
      <color theme="1"/>
      <name val="Calibri"/>
    </font>
    <font>
      <i/>
      <sz val="12.0"/>
      <color theme="1"/>
      <name val="Calibri"/>
    </font>
    <font>
      <b/>
      <sz val="12.0"/>
      <color rgb="FF000000"/>
      <name val="Calibri"/>
    </font>
    <font>
      <sz val="12.0"/>
      <color rgb="FF000000"/>
      <name val="Calibri"/>
    </font>
    <font>
      <u/>
      <sz val="11.0"/>
      <color theme="1"/>
      <name val="Calibri"/>
    </font>
    <font>
      <b/>
      <sz val="12.0"/>
      <color theme="1"/>
      <name val="Calibri"/>
      <scheme val="minor"/>
    </font>
    <font>
      <b/>
      <sz val="12.0"/>
      <color theme="1"/>
      <name val="&quot;Calibri&quot;"/>
    </font>
    <font>
      <sz val="12.0"/>
      <color theme="0"/>
      <name val="Calibri"/>
    </font>
    <font>
      <sz val="11.0"/>
      <color theme="0"/>
      <name val="Calibri"/>
    </font>
    <font>
      <sz val="10.0"/>
      <color theme="0"/>
      <name val="Calibri"/>
    </font>
    <font>
      <b/>
      <u/>
      <sz val="10.0"/>
      <color theme="1"/>
      <name val="Calibri"/>
    </font>
    <font>
      <b/>
      <u/>
      <sz val="10.0"/>
      <color theme="1"/>
      <name val="Calibri"/>
    </font>
    <font>
      <b/>
      <u/>
      <sz val="10.0"/>
      <color theme="1"/>
      <name val="Calibri"/>
    </font>
    <font>
      <b/>
      <sz val="13.0"/>
      <color theme="1"/>
      <name val="Cambria"/>
    </font>
    <font>
      <b/>
      <sz val="14.0"/>
      <color theme="1"/>
      <name val="Cambria"/>
    </font>
    <font>
      <b/>
      <sz val="16.0"/>
      <color theme="1"/>
      <name val="Cambria"/>
    </font>
    <font>
      <b/>
      <sz val="16.0"/>
      <color rgb="FF000000"/>
      <name val="Cambria"/>
    </font>
    <font>
      <b/>
      <sz val="12.0"/>
      <color theme="1"/>
      <name val="Cambria"/>
    </font>
    <font>
      <sz val="12.0"/>
      <color rgb="FF000000"/>
      <name val="Cambria"/>
    </font>
    <font>
      <sz val="12.0"/>
      <color theme="1"/>
      <name val="Cambria"/>
    </font>
    <font>
      <u/>
      <sz val="12.0"/>
      <color rgb="FF0000FF"/>
      <name val="Cambria"/>
    </font>
    <font>
      <color theme="1"/>
      <name val="Cambria"/>
    </font>
    <font>
      <b/>
      <sz val="17.0"/>
      <color rgb="FFFFFFFF"/>
      <name val="Calibri"/>
      <scheme val="minor"/>
    </font>
    <font>
      <b/>
      <color rgb="FFFF0000"/>
      <name val="Calibri"/>
      <scheme val="minor"/>
    </font>
    <font>
      <b/>
      <color theme="1"/>
      <name val="Calibri"/>
      <scheme val="minor"/>
    </font>
    <font>
      <color theme="1"/>
      <name val="&quot;Calibri Light&quot;"/>
    </font>
    <font>
      <b/>
      <u/>
      <sz val="12.0"/>
      <color theme="1"/>
      <name val="Cambria"/>
    </font>
    <font>
      <sz val="7.0"/>
      <color theme="1"/>
      <name val="Calibri"/>
    </font>
    <font>
      <sz val="6.0"/>
      <color theme="1"/>
      <name val="Calibri"/>
    </font>
    <font>
      <sz val="10.0"/>
      <color rgb="FFFFFFFF"/>
      <name val="Calibri"/>
      <scheme val="minor"/>
    </font>
    <font>
      <b/>
      <sz val="7.0"/>
      <color theme="1"/>
      <name val="Calibri"/>
    </font>
    <font>
      <sz val="6.0"/>
      <color theme="1"/>
      <name val="Calibri"/>
      <scheme val="minor"/>
    </font>
    <font>
      <color theme="1"/>
      <name val="Arial"/>
    </font>
    <font>
      <i/>
      <sz val="11.0"/>
      <color rgb="FFFFFFFF"/>
      <name val="Calibri"/>
    </font>
    <font>
      <color rgb="FFFFFFFF"/>
      <name val="Arial"/>
    </font>
    <font>
      <u/>
      <sz val="11.0"/>
      <color rgb="FFFFFFFF"/>
      <name val="Calibri"/>
    </font>
    <font>
      <sz val="11.0"/>
      <color rgb="FFFFFFFF"/>
      <name val="Cambria"/>
    </font>
    <font>
      <sz val="10.0"/>
      <color rgb="FF0000FF"/>
    </font>
    <font>
      <u/>
      <sz val="11.0"/>
      <color rgb="FFFFFFFF"/>
      <name val="Calibri"/>
    </font>
    <font>
      <u/>
      <sz val="11.0"/>
      <color rgb="FFFFFFFF"/>
      <name val="Calibri"/>
    </font>
    <font>
      <u/>
      <color rgb="FF0000FF"/>
      <name val="Arial"/>
    </font>
    <font>
      <u/>
      <color rgb="FF0000FF"/>
    </font>
    <font>
      <sz val="8.0"/>
      <color theme="1"/>
      <name val="Arial Narrow"/>
    </font>
    <font>
      <sz val="8.0"/>
      <color theme="1"/>
      <name val="Calibri"/>
    </font>
    <font>
      <b/>
      <u/>
      <sz val="8.0"/>
      <color theme="1"/>
      <name val="Calibri"/>
    </font>
    <font>
      <b/>
      <u/>
      <sz val="8.0"/>
      <color theme="1"/>
      <name val="Calibri"/>
    </font>
  </fonts>
  <fills count="45">
    <fill>
      <patternFill patternType="none"/>
    </fill>
    <fill>
      <patternFill patternType="lightGray"/>
    </fill>
    <fill>
      <patternFill patternType="solid">
        <fgColor rgb="FF980000"/>
        <bgColor rgb="FF980000"/>
      </patternFill>
    </fill>
    <fill>
      <patternFill patternType="solid">
        <fgColor rgb="FF989898"/>
        <bgColor rgb="FF989898"/>
      </patternFill>
    </fill>
    <fill>
      <patternFill patternType="solid">
        <fgColor rgb="FFBD1803"/>
        <bgColor rgb="FFBD1803"/>
      </patternFill>
    </fill>
    <fill>
      <patternFill patternType="solid">
        <fgColor rgb="FFAB201B"/>
        <bgColor rgb="FFAB201B"/>
      </patternFill>
    </fill>
    <fill>
      <patternFill patternType="solid">
        <fgColor rgb="FFFF9900"/>
        <bgColor rgb="FFFF9900"/>
      </patternFill>
    </fill>
    <fill>
      <patternFill patternType="solid">
        <fgColor rgb="FF3C78D8"/>
        <bgColor rgb="FF3C78D8"/>
      </patternFill>
    </fill>
    <fill>
      <patternFill patternType="solid">
        <fgColor rgb="FFE69138"/>
        <bgColor rgb="FFE69138"/>
      </patternFill>
    </fill>
    <fill>
      <patternFill patternType="solid">
        <fgColor rgb="FF274E13"/>
        <bgColor rgb="FF274E13"/>
      </patternFill>
    </fill>
    <fill>
      <patternFill patternType="solid">
        <fgColor rgb="FF6AA84F"/>
        <bgColor rgb="FF6AA84F"/>
      </patternFill>
    </fill>
    <fill>
      <patternFill patternType="solid">
        <fgColor rgb="FF9900FF"/>
        <bgColor rgb="FF9900FF"/>
      </patternFill>
    </fill>
    <fill>
      <patternFill patternType="solid">
        <fgColor rgb="FF073763"/>
        <bgColor rgb="FF073763"/>
      </patternFill>
    </fill>
    <fill>
      <patternFill patternType="solid">
        <fgColor rgb="FF6D9EEB"/>
        <bgColor rgb="FF6D9EEB"/>
      </patternFill>
    </fill>
    <fill>
      <patternFill patternType="solid">
        <fgColor rgb="FF8E7CC3"/>
        <bgColor rgb="FF8E7CC3"/>
      </patternFill>
    </fill>
    <fill>
      <patternFill patternType="solid">
        <fgColor rgb="FF6FA8DC"/>
        <bgColor rgb="FF6FA8DC"/>
      </patternFill>
    </fill>
    <fill>
      <patternFill patternType="solid">
        <fgColor rgb="FF7F6000"/>
        <bgColor rgb="FF7F6000"/>
      </patternFill>
    </fill>
    <fill>
      <patternFill patternType="solid">
        <fgColor rgb="FFE06666"/>
        <bgColor rgb="FFE06666"/>
      </patternFill>
    </fill>
    <fill>
      <patternFill patternType="solid">
        <fgColor rgb="FFEA9999"/>
        <bgColor rgb="FFEA9999"/>
      </patternFill>
    </fill>
    <fill>
      <patternFill patternType="solid">
        <fgColor rgb="FFFFFF00"/>
        <bgColor rgb="FFFFFF00"/>
      </patternFill>
    </fill>
    <fill>
      <patternFill patternType="solid">
        <fgColor rgb="FF4A86E8"/>
        <bgColor rgb="FF4A86E8"/>
      </patternFill>
    </fill>
    <fill>
      <patternFill patternType="solid">
        <fgColor theme="9"/>
        <bgColor theme="9"/>
      </patternFill>
    </fill>
    <fill>
      <patternFill patternType="solid">
        <fgColor rgb="FFEFEFEF"/>
        <bgColor rgb="FFEFEFEF"/>
      </patternFill>
    </fill>
    <fill>
      <patternFill patternType="solid">
        <fgColor rgb="FF0C343D"/>
        <bgColor rgb="FF0C343D"/>
      </patternFill>
    </fill>
    <fill>
      <patternFill patternType="solid">
        <fgColor rgb="FF134F5C"/>
        <bgColor rgb="FF134F5C"/>
      </patternFill>
    </fill>
    <fill>
      <patternFill patternType="solid">
        <fgColor rgb="FF38761D"/>
        <bgColor rgb="FF38761D"/>
      </patternFill>
    </fill>
    <fill>
      <patternFill patternType="solid">
        <fgColor rgb="FF1155CC"/>
        <bgColor rgb="FF1155CC"/>
      </patternFill>
    </fill>
    <fill>
      <patternFill patternType="solid">
        <fgColor rgb="FF434343"/>
        <bgColor rgb="FF434343"/>
      </patternFill>
    </fill>
    <fill>
      <patternFill patternType="solid">
        <fgColor rgb="FFF6B26B"/>
        <bgColor rgb="FFF6B26B"/>
      </patternFill>
    </fill>
    <fill>
      <patternFill patternType="solid">
        <fgColor rgb="FFBF9000"/>
        <bgColor rgb="FFBF9000"/>
      </patternFill>
    </fill>
    <fill>
      <patternFill patternType="solid">
        <fgColor rgb="FFFFFFFF"/>
        <bgColor rgb="FFFFFFFF"/>
      </patternFill>
    </fill>
    <fill>
      <patternFill patternType="solid">
        <fgColor rgb="FFDD7E6B"/>
        <bgColor rgb="FFDD7E6B"/>
      </patternFill>
    </fill>
    <fill>
      <patternFill patternType="solid">
        <fgColor rgb="FFF3F3F3"/>
        <bgColor rgb="FFF3F3F3"/>
      </patternFill>
    </fill>
    <fill>
      <patternFill patternType="solid">
        <fgColor rgb="FF000000"/>
        <bgColor rgb="FF000000"/>
      </patternFill>
    </fill>
    <fill>
      <patternFill patternType="solid">
        <fgColor rgb="FF999999"/>
        <bgColor rgb="FF999999"/>
      </patternFill>
    </fill>
    <fill>
      <patternFill patternType="solid">
        <fgColor rgb="FF44546A"/>
        <bgColor rgb="FF44546A"/>
      </patternFill>
    </fill>
    <fill>
      <patternFill patternType="solid">
        <fgColor rgb="FFCCCCCC"/>
        <bgColor rgb="FFCCCCCC"/>
      </patternFill>
    </fill>
    <fill>
      <patternFill patternType="solid">
        <fgColor theme="0"/>
        <bgColor theme="0"/>
      </patternFill>
    </fill>
    <fill>
      <patternFill patternType="solid">
        <fgColor rgb="FFD9E2F3"/>
        <bgColor rgb="FFD9E2F3"/>
      </patternFill>
    </fill>
    <fill>
      <patternFill patternType="solid">
        <fgColor rgb="FFD9D9D9"/>
        <bgColor rgb="FFD9D9D9"/>
      </patternFill>
    </fill>
    <fill>
      <patternFill patternType="solid">
        <fgColor rgb="FFA8D08D"/>
        <bgColor rgb="FFA8D08D"/>
      </patternFill>
    </fill>
    <fill>
      <patternFill patternType="solid">
        <fgColor rgb="FFFEF2CB"/>
        <bgColor rgb="FFFEF2CB"/>
      </patternFill>
    </fill>
    <fill>
      <patternFill patternType="solid">
        <fgColor theme="4"/>
        <bgColor theme="4"/>
      </patternFill>
    </fill>
    <fill>
      <patternFill patternType="solid">
        <fgColor rgb="FFD5A6BD"/>
        <bgColor rgb="FFD5A6BD"/>
      </patternFill>
    </fill>
    <fill>
      <patternFill patternType="solid">
        <fgColor rgb="FFB6D7A8"/>
        <bgColor rgb="FFB6D7A8"/>
      </patternFill>
    </fill>
  </fills>
  <borders count="211">
    <border/>
    <border>
      <left style="thin">
        <color rgb="FF000000"/>
      </left>
      <right style="thin">
        <color rgb="FF000000"/>
      </right>
      <top style="thin">
        <color rgb="FF000000"/>
      </top>
    </border>
    <border>
      <left style="medium">
        <color rgb="FF666666"/>
      </left>
      <right style="medium">
        <color rgb="FF666666"/>
      </right>
      <top style="medium">
        <color rgb="FF666666"/>
      </top>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medium">
        <color rgb="FF666666"/>
      </left>
      <top style="medium">
        <color rgb="FF666666"/>
      </top>
    </border>
    <border>
      <left style="thin">
        <color rgb="FF000000"/>
      </left>
      <right style="thin">
        <color rgb="FF000000"/>
      </right>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top style="medium">
        <color rgb="FF666666"/>
      </top>
    </border>
    <border>
      <left style="thick">
        <color rgb="FFFFFFFF"/>
      </left>
      <top style="thick">
        <color rgb="FFFFFFFF"/>
      </top>
    </border>
    <border>
      <left style="thin">
        <color rgb="FFD9D9D9"/>
      </left>
      <right style="medium">
        <color rgb="FF666666"/>
      </right>
    </border>
    <border>
      <left style="thin">
        <color rgb="FF000000"/>
      </left>
      <top style="thin">
        <color rgb="FF000000"/>
      </top>
      <bottom style="thin">
        <color rgb="FF000000"/>
      </bottom>
    </border>
    <border>
      <top style="thick">
        <color rgb="FFFFFFFF"/>
      </top>
    </border>
    <border>
      <right style="thick">
        <color rgb="FFFFFFFF"/>
      </right>
      <top style="thick">
        <color rgb="FFFFFFFF"/>
      </top>
    </border>
    <border>
      <right style="medium">
        <color rgb="FF666666"/>
      </right>
      <top style="medium">
        <color rgb="FF666666"/>
      </top>
    </border>
    <border>
      <left style="thin">
        <color rgb="FF000000"/>
      </left>
      <right style="thin">
        <color rgb="FFB7B7B7"/>
      </right>
      <top style="thin">
        <color rgb="FF000000"/>
      </top>
      <bottom style="thin">
        <color rgb="FF000000"/>
      </bottom>
    </border>
    <border>
      <left style="thick">
        <color rgb="FFFFFFFF"/>
      </left>
      <top style="thick">
        <color rgb="FFFFFFFF"/>
      </top>
      <bottom style="thin">
        <color rgb="FFFFFFFF"/>
      </bottom>
    </border>
    <border>
      <left style="thin">
        <color rgb="FFB7B7B7"/>
      </left>
      <right style="thin">
        <color rgb="FF000000"/>
      </right>
      <top style="thin">
        <color rgb="FF000000"/>
      </top>
      <bottom style="thin">
        <color rgb="FF000000"/>
      </bottom>
    </border>
    <border>
      <right style="thin">
        <color rgb="FFB7B7B7"/>
      </right>
      <top style="thin">
        <color rgb="FF000000"/>
      </top>
      <bottom style="thin">
        <color rgb="FF000000"/>
      </bottom>
    </border>
    <border>
      <top style="thick">
        <color rgb="FFFFFFFF"/>
      </top>
      <bottom style="thin">
        <color rgb="FFFFFFFF"/>
      </bottom>
    </border>
    <border>
      <right style="thick">
        <color rgb="FFFFFFFF"/>
      </right>
      <top style="thick">
        <color rgb="FFFFFFFF"/>
      </top>
      <bottom style="thin">
        <color rgb="FFFFFFFF"/>
      </bottom>
    </border>
    <border>
      <left style="thin">
        <color rgb="FF000000"/>
      </left>
      <right style="thin">
        <color rgb="FF000000"/>
      </right>
      <bottom style="thin">
        <color rgb="FF000000"/>
      </bottom>
    </border>
    <border>
      <left style="thick">
        <color rgb="FFFFFFFF"/>
      </left>
      <right style="thin">
        <color rgb="FFB7B7B7"/>
      </right>
      <top style="thick">
        <color rgb="FFFFFFFF"/>
      </top>
    </border>
    <border>
      <left style="thin">
        <color rgb="FFB7B7B7"/>
      </left>
      <right style="thin">
        <color rgb="FFB7B7B7"/>
      </right>
      <top style="thick">
        <color rgb="FFFFFFFF"/>
      </top>
    </border>
    <border>
      <left style="thin">
        <color rgb="FFB7B7B7"/>
      </left>
      <right style="thick">
        <color rgb="FFFFFFFF"/>
      </right>
      <top style="thick">
        <color rgb="FFFFFFFF"/>
      </top>
    </border>
    <border>
      <left style="thin">
        <color rgb="FFFFFFFF"/>
      </left>
      <right style="thin">
        <color rgb="FFFFFFFF"/>
      </right>
      <top style="thin">
        <color rgb="FFFFFFFF"/>
      </top>
      <bottom style="thin">
        <color rgb="FFFFFFFF"/>
      </bottom>
    </border>
    <border>
      <left style="thick">
        <color rgb="FFFFFFFF"/>
      </left>
      <right style="thin">
        <color rgb="FFB7B7B7"/>
      </right>
      <top style="thin">
        <color rgb="FFFFFFFF"/>
      </top>
    </border>
    <border>
      <left style="thin">
        <color rgb="FFB7B7B7"/>
      </left>
      <right style="thin">
        <color rgb="FFB7B7B7"/>
      </right>
      <top style="thin">
        <color rgb="FFFFFFFF"/>
      </top>
    </border>
    <border>
      <left style="thin">
        <color rgb="FFB7B7B7"/>
      </left>
      <right style="thick">
        <color rgb="FFFFFFFF"/>
      </right>
      <top style="thin">
        <color rgb="FFFFFFFF"/>
      </top>
    </border>
    <border>
      <right style="thin">
        <color rgb="FF000000"/>
      </right>
      <top style="thin">
        <color rgb="FF000000"/>
      </top>
      <bottom style="thin">
        <color rgb="FF000000"/>
      </bottom>
    </border>
    <border>
      <left style="medium">
        <color rgb="FF666666"/>
      </left>
      <right style="medium">
        <color rgb="FF666666"/>
      </right>
    </border>
    <border>
      <left style="medium">
        <color rgb="FF666666"/>
      </left>
      <right style="medium">
        <color rgb="FF666666"/>
      </right>
      <bottom/>
    </border>
    <border>
      <left style="medium">
        <color rgb="FF666666"/>
      </left>
    </border>
    <border>
      <left style="medium">
        <color rgb="FF666666"/>
      </left>
      <right style="thin">
        <color rgb="FFD9D9D9"/>
      </right>
    </border>
    <border>
      <left style="thin">
        <color rgb="FFB7B7B7"/>
      </left>
      <top style="thin">
        <color rgb="FF000000"/>
      </top>
      <bottom style="thin">
        <color rgb="FF000000"/>
      </bottom>
    </border>
    <border>
      <left style="thick">
        <color rgb="FF1155CC"/>
      </left>
      <right style="thin">
        <color rgb="FFD9D9D9"/>
      </right>
      <top style="thick">
        <color rgb="FF1155CC"/>
      </top>
      <bottom style="thick">
        <color rgb="FF434343"/>
      </bottom>
    </border>
    <border>
      <left style="thin">
        <color rgb="FFD9D9D9"/>
      </left>
      <right style="thin">
        <color rgb="FFD9D9D9"/>
      </right>
      <top style="thick">
        <color rgb="FF1155CC"/>
      </top>
      <bottom style="thick">
        <color rgb="FF434343"/>
      </bottom>
    </border>
    <border>
      <left style="thick">
        <color rgb="FFFFFFFF"/>
      </left>
      <right style="thin">
        <color rgb="FFB7B7B7"/>
      </right>
    </border>
    <border>
      <left style="thin">
        <color rgb="FFD9D9D9"/>
      </left>
      <right style="thin">
        <color rgb="FFD9D9D9"/>
      </right>
    </border>
    <border>
      <left style="thin">
        <color rgb="FFD9D9D9"/>
      </left>
      <right style="thick">
        <color rgb="FF1155CC"/>
      </right>
      <top style="thick">
        <color rgb="FF1155CC"/>
      </top>
      <bottom style="thick">
        <color rgb="FF434343"/>
      </bottom>
    </border>
    <border>
      <right style="thin">
        <color rgb="FFD9D9D9"/>
      </right>
      <top style="thick">
        <color rgb="FF434343"/>
      </top>
      <bottom style="thick">
        <color rgb="FF434343"/>
      </bottom>
    </border>
    <border>
      <left style="thin">
        <color rgb="FFB7B7B7"/>
      </left>
      <right style="thin">
        <color rgb="FFB7B7B7"/>
      </right>
    </border>
    <border>
      <left style="thin">
        <color rgb="FFD9D9D9"/>
      </left>
      <right style="thin">
        <color rgb="FFD9D9D9"/>
      </right>
      <top style="thick">
        <color rgb="FF434343"/>
      </top>
      <bottom style="thick">
        <color rgb="FF434343"/>
      </bottom>
    </border>
    <border>
      <left style="thin">
        <color rgb="FFB7B7B7"/>
      </left>
      <right style="thick">
        <color rgb="FFFFFFFF"/>
      </right>
    </border>
    <border>
      <left style="thin">
        <color rgb="FFD9D9D9"/>
      </left>
      <right style="thick">
        <color rgb="FF434343"/>
      </right>
      <top style="thick">
        <color rgb="FF434343"/>
      </top>
      <bottom style="thick">
        <color rgb="FF434343"/>
      </bottom>
    </border>
    <border>
      <left style="medium">
        <color rgb="FF666666"/>
      </left>
      <right style="thin">
        <color rgb="FFB7B7B7"/>
      </right>
    </border>
    <border>
      <left style="thin">
        <color rgb="FFB7B7B7"/>
      </left>
      <right style="medium">
        <color rgb="FF666666"/>
      </right>
    </border>
    <border>
      <left style="thin">
        <color rgb="FF000000"/>
      </left>
      <right/>
      <top style="thin">
        <color rgb="FF000000"/>
      </top>
      <bottom style="thin">
        <color rgb="FF000000"/>
      </bottom>
    </border>
    <border>
      <left style="thin">
        <color rgb="FFB7B7B7"/>
      </left>
    </border>
    <border>
      <left style="thick">
        <color rgb="FF1155CC"/>
      </left>
    </border>
    <border>
      <right style="thick">
        <color rgb="FF1155CC"/>
      </right>
    </border>
    <border>
      <right style="thin">
        <color rgb="FFD9D9D9"/>
      </right>
    </border>
    <border>
      <left style="thin">
        <color rgb="FFD9D9D9"/>
      </left>
      <right style="thick">
        <color rgb="FF434343"/>
      </right>
    </border>
    <border>
      <top style="dotted">
        <color rgb="FF000000"/>
      </top>
    </border>
    <border>
      <right style="dotted">
        <color rgb="FF000000"/>
      </right>
      <top style="dotted">
        <color rgb="FF000000"/>
      </top>
    </border>
    <border>
      <right style="dotted">
        <color rgb="FF000000"/>
      </right>
    </border>
    <border>
      <right style="thin">
        <color rgb="FF000000"/>
      </right>
    </border>
    <border>
      <right style="thin">
        <color rgb="FF000000"/>
      </right>
      <bottom style="thin">
        <color rgb="FF000000"/>
      </bottom>
    </border>
    <border>
      <right style="thin">
        <color rgb="FF1056CF"/>
      </right>
      <top style="thin">
        <color rgb="FF1056CF"/>
      </top>
      <bottom style="thin">
        <color rgb="FF1056CF"/>
      </bottom>
    </border>
    <border>
      <top style="thin">
        <color rgb="FF1056CF"/>
      </top>
    </border>
    <border>
      <left style="thin">
        <color rgb="FF1155CC"/>
      </left>
      <top style="thin">
        <color rgb="FF1155CC"/>
      </top>
      <bottom style="thin">
        <color rgb="FF1155CC"/>
      </bottom>
    </border>
    <border>
      <top style="thin">
        <color rgb="FF1155CC"/>
      </top>
      <bottom style="thin">
        <color rgb="FF1155CC"/>
      </bottom>
    </border>
    <border>
      <right style="dotted">
        <color rgb="FF000000"/>
      </right>
      <top style="thin">
        <color rgb="FF1155CC"/>
      </top>
      <bottom style="thin">
        <color rgb="FF1155CC"/>
      </bottom>
    </border>
    <border>
      <right style="thin">
        <color rgb="FF434343"/>
      </right>
    </border>
    <border>
      <left style="thin">
        <color rgb="FF434343"/>
      </left>
      <right style="thin">
        <color rgb="FF434343"/>
      </right>
    </border>
    <border>
      <left style="thin">
        <color rgb="FF434343"/>
      </left>
      <right style="dotted">
        <color rgb="FF000000"/>
      </right>
    </border>
    <border>
      <left style="dotted">
        <color rgb="FF000000"/>
      </left>
      <right style="thin">
        <color rgb="FF666666"/>
      </right>
      <bottom style="thin">
        <color rgb="FF666666"/>
      </bottom>
    </border>
    <border>
      <left style="thin">
        <color rgb="FF666666"/>
      </left>
      <right style="thin">
        <color rgb="FF666666"/>
      </right>
      <top style="thin">
        <color rgb="FF666666"/>
      </top>
      <bottom style="thin">
        <color rgb="FF666666"/>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style="dotted">
        <color rgb="FF000000"/>
      </left>
      <right style="thin">
        <color rgb="FF666666"/>
      </right>
      <top style="thin">
        <color rgb="FFEFEFEF"/>
      </top>
      <bottom style="thin">
        <color rgb="FFEFEFEF"/>
      </bottom>
    </border>
    <border>
      <left style="thin">
        <color rgb="FF666666"/>
      </left>
      <right style="thin">
        <color rgb="FF666666"/>
      </right>
      <top style="thin">
        <color rgb="FFEFEFEF"/>
      </top>
      <bottom style="thin">
        <color rgb="FFEFEFEF"/>
      </bottom>
    </border>
    <border>
      <left style="thin">
        <color rgb="FF666666"/>
      </left>
      <right style="dotted">
        <color rgb="FF000000"/>
      </right>
      <top style="thin">
        <color rgb="FFEFEFEF"/>
      </top>
      <bottom style="thin">
        <color rgb="FFEFEFEF"/>
      </bottom>
    </border>
    <border>
      <left style="dotted">
        <color rgb="FF000000"/>
      </left>
      <right style="thin">
        <color rgb="FF666666"/>
      </right>
      <top style="thin">
        <color rgb="FFEFEFEF"/>
      </top>
      <bottom style="dotted">
        <color rgb="FF000000"/>
      </bottom>
    </border>
    <border>
      <left style="thin">
        <color rgb="FF666666"/>
      </left>
      <right style="thin">
        <color rgb="FF666666"/>
      </right>
      <top style="thin">
        <color rgb="FFEFEFEF"/>
      </top>
      <bottom style="dotted">
        <color rgb="FF000000"/>
      </bottom>
    </border>
    <border>
      <left style="thin">
        <color rgb="FF666666"/>
      </left>
      <right style="dotted">
        <color rgb="FF000000"/>
      </right>
      <top style="thin">
        <color rgb="FFEFEFEF"/>
      </top>
      <bottom style="dotted">
        <color rgb="FF000000"/>
      </bottom>
    </border>
    <border>
      <left style="medium">
        <color rgb="FF666666"/>
      </left>
      <right style="medium">
        <color rgb="FF666666"/>
      </right>
      <bottom style="thick">
        <color rgb="FF666666"/>
      </bottom>
    </border>
    <border>
      <left style="medium">
        <color rgb="FF666666"/>
      </left>
      <right style="thin">
        <color rgb="FFD9D9D9"/>
      </right>
      <bottom style="thick">
        <color rgb="FF666666"/>
      </bottom>
    </border>
    <border>
      <left style="thin">
        <color rgb="FFD9D9D9"/>
      </left>
      <right style="thin">
        <color rgb="FFD9D9D9"/>
      </right>
      <bottom style="thick">
        <color rgb="FF666666"/>
      </bottom>
    </border>
    <border>
      <left style="thin">
        <color rgb="FFD9D9D9"/>
      </left>
      <right style="medium">
        <color rgb="FF666666"/>
      </right>
      <bottom style="thick">
        <color rgb="FF666666"/>
      </bottom>
    </border>
    <border>
      <left style="thick">
        <color rgb="FF434343"/>
      </left>
      <right style="thin">
        <color rgb="FF000000"/>
      </right>
      <top style="thick">
        <color rgb="FF434343"/>
      </top>
      <bottom style="thin">
        <color rgb="FF000000"/>
      </bottom>
    </border>
    <border>
      <left style="thin">
        <color rgb="FF000000"/>
      </left>
      <right style="thin">
        <color rgb="FF000000"/>
      </right>
      <top style="thick">
        <color rgb="FF434343"/>
      </top>
      <bottom style="thin">
        <color rgb="FF000000"/>
      </bottom>
    </border>
    <border>
      <left style="thin">
        <color rgb="FF000000"/>
      </left>
      <top style="thick">
        <color rgb="FF434343"/>
      </top>
      <bottom style="thin">
        <color rgb="FF000000"/>
      </bottom>
    </border>
    <border>
      <left style="thin">
        <color rgb="FF000000"/>
      </left>
      <right style="thin">
        <color rgb="FFB7B7B7"/>
      </right>
      <top style="thick">
        <color rgb="FF434343"/>
      </top>
      <bottom style="thin">
        <color rgb="FF000000"/>
      </bottom>
    </border>
    <border>
      <right style="thin">
        <color rgb="FFB7B7B7"/>
      </right>
      <top style="thick">
        <color rgb="FF434343"/>
      </top>
      <bottom style="thin">
        <color rgb="FF000000"/>
      </bottom>
    </border>
    <border>
      <left style="thick">
        <color rgb="FF434343"/>
      </left>
      <right style="thin">
        <color rgb="FFD9D9D9"/>
      </right>
      <top style="thick">
        <color rgb="FF434343"/>
      </top>
      <bottom style="thick">
        <color rgb="FF434343"/>
      </bottom>
    </border>
    <border>
      <left style="thin">
        <color rgb="FFD9D9D9"/>
      </left>
      <top style="thick">
        <color rgb="FF434343"/>
      </top>
      <bottom style="thick">
        <color rgb="FF434343"/>
      </bottom>
    </border>
    <border>
      <left style="thick">
        <color rgb="FF434343"/>
      </left>
      <right style="medium">
        <color rgb="FF666666"/>
      </right>
    </border>
    <border>
      <left/>
      <right/>
      <top/>
      <bottom/>
    </border>
    <border>
      <bottom style="thin">
        <color rgb="FF000000"/>
      </bottom>
    </border>
    <border>
      <top style="thin">
        <color rgb="FF000000"/>
      </top>
      <bottom style="thin">
        <color rgb="FF000000"/>
      </bottom>
    </border>
    <border>
      <left style="thick">
        <color rgb="FF434343"/>
      </left>
      <right style="thin">
        <color rgb="FFD9D9D9"/>
      </right>
    </border>
    <border>
      <left style="thin">
        <color rgb="FFD9D9D9"/>
      </left>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border>
    <border>
      <left style="thin">
        <color rgb="FF000000"/>
      </left>
      <bottom style="thin">
        <color rgb="FF000000"/>
      </bottom>
    </border>
    <border>
      <left style="thin">
        <color rgb="FF000000"/>
      </left>
      <right/>
      <top style="thin">
        <color rgb="FF000000"/>
      </top>
      <bottom/>
    </border>
    <border>
      <left/>
      <top style="thin">
        <color rgb="FF000000"/>
      </top>
      <bottom/>
    </border>
    <border>
      <right style="thin">
        <color rgb="FF000000"/>
      </right>
      <top style="thin">
        <color rgb="FF000000"/>
      </top>
      <bottom/>
    </border>
    <border>
      <left style="thin">
        <color rgb="FF000000"/>
      </left>
      <right/>
      <top/>
      <bottom/>
    </border>
    <border>
      <left/>
      <top/>
      <bottom/>
    </border>
    <border>
      <right style="thin">
        <color rgb="FF000000"/>
      </right>
      <top/>
      <bottom/>
    </border>
    <border>
      <left/>
      <top style="thin">
        <color rgb="FF000000"/>
      </top>
      <bottom style="thin">
        <color rgb="FF000000"/>
      </bottom>
    </border>
    <border>
      <left/>
      <top style="thin">
        <color rgb="FF000000"/>
      </top>
    </border>
    <border>
      <right/>
      <top style="thin">
        <color rgb="FF000000"/>
      </top>
    </border>
    <border>
      <top/>
      <bottom/>
    </border>
    <border>
      <right/>
      <top/>
      <bottom/>
    </border>
    <border>
      <left style="medium">
        <color rgb="FF666666"/>
      </left>
      <right style="medium">
        <color rgb="FF666666"/>
      </right>
      <bottom style="medium">
        <color rgb="FF666666"/>
      </bottom>
    </border>
    <border>
      <left style="medium">
        <color rgb="FF666666"/>
      </left>
      <right style="thin">
        <color rgb="FFD9D9D9"/>
      </right>
      <bottom style="medium">
        <color rgb="FF666666"/>
      </bottom>
    </border>
    <border>
      <left style="thin">
        <color rgb="FFD9D9D9"/>
      </left>
      <right style="thin">
        <color rgb="FFD9D9D9"/>
      </right>
      <bottom style="medium">
        <color rgb="FF666666"/>
      </bottom>
    </border>
    <border>
      <left style="thin">
        <color rgb="FFD9D9D9"/>
      </left>
      <right style="medium">
        <color rgb="FF666666"/>
      </right>
      <bottom style="medium">
        <color rgb="FF666666"/>
      </bottom>
    </border>
    <border>
      <top style="thin">
        <color rgb="FF000000"/>
      </top>
      <bottom/>
    </border>
    <border>
      <left style="thin">
        <color rgb="FF000000"/>
      </left>
      <right/>
      <top/>
      <bottom style="thin">
        <color rgb="FF000000"/>
      </bottom>
    </border>
    <border>
      <left/>
      <top/>
      <bottom style="thin">
        <color rgb="FF000000"/>
      </bottom>
    </border>
    <border>
      <top/>
      <bottom style="thin">
        <color rgb="FF000000"/>
      </bottom>
    </border>
    <border>
      <left style="double">
        <color rgb="FF0000FF"/>
      </left>
      <top style="double">
        <color rgb="FF0000FF"/>
      </top>
    </border>
    <border>
      <top style="double">
        <color rgb="FF0000FF"/>
      </top>
    </border>
    <border>
      <right style="double">
        <color rgb="FF0000FF"/>
      </right>
      <top style="double">
        <color rgb="FF0000FF"/>
      </top>
    </border>
    <border>
      <left style="thick">
        <color rgb="FF70AD47"/>
      </left>
      <top style="thick">
        <color rgb="FF70AD47"/>
      </top>
    </border>
    <border>
      <top style="thick">
        <color rgb="FF70AD47"/>
      </top>
    </border>
    <border>
      <right style="thick">
        <color rgb="FF70AD47"/>
      </right>
      <top style="thick">
        <color rgb="FF70AD47"/>
      </top>
    </border>
    <border>
      <left style="double">
        <color rgb="FF0000FF"/>
      </left>
      <bottom style="double">
        <color rgb="FF073763"/>
      </bottom>
    </border>
    <border>
      <bottom style="double">
        <color rgb="FF073763"/>
      </bottom>
    </border>
    <border>
      <right style="double">
        <color rgb="FF0000FF"/>
      </right>
      <bottom style="double">
        <color rgb="FF073763"/>
      </bottom>
    </border>
    <border>
      <left style="thick">
        <color rgb="FF70AD47"/>
      </left>
      <bottom style="thick">
        <color rgb="FF70AD47"/>
      </bottom>
    </border>
    <border>
      <bottom style="thick">
        <color rgb="FF70AD47"/>
      </bottom>
    </border>
    <border>
      <right style="thick">
        <color rgb="FF70AD47"/>
      </right>
      <bottom style="thick">
        <color rgb="FF70AD47"/>
      </bottom>
    </border>
    <border>
      <left style="double">
        <color rgb="FF0000FF"/>
      </left>
      <right style="double">
        <color rgb="FF073763"/>
      </right>
      <top style="double">
        <color rgb="FF073763"/>
      </top>
      <bottom style="double">
        <color rgb="FF073763"/>
      </bottom>
    </border>
    <border>
      <left style="double">
        <color rgb="FF073763"/>
      </left>
      <right style="double">
        <color rgb="FF073763"/>
      </right>
      <top style="double">
        <color rgb="FF073763"/>
      </top>
      <bottom style="double">
        <color rgb="FF073763"/>
      </bottom>
    </border>
    <border>
      <left style="double">
        <color rgb="FF073763"/>
      </left>
      <right style="double">
        <color rgb="FF0000FF"/>
      </right>
      <top style="double">
        <color rgb="FF073763"/>
      </top>
      <bottom style="double">
        <color rgb="FF073763"/>
      </bottom>
    </border>
    <border>
      <left style="thick">
        <color rgb="FF70AD47"/>
      </left>
      <right style="thick">
        <color rgb="FF70AD47"/>
      </right>
      <bottom style="double">
        <color rgb="FF000000"/>
      </bottom>
    </border>
    <border>
      <left style="thick">
        <color rgb="FF70AD47"/>
      </left>
      <right style="double">
        <color rgb="FF000000"/>
      </right>
      <bottom style="double">
        <color rgb="FF000000"/>
      </bottom>
    </border>
    <border>
      <left style="double">
        <color rgb="FF000000"/>
      </left>
      <right style="double">
        <color rgb="FF000000"/>
      </right>
      <bottom style="double">
        <color rgb="FF000000"/>
      </bottom>
    </border>
    <border>
      <left style="double">
        <color rgb="FF000000"/>
      </left>
      <right style="thick">
        <color rgb="FF70AD47"/>
      </right>
      <bottom style="double">
        <color rgb="FF000000"/>
      </bottom>
    </border>
    <border>
      <left style="thick">
        <color rgb="FF70AD47"/>
      </left>
      <right style="thick">
        <color rgb="FF70AD47"/>
      </right>
    </border>
    <border>
      <left style="thick">
        <color rgb="FF70AD47"/>
      </left>
    </border>
    <border>
      <left style="dotted">
        <color rgb="FF073763"/>
      </left>
    </border>
    <border>
      <right style="dotted">
        <color rgb="FF073763"/>
      </right>
    </border>
    <border>
      <left style="dotted">
        <color rgb="FF073763"/>
      </left>
      <right style="thick">
        <color rgb="FF70AD47"/>
      </right>
    </border>
    <border>
      <left style="thick">
        <color rgb="FF000000"/>
      </left>
      <top style="thick">
        <color rgb="FF000000"/>
      </top>
      <bottom style="thin">
        <color rgb="FFFFFFFF"/>
      </bottom>
    </border>
    <border>
      <top style="thick">
        <color rgb="FF000000"/>
      </top>
      <bottom style="thin">
        <color rgb="FFFFFFFF"/>
      </bottom>
    </border>
    <border>
      <top style="thick">
        <color rgb="FF000000"/>
      </top>
      <bottom style="hair">
        <color rgb="FF000000"/>
      </bottom>
    </border>
    <border>
      <right style="thick">
        <color rgb="FF000000"/>
      </right>
      <top style="thick">
        <color rgb="FF000000"/>
      </top>
      <bottom style="hair">
        <color rgb="FF000000"/>
      </bottom>
    </border>
    <border>
      <left style="thick">
        <color rgb="FF000000"/>
      </left>
      <top style="thin">
        <color rgb="FFFFFFFF"/>
      </top>
      <bottom style="thin">
        <color rgb="FFFFFFFF"/>
      </bottom>
    </border>
    <border>
      <top style="thin">
        <color rgb="FFFFFFFF"/>
      </top>
      <bottom style="thin">
        <color rgb="FFFFFFFF"/>
      </bottom>
    </border>
    <border>
      <top style="hair">
        <color rgb="FF000000"/>
      </top>
      <bottom style="hair">
        <color rgb="FF000000"/>
      </bottom>
    </border>
    <border>
      <right style="thick">
        <color rgb="FF000000"/>
      </right>
      <top style="hair">
        <color rgb="FF000000"/>
      </top>
      <bottom style="hair">
        <color rgb="FF000000"/>
      </bottom>
    </border>
    <border>
      <top style="hair">
        <color rgb="FF000000"/>
      </top>
      <bottom style="thick">
        <color rgb="FF000000"/>
      </bottom>
    </border>
    <border>
      <right style="thick">
        <color rgb="FF000000"/>
      </right>
      <top style="hair">
        <color rgb="FF000000"/>
      </top>
      <bottom style="thick">
        <color rgb="FF000000"/>
      </bottom>
    </border>
    <border>
      <left style="dotted">
        <color rgb="FF073763"/>
      </left>
      <right style="thick">
        <color rgb="FF70AD47"/>
      </right>
      <bottom style="dotted">
        <color rgb="FF073763"/>
      </bottom>
    </border>
    <border>
      <left style="double">
        <color rgb="FF0000FF"/>
      </left>
      <bottom style="double">
        <color rgb="FF0000FF"/>
      </bottom>
    </border>
    <border>
      <bottom style="double">
        <color rgb="FF0000FF"/>
      </bottom>
    </border>
    <border>
      <right style="double">
        <color rgb="FF0000FF"/>
      </right>
      <bottom style="double">
        <color rgb="FF0000FF"/>
      </bottom>
    </border>
    <border>
      <left style="dotted">
        <color rgb="FF073763"/>
      </left>
      <bottom style="thick">
        <color rgb="FF70AD47"/>
      </bottom>
    </border>
    <border>
      <right style="dotted">
        <color rgb="FF073763"/>
      </right>
      <bottom style="thick">
        <color rgb="FF70AD47"/>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border>
    <border>
      <top style="medium">
        <color rgb="FF000000"/>
      </top>
      <bottom style="hair">
        <color rgb="FF000000"/>
      </bottom>
    </border>
    <border>
      <right style="medium">
        <color rgb="FF000000"/>
      </right>
      <top style="medium">
        <color rgb="FF000000"/>
      </top>
      <bottom style="hair">
        <color rgb="FF000000"/>
      </bottom>
    </border>
    <border>
      <top style="medium">
        <color rgb="FF000000"/>
      </top>
      <bottom style="thin">
        <color rgb="FF000000"/>
      </bottom>
    </border>
    <border>
      <right style="medium">
        <color rgb="FF000000"/>
      </right>
      <top style="hair">
        <color rgb="FF000000"/>
      </top>
      <bottom style="hair">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top style="thin">
        <color rgb="FFFFFFFF"/>
      </top>
    </border>
    <border>
      <left style="thick">
        <color rgb="FF000000"/>
      </left>
    </border>
    <border>
      <bottom style="hair">
        <color rgb="FF000000"/>
      </bottom>
    </border>
    <border>
      <right style="thick">
        <color rgb="FF000000"/>
      </right>
      <bottom style="hair">
        <color rgb="FF000000"/>
      </bottom>
    </border>
    <border>
      <left style="thick">
        <color rgb="FF000000"/>
      </left>
      <bottom style="thin">
        <color rgb="FFFFFFFF"/>
      </bottom>
    </border>
    <border>
      <top style="hair">
        <color rgb="FF000000"/>
      </top>
      <bottom style="medium">
        <color rgb="FF0563C1"/>
      </bottom>
    </border>
    <border>
      <right style="thick">
        <color rgb="FF000000"/>
      </right>
      <top style="hair">
        <color rgb="FF000000"/>
      </top>
      <bottom style="medium">
        <color rgb="FF0563C1"/>
      </bottom>
    </border>
    <border>
      <top style="medium">
        <color rgb="FF0563C1"/>
      </top>
      <bottom style="hair">
        <color rgb="FF000000"/>
      </bottom>
    </border>
    <border>
      <right style="thick">
        <color rgb="FF000000"/>
      </right>
      <top style="medium">
        <color rgb="FF0563C1"/>
      </top>
      <bottom style="hair">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medium">
        <color rgb="FF000000"/>
      </bottom>
    </border>
    <border>
      <top style="thick">
        <color rgb="FF000000"/>
      </top>
    </border>
    <border>
      <right style="thick">
        <color rgb="FF000000"/>
      </right>
      <top style="thick">
        <color rgb="FF000000"/>
      </top>
    </border>
    <border>
      <right style="thick">
        <color rgb="FF000000"/>
      </right>
    </border>
    <border>
      <left style="thick">
        <color rgb="FF000000"/>
      </left>
      <top style="thin">
        <color rgb="FFFFFFFF"/>
      </top>
      <bottom style="thick">
        <color rgb="FF000000"/>
      </bottom>
    </border>
    <border>
      <top style="thin">
        <color rgb="FFFFFFFF"/>
      </top>
      <bottom style="thick">
        <color rgb="FF000000"/>
      </bottom>
    </border>
    <border>
      <bottom style="thick">
        <color rgb="FF000000"/>
      </bottom>
    </border>
    <border>
      <right style="thick">
        <color rgb="FF000000"/>
      </right>
      <bottom style="thick">
        <color rgb="FF000000"/>
      </bottom>
    </border>
    <border>
      <left style="thick">
        <color rgb="FF434343"/>
      </left>
      <right style="medium">
        <color rgb="FF666666"/>
      </right>
      <bottom style="thick">
        <color rgb="FF666666"/>
      </bottom>
    </border>
    <border>
      <left style="medium">
        <color rgb="FF666666"/>
      </left>
      <bottom style="thick">
        <color rgb="FF666666"/>
      </bottom>
    </border>
    <border>
      <left style="medium">
        <color rgb="FF666666"/>
      </left>
      <right style="thin">
        <color rgb="FFB7B7B7"/>
      </right>
      <bottom style="thick">
        <color rgb="FF999999"/>
      </bottom>
    </border>
    <border>
      <left style="medium">
        <color rgb="FF666666"/>
      </left>
      <right style="thin">
        <color rgb="FFB7B7B7"/>
      </right>
      <bottom style="thick">
        <color rgb="FF666666"/>
      </bottom>
    </border>
    <border>
      <left style="thick">
        <color rgb="FF434343"/>
      </left>
      <right style="thin">
        <color rgb="FFD9D9D9"/>
      </right>
      <bottom style="thick">
        <color rgb="FF666666"/>
      </bottom>
    </border>
    <border>
      <left style="thin">
        <color rgb="FFD9D9D9"/>
      </left>
      <right style="medium">
        <color rgb="FF000000"/>
      </right>
      <bottom style="thick">
        <color rgb="FF666666"/>
      </bottom>
    </border>
    <border>
      <left style="thin">
        <color rgb="FFB7B7B7"/>
      </left>
      <right style="medium">
        <color rgb="FF666666"/>
      </right>
      <bottom style="thick">
        <color rgb="FF666666"/>
      </bottom>
    </border>
    <border>
      <left style="thin">
        <color rgb="FFB7B7B7"/>
      </left>
      <bottom style="thick">
        <color rgb="FF666666"/>
      </bottom>
    </border>
    <border>
      <left style="thick">
        <color rgb="FF1155CC"/>
      </left>
      <bottom style="thick">
        <color rgb="FF666666"/>
      </bottom>
    </border>
    <border>
      <bottom style="thick">
        <color rgb="FF666666"/>
      </bottom>
    </border>
    <border>
      <right style="thick">
        <color rgb="FF1155CC"/>
      </right>
      <bottom style="thick">
        <color rgb="FF666666"/>
      </bottom>
    </border>
    <border>
      <right style="thin">
        <color rgb="FFD9D9D9"/>
      </right>
      <bottom style="thick">
        <color rgb="FF666666"/>
      </bottom>
    </border>
    <border>
      <left style="thin">
        <color rgb="FFD9D9D9"/>
      </left>
      <right style="thick">
        <color rgb="FF434343"/>
      </right>
      <bottom style="thick">
        <color rgb="FF666666"/>
      </bottom>
    </border>
  </borders>
  <cellStyleXfs count="1">
    <xf borderId="0" fillId="0" fontId="0" numFmtId="0" applyAlignment="1" applyFont="1"/>
  </cellStyleXfs>
  <cellXfs count="104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1" numFmtId="1" xfId="0" applyFont="1" applyNumberFormat="1"/>
    <xf borderId="0" fillId="0" fontId="1" numFmtId="0" xfId="0" applyAlignment="1" applyFont="1">
      <alignment horizontal="center" readingOrder="0"/>
    </xf>
    <xf borderId="0" fillId="0" fontId="2" numFmtId="0" xfId="0" applyAlignment="1" applyFont="1">
      <alignment horizontal="center" readingOrder="0"/>
    </xf>
    <xf borderId="0" fillId="0" fontId="2" numFmtId="1" xfId="0" applyAlignment="1" applyFont="1" applyNumberFormat="1">
      <alignment horizontal="center" readingOrder="0"/>
    </xf>
    <xf borderId="0" fillId="0" fontId="2" numFmtId="49" xfId="0" applyAlignment="1" applyFont="1" applyNumberFormat="1">
      <alignment horizontal="center"/>
    </xf>
    <xf borderId="0" fillId="0" fontId="2" numFmtId="49" xfId="0" applyAlignment="1" applyFont="1" applyNumberFormat="1">
      <alignment horizontal="left"/>
    </xf>
    <xf borderId="0" fillId="0" fontId="3" numFmtId="0" xfId="0" applyAlignment="1" applyFont="1">
      <alignment shrinkToFit="0" wrapText="1"/>
    </xf>
    <xf borderId="0" fillId="0" fontId="3" numFmtId="49" xfId="0" applyAlignment="1" applyFont="1" applyNumberFormat="1">
      <alignment horizontal="center" shrinkToFit="0" wrapText="1"/>
    </xf>
    <xf borderId="0" fillId="0" fontId="3" numFmtId="49" xfId="0" applyAlignment="1" applyFont="1" applyNumberFormat="1">
      <alignment shrinkToFit="0" wrapText="1"/>
    </xf>
    <xf borderId="0" fillId="0" fontId="2" numFmtId="0" xfId="0" applyAlignment="1" applyFont="1">
      <alignment horizontal="center"/>
    </xf>
    <xf borderId="0" fillId="0" fontId="3" numFmtId="1" xfId="0" applyAlignment="1" applyFont="1" applyNumberFormat="1">
      <alignment shrinkToFit="0" wrapText="1"/>
    </xf>
    <xf borderId="0" fillId="0" fontId="3" numFmtId="49" xfId="0" applyAlignment="1" applyFont="1" applyNumberFormat="1">
      <alignment shrinkToFit="0" vertical="center" wrapText="1"/>
    </xf>
    <xf borderId="0" fillId="0" fontId="4" numFmtId="0" xfId="0" applyFont="1"/>
    <xf borderId="0" fillId="2" fontId="5" numFmtId="0" xfId="0" applyAlignment="1" applyFill="1" applyFont="1">
      <alignment horizontal="center" vertical="center"/>
    </xf>
    <xf borderId="0" fillId="3" fontId="6" numFmtId="0" xfId="0" applyAlignment="1" applyFill="1" applyFont="1">
      <alignment horizontal="center" vertical="center"/>
    </xf>
    <xf borderId="0" fillId="0" fontId="3" numFmtId="49" xfId="0" applyAlignment="1" applyFont="1" applyNumberFormat="1">
      <alignment horizontal="center" shrinkToFit="0" vertical="center" wrapText="1"/>
    </xf>
    <xf borderId="0" fillId="0" fontId="7" numFmtId="0" xfId="0" applyAlignment="1" applyFont="1">
      <alignment vertical="center"/>
    </xf>
    <xf borderId="1" fillId="2" fontId="5" numFmtId="0" xfId="0" applyAlignment="1" applyBorder="1" applyFont="1">
      <alignment horizontal="center" vertical="center"/>
    </xf>
    <xf borderId="1" fillId="2" fontId="5" numFmtId="0" xfId="0" applyAlignment="1" applyBorder="1" applyFont="1">
      <alignment horizontal="center" readingOrder="0" shrinkToFit="0" vertical="center" wrapText="1"/>
    </xf>
    <xf borderId="1" fillId="2" fontId="5" numFmtId="0" xfId="0" applyAlignment="1" applyBorder="1" applyFont="1">
      <alignment horizontal="center" shrinkToFit="0" vertical="center" wrapText="1"/>
    </xf>
    <xf borderId="2" fillId="4" fontId="5" numFmtId="0" xfId="0" applyAlignment="1" applyBorder="1" applyFill="1" applyFont="1">
      <alignment horizontal="center" vertical="center"/>
    </xf>
    <xf borderId="0" fillId="0" fontId="3" numFmtId="0" xfId="0" applyAlignment="1" applyFont="1">
      <alignment shrinkToFit="0" vertical="center" wrapText="1"/>
    </xf>
    <xf borderId="3" fillId="3" fontId="6" numFmtId="0" xfId="0" applyAlignment="1" applyBorder="1" applyFont="1">
      <alignment horizontal="center" vertical="center"/>
    </xf>
    <xf borderId="2" fillId="4" fontId="5" numFmtId="49" xfId="0" applyAlignment="1" applyBorder="1" applyFont="1" applyNumberFormat="1">
      <alignment horizontal="center" readingOrder="0" shrinkToFit="0" vertical="center" wrapText="1"/>
    </xf>
    <xf borderId="4" fillId="0" fontId="8" numFmtId="0" xfId="0" applyBorder="1" applyFont="1"/>
    <xf borderId="5" fillId="5" fontId="9" numFmtId="49" xfId="0" applyAlignment="1" applyBorder="1" applyFill="1" applyFont="1" applyNumberFormat="1">
      <alignment horizontal="center" vertical="center"/>
    </xf>
    <xf borderId="6" fillId="0" fontId="8" numFmtId="0" xfId="0" applyBorder="1" applyFont="1"/>
    <xf borderId="7" fillId="6" fontId="10" numFmtId="0" xfId="0" applyAlignment="1" applyBorder="1" applyFill="1" applyFont="1">
      <alignment horizontal="right" readingOrder="0" shrinkToFit="0" vertical="center" wrapText="1"/>
    </xf>
    <xf borderId="8" fillId="0" fontId="8" numFmtId="0" xfId="0" applyBorder="1" applyFont="1"/>
    <xf borderId="5" fillId="5" fontId="9" numFmtId="49" xfId="0" applyAlignment="1" applyBorder="1" applyFont="1" applyNumberFormat="1">
      <alignment horizontal="center" readingOrder="0" shrinkToFit="0" vertical="center" wrapText="1"/>
    </xf>
    <xf borderId="9" fillId="7" fontId="5" numFmtId="0" xfId="0" applyAlignment="1" applyBorder="1" applyFill="1" applyFont="1">
      <alignment horizontal="center" vertical="center"/>
    </xf>
    <xf borderId="10" fillId="0" fontId="8" numFmtId="0" xfId="0" applyBorder="1" applyFont="1"/>
    <xf borderId="11" fillId="0" fontId="8" numFmtId="0" xfId="0" applyBorder="1" applyFont="1"/>
    <xf borderId="12" fillId="6" fontId="11" numFmtId="0" xfId="0" applyAlignment="1" applyBorder="1" applyFont="1">
      <alignment horizontal="left" readingOrder="0" shrinkToFit="0" vertical="center" wrapText="1"/>
    </xf>
    <xf borderId="5" fillId="5" fontId="9" numFmtId="49" xfId="0" applyAlignment="1" applyBorder="1" applyFont="1" applyNumberFormat="1">
      <alignment horizontal="left" readingOrder="0" shrinkToFit="0" vertical="center" wrapText="1"/>
    </xf>
    <xf borderId="13" fillId="6" fontId="12" numFmtId="0" xfId="0" applyAlignment="1" applyBorder="1" applyFont="1">
      <alignment horizontal="center" vertical="center"/>
    </xf>
    <xf borderId="14" fillId="8" fontId="13" numFmtId="0" xfId="0" applyAlignment="1" applyBorder="1" applyFill="1" applyFont="1">
      <alignment horizontal="center" shrinkToFit="0" vertical="center" wrapText="1"/>
    </xf>
    <xf borderId="12" fillId="0" fontId="8" numFmtId="0" xfId="0" applyBorder="1" applyFont="1"/>
    <xf borderId="15" fillId="5" fontId="9" numFmtId="49" xfId="0" applyAlignment="1" applyBorder="1" applyFont="1" applyNumberFormat="1">
      <alignment horizontal="center" shrinkToFit="0" vertical="center" wrapText="1"/>
    </xf>
    <xf borderId="16" fillId="0" fontId="8" numFmtId="0" xfId="0" applyBorder="1" applyFont="1"/>
    <xf borderId="17" fillId="0" fontId="8" numFmtId="0" xfId="0" applyBorder="1" applyFont="1"/>
    <xf borderId="12" fillId="9" fontId="10" numFmtId="0" xfId="0" applyAlignment="1" applyBorder="1" applyFill="1" applyFont="1">
      <alignment horizontal="right" readingOrder="0" shrinkToFit="0" vertical="center" wrapText="1"/>
    </xf>
    <xf borderId="18" fillId="0" fontId="8" numFmtId="0" xfId="0" applyBorder="1" applyFont="1"/>
    <xf borderId="12" fillId="9" fontId="11" numFmtId="0" xfId="0" applyAlignment="1" applyBorder="1" applyFont="1">
      <alignment horizontal="left" readingOrder="0" shrinkToFit="0" vertical="center" wrapText="1"/>
    </xf>
    <xf borderId="15" fillId="5" fontId="9" numFmtId="49" xfId="0" applyAlignment="1" applyBorder="1" applyFont="1" applyNumberFormat="1">
      <alignment horizontal="center" readingOrder="0" shrinkToFit="0" vertical="center" wrapText="1"/>
    </xf>
    <xf borderId="19" fillId="6" fontId="9" numFmtId="0" xfId="0" applyAlignment="1" applyBorder="1" applyFont="1">
      <alignment horizontal="center" readingOrder="0" shrinkToFit="0" vertical="center" wrapText="1"/>
    </xf>
    <xf borderId="20" fillId="9" fontId="5" numFmtId="0" xfId="0" applyAlignment="1" applyBorder="1" applyFont="1">
      <alignment horizontal="center" vertical="center"/>
    </xf>
    <xf borderId="7" fillId="9" fontId="10" numFmtId="0" xfId="0" applyAlignment="1" applyBorder="1" applyFont="1">
      <alignment horizontal="right" readingOrder="0" shrinkToFit="0" vertical="center" wrapText="1"/>
    </xf>
    <xf borderId="14" fillId="10" fontId="14" numFmtId="0" xfId="0" applyAlignment="1" applyBorder="1" applyFill="1" applyFont="1">
      <alignment horizontal="center" shrinkToFit="0" vertical="center" wrapText="1"/>
    </xf>
    <xf borderId="21" fillId="6" fontId="9" numFmtId="0" xfId="0" applyAlignment="1" applyBorder="1" applyFont="1">
      <alignment horizontal="center" readingOrder="0" shrinkToFit="0" vertical="center" wrapText="1"/>
    </xf>
    <xf borderId="22" fillId="9" fontId="9" numFmtId="0" xfId="0" applyAlignment="1" applyBorder="1" applyFont="1">
      <alignment horizontal="center" readingOrder="0" shrinkToFit="0" vertical="center" wrapText="1"/>
    </xf>
    <xf borderId="23" fillId="0" fontId="8" numFmtId="0" xfId="0" applyBorder="1" applyFont="1"/>
    <xf borderId="12" fillId="7" fontId="10" numFmtId="0" xfId="0" applyAlignment="1" applyBorder="1" applyFont="1">
      <alignment horizontal="right" readingOrder="0" shrinkToFit="0" vertical="center" wrapText="1"/>
    </xf>
    <xf borderId="7" fillId="7" fontId="10" numFmtId="0" xfId="0" applyAlignment="1" applyBorder="1" applyFont="1">
      <alignment horizontal="right" readingOrder="0" shrinkToFit="0" vertical="center" wrapText="1"/>
    </xf>
    <xf borderId="21" fillId="9" fontId="9" numFmtId="0" xfId="0" applyAlignment="1" applyBorder="1" applyFont="1">
      <alignment horizontal="center" readingOrder="0" shrinkToFit="0" vertical="center" wrapText="1"/>
    </xf>
    <xf borderId="12" fillId="7" fontId="11" numFmtId="0" xfId="0" applyAlignment="1" applyBorder="1" applyFont="1">
      <alignment horizontal="left" readingOrder="0" shrinkToFit="0" vertical="center" wrapText="1"/>
    </xf>
    <xf borderId="24" fillId="0" fontId="8" numFmtId="0" xfId="0" applyBorder="1" applyFont="1"/>
    <xf borderId="7" fillId="11" fontId="10" numFmtId="0" xfId="0" applyAlignment="1" applyBorder="1" applyFill="1" applyFont="1">
      <alignment horizontal="right" readingOrder="0" shrinkToFit="0" vertical="center" wrapText="1"/>
    </xf>
    <xf borderId="19" fillId="7" fontId="9" numFmtId="0" xfId="0" applyAlignment="1" applyBorder="1" applyFont="1">
      <alignment horizontal="center" readingOrder="0" shrinkToFit="0" vertical="center" wrapText="1"/>
    </xf>
    <xf borderId="12" fillId="11" fontId="11" numFmtId="0" xfId="0" applyAlignment="1" applyBorder="1" applyFont="1">
      <alignment horizontal="left" readingOrder="0" shrinkToFit="0" vertical="center" wrapText="1"/>
    </xf>
    <xf borderId="25" fillId="0" fontId="8" numFmtId="0" xfId="0" applyBorder="1" applyFont="1"/>
    <xf borderId="7" fillId="12" fontId="15" numFmtId="0" xfId="0" applyAlignment="1" applyBorder="1" applyFill="1" applyFont="1">
      <alignment horizontal="right" readingOrder="0" shrinkToFit="0" vertical="center" wrapText="1"/>
    </xf>
    <xf borderId="14" fillId="13" fontId="14" numFmtId="0" xfId="0" applyAlignment="1" applyBorder="1" applyFill="1" applyFont="1">
      <alignment horizontal="center" shrinkToFit="0" vertical="center" wrapText="1"/>
    </xf>
    <xf borderId="21" fillId="7" fontId="9" numFmtId="0" xfId="0" applyAlignment="1" applyBorder="1" applyFont="1">
      <alignment horizontal="center" readingOrder="0" shrinkToFit="0" vertical="center" wrapText="1"/>
    </xf>
    <xf borderId="26" fillId="7" fontId="5" numFmtId="0" xfId="0" applyAlignment="1" applyBorder="1" applyFont="1">
      <alignment horizontal="center" shrinkToFit="0" vertical="center" wrapText="1"/>
    </xf>
    <xf borderId="12" fillId="12" fontId="16" numFmtId="0" xfId="0" applyAlignment="1" applyBorder="1" applyFont="1">
      <alignment horizontal="left" readingOrder="0" shrinkToFit="0" vertical="center" wrapText="1"/>
    </xf>
    <xf borderId="12" fillId="11" fontId="10" numFmtId="0" xfId="0" applyAlignment="1" applyBorder="1" applyFont="1">
      <alignment horizontal="right" readingOrder="0" shrinkToFit="0" vertical="center" wrapText="1"/>
    </xf>
    <xf borderId="19" fillId="11" fontId="9" numFmtId="0" xfId="0" applyAlignment="1" applyBorder="1" applyFont="1">
      <alignment horizontal="center" readingOrder="0" shrinkToFit="0" vertical="center" wrapText="1"/>
    </xf>
    <xf borderId="27" fillId="7" fontId="5" numFmtId="0" xfId="0" applyAlignment="1" applyBorder="1" applyFont="1">
      <alignment horizontal="center" shrinkToFit="0" vertical="center" wrapText="1"/>
    </xf>
    <xf borderId="7" fillId="8" fontId="10" numFmtId="0" xfId="0" applyAlignment="1" applyBorder="1" applyFont="1">
      <alignment horizontal="right" readingOrder="0" shrinkToFit="0" vertical="center" wrapText="1"/>
    </xf>
    <xf borderId="14" fillId="14" fontId="14" numFmtId="0" xfId="0" applyAlignment="1" applyBorder="1" applyFill="1" applyFont="1">
      <alignment horizontal="center" shrinkToFit="0" vertical="center" wrapText="1"/>
    </xf>
    <xf borderId="21" fillId="11" fontId="9" numFmtId="0" xfId="0" applyAlignment="1" applyBorder="1" applyFont="1">
      <alignment horizontal="center" readingOrder="0" shrinkToFit="0" vertical="center" wrapText="1"/>
    </xf>
    <xf borderId="28" fillId="7" fontId="5" numFmtId="0" xfId="0" applyAlignment="1" applyBorder="1" applyFont="1">
      <alignment horizontal="center" shrinkToFit="0" vertical="center" wrapText="1"/>
    </xf>
    <xf borderId="12" fillId="8" fontId="11" numFmtId="0" xfId="0" applyAlignment="1" applyBorder="1" applyFont="1">
      <alignment horizontal="left" readingOrder="0" shrinkToFit="0" vertical="center" wrapText="1"/>
    </xf>
    <xf borderId="12" fillId="12" fontId="15" numFmtId="0" xfId="0" applyAlignment="1" applyBorder="1" applyFont="1">
      <alignment horizontal="right" readingOrder="0" shrinkToFit="0" vertical="center" wrapText="1"/>
    </xf>
    <xf borderId="19" fillId="12" fontId="9" numFmtId="0" xfId="0" applyAlignment="1" applyBorder="1" applyFont="1">
      <alignment horizontal="center" readingOrder="0" shrinkToFit="0" vertical="center" wrapText="1"/>
    </xf>
    <xf borderId="14" fillId="15" fontId="17" numFmtId="0" xfId="0" applyAlignment="1" applyBorder="1" applyFill="1" applyFont="1">
      <alignment horizontal="center" shrinkToFit="0" vertical="center" wrapText="1"/>
    </xf>
    <xf borderId="12" fillId="8" fontId="10" numFmtId="0" xfId="0" applyAlignment="1" applyBorder="1" applyFont="1">
      <alignment horizontal="right" readingOrder="0" shrinkToFit="0" vertical="center" wrapText="1"/>
    </xf>
    <xf borderId="26" fillId="6" fontId="12" numFmtId="0" xfId="0" applyAlignment="1" applyBorder="1" applyFont="1">
      <alignment horizontal="center" shrinkToFit="0" vertical="center" wrapText="1"/>
    </xf>
    <xf borderId="7" fillId="16" fontId="10" numFmtId="0" xfId="0" applyAlignment="1" applyBorder="1" applyFill="1" applyFont="1">
      <alignment horizontal="center" readingOrder="0" shrinkToFit="0" vertical="center" wrapText="1"/>
    </xf>
    <xf borderId="21" fillId="12" fontId="9" numFmtId="0" xfId="0" applyAlignment="1" applyBorder="1" applyFont="1">
      <alignment horizontal="center" readingOrder="0" shrinkToFit="0" vertical="center" wrapText="1"/>
    </xf>
    <xf borderId="29" fillId="8" fontId="18" numFmtId="0" xfId="0" applyAlignment="1" applyBorder="1" applyFont="1">
      <alignment horizontal="center" readingOrder="0" shrinkToFit="0" vertical="center" wrapText="1"/>
    </xf>
    <xf borderId="19" fillId="8" fontId="9" numFmtId="0" xfId="0" applyAlignment="1" applyBorder="1" applyFont="1">
      <alignment horizontal="center" readingOrder="0" shrinkToFit="0" vertical="center" wrapText="1"/>
    </xf>
    <xf borderId="27" fillId="6" fontId="12" numFmtId="0" xfId="0" applyAlignment="1" applyBorder="1" applyFont="1">
      <alignment horizontal="center" shrinkToFit="0" vertical="center" wrapText="1"/>
    </xf>
    <xf borderId="12" fillId="16" fontId="11" numFmtId="0" xfId="0" applyAlignment="1" applyBorder="1" applyFont="1">
      <alignment horizontal="left" readingOrder="0" shrinkToFit="0" vertical="center" wrapText="1"/>
    </xf>
    <xf borderId="12" fillId="16" fontId="10" numFmtId="0" xfId="0" applyAlignment="1" applyBorder="1" applyFont="1">
      <alignment horizontal="center" readingOrder="0" shrinkToFit="0" vertical="center" wrapText="1"/>
    </xf>
    <xf borderId="21" fillId="8" fontId="9" numFmtId="0" xfId="0" applyAlignment="1" applyBorder="1" applyFont="1">
      <alignment horizontal="center" readingOrder="0" shrinkToFit="0" vertical="center" wrapText="1"/>
    </xf>
    <xf borderId="29" fillId="16" fontId="18" numFmtId="0" xfId="0" applyAlignment="1" applyBorder="1" applyFont="1">
      <alignment horizontal="center" readingOrder="0" shrinkToFit="0" vertical="center" wrapText="1"/>
    </xf>
    <xf borderId="12" fillId="17" fontId="19" numFmtId="0" xfId="0" applyAlignment="1" applyBorder="1" applyFill="1" applyFont="1">
      <alignment horizontal="center" readingOrder="0" shrinkToFit="0" vertical="center" wrapText="1"/>
    </xf>
    <xf borderId="28" fillId="6" fontId="12" numFmtId="0" xfId="0" applyAlignment="1" applyBorder="1" applyFont="1">
      <alignment horizontal="center" shrinkToFit="0" vertical="center" wrapText="1"/>
    </xf>
    <xf borderId="7" fillId="17" fontId="19" numFmtId="0" xfId="0" applyAlignment="1" applyBorder="1" applyFont="1">
      <alignment horizontal="center" readingOrder="0" shrinkToFit="0" vertical="center" wrapText="1"/>
    </xf>
    <xf borderId="30" fillId="9" fontId="5" numFmtId="0" xfId="0" applyAlignment="1" applyBorder="1" applyFont="1">
      <alignment horizontal="center" shrinkToFit="0" vertical="center" wrapText="1"/>
    </xf>
    <xf borderId="19" fillId="16" fontId="9" numFmtId="0" xfId="0" applyAlignment="1" applyBorder="1" applyFont="1">
      <alignment horizontal="center" readingOrder="0" shrinkToFit="0" vertical="center" wrapText="1"/>
    </xf>
    <xf borderId="12" fillId="17" fontId="11" numFmtId="0" xfId="0" applyAlignment="1" applyBorder="1" applyFont="1">
      <alignment horizontal="left" readingOrder="0" shrinkToFit="0" vertical="center" wrapText="1"/>
    </xf>
    <xf borderId="14" fillId="18" fontId="17" numFmtId="0" xfId="0" applyAlignment="1" applyBorder="1" applyFill="1" applyFont="1">
      <alignment horizontal="center" shrinkToFit="0" vertical="center" wrapText="1"/>
    </xf>
    <xf borderId="31" fillId="9" fontId="5" numFmtId="0" xfId="0" applyAlignment="1" applyBorder="1" applyFont="1">
      <alignment horizontal="center" shrinkToFit="0" vertical="center" wrapText="1"/>
    </xf>
    <xf borderId="21" fillId="16" fontId="9" numFmtId="0" xfId="0" applyAlignment="1" applyBorder="1" applyFont="1">
      <alignment horizontal="center" readingOrder="0" shrinkToFit="0" vertical="center" wrapText="1"/>
    </xf>
    <xf borderId="7" fillId="6" fontId="10" numFmtId="0" xfId="0" applyAlignment="1" applyBorder="1" applyFont="1">
      <alignment horizontal="center" readingOrder="0" shrinkToFit="0" vertical="center" wrapText="1"/>
    </xf>
    <xf borderId="12" fillId="6" fontId="10" numFmtId="0" xfId="0" applyAlignment="1" applyBorder="1" applyFont="1">
      <alignment horizontal="center" readingOrder="0" shrinkToFit="0" vertical="center" wrapText="1"/>
    </xf>
    <xf borderId="32" fillId="9" fontId="5" numFmtId="0" xfId="0" applyAlignment="1" applyBorder="1" applyFont="1">
      <alignment horizontal="center" shrinkToFit="0" vertical="center" wrapText="1"/>
    </xf>
    <xf borderId="19" fillId="17" fontId="9" numFmtId="0" xfId="0" applyAlignment="1" applyBorder="1" applyFont="1">
      <alignment horizontal="center" readingOrder="0" shrinkToFit="0" vertical="center" wrapText="1"/>
    </xf>
    <xf borderId="33" fillId="19" fontId="12" numFmtId="0" xfId="0" applyAlignment="1" applyBorder="1" applyFill="1" applyFont="1">
      <alignment horizontal="center" vertical="center"/>
    </xf>
    <xf borderId="7" fillId="20" fontId="10" numFmtId="0" xfId="0" applyAlignment="1" applyBorder="1" applyFill="1" applyFont="1">
      <alignment horizontal="center" readingOrder="0" shrinkToFit="0" vertical="center" wrapText="1"/>
    </xf>
    <xf borderId="14" fillId="8" fontId="17" numFmtId="0" xfId="0" applyAlignment="1" applyBorder="1" applyFont="1">
      <alignment horizontal="center" shrinkToFit="0" vertical="center" wrapText="1"/>
    </xf>
    <xf borderId="12" fillId="20" fontId="10" numFmtId="0" xfId="0" applyAlignment="1" applyBorder="1" applyFont="1">
      <alignment horizontal="center" readingOrder="0" shrinkToFit="0" vertical="center" wrapText="1"/>
    </xf>
    <xf borderId="21" fillId="17" fontId="9" numFmtId="0" xfId="0" applyAlignment="1" applyBorder="1" applyFont="1">
      <alignment horizontal="center" readingOrder="0" shrinkToFit="0" vertical="center" wrapText="1"/>
    </xf>
    <xf borderId="5" fillId="19" fontId="12" numFmtId="0" xfId="0" applyAlignment="1" applyBorder="1" applyFont="1">
      <alignment horizontal="center" vertical="center"/>
    </xf>
    <xf borderId="12" fillId="20" fontId="11" numFmtId="0" xfId="0" applyAlignment="1" applyBorder="1" applyFont="1">
      <alignment horizontal="left" readingOrder="0" shrinkToFit="0" vertical="center" wrapText="1"/>
    </xf>
    <xf borderId="5" fillId="21" fontId="12" numFmtId="0" xfId="0" applyAlignment="1" applyBorder="1" applyFill="1" applyFont="1">
      <alignment horizontal="center" vertical="center"/>
    </xf>
    <xf borderId="19" fillId="20" fontId="9" numFmtId="0" xfId="0" applyAlignment="1" applyBorder="1" applyFont="1">
      <alignment horizontal="center" readingOrder="0" shrinkToFit="0" vertical="center" wrapText="1"/>
    </xf>
    <xf borderId="12" fillId="20" fontId="11" numFmtId="0" xfId="0" applyAlignment="1" applyBorder="1" applyFont="1">
      <alignment readingOrder="0" shrinkToFit="0" vertical="center" wrapText="1"/>
    </xf>
    <xf borderId="14" fillId="7" fontId="17" numFmtId="0" xfId="0" applyAlignment="1" applyBorder="1" applyFont="1">
      <alignment horizontal="center" shrinkToFit="0" vertical="center" wrapText="1"/>
    </xf>
    <xf borderId="34" fillId="22" fontId="20" numFmtId="0" xfId="0" applyAlignment="1" applyBorder="1" applyFill="1" applyFont="1">
      <alignment horizontal="center" vertical="center"/>
    </xf>
    <xf borderId="14" fillId="7" fontId="14" numFmtId="0" xfId="0" applyAlignment="1" applyBorder="1" applyFont="1">
      <alignment horizontal="center" shrinkToFit="0" vertical="center" wrapText="1"/>
    </xf>
    <xf borderId="21" fillId="20" fontId="9" numFmtId="0" xfId="0" applyAlignment="1" applyBorder="1" applyFont="1">
      <alignment horizontal="center" readingOrder="0" shrinkToFit="0" vertical="center" wrapText="1"/>
    </xf>
    <xf borderId="12" fillId="20" fontId="21" numFmtId="0" xfId="0" applyAlignment="1" applyBorder="1" applyFont="1">
      <alignment readingOrder="0" shrinkToFit="0" vertical="center" wrapText="1"/>
    </xf>
    <xf borderId="34" fillId="22" fontId="20" numFmtId="49" xfId="0" applyAlignment="1" applyBorder="1" applyFont="1" applyNumberFormat="1">
      <alignment horizontal="center" vertical="center"/>
    </xf>
    <xf borderId="7" fillId="23" fontId="10" numFmtId="0" xfId="0" applyAlignment="1" applyBorder="1" applyFill="1" applyFont="1">
      <alignment horizontal="center" readingOrder="0" shrinkToFit="0" vertical="center" wrapText="1"/>
    </xf>
    <xf borderId="19" fillId="23" fontId="9" numFmtId="0" xfId="0" applyAlignment="1" applyBorder="1" applyFont="1">
      <alignment horizontal="center" readingOrder="0" shrinkToFit="0" vertical="center" wrapText="1"/>
    </xf>
    <xf borderId="34" fillId="22" fontId="20" numFmtId="49" xfId="0" applyAlignment="1" applyBorder="1" applyFont="1" applyNumberFormat="1">
      <alignment vertical="center"/>
    </xf>
    <xf borderId="12" fillId="23" fontId="10" numFmtId="0" xfId="0" applyAlignment="1" applyBorder="1" applyFont="1">
      <alignment horizontal="center" readingOrder="0" shrinkToFit="0" vertical="center" wrapText="1"/>
    </xf>
    <xf borderId="12" fillId="23" fontId="22" numFmtId="0" xfId="0" applyAlignment="1" applyBorder="1" applyFont="1">
      <alignment horizontal="left" readingOrder="0" shrinkToFit="0" vertical="center" wrapText="1"/>
    </xf>
    <xf borderId="14" fillId="24" fontId="17" numFmtId="0" xfId="0" applyAlignment="1" applyBorder="1" applyFill="1" applyFont="1">
      <alignment horizontal="center" shrinkToFit="0" vertical="center" wrapText="1"/>
    </xf>
    <xf borderId="12" fillId="23" fontId="11" numFmtId="0" xfId="0" applyAlignment="1" applyBorder="1" applyFont="1">
      <alignment horizontal="left" readingOrder="0" shrinkToFit="0" vertical="center" wrapText="1"/>
    </xf>
    <xf borderId="21" fillId="23" fontId="9" numFmtId="0" xfId="0" applyAlignment="1" applyBorder="1" applyFont="1">
      <alignment horizontal="center" readingOrder="0" shrinkToFit="0" vertical="center" wrapText="1"/>
    </xf>
    <xf borderId="7" fillId="9" fontId="10" numFmtId="0" xfId="0" applyAlignment="1" applyBorder="1" applyFont="1">
      <alignment horizontal="center" readingOrder="0" shrinkToFit="0" vertical="center" wrapText="1"/>
    </xf>
    <xf borderId="19" fillId="9" fontId="9" numFmtId="0" xfId="0" applyAlignment="1" applyBorder="1" applyFont="1">
      <alignment horizontal="center" readingOrder="0" shrinkToFit="0" vertical="center" wrapText="1"/>
    </xf>
    <xf borderId="14" fillId="25" fontId="17" numFmtId="0" xfId="0" applyAlignment="1" applyBorder="1" applyFill="1" applyFont="1">
      <alignment horizontal="center" shrinkToFit="0" vertical="center" wrapText="1"/>
    </xf>
    <xf borderId="35" fillId="0" fontId="8" numFmtId="0" xfId="0" applyBorder="1" applyFont="1"/>
    <xf borderId="36" fillId="22" fontId="20" numFmtId="49" xfId="0" applyAlignment="1" applyBorder="1" applyFont="1" applyNumberFormat="1">
      <alignment horizontal="center" vertical="center"/>
    </xf>
    <xf borderId="37" fillId="8" fontId="13" numFmtId="0" xfId="0" applyAlignment="1" applyBorder="1" applyFont="1">
      <alignment horizontal="center" readingOrder="0" shrinkToFit="0" vertical="center" wrapText="1"/>
    </xf>
    <xf borderId="38" fillId="9" fontId="9" numFmtId="0" xfId="0" applyAlignment="1" applyBorder="1" applyFont="1">
      <alignment horizontal="center" readingOrder="0" shrinkToFit="0" vertical="center" wrapText="1"/>
    </xf>
    <xf borderId="0" fillId="6" fontId="23" numFmtId="0" xfId="0" applyAlignment="1" applyFont="1">
      <alignment horizontal="center" readingOrder="0" shrinkToFit="0" vertical="center" wrapText="1"/>
    </xf>
    <xf borderId="39" fillId="26" fontId="9" numFmtId="0" xfId="0" applyAlignment="1" applyBorder="1" applyFill="1" applyFont="1">
      <alignment horizontal="center" shrinkToFit="0" vertical="center" wrapText="1"/>
    </xf>
    <xf borderId="40" fillId="26" fontId="9" numFmtId="0" xfId="0" applyAlignment="1" applyBorder="1" applyFont="1">
      <alignment horizontal="center" shrinkToFit="0" vertical="center" wrapText="1"/>
    </xf>
    <xf borderId="41" fillId="22" fontId="4" numFmtId="49" xfId="0" applyAlignment="1" applyBorder="1" applyFont="1" applyNumberFormat="1">
      <alignment horizontal="center" readingOrder="0" vertical="center"/>
    </xf>
    <xf borderId="42" fillId="8" fontId="13" numFmtId="0" xfId="0" applyAlignment="1" applyBorder="1" applyFont="1">
      <alignment horizontal="center" readingOrder="0" shrinkToFit="0" vertical="center" wrapText="1"/>
    </xf>
    <xf borderId="43" fillId="26" fontId="9" numFmtId="0" xfId="0" applyAlignment="1" applyBorder="1" applyFont="1">
      <alignment horizontal="center" shrinkToFit="0" vertical="center" wrapText="1"/>
    </xf>
    <xf borderId="42" fillId="8" fontId="13" numFmtId="1" xfId="0" applyAlignment="1" applyBorder="1" applyFont="1" applyNumberFormat="1">
      <alignment horizontal="center" readingOrder="0" shrinkToFit="0" vertical="center" wrapText="1"/>
    </xf>
    <xf borderId="37" fillId="10" fontId="14" numFmtId="0" xfId="0" applyAlignment="1" applyBorder="1" applyFont="1">
      <alignment horizontal="center" readingOrder="0" shrinkToFit="0" vertical="center" wrapText="1"/>
    </xf>
    <xf borderId="44" fillId="27" fontId="9" numFmtId="0" xfId="0" applyAlignment="1" applyBorder="1" applyFill="1" applyFont="1">
      <alignment horizontal="center" shrinkToFit="0" vertical="center" wrapText="1"/>
    </xf>
    <xf borderId="45" fillId="13" fontId="24" numFmtId="49" xfId="0" applyAlignment="1" applyBorder="1" applyFont="1" applyNumberFormat="1">
      <alignment horizontal="center" vertical="center"/>
    </xf>
    <xf borderId="14" fillId="8" fontId="13" numFmtId="0" xfId="0" applyAlignment="1" applyBorder="1" applyFont="1">
      <alignment horizontal="center" readingOrder="0" shrinkToFit="0" vertical="center" wrapText="1"/>
    </xf>
    <xf borderId="42" fillId="10" fontId="14" numFmtId="0" xfId="0" applyAlignment="1" applyBorder="1" applyFont="1">
      <alignment horizontal="center" readingOrder="0" shrinkToFit="0" vertical="center" wrapText="1"/>
    </xf>
    <xf borderId="46" fillId="27" fontId="9" numFmtId="0" xfId="0" applyAlignment="1" applyBorder="1" applyFont="1">
      <alignment horizontal="center" shrinkToFit="0" vertical="center" wrapText="1"/>
    </xf>
    <xf borderId="37" fillId="13" fontId="14" numFmtId="0" xfId="0" applyAlignment="1" applyBorder="1" applyFont="1">
      <alignment horizontal="center" readingOrder="0" shrinkToFit="0" vertical="center" wrapText="1"/>
    </xf>
    <xf borderId="47" fillId="13" fontId="24" numFmtId="49" xfId="0" applyAlignment="1" applyBorder="1" applyFont="1" applyNumberFormat="1">
      <alignment horizontal="left" vertical="center"/>
    </xf>
    <xf borderId="14" fillId="10" fontId="14" numFmtId="0" xfId="0" applyAlignment="1" applyBorder="1" applyFont="1">
      <alignment horizontal="center" readingOrder="0" shrinkToFit="0" vertical="center" wrapText="1"/>
    </xf>
    <xf borderId="46" fillId="27" fontId="9" numFmtId="0" xfId="0" applyAlignment="1" applyBorder="1" applyFont="1">
      <alignment horizontal="center" readingOrder="0" shrinkToFit="0" vertical="center" wrapText="1"/>
    </xf>
    <xf borderId="42" fillId="13" fontId="14" numFmtId="0" xfId="0" applyAlignment="1" applyBorder="1" applyFont="1">
      <alignment horizontal="center" readingOrder="0" shrinkToFit="0" vertical="center" wrapText="1"/>
    </xf>
    <xf borderId="45" fillId="28" fontId="2" numFmtId="0" xfId="0" applyAlignment="1" applyBorder="1" applyFill="1" applyFont="1">
      <alignment horizontal="center" vertical="center"/>
    </xf>
    <xf borderId="48" fillId="27" fontId="9" numFmtId="0" xfId="0" applyAlignment="1" applyBorder="1" applyFont="1">
      <alignment horizontal="center" readingOrder="0" shrinkToFit="0" vertical="center" wrapText="1"/>
    </xf>
    <xf borderId="14" fillId="13" fontId="14" numFmtId="0" xfId="0" applyAlignment="1" applyBorder="1" applyFont="1">
      <alignment horizontal="center" readingOrder="0" shrinkToFit="0" vertical="center" wrapText="1"/>
    </xf>
    <xf borderId="37" fillId="14" fontId="14" numFmtId="0" xfId="0" applyAlignment="1" applyBorder="1" applyFont="1">
      <alignment horizontal="center" readingOrder="0" shrinkToFit="0" vertical="center" wrapText="1"/>
    </xf>
    <xf borderId="42" fillId="14" fontId="14" numFmtId="0" xfId="0" applyAlignment="1" applyBorder="1" applyFont="1">
      <alignment horizontal="center" readingOrder="0" shrinkToFit="0" vertical="center" wrapText="1"/>
    </xf>
    <xf borderId="47" fillId="28" fontId="2" numFmtId="0" xfId="0" applyAlignment="1" applyBorder="1" applyFont="1">
      <alignment horizontal="left" vertical="center"/>
    </xf>
    <xf borderId="34" fillId="22" fontId="20" numFmtId="49" xfId="0" applyAlignment="1" applyBorder="1" applyFont="1" applyNumberFormat="1">
      <alignment horizontal="center"/>
    </xf>
    <xf borderId="14" fillId="14" fontId="14" numFmtId="0" xfId="0" applyAlignment="1" applyBorder="1" applyFont="1">
      <alignment horizontal="center" readingOrder="0" shrinkToFit="0" vertical="center" wrapText="1"/>
    </xf>
    <xf borderId="37" fillId="15" fontId="17" numFmtId="0" xfId="0" applyAlignment="1" applyBorder="1" applyFont="1">
      <alignment horizontal="center" readingOrder="0" shrinkToFit="0" vertical="center" wrapText="1"/>
    </xf>
    <xf borderId="42" fillId="15" fontId="17" numFmtId="0" xfId="0" applyAlignment="1" applyBorder="1" applyFont="1">
      <alignment horizontal="center" readingOrder="0" shrinkToFit="0" vertical="center" wrapText="1"/>
    </xf>
    <xf borderId="45" fillId="25" fontId="25" numFmtId="0" xfId="0" applyAlignment="1" applyBorder="1" applyFont="1">
      <alignment horizontal="center" vertical="center"/>
    </xf>
    <xf borderId="34" fillId="22" fontId="20" numFmtId="49" xfId="0" applyAlignment="1" applyBorder="1" applyFont="1" applyNumberFormat="1">
      <alignment horizontal="left"/>
    </xf>
    <xf borderId="36" fillId="22" fontId="20" numFmtId="49" xfId="0" applyAlignment="1" applyBorder="1" applyFont="1" applyNumberFormat="1">
      <alignment horizontal="center"/>
    </xf>
    <xf borderId="42" fillId="15" fontId="14" numFmtId="0" xfId="0" applyAlignment="1" applyBorder="1" applyFont="1">
      <alignment horizontal="center" readingOrder="0" shrinkToFit="0" vertical="center" wrapText="1"/>
    </xf>
    <xf borderId="47" fillId="25" fontId="25" numFmtId="0" xfId="0" applyAlignment="1" applyBorder="1" applyFont="1">
      <alignment horizontal="left" vertical="center"/>
    </xf>
    <xf borderId="14" fillId="15" fontId="17" numFmtId="0" xfId="0" applyAlignment="1" applyBorder="1" applyFont="1">
      <alignment horizontal="center" readingOrder="0" shrinkToFit="0" vertical="center" wrapText="1"/>
    </xf>
    <xf borderId="37" fillId="28" fontId="17" numFmtId="0" xfId="0" applyAlignment="1" applyBorder="1" applyFont="1">
      <alignment horizontal="center" readingOrder="0" shrinkToFit="0" vertical="center" wrapText="1"/>
    </xf>
    <xf borderId="42" fillId="28" fontId="17" numFmtId="0" xfId="0" applyAlignment="1" applyBorder="1" applyFont="1">
      <alignment horizontal="center" readingOrder="0" shrinkToFit="0" vertical="center" wrapText="1"/>
    </xf>
    <xf borderId="14" fillId="28" fontId="17" numFmtId="0" xfId="0" applyAlignment="1" applyBorder="1" applyFont="1">
      <alignment horizontal="center" readingOrder="0" shrinkToFit="0" vertical="center" wrapText="1"/>
    </xf>
    <xf borderId="33" fillId="19" fontId="26" numFmtId="0" xfId="0" applyAlignment="1" applyBorder="1" applyFont="1">
      <alignment horizontal="center" vertical="center"/>
    </xf>
    <xf borderId="37" fillId="29" fontId="17" numFmtId="0" xfId="0" applyAlignment="1" applyBorder="1" applyFill="1" applyFont="1">
      <alignment horizontal="center" readingOrder="0" shrinkToFit="0" vertical="center" wrapText="1"/>
    </xf>
    <xf borderId="42" fillId="29" fontId="17" numFmtId="0" xfId="0" applyAlignment="1" applyBorder="1" applyFont="1">
      <alignment horizontal="center" readingOrder="0" shrinkToFit="0" vertical="center" wrapText="1"/>
    </xf>
    <xf borderId="49" fillId="6" fontId="24" numFmtId="1" xfId="0" applyAlignment="1" applyBorder="1" applyFont="1" applyNumberFormat="1">
      <alignment horizontal="center" vertical="center"/>
    </xf>
    <xf borderId="14" fillId="28" fontId="17" numFmtId="0" xfId="0" applyAlignment="1" applyBorder="1" applyFont="1">
      <alignment horizontal="center" shrinkToFit="0" vertical="center" wrapText="1"/>
    </xf>
    <xf borderId="5" fillId="19" fontId="26" numFmtId="0" xfId="0" applyAlignment="1" applyBorder="1" applyFont="1">
      <alignment horizontal="center" vertical="center"/>
    </xf>
    <xf borderId="42" fillId="29" fontId="14" numFmtId="0" xfId="0" applyAlignment="1" applyBorder="1" applyFont="1">
      <alignment horizontal="center" readingOrder="0" shrinkToFit="0" vertical="center" wrapText="1"/>
    </xf>
    <xf borderId="14" fillId="29" fontId="17" numFmtId="0" xfId="0" applyAlignment="1" applyBorder="1" applyFont="1">
      <alignment horizontal="center" shrinkToFit="0" vertical="center" wrapText="1"/>
    </xf>
    <xf borderId="50" fillId="22" fontId="20" numFmtId="0" xfId="0" applyAlignment="1" applyBorder="1" applyFont="1">
      <alignment horizontal="center" readingOrder="0" vertical="center"/>
    </xf>
    <xf borderId="5" fillId="19" fontId="26" numFmtId="0" xfId="0" applyAlignment="1" applyBorder="1" applyFont="1">
      <alignment vertical="center"/>
    </xf>
    <xf borderId="14" fillId="29" fontId="17" numFmtId="0" xfId="0" applyAlignment="1" applyBorder="1" applyFont="1">
      <alignment horizontal="center" readingOrder="0" shrinkToFit="0" vertical="center" wrapText="1"/>
    </xf>
    <xf borderId="37" fillId="18" fontId="17" numFmtId="0" xfId="0" applyAlignment="1" applyBorder="1" applyFont="1">
      <alignment horizontal="center" readingOrder="0" shrinkToFit="0" vertical="center" wrapText="1"/>
    </xf>
    <xf borderId="51" fillId="21" fontId="26" numFmtId="0" xfId="0" applyAlignment="1" applyBorder="1" applyFont="1">
      <alignment vertical="center"/>
    </xf>
    <xf borderId="42" fillId="18" fontId="17" numFmtId="0" xfId="0" applyAlignment="1" applyBorder="1" applyFont="1">
      <alignment horizontal="center" readingOrder="0" shrinkToFit="0" vertical="center" wrapText="1"/>
    </xf>
    <xf borderId="49" fillId="9" fontId="24" numFmtId="1" xfId="0" applyAlignment="1" applyBorder="1" applyFont="1" applyNumberFormat="1">
      <alignment horizontal="center" vertical="center"/>
    </xf>
    <xf borderId="0" fillId="0" fontId="4" numFmtId="0" xfId="0" applyAlignment="1" applyFont="1">
      <alignment vertical="center"/>
    </xf>
    <xf borderId="42" fillId="18" fontId="14" numFmtId="0" xfId="0" applyAlignment="1" applyBorder="1" applyFont="1">
      <alignment horizontal="center" readingOrder="0" shrinkToFit="0" vertical="center" wrapText="1"/>
    </xf>
    <xf borderId="34" fillId="0" fontId="20" numFmtId="0" xfId="0" applyAlignment="1" applyBorder="1" applyFont="1">
      <alignment horizontal="center" vertical="center"/>
    </xf>
    <xf borderId="37" fillId="8" fontId="17" numFmtId="0" xfId="0" applyAlignment="1" applyBorder="1" applyFont="1">
      <alignment horizontal="center" readingOrder="0" shrinkToFit="0" vertical="center" wrapText="1"/>
    </xf>
    <xf borderId="14" fillId="18" fontId="17" numFmtId="0" xfId="0" applyAlignment="1" applyBorder="1" applyFont="1">
      <alignment horizontal="center" readingOrder="0" shrinkToFit="0" vertical="center" wrapText="1"/>
    </xf>
    <xf borderId="49" fillId="7" fontId="24" numFmtId="1" xfId="0" applyAlignment="1" applyBorder="1" applyFont="1" applyNumberFormat="1">
      <alignment horizontal="center" vertical="center"/>
    </xf>
    <xf borderId="34" fillId="0" fontId="20" numFmtId="49" xfId="0" applyAlignment="1" applyBorder="1" applyFont="1" applyNumberFormat="1">
      <alignment horizontal="center" vertical="center"/>
    </xf>
    <xf borderId="42" fillId="8" fontId="17" numFmtId="0" xfId="0" applyAlignment="1" applyBorder="1" applyFont="1">
      <alignment horizontal="center" readingOrder="0" shrinkToFit="0" vertical="center" wrapText="1"/>
    </xf>
    <xf borderId="34" fillId="0" fontId="20" numFmtId="49" xfId="0" applyAlignment="1" applyBorder="1" applyFont="1" applyNumberFormat="1">
      <alignment vertical="center"/>
    </xf>
    <xf borderId="49" fillId="11" fontId="24" numFmtId="1" xfId="0" applyAlignment="1" applyBorder="1" applyFont="1" applyNumberFormat="1">
      <alignment horizontal="center" vertical="center"/>
    </xf>
    <xf borderId="42" fillId="8" fontId="14" numFmtId="0" xfId="0" applyAlignment="1" applyBorder="1" applyFont="1">
      <alignment horizontal="center" readingOrder="0" shrinkToFit="0" vertical="center" wrapText="1"/>
    </xf>
    <xf borderId="14" fillId="8" fontId="17" numFmtId="0" xfId="0" applyAlignment="1" applyBorder="1" applyFont="1">
      <alignment horizontal="center" readingOrder="0" shrinkToFit="0" vertical="center" wrapText="1"/>
    </xf>
    <xf borderId="37" fillId="7" fontId="17" numFmtId="0" xfId="0" applyAlignment="1" applyBorder="1" applyFont="1">
      <alignment horizontal="center" readingOrder="0" shrinkToFit="0" vertical="center" wrapText="1"/>
    </xf>
    <xf borderId="36" fillId="0" fontId="20" numFmtId="49" xfId="0" applyAlignment="1" applyBorder="1" applyFont="1" applyNumberFormat="1">
      <alignment horizontal="center" vertical="center"/>
    </xf>
    <xf borderId="0" fillId="0" fontId="1" numFmtId="0" xfId="0" applyAlignment="1" applyFont="1">
      <alignment readingOrder="0"/>
    </xf>
    <xf borderId="42" fillId="7" fontId="17" numFmtId="0" xfId="0" applyAlignment="1" applyBorder="1" applyFont="1">
      <alignment horizontal="center" readingOrder="0" shrinkToFit="0" vertical="center" wrapText="1"/>
    </xf>
    <xf borderId="41" fillId="0" fontId="4" numFmtId="49" xfId="0" applyAlignment="1" applyBorder="1" applyFont="1" applyNumberFormat="1">
      <alignment horizontal="center" readingOrder="0" vertical="center"/>
    </xf>
    <xf borderId="42" fillId="7" fontId="14" numFmtId="0" xfId="0" applyAlignment="1" applyBorder="1" applyFont="1">
      <alignment horizontal="center" readingOrder="0" shrinkToFit="0" vertical="center" wrapText="1"/>
    </xf>
    <xf borderId="41" fillId="0" fontId="4" numFmtId="49" xfId="0" applyAlignment="1" applyBorder="1" applyFont="1" applyNumberFormat="1">
      <alignment horizontal="center" vertical="center"/>
    </xf>
    <xf borderId="49" fillId="12" fontId="24" numFmtId="1" xfId="0" applyAlignment="1" applyBorder="1" applyFont="1" applyNumberFormat="1">
      <alignment horizontal="center" vertical="center"/>
    </xf>
    <xf borderId="37" fillId="7" fontId="14" numFmtId="0" xfId="0" applyAlignment="1" applyBorder="1" applyFont="1">
      <alignment horizontal="center" shrinkToFit="0" vertical="center" wrapText="1"/>
    </xf>
    <xf borderId="14" fillId="7" fontId="17" numFmtId="0" xfId="0" applyAlignment="1" applyBorder="1" applyFont="1">
      <alignment horizontal="center" readingOrder="0" shrinkToFit="0" vertical="center" wrapText="1"/>
    </xf>
    <xf borderId="42" fillId="7" fontId="14" numFmtId="0" xfId="0" applyAlignment="1" applyBorder="1" applyFont="1">
      <alignment horizontal="center" shrinkToFit="0" vertical="center" wrapText="1"/>
    </xf>
    <xf borderId="49" fillId="8" fontId="24" numFmtId="1" xfId="0" applyAlignment="1" applyBorder="1" applyFont="1" applyNumberFormat="1">
      <alignment horizontal="center" vertical="center"/>
    </xf>
    <xf borderId="37" fillId="7" fontId="14" numFmtId="0" xfId="0" applyAlignment="1" applyBorder="1" applyFont="1">
      <alignment horizontal="center" readingOrder="0" shrinkToFit="0" vertical="center" wrapText="1"/>
    </xf>
    <xf borderId="37" fillId="24" fontId="17" numFmtId="0" xfId="0" applyAlignment="1" applyBorder="1" applyFont="1">
      <alignment horizontal="center" readingOrder="0" shrinkToFit="0" vertical="center" wrapText="1"/>
    </xf>
    <xf borderId="42" fillId="24" fontId="17" numFmtId="0" xfId="0" applyAlignment="1" applyBorder="1" applyFont="1">
      <alignment horizontal="center" readingOrder="0" shrinkToFit="0" vertical="center" wrapText="1"/>
    </xf>
    <xf borderId="14" fillId="7" fontId="14" numFmtId="0" xfId="0" applyAlignment="1" applyBorder="1" applyFont="1">
      <alignment horizontal="center" readingOrder="0" shrinkToFit="0" vertical="center" wrapText="1"/>
    </xf>
    <xf borderId="49" fillId="16" fontId="24" numFmtId="1" xfId="0" applyAlignment="1" applyBorder="1" applyFont="1" applyNumberFormat="1">
      <alignment horizontal="center" vertical="center"/>
    </xf>
    <xf borderId="42" fillId="24" fontId="14" numFmtId="0" xfId="0" applyAlignment="1" applyBorder="1" applyFont="1">
      <alignment horizontal="center" readingOrder="0" shrinkToFit="0" vertical="center" wrapText="1"/>
    </xf>
    <xf borderId="14" fillId="24" fontId="17" numFmtId="0" xfId="0" applyAlignment="1" applyBorder="1" applyFont="1">
      <alignment horizontal="center" readingOrder="0" shrinkToFit="0" vertical="center" wrapText="1"/>
    </xf>
    <xf borderId="37" fillId="25" fontId="17" numFmtId="0" xfId="0" applyAlignment="1" applyBorder="1" applyFont="1">
      <alignment horizontal="center" readingOrder="0" shrinkToFit="0" vertical="center" wrapText="1"/>
    </xf>
    <xf borderId="42" fillId="25" fontId="17" numFmtId="0" xfId="0" applyAlignment="1" applyBorder="1" applyFont="1">
      <alignment horizontal="center" readingOrder="0" shrinkToFit="0" vertical="center" wrapText="1"/>
    </xf>
    <xf borderId="42" fillId="25" fontId="14" numFmtId="0" xfId="0" applyAlignment="1" applyBorder="1" applyFont="1">
      <alignment horizontal="center" readingOrder="0" shrinkToFit="0" vertical="center" wrapText="1"/>
    </xf>
    <xf borderId="49" fillId="17" fontId="24" numFmtId="1" xfId="0" applyAlignment="1" applyBorder="1" applyFont="1" applyNumberFormat="1">
      <alignment horizontal="center" vertical="center"/>
    </xf>
    <xf borderId="33" fillId="0" fontId="27" numFmtId="49" xfId="0" applyAlignment="1" applyBorder="1" applyFont="1" applyNumberFormat="1">
      <alignment horizontal="center" vertical="center"/>
    </xf>
    <xf borderId="14" fillId="25" fontId="17" numFmtId="0" xfId="0" applyAlignment="1" applyBorder="1" applyFont="1">
      <alignment horizontal="center" readingOrder="0" shrinkToFit="0" vertical="center" wrapText="1"/>
    </xf>
    <xf borderId="5" fillId="0" fontId="28" numFmtId="0" xfId="0" applyAlignment="1" applyBorder="1" applyFont="1">
      <alignment readingOrder="0" vertical="bottom"/>
    </xf>
    <xf borderId="37" fillId="22" fontId="20" numFmtId="0" xfId="0" applyAlignment="1" applyBorder="1" applyFont="1">
      <alignment horizontal="center" readingOrder="0" vertical="center"/>
    </xf>
    <xf borderId="42" fillId="22" fontId="20" numFmtId="0" xfId="0" applyAlignment="1" applyBorder="1" applyFont="1">
      <alignment horizontal="center" readingOrder="0" vertical="center"/>
    </xf>
    <xf borderId="49" fillId="20" fontId="24" numFmtId="1" xfId="0" applyAlignment="1" applyBorder="1" applyFont="1" applyNumberFormat="1">
      <alignment horizontal="center" vertical="center"/>
    </xf>
    <xf borderId="50" fillId="22" fontId="20" numFmtId="0" xfId="0" applyAlignment="1" applyBorder="1" applyFont="1">
      <alignment horizontal="center"/>
    </xf>
    <xf borderId="37" fillId="22" fontId="20" numFmtId="1" xfId="0" applyAlignment="1" applyBorder="1" applyFont="1" applyNumberFormat="1">
      <alignment horizontal="center" readingOrder="0" vertical="center"/>
    </xf>
    <xf borderId="42" fillId="8" fontId="29" numFmtId="1" xfId="0" applyAlignment="1" applyBorder="1" applyFont="1" applyNumberFormat="1">
      <alignment horizontal="center" readingOrder="0" shrinkToFit="0" vertical="center" wrapText="1"/>
    </xf>
    <xf borderId="42" fillId="22" fontId="20" numFmtId="1" xfId="0" applyAlignment="1" applyBorder="1" applyFont="1" applyNumberFormat="1">
      <alignment horizontal="center" readingOrder="0" vertical="center"/>
    </xf>
    <xf borderId="14" fillId="22" fontId="30" numFmtId="1" xfId="0" applyAlignment="1" applyBorder="1" applyFont="1" applyNumberFormat="1">
      <alignment horizontal="center" readingOrder="0" shrinkToFit="0" vertical="center" wrapText="1"/>
    </xf>
    <xf borderId="42" fillId="10" fontId="31" numFmtId="1" xfId="0" applyAlignment="1" applyBorder="1" applyFont="1" applyNumberFormat="1">
      <alignment horizontal="center" readingOrder="0" shrinkToFit="0" vertical="center" wrapText="1"/>
    </xf>
    <xf borderId="42" fillId="22" fontId="20" numFmtId="1" xfId="0" applyAlignment="1" applyBorder="1" applyFont="1" applyNumberFormat="1">
      <alignment horizontal="center" vertical="center"/>
    </xf>
    <xf borderId="42" fillId="13" fontId="31" numFmtId="1" xfId="0" applyAlignment="1" applyBorder="1" applyFont="1" applyNumberFormat="1">
      <alignment horizontal="center" readingOrder="0" shrinkToFit="0" vertical="center" wrapText="1"/>
    </xf>
    <xf borderId="42" fillId="14" fontId="31" numFmtId="1" xfId="0" applyAlignment="1" applyBorder="1" applyFont="1" applyNumberFormat="1">
      <alignment horizontal="center" readingOrder="0" shrinkToFit="0" vertical="center" wrapText="1"/>
    </xf>
    <xf borderId="49" fillId="23" fontId="24" numFmtId="1" xfId="0" applyAlignment="1" applyBorder="1" applyFont="1" applyNumberFormat="1">
      <alignment horizontal="center" vertical="center"/>
    </xf>
    <xf borderId="42" fillId="15" fontId="31" numFmtId="1" xfId="0" applyAlignment="1" applyBorder="1" applyFont="1" applyNumberFormat="1">
      <alignment horizontal="center" readingOrder="0" shrinkToFit="0" vertical="center" wrapText="1"/>
    </xf>
    <xf borderId="42" fillId="28" fontId="32" numFmtId="1" xfId="0" applyAlignment="1" applyBorder="1" applyFont="1" applyNumberFormat="1">
      <alignment horizontal="center" readingOrder="0" shrinkToFit="0" vertical="center" wrapText="1"/>
    </xf>
    <xf borderId="5" fillId="30" fontId="4" numFmtId="1" xfId="0" applyAlignment="1" applyBorder="1" applyFill="1" applyFont="1" applyNumberFormat="1">
      <alignment horizontal="center" vertical="bottom"/>
    </xf>
    <xf borderId="37" fillId="22" fontId="20" numFmtId="1" xfId="0" applyAlignment="1" applyBorder="1" applyFont="1" applyNumberFormat="1">
      <alignment horizontal="center" vertical="center"/>
    </xf>
    <xf borderId="5" fillId="30" fontId="4" numFmtId="1" xfId="0" applyAlignment="1" applyBorder="1" applyFont="1" applyNumberFormat="1">
      <alignment horizontal="center" readingOrder="0" vertical="bottom"/>
    </xf>
    <xf borderId="42" fillId="29" fontId="31" numFmtId="1" xfId="0" applyAlignment="1" applyBorder="1" applyFont="1" applyNumberFormat="1">
      <alignment horizontal="center" readingOrder="0" shrinkToFit="0" vertical="center" wrapText="1"/>
    </xf>
    <xf borderId="52" fillId="22" fontId="20" numFmtId="0" xfId="0" applyAlignment="1" applyBorder="1" applyFont="1">
      <alignment horizontal="center" readingOrder="0" vertical="center"/>
    </xf>
    <xf borderId="5" fillId="0" fontId="28" numFmtId="0" xfId="0" applyAlignment="1" applyBorder="1" applyFont="1">
      <alignment horizontal="center" readingOrder="0" shrinkToFit="0" vertical="bottom" wrapText="0"/>
    </xf>
    <xf borderId="5" fillId="0" fontId="28" numFmtId="1" xfId="0" applyAlignment="1" applyBorder="1" applyFont="1" applyNumberFormat="1">
      <alignment horizontal="center" readingOrder="0" shrinkToFit="0" vertical="bottom" wrapText="0"/>
    </xf>
    <xf borderId="42" fillId="18" fontId="31" numFmtId="1" xfId="0" applyAlignment="1" applyBorder="1" applyFont="1" applyNumberFormat="1">
      <alignment horizontal="center" readingOrder="0" shrinkToFit="0" vertical="center" wrapText="1"/>
    </xf>
    <xf borderId="5" fillId="0" fontId="28" numFmtId="0" xfId="0" applyAlignment="1" applyBorder="1" applyFont="1">
      <alignment horizontal="center" readingOrder="0" shrinkToFit="0" wrapText="0"/>
    </xf>
    <xf borderId="42" fillId="8" fontId="31" numFmtId="1" xfId="0" applyAlignment="1" applyBorder="1" applyFont="1" applyNumberFormat="1">
      <alignment horizontal="center" readingOrder="0" shrinkToFit="0" vertical="center" wrapText="1"/>
    </xf>
    <xf borderId="42" fillId="7" fontId="31" numFmtId="1" xfId="0" applyAlignment="1" applyBorder="1" applyFont="1" applyNumberFormat="1">
      <alignment horizontal="center" readingOrder="0" shrinkToFit="0" vertical="center" wrapText="1"/>
    </xf>
    <xf borderId="37" fillId="22" fontId="4" numFmtId="0" xfId="0" applyAlignment="1" applyBorder="1" applyFont="1">
      <alignment horizontal="center" readingOrder="0"/>
    </xf>
    <xf borderId="42" fillId="22" fontId="4" numFmtId="0" xfId="0" applyAlignment="1" applyBorder="1" applyFont="1">
      <alignment horizontal="center" readingOrder="0"/>
    </xf>
    <xf borderId="0" fillId="22" fontId="20" numFmtId="49" xfId="0" applyAlignment="1" applyFont="1" applyNumberFormat="1">
      <alignment horizontal="center" readingOrder="0" vertical="center"/>
    </xf>
    <xf borderId="42" fillId="7" fontId="24" numFmtId="1" xfId="0" applyAlignment="1" applyBorder="1" applyFont="1" applyNumberFormat="1">
      <alignment horizontal="center"/>
    </xf>
    <xf borderId="53" fillId="22" fontId="20" numFmtId="49" xfId="0" applyAlignment="1" applyBorder="1" applyFont="1" applyNumberFormat="1">
      <alignment horizontal="center" readingOrder="0" vertical="center"/>
    </xf>
    <xf borderId="37" fillId="22" fontId="4" numFmtId="1" xfId="0" applyAlignment="1" applyBorder="1" applyFont="1" applyNumberFormat="1">
      <alignment horizontal="center"/>
    </xf>
    <xf borderId="42" fillId="22" fontId="4" numFmtId="1" xfId="0" applyAlignment="1" applyBorder="1" applyFont="1" applyNumberFormat="1">
      <alignment horizontal="center"/>
    </xf>
    <xf borderId="14" fillId="22" fontId="4" numFmtId="1" xfId="0" applyAlignment="1" applyBorder="1" applyFont="1" applyNumberFormat="1">
      <alignment horizontal="center" readingOrder="0"/>
    </xf>
    <xf borderId="14" fillId="22" fontId="4" numFmtId="1" xfId="0" applyAlignment="1" applyBorder="1" applyFont="1" applyNumberFormat="1">
      <alignment horizontal="center"/>
    </xf>
    <xf borderId="54" fillId="22" fontId="20" numFmtId="49" xfId="0" applyAlignment="1" applyBorder="1" applyFont="1" applyNumberFormat="1">
      <alignment horizontal="center" readingOrder="0" vertical="center"/>
    </xf>
    <xf borderId="37" fillId="22" fontId="4" numFmtId="1" xfId="0" applyAlignment="1" applyBorder="1" applyFont="1" applyNumberFormat="1">
      <alignment horizontal="center" readingOrder="0"/>
    </xf>
    <xf borderId="14" fillId="22" fontId="4" numFmtId="0" xfId="0" applyAlignment="1" applyBorder="1" applyFont="1">
      <alignment horizontal="center" readingOrder="0"/>
    </xf>
    <xf borderId="55" fillId="22" fontId="20" numFmtId="49" xfId="0" applyAlignment="1" applyBorder="1" applyFont="1" applyNumberFormat="1">
      <alignment horizontal="center" readingOrder="0" vertical="center"/>
    </xf>
    <xf borderId="42" fillId="22" fontId="4" numFmtId="1" xfId="0" applyAlignment="1" applyBorder="1" applyFont="1" applyNumberFormat="1">
      <alignment horizontal="center" readingOrder="0"/>
    </xf>
    <xf borderId="42" fillId="22" fontId="20" numFmtId="49" xfId="0" applyAlignment="1" applyBorder="1" applyFont="1" applyNumberFormat="1">
      <alignment horizontal="center" readingOrder="0" vertical="center"/>
    </xf>
    <xf borderId="42" fillId="24" fontId="31" numFmtId="1" xfId="0" applyAlignment="1" applyBorder="1" applyFont="1" applyNumberFormat="1">
      <alignment horizontal="center" readingOrder="0" shrinkToFit="0" vertical="center" wrapText="1"/>
    </xf>
    <xf borderId="42" fillId="0" fontId="20" numFmtId="49" xfId="0" applyAlignment="1" applyBorder="1" applyFont="1" applyNumberFormat="1">
      <alignment horizontal="center" readingOrder="0" vertical="center"/>
    </xf>
    <xf borderId="56" fillId="22" fontId="20" numFmtId="49" xfId="0" applyAlignment="1" applyBorder="1" applyFont="1" applyNumberFormat="1">
      <alignment horizontal="center" readingOrder="0" vertical="center"/>
    </xf>
    <xf borderId="42" fillId="25" fontId="31" numFmtId="1" xfId="0" applyAlignment="1" applyBorder="1" applyFont="1" applyNumberFormat="1">
      <alignment horizontal="center" readingOrder="0" shrinkToFit="0" vertical="center" wrapText="1"/>
    </xf>
    <xf borderId="34" fillId="0" fontId="20" numFmtId="49" xfId="0" applyAlignment="1" applyBorder="1" applyFont="1" applyNumberFormat="1">
      <alignment horizontal="center"/>
    </xf>
    <xf borderId="37" fillId="0" fontId="20" numFmtId="1" xfId="0" applyAlignment="1" applyBorder="1" applyFont="1" applyNumberFormat="1">
      <alignment horizontal="center" readingOrder="0" vertical="center"/>
    </xf>
    <xf borderId="37" fillId="0" fontId="20" numFmtId="0" xfId="0" applyAlignment="1" applyBorder="1" applyFont="1">
      <alignment horizontal="center" readingOrder="0" vertical="center"/>
    </xf>
    <xf borderId="42" fillId="0" fontId="20" numFmtId="1" xfId="0" applyAlignment="1" applyBorder="1" applyFont="1" applyNumberFormat="1">
      <alignment horizontal="center" vertical="center"/>
    </xf>
    <xf borderId="34" fillId="0" fontId="20" numFmtId="49" xfId="0" applyAlignment="1" applyBorder="1" applyFont="1" applyNumberFormat="1">
      <alignment horizontal="left"/>
    </xf>
    <xf borderId="42" fillId="0" fontId="20" numFmtId="0" xfId="0" applyAlignment="1" applyBorder="1" applyFont="1">
      <alignment horizontal="center" readingOrder="0" vertical="center"/>
    </xf>
    <xf borderId="14" fillId="0" fontId="30" numFmtId="1" xfId="0" applyAlignment="1" applyBorder="1" applyFont="1" applyNumberFormat="1">
      <alignment horizontal="center" readingOrder="0" shrinkToFit="0" vertical="center" wrapText="1"/>
    </xf>
    <xf borderId="36" fillId="0" fontId="20" numFmtId="49" xfId="0" applyAlignment="1" applyBorder="1" applyFont="1" applyNumberFormat="1">
      <alignment horizontal="center"/>
    </xf>
    <xf borderId="37" fillId="0" fontId="20" numFmtId="1" xfId="0" applyAlignment="1" applyBorder="1" applyFont="1" applyNumberFormat="1">
      <alignment horizontal="center" vertical="center"/>
    </xf>
    <xf borderId="42" fillId="0" fontId="20" numFmtId="1" xfId="0" applyAlignment="1" applyBorder="1" applyFont="1" applyNumberFormat="1">
      <alignment horizontal="center" readingOrder="0" vertical="center"/>
    </xf>
    <xf borderId="14" fillId="0" fontId="30" numFmtId="1" xfId="0" applyAlignment="1" applyBorder="1" applyFont="1" applyNumberFormat="1">
      <alignment horizontal="center" shrinkToFit="0" wrapText="1"/>
    </xf>
    <xf borderId="37" fillId="0" fontId="4" numFmtId="1" xfId="0" applyAlignment="1" applyBorder="1" applyFont="1" applyNumberFormat="1">
      <alignment horizontal="center"/>
    </xf>
    <xf borderId="42" fillId="0" fontId="4" numFmtId="1" xfId="0" applyAlignment="1" applyBorder="1" applyFont="1" applyNumberFormat="1">
      <alignment horizontal="center"/>
    </xf>
    <xf borderId="37" fillId="0" fontId="4" numFmtId="0" xfId="0" applyAlignment="1" applyBorder="1" applyFont="1">
      <alignment horizontal="center" readingOrder="0"/>
    </xf>
    <xf borderId="14" fillId="0" fontId="4" numFmtId="1" xfId="0" applyAlignment="1" applyBorder="1" applyFont="1" applyNumberFormat="1">
      <alignment horizontal="center"/>
    </xf>
    <xf borderId="42" fillId="0" fontId="4" numFmtId="0" xfId="0" applyAlignment="1" applyBorder="1" applyFont="1">
      <alignment horizontal="center" readingOrder="0"/>
    </xf>
    <xf borderId="14" fillId="0" fontId="4" numFmtId="1" xfId="0" applyAlignment="1" applyBorder="1" applyFont="1" applyNumberFormat="1">
      <alignment horizontal="center" readingOrder="0"/>
    </xf>
    <xf borderId="14" fillId="0" fontId="4" numFmtId="0" xfId="0" applyAlignment="1" applyBorder="1" applyFont="1">
      <alignment horizontal="center" readingOrder="0"/>
    </xf>
    <xf borderId="14" fillId="22" fontId="30" numFmtId="1" xfId="0" applyAlignment="1" applyBorder="1" applyFont="1" applyNumberFormat="1">
      <alignment horizontal="center" shrinkToFit="0" wrapText="1"/>
    </xf>
    <xf borderId="50" fillId="0" fontId="20" numFmtId="0" xfId="0" applyAlignment="1" applyBorder="1" applyFont="1">
      <alignment horizontal="center" readingOrder="0" vertical="center"/>
    </xf>
    <xf borderId="5" fillId="0" fontId="33" numFmtId="0" xfId="0" applyAlignment="1" applyBorder="1" applyFont="1">
      <alignment horizontal="center" readingOrder="0" shrinkToFit="0" vertical="bottom" wrapText="0"/>
    </xf>
    <xf borderId="5" fillId="0" fontId="33" numFmtId="1" xfId="0" applyAlignment="1" applyBorder="1" applyFont="1" applyNumberFormat="1">
      <alignment horizontal="center" readingOrder="0" shrinkToFit="0" vertical="bottom" wrapText="0"/>
    </xf>
    <xf borderId="52" fillId="0" fontId="20" numFmtId="0" xfId="0" applyAlignment="1" applyBorder="1" applyFont="1">
      <alignment horizontal="center" readingOrder="0" vertical="center"/>
    </xf>
    <xf borderId="0" fillId="0" fontId="20" numFmtId="49" xfId="0" applyAlignment="1" applyFont="1" applyNumberFormat="1">
      <alignment horizontal="center" readingOrder="0" vertical="center"/>
    </xf>
    <xf borderId="53" fillId="0" fontId="20" numFmtId="49" xfId="0" applyAlignment="1" applyBorder="1" applyFont="1" applyNumberFormat="1">
      <alignment horizontal="center" readingOrder="0" vertical="center"/>
    </xf>
    <xf borderId="14" fillId="31" fontId="31" numFmtId="1" xfId="0" applyAlignment="1" applyBorder="1" applyFill="1" applyFont="1" applyNumberFormat="1">
      <alignment horizontal="center" readingOrder="0" shrinkToFit="0" wrapText="1"/>
    </xf>
    <xf borderId="54" fillId="0" fontId="20" numFmtId="49" xfId="0" applyAlignment="1" applyBorder="1" applyFont="1" applyNumberFormat="1">
      <alignment horizontal="center" readingOrder="0" vertical="center"/>
    </xf>
    <xf borderId="5" fillId="20" fontId="34" numFmtId="0" xfId="0" applyAlignment="1" applyBorder="1" applyFont="1">
      <alignment horizontal="center" readingOrder="0" vertical="center"/>
    </xf>
    <xf borderId="55" fillId="0" fontId="20" numFmtId="49" xfId="0" applyAlignment="1" applyBorder="1" applyFont="1" applyNumberFormat="1">
      <alignment horizontal="center" readingOrder="0" vertical="center"/>
    </xf>
    <xf borderId="57" fillId="0" fontId="35" numFmtId="0" xfId="0" applyAlignment="1" applyBorder="1" applyFont="1">
      <alignment horizontal="center" readingOrder="0"/>
    </xf>
    <xf borderId="57" fillId="0" fontId="8" numFmtId="0" xfId="0" applyBorder="1" applyFont="1"/>
    <xf borderId="58" fillId="0" fontId="8" numFmtId="0" xfId="0" applyBorder="1" applyFont="1"/>
    <xf borderId="56" fillId="0" fontId="20" numFmtId="49" xfId="0" applyAlignment="1" applyBorder="1" applyFont="1" applyNumberFormat="1">
      <alignment horizontal="center" readingOrder="0" vertical="center"/>
    </xf>
    <xf borderId="0" fillId="32" fontId="36" numFmtId="0" xfId="0" applyAlignment="1" applyFill="1" applyFont="1">
      <alignment horizontal="left" readingOrder="0" vertical="center"/>
    </xf>
    <xf borderId="5" fillId="0" fontId="1" numFmtId="0" xfId="0" applyAlignment="1" applyBorder="1" applyFont="1">
      <alignment horizontal="center" readingOrder="0" shrinkToFit="0" vertical="center" wrapText="1"/>
    </xf>
    <xf borderId="0" fillId="0" fontId="37" numFmtId="0" xfId="0" applyAlignment="1" applyFont="1">
      <alignment horizontal="center" readingOrder="0"/>
    </xf>
    <xf borderId="59" fillId="0" fontId="8" numFmtId="0" xfId="0" applyBorder="1" applyFont="1"/>
    <xf borderId="60" fillId="0" fontId="38" numFmtId="0" xfId="0" applyAlignment="1" applyBorder="1" applyFont="1">
      <alignment horizontal="center" readingOrder="0" shrinkToFit="0" vertical="center" wrapText="1"/>
    </xf>
    <xf borderId="0" fillId="33" fontId="39" numFmtId="0" xfId="0" applyFill="1" applyFont="1"/>
    <xf borderId="0" fillId="33" fontId="1" numFmtId="0" xfId="0" applyAlignment="1" applyFont="1">
      <alignment horizontal="left" shrinkToFit="0" wrapText="1"/>
    </xf>
    <xf borderId="59" fillId="33" fontId="1" numFmtId="0" xfId="0" applyAlignment="1" applyBorder="1" applyFont="1">
      <alignment horizontal="left" shrinkToFit="0" wrapText="1"/>
    </xf>
    <xf borderId="0" fillId="33" fontId="34" numFmtId="0" xfId="0" applyFont="1"/>
    <xf borderId="0" fillId="33" fontId="1" numFmtId="0" xfId="0" applyFont="1"/>
    <xf borderId="61" fillId="0" fontId="8" numFmtId="0" xfId="0" applyBorder="1" applyFont="1"/>
    <xf borderId="62" fillId="26" fontId="34" numFmtId="0" xfId="0" applyAlignment="1" applyBorder="1" applyFont="1">
      <alignment readingOrder="0" vertical="center"/>
    </xf>
    <xf borderId="0" fillId="26" fontId="34" numFmtId="0" xfId="0" applyAlignment="1" applyFont="1">
      <alignment horizontal="center" readingOrder="0" shrinkToFit="0" vertical="center" wrapText="1"/>
    </xf>
    <xf borderId="0" fillId="0" fontId="36" numFmtId="0" xfId="0" applyAlignment="1" applyFont="1">
      <alignment horizontal="right" readingOrder="0" vertical="center"/>
    </xf>
    <xf borderId="0" fillId="0" fontId="40" numFmtId="0" xfId="0" applyAlignment="1" applyFont="1">
      <alignment horizontal="left" readingOrder="0" vertical="center"/>
    </xf>
    <xf borderId="5" fillId="0" fontId="41" numFmtId="0" xfId="0" applyAlignment="1" applyBorder="1" applyFont="1">
      <alignment horizontal="left" readingOrder="0" shrinkToFit="0" vertical="center" wrapText="1"/>
    </xf>
    <xf borderId="63" fillId="0" fontId="1" numFmtId="0" xfId="0" applyAlignment="1" applyBorder="1" applyFont="1">
      <alignment readingOrder="0" vertical="center"/>
    </xf>
    <xf borderId="64" fillId="0" fontId="42" numFmtId="0" xfId="0" applyAlignment="1" applyBorder="1" applyFont="1">
      <alignment horizontal="center" readingOrder="0" shrinkToFit="0" vertical="center" wrapText="1"/>
    </xf>
    <xf borderId="65" fillId="0" fontId="8" numFmtId="0" xfId="0" applyBorder="1" applyFont="1"/>
    <xf borderId="66" fillId="0" fontId="8" numFmtId="0" xfId="0" applyBorder="1" applyFont="1"/>
    <xf borderId="1" fillId="0" fontId="1" numFmtId="0" xfId="0" applyBorder="1" applyFont="1"/>
    <xf borderId="67" fillId="26" fontId="43" numFmtId="0" xfId="0" applyAlignment="1" applyBorder="1" applyFont="1">
      <alignment horizontal="center" readingOrder="0" shrinkToFit="0" vertical="center" wrapText="1"/>
    </xf>
    <xf borderId="68" fillId="26" fontId="43" numFmtId="0" xfId="0" applyAlignment="1" applyBorder="1" applyFont="1">
      <alignment horizontal="center" readingOrder="0" shrinkToFit="0" vertical="center" wrapText="1"/>
    </xf>
    <xf borderId="69" fillId="26" fontId="43" numFmtId="0" xfId="0" applyAlignment="1" applyBorder="1" applyFont="1">
      <alignment horizontal="center" readingOrder="0" shrinkToFit="0" vertical="center" wrapText="1"/>
    </xf>
    <xf borderId="68" fillId="34" fontId="43" numFmtId="0" xfId="0" applyAlignment="1" applyBorder="1" applyFill="1" applyFont="1">
      <alignment horizontal="center" readingOrder="0" shrinkToFit="0" vertical="center" wrapText="1"/>
    </xf>
    <xf borderId="0" fillId="0" fontId="1" numFmtId="0" xfId="0" applyFont="1"/>
    <xf borderId="0" fillId="0" fontId="0" numFmtId="0" xfId="0" applyAlignment="1" applyFont="1">
      <alignment readingOrder="0"/>
    </xf>
    <xf borderId="8" fillId="0" fontId="1" numFmtId="0" xfId="0" applyBorder="1" applyFont="1"/>
    <xf borderId="15" fillId="0" fontId="41" numFmtId="0" xfId="0" applyAlignment="1" applyBorder="1" applyFont="1">
      <alignment horizontal="left" readingOrder="0" shrinkToFit="0" vertical="center" wrapText="1"/>
    </xf>
    <xf borderId="25" fillId="0" fontId="44" numFmtId="0" xfId="0" applyAlignment="1" applyBorder="1" applyFont="1">
      <alignment horizontal="center" vertical="center"/>
    </xf>
    <xf borderId="8" fillId="30" fontId="4" numFmtId="1" xfId="0" applyAlignment="1" applyBorder="1" applyFont="1" applyNumberFormat="1">
      <alignment horizontal="center" vertical="bottom"/>
    </xf>
    <xf borderId="60" fillId="0" fontId="45" numFmtId="0" xfId="0" applyAlignment="1" applyBorder="1" applyFont="1">
      <alignment horizontal="center" vertical="center"/>
    </xf>
    <xf borderId="0" fillId="0" fontId="46" numFmtId="0" xfId="0" applyAlignment="1" applyFont="1">
      <alignment horizontal="left" readingOrder="0" vertical="center"/>
    </xf>
    <xf borderId="70" fillId="6" fontId="42" numFmtId="0" xfId="0" applyAlignment="1" applyBorder="1" applyFont="1">
      <alignment readingOrder="0" vertical="center"/>
    </xf>
    <xf borderId="71" fillId="6" fontId="47" numFmtId="0" xfId="0" applyAlignment="1" applyBorder="1" applyFont="1">
      <alignment horizontal="center" readingOrder="0" shrinkToFit="0" vertical="center" wrapText="1"/>
    </xf>
    <xf borderId="71" fillId="6" fontId="42" numFmtId="0" xfId="0" applyAlignment="1" applyBorder="1" applyFont="1">
      <alignment horizontal="center" readingOrder="0" shrinkToFit="0" vertical="center" wrapText="1"/>
    </xf>
    <xf borderId="72" fillId="32" fontId="36" numFmtId="0" xfId="0" applyAlignment="1" applyBorder="1" applyFont="1">
      <alignment horizontal="left" readingOrder="0" vertical="center"/>
    </xf>
    <xf borderId="73" fillId="0" fontId="8" numFmtId="0" xfId="0" applyBorder="1" applyFont="1"/>
    <xf borderId="74" fillId="32" fontId="48" numFmtId="0" xfId="0" applyAlignment="1" applyBorder="1" applyFont="1">
      <alignment readingOrder="0" vertical="center"/>
    </xf>
    <xf borderId="75" fillId="32" fontId="48" numFmtId="0" xfId="0" applyAlignment="1" applyBorder="1" applyFont="1">
      <alignment horizontal="center" shrinkToFit="0" vertical="center" wrapText="0"/>
    </xf>
    <xf borderId="75" fillId="32" fontId="49" numFmtId="0" xfId="0" applyAlignment="1" applyBorder="1" applyFont="1">
      <alignment horizontal="center" shrinkToFit="0" vertical="center" wrapText="0"/>
    </xf>
    <xf borderId="76" fillId="32" fontId="48" numFmtId="164" xfId="0" applyAlignment="1" applyBorder="1" applyFont="1" applyNumberFormat="1">
      <alignment horizontal="center" readingOrder="0" shrinkToFit="0" vertical="center" wrapText="0"/>
    </xf>
    <xf borderId="0" fillId="32" fontId="50" numFmtId="0" xfId="0" applyAlignment="1" applyFont="1">
      <alignment horizontal="right"/>
    </xf>
    <xf borderId="0" fillId="32" fontId="1" numFmtId="0" xfId="0" applyAlignment="1" applyFont="1">
      <alignment readingOrder="0" vertical="center"/>
    </xf>
    <xf borderId="0" fillId="0" fontId="1" numFmtId="0" xfId="0" applyAlignment="1" applyFont="1">
      <alignment horizontal="left" readingOrder="0" vertical="center"/>
    </xf>
    <xf borderId="77" fillId="30" fontId="48" numFmtId="0" xfId="0" applyAlignment="1" applyBorder="1" applyFont="1">
      <alignment readingOrder="0" vertical="center"/>
    </xf>
    <xf borderId="78" fillId="30" fontId="48" numFmtId="0" xfId="0" applyAlignment="1" applyBorder="1" applyFont="1">
      <alignment horizontal="center" shrinkToFit="0" vertical="center" wrapText="0"/>
    </xf>
    <xf borderId="78" fillId="30" fontId="51" numFmtId="0" xfId="0" applyAlignment="1" applyBorder="1" applyFont="1">
      <alignment horizontal="center" shrinkToFit="0" vertical="center" wrapText="0"/>
    </xf>
    <xf borderId="79" fillId="30" fontId="48" numFmtId="164" xfId="0" applyAlignment="1" applyBorder="1" applyFont="1" applyNumberFormat="1">
      <alignment horizontal="center" readingOrder="0" shrinkToFit="0" vertical="center" wrapText="0"/>
    </xf>
    <xf borderId="0" fillId="0" fontId="52" numFmtId="0" xfId="0" applyAlignment="1" applyFont="1">
      <alignment horizontal="right"/>
    </xf>
    <xf borderId="0" fillId="0" fontId="1" numFmtId="0" xfId="0" applyAlignment="1" applyFont="1">
      <alignment vertical="center"/>
    </xf>
    <xf borderId="0" fillId="0" fontId="1" numFmtId="0" xfId="0" applyAlignment="1" applyFont="1">
      <alignment horizontal="left" vertical="center"/>
    </xf>
    <xf borderId="75" fillId="32" fontId="53" numFmtId="0" xfId="0" applyAlignment="1" applyBorder="1" applyFont="1">
      <alignment horizontal="center" readingOrder="0" shrinkToFit="0" vertical="center" wrapText="0"/>
    </xf>
    <xf borderId="0" fillId="0" fontId="1" numFmtId="0" xfId="0" applyAlignment="1" applyFont="1">
      <alignment readingOrder="0" vertical="center"/>
    </xf>
    <xf borderId="76" fillId="32" fontId="48" numFmtId="164" xfId="0" applyAlignment="1" applyBorder="1" applyFont="1" applyNumberFormat="1">
      <alignment horizontal="center" shrinkToFit="0" vertical="center" wrapText="0"/>
    </xf>
    <xf borderId="79" fillId="30" fontId="48" numFmtId="164" xfId="0" applyAlignment="1" applyBorder="1" applyFont="1" applyNumberFormat="1">
      <alignment horizontal="center" shrinkToFit="0" vertical="center" wrapText="0"/>
    </xf>
    <xf borderId="42" fillId="0" fontId="20" numFmtId="0" xfId="0" applyAlignment="1" applyBorder="1" applyFont="1">
      <alignment horizontal="center" readingOrder="0"/>
    </xf>
    <xf borderId="42" fillId="7" fontId="31" numFmtId="1" xfId="0" applyAlignment="1" applyBorder="1" applyFont="1" applyNumberFormat="1">
      <alignment horizontal="center" shrinkToFit="0" wrapText="1"/>
    </xf>
    <xf borderId="37" fillId="30" fontId="20" numFmtId="0" xfId="0" applyAlignment="1" applyBorder="1" applyFont="1">
      <alignment horizontal="center" vertical="bottom"/>
    </xf>
    <xf borderId="42" fillId="30" fontId="20" numFmtId="0" xfId="0" applyAlignment="1" applyBorder="1" applyFont="1">
      <alignment horizontal="center" vertical="bottom"/>
    </xf>
    <xf borderId="5" fillId="35" fontId="28" numFmtId="0" xfId="0" applyAlignment="1" applyBorder="1" applyFill="1" applyFont="1">
      <alignment horizontal="center" readingOrder="0" shrinkToFit="0" vertical="bottom" wrapText="0"/>
    </xf>
    <xf borderId="5" fillId="35" fontId="28" numFmtId="1" xfId="0" applyAlignment="1" applyBorder="1" applyFont="1" applyNumberFormat="1">
      <alignment horizontal="center" readingOrder="0" shrinkToFit="0" vertical="bottom" wrapText="0"/>
    </xf>
    <xf borderId="0" fillId="30" fontId="48" numFmtId="0" xfId="0" applyAlignment="1" applyFont="1">
      <alignment readingOrder="0" vertical="center"/>
    </xf>
    <xf borderId="0" fillId="30" fontId="48" numFmtId="0" xfId="0" applyAlignment="1" applyFont="1">
      <alignment horizontal="center" shrinkToFit="0" vertical="center" wrapText="0"/>
    </xf>
    <xf borderId="0" fillId="30" fontId="48" numFmtId="164" xfId="0" applyAlignment="1" applyFont="1" applyNumberFormat="1">
      <alignment horizontal="center" shrinkToFit="0" vertical="center" wrapText="0"/>
    </xf>
    <xf borderId="0" fillId="30" fontId="54" numFmtId="0" xfId="0" applyAlignment="1" applyFont="1">
      <alignment horizontal="center" shrinkToFit="0" vertical="center" wrapText="0"/>
    </xf>
    <xf borderId="80" fillId="0" fontId="20" numFmtId="0" xfId="0" applyAlignment="1" applyBorder="1" applyFont="1">
      <alignment horizontal="center" vertical="center"/>
    </xf>
    <xf borderId="0" fillId="0" fontId="55" numFmtId="49" xfId="0" applyAlignment="1" applyFont="1" applyNumberFormat="1">
      <alignment horizontal="center" vertical="top"/>
    </xf>
    <xf borderId="80" fillId="0" fontId="20" numFmtId="49" xfId="0" applyAlignment="1" applyBorder="1" applyFont="1" applyNumberFormat="1">
      <alignment horizontal="center" vertical="center"/>
    </xf>
    <xf borderId="80" fillId="0" fontId="20" numFmtId="49" xfId="0" applyAlignment="1" applyBorder="1" applyFont="1" applyNumberFormat="1">
      <alignment vertical="center"/>
    </xf>
    <xf borderId="0" fillId="6" fontId="56" numFmtId="49" xfId="0" applyAlignment="1" applyFont="1" applyNumberFormat="1">
      <alignment horizontal="center" vertical="center"/>
    </xf>
    <xf borderId="81" fillId="0" fontId="20" numFmtId="1" xfId="0" applyAlignment="1" applyBorder="1" applyFont="1" applyNumberFormat="1">
      <alignment horizontal="center" vertical="center"/>
    </xf>
    <xf borderId="82" fillId="0" fontId="20" numFmtId="1" xfId="0" applyAlignment="1" applyBorder="1" applyFont="1" applyNumberFormat="1">
      <alignment horizontal="center" vertical="center"/>
    </xf>
    <xf borderId="82" fillId="8" fontId="29" numFmtId="1" xfId="0" applyAlignment="1" applyBorder="1" applyFont="1" applyNumberFormat="1">
      <alignment horizontal="center" readingOrder="0" shrinkToFit="0" vertical="center" wrapText="1"/>
    </xf>
    <xf borderId="83" fillId="0" fontId="30" numFmtId="1" xfId="0" applyAlignment="1" applyBorder="1" applyFont="1" applyNumberFormat="1">
      <alignment horizontal="center" readingOrder="0" shrinkToFit="0" vertical="center" wrapText="1"/>
    </xf>
    <xf borderId="81" fillId="0" fontId="20" numFmtId="1" xfId="0" applyAlignment="1" applyBorder="1" applyFont="1" applyNumberFormat="1">
      <alignment horizontal="center" readingOrder="0" vertical="center"/>
    </xf>
    <xf borderId="82" fillId="10" fontId="31" numFmtId="1" xfId="0" applyAlignment="1" applyBorder="1" applyFont="1" applyNumberFormat="1">
      <alignment horizontal="center" readingOrder="0" shrinkToFit="0" vertical="center" wrapText="1"/>
    </xf>
    <xf borderId="82" fillId="0" fontId="20" numFmtId="1" xfId="0" applyAlignment="1" applyBorder="1" applyFont="1" applyNumberFormat="1">
      <alignment horizontal="center" readingOrder="0" vertical="center"/>
    </xf>
    <xf borderId="82" fillId="13" fontId="31" numFmtId="1" xfId="0" applyAlignment="1" applyBorder="1" applyFont="1" applyNumberFormat="1">
      <alignment horizontal="center" readingOrder="0" shrinkToFit="0" vertical="center" wrapText="1"/>
    </xf>
    <xf borderId="0" fillId="0" fontId="2" numFmtId="49" xfId="0" applyAlignment="1" applyFont="1" applyNumberFormat="1">
      <alignment horizontal="center" shrinkToFit="0" wrapText="0"/>
    </xf>
    <xf borderId="82" fillId="14" fontId="31" numFmtId="1" xfId="0" applyAlignment="1" applyBorder="1" applyFont="1" applyNumberFormat="1">
      <alignment horizontal="center" readingOrder="0" shrinkToFit="0" vertical="center" wrapText="1"/>
    </xf>
    <xf borderId="82" fillId="15" fontId="31" numFmtId="1" xfId="0" applyAlignment="1" applyBorder="1" applyFont="1" applyNumberFormat="1">
      <alignment horizontal="center" readingOrder="0" shrinkToFit="0" vertical="center" wrapText="1"/>
    </xf>
    <xf borderId="82" fillId="28" fontId="32" numFmtId="1" xfId="0" applyAlignment="1" applyBorder="1" applyFont="1" applyNumberFormat="1">
      <alignment horizontal="center" readingOrder="0" shrinkToFit="0" vertical="center" wrapText="1"/>
    </xf>
    <xf borderId="82" fillId="29" fontId="31" numFmtId="1" xfId="0" applyAlignment="1" applyBorder="1" applyFont="1" applyNumberFormat="1">
      <alignment horizontal="center" readingOrder="0" shrinkToFit="0" vertical="center" wrapText="1"/>
    </xf>
    <xf borderId="82" fillId="18" fontId="31" numFmtId="1" xfId="0" applyAlignment="1" applyBorder="1" applyFont="1" applyNumberFormat="1">
      <alignment horizontal="center" readingOrder="0" shrinkToFit="0" vertical="center" wrapText="1"/>
    </xf>
    <xf borderId="82" fillId="8" fontId="31" numFmtId="1" xfId="0" applyAlignment="1" applyBorder="1" applyFont="1" applyNumberFormat="1">
      <alignment horizontal="center" readingOrder="0" shrinkToFit="0" vertical="center" wrapText="1"/>
    </xf>
    <xf borderId="0" fillId="0" fontId="3" numFmtId="49" xfId="0" applyAlignment="1" applyFont="1" applyNumberFormat="1">
      <alignment shrinkToFit="0" vertical="center" wrapText="0"/>
    </xf>
    <xf borderId="82" fillId="7" fontId="31" numFmtId="1" xfId="0" applyAlignment="1" applyBorder="1" applyFont="1" applyNumberFormat="1">
      <alignment horizontal="center" readingOrder="0" shrinkToFit="0" vertical="center" wrapText="1"/>
    </xf>
    <xf borderId="81" fillId="0" fontId="4" numFmtId="1" xfId="0" applyAlignment="1" applyBorder="1" applyFont="1" applyNumberFormat="1">
      <alignment horizontal="center"/>
    </xf>
    <xf borderId="82" fillId="0" fontId="4" numFmtId="1" xfId="0" applyAlignment="1" applyBorder="1" applyFont="1" applyNumberFormat="1">
      <alignment horizontal="center"/>
    </xf>
    <xf borderId="0" fillId="0" fontId="3" numFmtId="0" xfId="0" applyAlignment="1" applyFont="1">
      <alignment horizontal="center" shrinkToFit="0" vertical="center" wrapText="1"/>
    </xf>
    <xf borderId="82" fillId="7" fontId="24" numFmtId="1" xfId="0" applyAlignment="1" applyBorder="1" applyFont="1" applyNumberFormat="1">
      <alignment horizontal="center"/>
    </xf>
    <xf borderId="83" fillId="0" fontId="4" numFmtId="1" xfId="0" applyAlignment="1" applyBorder="1" applyFont="1" applyNumberFormat="1">
      <alignment horizontal="center"/>
    </xf>
    <xf borderId="84" fillId="5" fontId="57" numFmtId="49" xfId="0" applyAlignment="1" applyBorder="1" applyFont="1" applyNumberFormat="1">
      <alignment horizontal="center" vertical="center"/>
    </xf>
    <xf borderId="85" fillId="5" fontId="57" numFmtId="49" xfId="0" applyAlignment="1" applyBorder="1" applyFont="1" applyNumberFormat="1">
      <alignment horizontal="center" readingOrder="0" shrinkToFit="0" vertical="center" wrapText="1"/>
    </xf>
    <xf borderId="82" fillId="24" fontId="31" numFmtId="1" xfId="0" applyAlignment="1" applyBorder="1" applyFont="1" applyNumberFormat="1">
      <alignment horizontal="center" readingOrder="0" shrinkToFit="0" vertical="center" wrapText="1"/>
    </xf>
    <xf borderId="82" fillId="25" fontId="31" numFmtId="1" xfId="0" applyAlignment="1" applyBorder="1" applyFont="1" applyNumberFormat="1">
      <alignment horizontal="center" readingOrder="0" shrinkToFit="0" vertical="center" wrapText="1"/>
    </xf>
    <xf borderId="86" fillId="5" fontId="57" numFmtId="49" xfId="0" applyAlignment="1" applyBorder="1" applyFont="1" applyNumberFormat="1">
      <alignment horizontal="center" shrinkToFit="0" vertical="center" wrapText="1"/>
    </xf>
    <xf borderId="86" fillId="5" fontId="57" numFmtId="49" xfId="0" applyAlignment="1" applyBorder="1" applyFont="1" applyNumberFormat="1">
      <alignment horizontal="center" readingOrder="0" shrinkToFit="0" vertical="center" wrapText="1"/>
    </xf>
    <xf borderId="42" fillId="0" fontId="20" numFmtId="0" xfId="0" applyAlignment="1" applyBorder="1" applyFont="1">
      <alignment horizontal="center" vertical="bottom"/>
    </xf>
    <xf borderId="87" fillId="6" fontId="57" numFmtId="0" xfId="0" applyAlignment="1" applyBorder="1" applyFont="1">
      <alignment horizontal="center" readingOrder="0" shrinkToFit="0" textRotation="90" vertical="center" wrapText="1"/>
    </xf>
    <xf borderId="88" fillId="9" fontId="57" numFmtId="0" xfId="0" applyAlignment="1" applyBorder="1" applyFont="1">
      <alignment horizontal="center" readingOrder="0" shrinkToFit="0" textRotation="90" vertical="center" wrapText="1"/>
    </xf>
    <xf borderId="87" fillId="7" fontId="57" numFmtId="0" xfId="0" applyAlignment="1" applyBorder="1" applyFont="1">
      <alignment horizontal="center" readingOrder="0" shrinkToFit="0" textRotation="90" vertical="center" wrapText="1"/>
    </xf>
    <xf borderId="87" fillId="11" fontId="57" numFmtId="0" xfId="0" applyAlignment="1" applyBorder="1" applyFont="1">
      <alignment horizontal="center" readingOrder="0" shrinkToFit="0" textRotation="90" vertical="center" wrapText="1"/>
    </xf>
    <xf borderId="87" fillId="12" fontId="57" numFmtId="0" xfId="0" applyAlignment="1" applyBorder="1" applyFont="1">
      <alignment horizontal="center" readingOrder="0" shrinkToFit="0" textRotation="90" vertical="center" wrapText="1"/>
    </xf>
    <xf borderId="87" fillId="8" fontId="57" numFmtId="0" xfId="0" applyAlignment="1" applyBorder="1" applyFont="1">
      <alignment horizontal="center" readingOrder="0" shrinkToFit="0" textRotation="90" vertical="center" wrapText="1"/>
    </xf>
    <xf borderId="87" fillId="16" fontId="57" numFmtId="0" xfId="0" applyAlignment="1" applyBorder="1" applyFont="1">
      <alignment horizontal="center" readingOrder="0" shrinkToFit="0" textRotation="90" vertical="center" wrapText="1"/>
    </xf>
    <xf borderId="87" fillId="17" fontId="57" numFmtId="0" xfId="0" applyAlignment="1" applyBorder="1" applyFont="1">
      <alignment horizontal="center" readingOrder="0" shrinkToFit="0" textRotation="90" vertical="center" wrapText="1"/>
    </xf>
    <xf borderId="87" fillId="20" fontId="57" numFmtId="0" xfId="0" applyAlignment="1" applyBorder="1" applyFont="1">
      <alignment horizontal="center" readingOrder="0" shrinkToFit="0" textRotation="90" vertical="center" wrapText="1"/>
    </xf>
    <xf borderId="87" fillId="23" fontId="57" numFmtId="0" xfId="0" applyAlignment="1" applyBorder="1" applyFont="1">
      <alignment horizontal="center" readingOrder="0" shrinkToFit="0" textRotation="90" vertical="center" wrapText="0"/>
    </xf>
    <xf borderId="87" fillId="23" fontId="57" numFmtId="0" xfId="0" applyAlignment="1" applyBorder="1" applyFont="1">
      <alignment horizontal="center" readingOrder="0" shrinkToFit="0" textRotation="90" vertical="center" wrapText="1"/>
    </xf>
    <xf borderId="87" fillId="9" fontId="57" numFmtId="0" xfId="0" applyAlignment="1" applyBorder="1" applyFont="1">
      <alignment horizontal="center" readingOrder="0" shrinkToFit="0" textRotation="90" vertical="center" wrapText="1"/>
    </xf>
    <xf borderId="89" fillId="27" fontId="57" numFmtId="0" xfId="0" applyAlignment="1" applyBorder="1" applyFont="1">
      <alignment horizontal="center" shrinkToFit="0" vertical="center" wrapText="1"/>
    </xf>
    <xf borderId="46" fillId="27" fontId="57" numFmtId="0" xfId="0" applyAlignment="1" applyBorder="1" applyFont="1">
      <alignment horizontal="center" shrinkToFit="0" vertical="center" wrapText="1"/>
    </xf>
    <xf borderId="46" fillId="27" fontId="57" numFmtId="0" xfId="0" applyAlignment="1" applyBorder="1" applyFont="1">
      <alignment horizontal="center" shrinkToFit="0" textRotation="90" vertical="center" wrapText="1"/>
    </xf>
    <xf borderId="46" fillId="27" fontId="57" numFmtId="0" xfId="0" applyAlignment="1" applyBorder="1" applyFont="1">
      <alignment horizontal="center" readingOrder="0" shrinkToFit="0" textRotation="90" vertical="center" wrapText="1"/>
    </xf>
    <xf borderId="46" fillId="6" fontId="57" numFmtId="0" xfId="0" applyAlignment="1" applyBorder="1" applyFont="1">
      <alignment horizontal="center" readingOrder="0" shrinkToFit="0" textRotation="90" vertical="center" wrapText="1"/>
    </xf>
    <xf borderId="90" fillId="6" fontId="57" numFmtId="0" xfId="0" applyAlignment="1" applyBorder="1" applyFont="1">
      <alignment horizontal="center" readingOrder="0" shrinkToFit="0" textRotation="90" vertical="center" wrapText="1"/>
    </xf>
    <xf borderId="48" fillId="6" fontId="57" numFmtId="0" xfId="0" applyAlignment="1" applyBorder="1" applyFont="1">
      <alignment horizontal="center" readingOrder="0" shrinkToFit="0" textRotation="90" vertical="center" wrapText="1"/>
    </xf>
    <xf borderId="0" fillId="0" fontId="58" numFmtId="0" xfId="0" applyAlignment="1" applyFont="1">
      <alignment horizontal="left" shrinkToFit="0" vertical="center" wrapText="1"/>
    </xf>
    <xf borderId="91" fillId="22" fontId="59" numFmtId="49" xfId="0" applyAlignment="1" applyBorder="1" applyFont="1" applyNumberFormat="1">
      <alignment horizontal="center" vertical="center"/>
    </xf>
    <xf borderId="0" fillId="0" fontId="58" numFmtId="0" xfId="0" applyAlignment="1" applyFont="1">
      <alignment horizontal="center" shrinkToFit="0" vertical="center" wrapText="1"/>
    </xf>
    <xf borderId="34" fillId="22" fontId="59" numFmtId="49" xfId="0" applyAlignment="1" applyBorder="1" applyFont="1" applyNumberFormat="1">
      <alignment horizontal="center" vertical="center"/>
    </xf>
    <xf borderId="34" fillId="22" fontId="59" numFmtId="49" xfId="0" applyAlignment="1" applyBorder="1" applyFont="1" applyNumberFormat="1">
      <alignment horizontal="left" vertical="center"/>
    </xf>
    <xf borderId="0" fillId="0" fontId="60" numFmtId="0" xfId="0" applyAlignment="1" applyFont="1">
      <alignment horizontal="left" vertical="center"/>
    </xf>
    <xf borderId="36" fillId="22" fontId="59" numFmtId="49" xfId="0" applyAlignment="1" applyBorder="1" applyFont="1" applyNumberFormat="1">
      <alignment horizontal="center" vertical="center"/>
    </xf>
    <xf borderId="0" fillId="0" fontId="2" numFmtId="0" xfId="0" applyFont="1"/>
    <xf borderId="0" fillId="0" fontId="2" numFmtId="0" xfId="0" applyAlignment="1" applyFont="1">
      <alignment horizontal="left" vertical="center"/>
    </xf>
    <xf borderId="0" fillId="0" fontId="60" numFmtId="0" xfId="0" applyAlignment="1" applyFont="1">
      <alignment vertical="center"/>
    </xf>
    <xf borderId="0" fillId="0" fontId="2" numFmtId="0" xfId="0" applyAlignment="1" applyFont="1">
      <alignment horizontal="center" vertical="center"/>
    </xf>
    <xf borderId="92" fillId="19" fontId="55" numFmtId="0" xfId="0" applyAlignment="1" applyBorder="1" applyFont="1">
      <alignment horizontal="center" readingOrder="0"/>
    </xf>
    <xf borderId="0" fillId="19" fontId="55" numFmtId="0" xfId="0" applyAlignment="1" applyFont="1">
      <alignment horizontal="center" readingOrder="0"/>
    </xf>
    <xf borderId="0" fillId="0" fontId="61" numFmtId="0" xfId="0" applyAlignment="1" applyFont="1">
      <alignment readingOrder="0" vertical="center"/>
    </xf>
    <xf borderId="0" fillId="0" fontId="4" numFmtId="0" xfId="0" applyAlignment="1" applyFont="1">
      <alignment readingOrder="0"/>
    </xf>
    <xf borderId="0" fillId="20" fontId="34" numFmtId="0" xfId="0" applyAlignment="1" applyFont="1">
      <alignment readingOrder="0"/>
    </xf>
    <xf borderId="49" fillId="6" fontId="62" numFmtId="1" xfId="0" applyAlignment="1" applyBorder="1" applyFont="1" applyNumberFormat="1">
      <alignment horizontal="center" vertical="center"/>
    </xf>
    <xf borderId="49" fillId="9" fontId="62" numFmtId="1" xfId="0" applyAlignment="1" applyBorder="1" applyFont="1" applyNumberFormat="1">
      <alignment horizontal="center" vertical="center"/>
    </xf>
    <xf borderId="0" fillId="0" fontId="58" numFmtId="0" xfId="0" applyAlignment="1" applyFont="1">
      <alignment horizontal="left" shrinkToFit="0" vertical="center" wrapText="1"/>
    </xf>
    <xf borderId="49" fillId="7" fontId="62" numFmtId="1" xfId="0" applyAlignment="1" applyBorder="1" applyFont="1" applyNumberFormat="1">
      <alignment horizontal="center" vertical="center"/>
    </xf>
    <xf borderId="0" fillId="0" fontId="2" numFmtId="49" xfId="0" applyAlignment="1" applyFont="1" applyNumberFormat="1">
      <alignment horizontal="left" vertical="center"/>
    </xf>
    <xf borderId="0" fillId="0" fontId="2" numFmtId="0" xfId="0" applyAlignment="1" applyFont="1">
      <alignment vertical="center"/>
    </xf>
    <xf borderId="49" fillId="11" fontId="62" numFmtId="1" xfId="0" applyAlignment="1" applyBorder="1" applyFont="1" applyNumberFormat="1">
      <alignment horizontal="center" vertical="center"/>
    </xf>
    <xf borderId="0" fillId="0" fontId="1" numFmtId="0" xfId="0" applyFont="1"/>
    <xf borderId="49" fillId="12" fontId="62" numFmtId="1" xfId="0" applyAlignment="1" applyBorder="1" applyFont="1" applyNumberFormat="1">
      <alignment horizontal="center" vertical="center"/>
    </xf>
    <xf borderId="0" fillId="0" fontId="4" numFmtId="0" xfId="0" applyAlignment="1" applyFont="1">
      <alignment horizontal="left"/>
    </xf>
    <xf borderId="0" fillId="0" fontId="4" numFmtId="0" xfId="0" applyAlignment="1" applyFont="1">
      <alignment horizontal="center"/>
    </xf>
    <xf borderId="0" fillId="0" fontId="4" numFmtId="0" xfId="0" applyAlignment="1" applyFont="1">
      <alignment horizontal="left" vertical="center"/>
    </xf>
    <xf borderId="49" fillId="8" fontId="62" numFmtId="1" xfId="0" applyAlignment="1" applyBorder="1" applyFont="1" applyNumberFormat="1">
      <alignment horizontal="center" vertical="center"/>
    </xf>
    <xf borderId="49" fillId="16" fontId="62" numFmtId="1" xfId="0" applyAlignment="1" applyBorder="1" applyFont="1" applyNumberFormat="1">
      <alignment horizontal="center" vertical="center"/>
    </xf>
    <xf borderId="49" fillId="17" fontId="62" numFmtId="1" xfId="0" applyAlignment="1" applyBorder="1" applyFont="1" applyNumberFormat="1">
      <alignment horizontal="center" vertical="center"/>
    </xf>
    <xf borderId="93" fillId="0" fontId="28" numFmtId="0" xfId="0" applyAlignment="1" applyBorder="1" applyFont="1">
      <alignment horizontal="left" shrinkToFit="0" vertical="center" wrapText="1"/>
    </xf>
    <xf borderId="93" fillId="0" fontId="4" numFmtId="0" xfId="0" applyBorder="1" applyFont="1"/>
    <xf borderId="93" fillId="0" fontId="4" numFmtId="0" xfId="0" applyAlignment="1" applyBorder="1" applyFont="1">
      <alignment horizontal="left" vertical="center"/>
    </xf>
    <xf borderId="49" fillId="20" fontId="62" numFmtId="1" xfId="0" applyAlignment="1" applyBorder="1" applyFont="1" applyNumberFormat="1">
      <alignment horizontal="center" vertical="center"/>
    </xf>
    <xf borderId="93" fillId="0" fontId="63" numFmtId="0" xfId="0" applyAlignment="1" applyBorder="1" applyFont="1">
      <alignment horizontal="left" vertical="center"/>
    </xf>
    <xf borderId="0" fillId="0" fontId="28" numFmtId="0" xfId="0" applyAlignment="1" applyFont="1">
      <alignment horizontal="left" shrinkToFit="0" vertical="center" wrapText="1"/>
    </xf>
    <xf borderId="0" fillId="0" fontId="63" numFmtId="0" xfId="0" applyAlignment="1" applyFont="1">
      <alignment horizontal="left" vertical="center"/>
    </xf>
    <xf borderId="0" fillId="0" fontId="64" numFmtId="0" xfId="0" applyAlignment="1" applyFont="1">
      <alignment horizontal="center" shrinkToFit="0" vertical="center" wrapText="1"/>
    </xf>
    <xf borderId="49" fillId="23" fontId="62" numFmtId="1" xfId="0" applyAlignment="1" applyBorder="1" applyFont="1" applyNumberFormat="1">
      <alignment horizontal="center" shrinkToFit="0" vertical="center" wrapText="0"/>
    </xf>
    <xf borderId="0" fillId="0" fontId="4" numFmtId="0" xfId="0" applyAlignment="1" applyFont="1">
      <alignment horizontal="center" vertical="center"/>
    </xf>
    <xf borderId="49" fillId="23" fontId="62" numFmtId="1" xfId="0" applyAlignment="1" applyBorder="1" applyFont="1" applyNumberFormat="1">
      <alignment horizontal="center" vertical="center"/>
    </xf>
    <xf borderId="5" fillId="36" fontId="64" numFmtId="0" xfId="0" applyAlignment="1" applyBorder="1" applyFill="1" applyFont="1">
      <alignment horizontal="center" shrinkToFit="0" vertical="center" wrapText="1"/>
    </xf>
    <xf borderId="15" fillId="36" fontId="64" numFmtId="0" xfId="0" applyAlignment="1" applyBorder="1" applyFont="1">
      <alignment horizontal="center" shrinkToFit="0" vertical="center" wrapText="1"/>
    </xf>
    <xf borderId="94" fillId="0" fontId="8" numFmtId="0" xfId="0" applyBorder="1" applyFont="1"/>
    <xf borderId="33" fillId="0" fontId="8" numFmtId="0" xfId="0" applyBorder="1" applyFont="1"/>
    <xf borderId="95" fillId="22" fontId="59" numFmtId="49" xfId="0" applyAlignment="1" applyBorder="1" applyFont="1" applyNumberFormat="1">
      <alignment horizontal="center" vertical="center"/>
    </xf>
    <xf borderId="15" fillId="32" fontId="64" numFmtId="0" xfId="0" applyAlignment="1" applyBorder="1" applyFont="1">
      <alignment horizontal="left" readingOrder="0" vertical="center"/>
    </xf>
    <xf borderId="42" fillId="22" fontId="59" numFmtId="49" xfId="0" applyAlignment="1" applyBorder="1" applyFont="1" applyNumberFormat="1">
      <alignment horizontal="center" vertical="center"/>
    </xf>
    <xf borderId="5" fillId="0" fontId="65" numFmtId="0" xfId="0" applyAlignment="1" applyBorder="1" applyFont="1">
      <alignment horizontal="center" shrinkToFit="0" vertical="center" wrapText="1"/>
    </xf>
    <xf borderId="15" fillId="37" fontId="65" numFmtId="0" xfId="0" applyAlignment="1" applyBorder="1" applyFill="1" applyFont="1">
      <alignment horizontal="left" shrinkToFit="0" vertical="center" wrapText="1"/>
    </xf>
    <xf borderId="83" fillId="0" fontId="4" numFmtId="1" xfId="0" applyAlignment="1" applyBorder="1" applyFont="1" applyNumberFormat="1">
      <alignment horizontal="center" readingOrder="0"/>
    </xf>
    <xf borderId="15" fillId="0" fontId="65" numFmtId="1" xfId="0" applyAlignment="1" applyBorder="1" applyFont="1" applyNumberFormat="1">
      <alignment horizontal="center" shrinkToFit="0" vertical="center" wrapText="1"/>
    </xf>
    <xf borderId="94" fillId="0" fontId="65" numFmtId="1" xfId="0" applyAlignment="1" applyBorder="1" applyFont="1" applyNumberFormat="1">
      <alignment horizontal="center" shrinkToFit="0" vertical="center" wrapText="1"/>
    </xf>
    <xf borderId="96" fillId="22" fontId="59" numFmtId="1" xfId="0" applyAlignment="1" applyBorder="1" applyFont="1" applyNumberFormat="1">
      <alignment horizontal="center" vertical="center"/>
    </xf>
    <xf borderId="94" fillId="0" fontId="65" numFmtId="2" xfId="0" applyAlignment="1" applyBorder="1" applyFont="1" applyNumberFormat="1">
      <alignment horizontal="left" readingOrder="0" shrinkToFit="0" vertical="center" wrapText="1"/>
    </xf>
    <xf borderId="0" fillId="0" fontId="66" numFmtId="0" xfId="0" applyAlignment="1" applyFont="1">
      <alignment horizontal="center" shrinkToFit="0" wrapText="1"/>
    </xf>
    <xf borderId="56" fillId="22" fontId="57" numFmtId="49" xfId="0" applyAlignment="1" applyBorder="1" applyFont="1" applyNumberFormat="1">
      <alignment horizontal="center" vertical="center"/>
    </xf>
    <xf borderId="94" fillId="0" fontId="65" numFmtId="2" xfId="0" applyAlignment="1" applyBorder="1" applyFont="1" applyNumberFormat="1">
      <alignment shrinkToFit="0" vertical="center" wrapText="1"/>
    </xf>
    <xf borderId="0" fillId="0" fontId="67" numFmtId="0" xfId="0" applyAlignment="1" applyFont="1">
      <alignment shrinkToFit="0" wrapText="1"/>
    </xf>
    <xf borderId="91" fillId="0" fontId="59" numFmtId="49" xfId="0" applyAlignment="1" applyBorder="1" applyFont="1" applyNumberFormat="1">
      <alignment horizontal="center" vertical="center"/>
    </xf>
    <xf borderId="0" fillId="0" fontId="68" numFmtId="0" xfId="0" applyAlignment="1" applyFont="1">
      <alignment shrinkToFit="0" wrapText="1"/>
    </xf>
    <xf borderId="94" fillId="0" fontId="65" numFmtId="1" xfId="0" applyAlignment="1" applyBorder="1" applyFont="1" applyNumberFormat="1">
      <alignment horizontal="right" shrinkToFit="0" vertical="center" wrapText="1"/>
    </xf>
    <xf borderId="34" fillId="0" fontId="59" numFmtId="49" xfId="0" applyAlignment="1" applyBorder="1" applyFont="1" applyNumberFormat="1">
      <alignment horizontal="center" vertical="center"/>
    </xf>
    <xf borderId="0" fillId="0" fontId="69" numFmtId="0" xfId="0" applyAlignment="1" applyFont="1">
      <alignment horizontal="center" vertical="center"/>
    </xf>
    <xf borderId="34" fillId="0" fontId="59" numFmtId="49" xfId="0" applyAlignment="1" applyBorder="1" applyFont="1" applyNumberFormat="1">
      <alignment horizontal="left" vertical="center"/>
    </xf>
    <xf borderId="0" fillId="0" fontId="68" numFmtId="0" xfId="0" applyAlignment="1" applyFont="1">
      <alignment vertical="center"/>
    </xf>
    <xf borderId="36" fillId="0" fontId="59" numFmtId="49" xfId="0" applyAlignment="1" applyBorder="1" applyFont="1" applyNumberFormat="1">
      <alignment horizontal="center" vertical="center"/>
    </xf>
    <xf borderId="0" fillId="0" fontId="67" numFmtId="0" xfId="0" applyAlignment="1" applyFont="1">
      <alignment vertical="center"/>
    </xf>
    <xf borderId="0" fillId="0" fontId="70" numFmtId="0" xfId="0" applyAlignment="1" applyFont="1">
      <alignment horizontal="center"/>
    </xf>
    <xf borderId="0" fillId="0" fontId="4" numFmtId="0" xfId="0" applyAlignment="1" applyFont="1">
      <alignment readingOrder="0"/>
    </xf>
    <xf borderId="0" fillId="0" fontId="71" numFmtId="0" xfId="0" applyFont="1"/>
    <xf borderId="0" fillId="0" fontId="68" numFmtId="0" xfId="0" applyFont="1"/>
    <xf borderId="0" fillId="0" fontId="58" numFmtId="0" xfId="0" applyAlignment="1" applyFont="1">
      <alignment horizontal="center"/>
    </xf>
    <xf borderId="0" fillId="0" fontId="26" numFmtId="0" xfId="0" applyAlignment="1" applyFont="1">
      <alignment horizontal="center"/>
    </xf>
    <xf borderId="97" fillId="38" fontId="60" numFmtId="0" xfId="0" applyAlignment="1" applyBorder="1" applyFill="1" applyFont="1">
      <alignment horizontal="center" vertical="center"/>
    </xf>
    <xf borderId="97" fillId="38" fontId="60" numFmtId="0" xfId="0" applyAlignment="1" applyBorder="1" applyFont="1">
      <alignment horizontal="center" shrinkToFit="0" vertical="center" wrapText="1"/>
    </xf>
    <xf borderId="97" fillId="38" fontId="60" numFmtId="0" xfId="0" applyAlignment="1" applyBorder="1" applyFont="1">
      <alignment horizontal="center" readingOrder="0" shrinkToFit="0" vertical="center" wrapText="1"/>
    </xf>
    <xf borderId="97" fillId="19" fontId="60" numFmtId="0" xfId="0" applyAlignment="1" applyBorder="1" applyFont="1">
      <alignment horizontal="center" shrinkToFit="0" vertical="center" wrapText="1"/>
    </xf>
    <xf borderId="98" fillId="19" fontId="23" numFmtId="0" xfId="0" applyAlignment="1" applyBorder="1" applyFont="1">
      <alignment horizontal="center" shrinkToFit="0" vertical="center" wrapText="1"/>
    </xf>
    <xf borderId="99" fillId="0" fontId="8" numFmtId="0" xfId="0" applyBorder="1" applyFont="1"/>
    <xf borderId="0" fillId="0" fontId="26" numFmtId="0" xfId="0" applyFont="1"/>
    <xf borderId="100" fillId="0" fontId="4" numFmtId="0" xfId="0" applyAlignment="1" applyBorder="1" applyFont="1">
      <alignment horizontal="center"/>
    </xf>
    <xf borderId="100" fillId="0" fontId="4" numFmtId="0" xfId="0" applyBorder="1" applyFont="1"/>
    <xf borderId="100" fillId="0" fontId="26" numFmtId="0" xfId="0" applyBorder="1" applyFont="1"/>
    <xf borderId="8" fillId="0" fontId="72" numFmtId="0" xfId="0" applyAlignment="1" applyBorder="1" applyFont="1">
      <alignment horizontal="left" vertical="top"/>
    </xf>
    <xf borderId="101" fillId="0" fontId="4" numFmtId="0" xfId="0" applyAlignment="1" applyBorder="1" applyFont="1">
      <alignment horizontal="center"/>
    </xf>
    <xf borderId="101" fillId="0" fontId="4" numFmtId="0" xfId="0" applyBorder="1" applyFont="1"/>
    <xf borderId="101" fillId="0" fontId="26" numFmtId="0" xfId="0" applyBorder="1" applyFont="1"/>
    <xf borderId="100" fillId="0" fontId="8" numFmtId="0" xfId="0" applyBorder="1" applyFont="1"/>
    <xf borderId="94" fillId="0" fontId="65" numFmtId="2" xfId="0" applyAlignment="1" applyBorder="1" applyFont="1" applyNumberFormat="1">
      <alignment horizontal="left" shrinkToFit="0" vertical="center" wrapText="1"/>
    </xf>
    <xf borderId="95" fillId="0" fontId="59" numFmtId="49" xfId="0" applyAlignment="1" applyBorder="1" applyFont="1" applyNumberFormat="1">
      <alignment horizontal="center" vertical="center"/>
    </xf>
    <xf borderId="42" fillId="0" fontId="59" numFmtId="49" xfId="0" applyAlignment="1" applyBorder="1" applyFont="1" applyNumberFormat="1">
      <alignment horizontal="center" vertical="center"/>
    </xf>
    <xf borderId="96" fillId="0" fontId="59" numFmtId="1" xfId="0" applyAlignment="1" applyBorder="1" applyFont="1" applyNumberFormat="1">
      <alignment horizontal="center" vertical="center"/>
    </xf>
    <xf borderId="56" fillId="0" fontId="57" numFmtId="49" xfId="0" applyAlignment="1" applyBorder="1" applyFont="1" applyNumberFormat="1">
      <alignment horizontal="center" vertical="center"/>
    </xf>
    <xf borderId="15" fillId="37" fontId="65" numFmtId="0" xfId="0" applyAlignment="1" applyBorder="1" applyFont="1">
      <alignment horizontal="left" readingOrder="0" shrinkToFit="0" vertical="center" wrapText="1"/>
    </xf>
    <xf borderId="102" fillId="0" fontId="4" numFmtId="0" xfId="0" applyAlignment="1" applyBorder="1" applyFont="1">
      <alignment horizontal="center"/>
    </xf>
    <xf borderId="102" fillId="0" fontId="4" numFmtId="0" xfId="0" applyBorder="1" applyFont="1"/>
    <xf borderId="102" fillId="0" fontId="26" numFmtId="0" xfId="0" applyBorder="1" applyFont="1"/>
    <xf borderId="0" fillId="0" fontId="72" numFmtId="0" xfId="0" applyAlignment="1" applyFont="1">
      <alignment horizontal="center"/>
    </xf>
    <xf borderId="0" fillId="0" fontId="73" numFmtId="0" xfId="0" applyAlignment="1" applyFont="1">
      <alignment horizontal="left"/>
    </xf>
    <xf borderId="0" fillId="0" fontId="28" numFmtId="0" xfId="0" applyFont="1"/>
    <xf borderId="0" fillId="0" fontId="73" numFmtId="49" xfId="0" applyAlignment="1" applyFont="1" applyNumberFormat="1">
      <alignment horizontal="left" vertical="center"/>
    </xf>
    <xf borderId="0" fillId="0" fontId="1" numFmtId="0" xfId="0" applyAlignment="1" applyFont="1">
      <alignment horizontal="left"/>
    </xf>
    <xf borderId="0" fillId="0" fontId="74" numFmtId="49" xfId="0" applyAlignment="1" applyFont="1" applyNumberFormat="1">
      <alignment horizontal="left" vertical="center"/>
    </xf>
    <xf borderId="0" fillId="0" fontId="75" numFmtId="49" xfId="0" applyAlignment="1" applyFont="1" applyNumberFormat="1">
      <alignment horizontal="left"/>
    </xf>
    <xf borderId="0" fillId="0" fontId="76" numFmtId="0" xfId="0" applyFont="1"/>
    <xf borderId="94" fillId="0" fontId="65" numFmtId="2" xfId="0" applyAlignment="1" applyBorder="1" applyFont="1" applyNumberFormat="1">
      <alignment horizontal="center" shrinkToFit="0" vertical="center" wrapText="1"/>
    </xf>
    <xf borderId="0" fillId="0" fontId="77" numFmtId="0" xfId="0" applyAlignment="1" applyFont="1">
      <alignment horizontal="left" vertical="center"/>
    </xf>
    <xf borderId="0" fillId="0" fontId="78" numFmtId="0" xfId="0" applyFont="1"/>
    <xf borderId="0" fillId="0" fontId="79" numFmtId="0" xfId="0" applyAlignment="1" applyFont="1">
      <alignment horizontal="center"/>
    </xf>
    <xf borderId="5" fillId="0" fontId="65" numFmtId="0" xfId="0" applyAlignment="1" applyBorder="1" applyFont="1">
      <alignment horizontal="center" readingOrder="0" shrinkToFit="0" vertical="center" wrapText="1"/>
    </xf>
    <xf borderId="0" fillId="0" fontId="1" numFmtId="0" xfId="0" applyAlignment="1" applyFont="1">
      <alignment horizontal="center"/>
    </xf>
    <xf borderId="15" fillId="36" fontId="23" numFmtId="0" xfId="0" applyAlignment="1" applyBorder="1" applyFont="1">
      <alignment horizontal="center" readingOrder="0" shrinkToFit="0" vertical="center" wrapText="1"/>
    </xf>
    <xf borderId="15" fillId="0" fontId="58" numFmtId="0" xfId="0" applyAlignment="1" applyBorder="1" applyFont="1">
      <alignment horizontal="left" readingOrder="0" shrinkToFit="0" vertical="center" wrapText="1"/>
    </xf>
    <xf borderId="15" fillId="0" fontId="58" numFmtId="0" xfId="0" applyAlignment="1" applyBorder="1" applyFont="1">
      <alignment horizontal="center" shrinkToFit="0" vertical="center" wrapText="1"/>
    </xf>
    <xf borderId="3" fillId="0" fontId="58" numFmtId="49" xfId="0" applyAlignment="1" applyBorder="1" applyFont="1" applyNumberFormat="1">
      <alignment horizontal="center" shrinkToFit="0" vertical="center" wrapText="1"/>
    </xf>
    <xf borderId="103" fillId="0" fontId="8" numFmtId="0" xfId="0" applyBorder="1" applyFont="1"/>
    <xf borderId="60" fillId="0" fontId="8" numFmtId="0" xfId="0" applyBorder="1" applyFont="1"/>
    <xf borderId="104" fillId="0" fontId="8" numFmtId="0" xfId="0" applyBorder="1" applyFont="1"/>
    <xf borderId="93" fillId="0" fontId="8" numFmtId="0" xfId="0" applyBorder="1" applyFont="1"/>
    <xf borderId="0" fillId="0" fontId="28" numFmtId="0" xfId="0" applyAlignment="1" applyFont="1">
      <alignment horizontal="center" shrinkToFit="0" vertical="center" wrapText="1"/>
    </xf>
    <xf borderId="0" fillId="0" fontId="28" numFmtId="0" xfId="0" applyAlignment="1" applyFont="1">
      <alignment horizontal="right" vertical="center"/>
    </xf>
    <xf borderId="0" fillId="0" fontId="28" numFmtId="0" xfId="0" applyAlignment="1" applyFont="1">
      <alignment vertical="center"/>
    </xf>
    <xf borderId="0" fillId="0" fontId="28" numFmtId="0" xfId="0" applyAlignment="1" applyFont="1">
      <alignment horizontal="center" vertical="center"/>
    </xf>
    <xf borderId="0" fillId="0" fontId="0" numFmtId="0" xfId="0" applyFont="1"/>
    <xf borderId="0" fillId="0" fontId="4" numFmtId="0" xfId="0" applyAlignment="1" applyFont="1">
      <alignment shrinkToFit="0" vertical="center" wrapText="1"/>
    </xf>
    <xf borderId="0" fillId="0" fontId="80" numFmtId="49" xfId="0" applyFont="1" applyNumberFormat="1"/>
    <xf borderId="0" fillId="0" fontId="81" numFmtId="0" xfId="0" applyFont="1"/>
    <xf borderId="0" fillId="0" fontId="4" numFmtId="49" xfId="0" applyFont="1" applyNumberFormat="1"/>
    <xf borderId="92" fillId="37" fontId="81" numFmtId="0" xfId="0" applyBorder="1" applyFont="1"/>
    <xf borderId="0" fillId="0" fontId="82" numFmtId="0" xfId="0" applyAlignment="1" applyFont="1">
      <alignment horizontal="center"/>
    </xf>
    <xf borderId="0" fillId="0" fontId="83" numFmtId="0" xfId="0" applyAlignment="1" applyFont="1">
      <alignment horizontal="center" shrinkToFit="0" vertical="center" wrapText="1"/>
    </xf>
    <xf borderId="92" fillId="19" fontId="55" numFmtId="0" xfId="0" applyAlignment="1" applyBorder="1" applyFont="1">
      <alignment horizontal="center" vertical="center"/>
    </xf>
    <xf borderId="0" fillId="0" fontId="84" numFmtId="0" xfId="0" applyAlignment="1" applyFont="1">
      <alignment horizontal="center"/>
    </xf>
    <xf borderId="0" fillId="0" fontId="72" numFmtId="0" xfId="0" applyAlignment="1" applyFont="1">
      <alignment horizontal="center" vertical="center"/>
    </xf>
    <xf borderId="0" fillId="0" fontId="28" numFmtId="0" xfId="0" applyAlignment="1" applyFont="1">
      <alignment shrinkToFit="0" vertical="center" wrapText="1"/>
    </xf>
    <xf borderId="0" fillId="0" fontId="64" numFmtId="0" xfId="0" applyAlignment="1" applyFont="1">
      <alignment horizontal="left" vertical="center"/>
    </xf>
    <xf borderId="0" fillId="0" fontId="28" numFmtId="0" xfId="0" applyAlignment="1" applyFont="1">
      <alignment horizontal="left" vertical="center"/>
    </xf>
    <xf borderId="0" fillId="0" fontId="83" numFmtId="0" xfId="0" applyAlignment="1" applyFont="1">
      <alignment horizontal="center" readingOrder="0" shrinkToFit="0" vertical="center" wrapText="1"/>
    </xf>
    <xf borderId="0" fillId="0" fontId="64" numFmtId="0" xfId="0" applyAlignment="1" applyFont="1">
      <alignment horizontal="left" shrinkToFit="0" vertical="center" wrapText="1"/>
    </xf>
    <xf borderId="0" fillId="0" fontId="64" numFmtId="0" xfId="0" applyAlignment="1" applyFont="1">
      <alignment horizontal="center" vertical="center"/>
    </xf>
    <xf borderId="0" fillId="0" fontId="85" numFmtId="0" xfId="0" applyFont="1"/>
    <xf borderId="0" fillId="0" fontId="64" numFmtId="0" xfId="0" applyFont="1"/>
    <xf borderId="0" fillId="0" fontId="58" numFmtId="0" xfId="0" applyAlignment="1" applyFont="1">
      <alignment readingOrder="0" shrinkToFit="0" vertical="center" wrapText="1"/>
    </xf>
    <xf borderId="0" fillId="0" fontId="28" numFmtId="0" xfId="0" applyAlignment="1" applyFont="1">
      <alignment horizontal="center"/>
    </xf>
    <xf borderId="15" fillId="39" fontId="64" numFmtId="0" xfId="0" applyAlignment="1" applyBorder="1" applyFill="1" applyFont="1">
      <alignment horizontal="left" shrinkToFit="0" vertical="center" wrapText="1"/>
    </xf>
    <xf borderId="0" fillId="0" fontId="86" numFmtId="0" xfId="0" applyAlignment="1" applyFont="1">
      <alignment readingOrder="0" vertical="center"/>
    </xf>
    <xf borderId="0" fillId="0" fontId="27" numFmtId="0" xfId="0" applyFont="1"/>
    <xf borderId="0" fillId="0" fontId="27" numFmtId="0" xfId="0" applyFont="1"/>
    <xf borderId="15" fillId="39" fontId="64" numFmtId="0" xfId="0" applyAlignment="1" applyBorder="1" applyFont="1">
      <alignment horizontal="center" shrinkToFit="0" vertical="center" wrapText="1"/>
    </xf>
    <xf borderId="0" fillId="0" fontId="58" numFmtId="0" xfId="0" applyAlignment="1" applyFont="1">
      <alignment shrinkToFit="0" vertical="center" wrapText="1"/>
    </xf>
    <xf borderId="15" fillId="0" fontId="64" numFmtId="0" xfId="0" applyAlignment="1" applyBorder="1" applyFont="1">
      <alignment horizontal="left" shrinkToFit="0" vertical="center" wrapText="1"/>
    </xf>
    <xf borderId="3" fillId="0" fontId="28" numFmtId="0" xfId="0" applyAlignment="1" applyBorder="1" applyFont="1">
      <alignment horizontal="center" vertical="center"/>
    </xf>
    <xf borderId="4" fillId="0" fontId="28" numFmtId="0" xfId="0" applyAlignment="1" applyBorder="1" applyFont="1">
      <alignment horizontal="left" shrinkToFit="0" vertical="center" wrapText="1"/>
    </xf>
    <xf borderId="5" fillId="0" fontId="28" numFmtId="0" xfId="0" applyAlignment="1" applyBorder="1" applyFont="1">
      <alignment horizontal="center" shrinkToFit="0" vertical="center" wrapText="1"/>
    </xf>
    <xf borderId="15" fillId="0" fontId="28" numFmtId="0" xfId="0" applyAlignment="1" applyBorder="1" applyFont="1">
      <alignment horizontal="left" shrinkToFit="0" vertical="center" wrapText="1"/>
    </xf>
    <xf borderId="15" fillId="30" fontId="64" numFmtId="0" xfId="0" applyAlignment="1" applyBorder="1" applyFont="1">
      <alignment horizontal="left" shrinkToFit="0" vertical="center" wrapText="1"/>
    </xf>
    <xf borderId="105" fillId="30" fontId="28" numFmtId="0" xfId="0" applyAlignment="1" applyBorder="1" applyFont="1">
      <alignment horizontal="center" vertical="center"/>
    </xf>
    <xf borderId="106" fillId="30" fontId="28" numFmtId="0" xfId="0" applyAlignment="1" applyBorder="1" applyFont="1">
      <alignment horizontal="left" shrinkToFit="0" vertical="center" wrapText="1"/>
    </xf>
    <xf borderId="107" fillId="0" fontId="8" numFmtId="0" xfId="0" applyBorder="1" applyFont="1"/>
    <xf borderId="1" fillId="30" fontId="28" numFmtId="0" xfId="0" applyAlignment="1" applyBorder="1" applyFont="1">
      <alignment horizontal="center" shrinkToFit="0" vertical="center" wrapText="1"/>
    </xf>
    <xf borderId="3" fillId="30" fontId="28" numFmtId="0" xfId="0" applyAlignment="1" applyBorder="1" applyFont="1">
      <alignment horizontal="left" shrinkToFit="0" vertical="center" wrapText="1"/>
    </xf>
    <xf borderId="0" fillId="0" fontId="58" numFmtId="0" xfId="0" applyAlignment="1" applyFont="1">
      <alignment horizontal="left" readingOrder="0" shrinkToFit="0" vertical="center" wrapText="1"/>
    </xf>
    <xf borderId="108" fillId="30" fontId="28" numFmtId="0" xfId="0" applyAlignment="1" applyBorder="1" applyFont="1">
      <alignment horizontal="center" vertical="center"/>
    </xf>
    <xf borderId="109" fillId="30" fontId="28" numFmtId="0" xfId="0" applyAlignment="1" applyBorder="1" applyFont="1">
      <alignment horizontal="left" shrinkToFit="0" vertical="center" wrapText="1"/>
    </xf>
    <xf borderId="110" fillId="0" fontId="8" numFmtId="0" xfId="0" applyBorder="1" applyFont="1"/>
    <xf borderId="51" fillId="30" fontId="28" numFmtId="0" xfId="0" applyAlignment="1" applyBorder="1" applyFont="1">
      <alignment horizontal="center" vertical="center"/>
    </xf>
    <xf borderId="111" fillId="30" fontId="28" numFmtId="0" xfId="0" applyAlignment="1" applyBorder="1" applyFont="1">
      <alignment horizontal="left" shrinkToFit="0" vertical="center" wrapText="1"/>
    </xf>
    <xf borderId="5" fillId="30" fontId="28" numFmtId="0" xfId="0" applyAlignment="1" applyBorder="1" applyFont="1">
      <alignment horizontal="center" shrinkToFit="0" vertical="center" wrapText="1"/>
    </xf>
    <xf borderId="15" fillId="30" fontId="28" numFmtId="0" xfId="0" applyAlignment="1" applyBorder="1" applyFont="1">
      <alignment horizontal="left" shrinkToFit="0" vertical="center" wrapText="1"/>
    </xf>
    <xf borderId="0" fillId="0" fontId="87" numFmtId="0" xfId="0" applyAlignment="1" applyFont="1">
      <alignment horizontal="center"/>
    </xf>
    <xf borderId="0" fillId="0" fontId="88" numFmtId="0" xfId="0" applyFont="1"/>
    <xf borderId="0" fillId="0" fontId="87" numFmtId="0" xfId="0" applyFont="1"/>
    <xf borderId="0" fillId="0" fontId="89" numFmtId="0" xfId="0" applyAlignment="1" applyFont="1">
      <alignment horizontal="left" readingOrder="0" shrinkToFit="0" vertical="center" wrapText="1"/>
    </xf>
    <xf borderId="0" fillId="0" fontId="38" numFmtId="0" xfId="0" applyFont="1"/>
    <xf borderId="0" fillId="0" fontId="90" numFmtId="0" xfId="0" applyAlignment="1" applyFont="1">
      <alignment horizontal="center" shrinkToFit="0" vertical="center" wrapText="1"/>
    </xf>
    <xf borderId="0" fillId="0" fontId="38" numFmtId="0" xfId="0" applyFont="1"/>
    <xf borderId="1" fillId="36" fontId="89" numFmtId="0" xfId="0" applyAlignment="1" applyBorder="1" applyFont="1">
      <alignment horizontal="center" shrinkToFit="0" vertical="center" wrapText="1"/>
    </xf>
    <xf borderId="3" fillId="36" fontId="89" numFmtId="0" xfId="0" applyAlignment="1" applyBorder="1" applyFont="1">
      <alignment horizontal="center" shrinkToFit="0" vertical="center" wrapText="1"/>
    </xf>
    <xf borderId="3" fillId="36" fontId="89" numFmtId="0" xfId="0" applyAlignment="1" applyBorder="1" applyFont="1">
      <alignment horizontal="center" readingOrder="0" shrinkToFit="0" vertical="center" wrapText="1"/>
    </xf>
    <xf borderId="0" fillId="0" fontId="91" numFmtId="0" xfId="0" applyAlignment="1" applyFont="1">
      <alignment shrinkToFit="0" vertical="center" wrapText="1"/>
    </xf>
    <xf borderId="0" fillId="0" fontId="0" numFmtId="0" xfId="0" applyFont="1"/>
    <xf borderId="0" fillId="0" fontId="81" numFmtId="0" xfId="0" applyAlignment="1" applyFont="1">
      <alignment horizontal="center"/>
    </xf>
    <xf borderId="0" fillId="0" fontId="81" numFmtId="0" xfId="0" applyAlignment="1" applyFont="1">
      <alignment horizontal="left"/>
    </xf>
    <xf borderId="5" fillId="0" fontId="58" numFmtId="0" xfId="0" applyAlignment="1" applyBorder="1" applyFont="1">
      <alignment horizontal="center" shrinkToFit="0" vertical="center" wrapText="1"/>
    </xf>
    <xf borderId="0" fillId="0" fontId="63" numFmtId="0" xfId="0" applyFont="1"/>
    <xf borderId="15" fillId="0" fontId="2" numFmtId="0" xfId="0" applyAlignment="1" applyBorder="1" applyFont="1">
      <alignment horizontal="left" shrinkToFit="0" vertical="center" wrapText="1"/>
    </xf>
    <xf borderId="15" fillId="0" fontId="2" numFmtId="1" xfId="0" applyAlignment="1" applyBorder="1" applyFont="1" applyNumberFormat="1">
      <alignment horizontal="center" shrinkToFit="0" vertical="center" wrapText="1"/>
    </xf>
    <xf borderId="15" fillId="0" fontId="73" numFmtId="0" xfId="0" applyAlignment="1" applyBorder="1" applyFont="1">
      <alignment horizontal="left" shrinkToFit="0" vertical="center" wrapText="1"/>
    </xf>
    <xf borderId="0" fillId="0" fontId="2" numFmtId="0" xfId="0" applyAlignment="1" applyFont="1">
      <alignment horizontal="left" shrinkToFit="0" vertical="center" wrapText="1"/>
    </xf>
    <xf borderId="15" fillId="0" fontId="58" numFmtId="0" xfId="0" applyAlignment="1" applyBorder="1" applyFont="1">
      <alignment horizontal="left" shrinkToFit="0" vertical="center" wrapText="1"/>
    </xf>
    <xf borderId="15" fillId="0" fontId="58" numFmtId="1" xfId="0" applyAlignment="1" applyBorder="1" applyFont="1" applyNumberFormat="1">
      <alignment horizontal="center" shrinkToFit="0" vertical="center" wrapText="1"/>
    </xf>
    <xf borderId="15" fillId="0" fontId="65" numFmtId="0" xfId="0" applyAlignment="1" applyBorder="1" applyFont="1">
      <alignment horizontal="left" shrinkToFit="0" vertical="center" wrapText="1"/>
    </xf>
    <xf borderId="0" fillId="0" fontId="4" numFmtId="0" xfId="0" applyAlignment="1" applyFont="1">
      <alignment horizontal="left" shrinkToFit="0" vertical="center" wrapText="1"/>
    </xf>
    <xf borderId="15" fillId="0" fontId="58" numFmtId="1" xfId="0" applyAlignment="1" applyBorder="1" applyFont="1" applyNumberFormat="1">
      <alignment horizontal="center" shrinkToFit="0" vertical="center" wrapText="1"/>
    </xf>
    <xf borderId="104" fillId="0" fontId="58" numFmtId="1" xfId="0" applyAlignment="1" applyBorder="1" applyFont="1" applyNumberFormat="1">
      <alignment horizontal="center" shrinkToFit="0" vertical="center" wrapText="1"/>
    </xf>
    <xf borderId="104" fillId="0" fontId="65" numFmtId="0" xfId="0" applyAlignment="1" applyBorder="1" applyFont="1">
      <alignment horizontal="left" shrinkToFit="0" vertical="center" wrapText="1"/>
    </xf>
    <xf borderId="0" fillId="0" fontId="2" numFmtId="0" xfId="0" applyAlignment="1" applyFont="1">
      <alignment readingOrder="0"/>
    </xf>
    <xf borderId="104" fillId="0" fontId="58" numFmtId="0" xfId="0" applyAlignment="1" applyBorder="1" applyFont="1">
      <alignment horizontal="left" shrinkToFit="0" vertical="center" wrapText="1"/>
    </xf>
    <xf borderId="5" fillId="0" fontId="58" numFmtId="0" xfId="0" applyAlignment="1" applyBorder="1" applyFont="1">
      <alignment horizontal="center" readingOrder="0" shrinkToFit="0" vertical="center" wrapText="1"/>
    </xf>
    <xf borderId="1" fillId="40" fontId="60" numFmtId="0" xfId="0" applyAlignment="1" applyBorder="1" applyFill="1" applyFont="1">
      <alignment horizontal="center" vertical="center"/>
    </xf>
    <xf borderId="1" fillId="40" fontId="60" numFmtId="0" xfId="0" applyAlignment="1" applyBorder="1" applyFont="1">
      <alignment horizontal="center" shrinkToFit="0" vertical="center" wrapText="1"/>
    </xf>
    <xf borderId="15" fillId="3" fontId="60" numFmtId="0" xfId="0" applyAlignment="1" applyBorder="1" applyFont="1">
      <alignment horizontal="center" vertical="center"/>
    </xf>
    <xf borderId="5" fillId="3" fontId="60" numFmtId="0" xfId="0" applyAlignment="1" applyBorder="1" applyFont="1">
      <alignment horizontal="center" shrinkToFit="0" vertical="center" wrapText="1"/>
    </xf>
    <xf borderId="5" fillId="19" fontId="60" numFmtId="0" xfId="0" applyAlignment="1" applyBorder="1" applyFont="1">
      <alignment horizontal="center" vertical="center"/>
    </xf>
    <xf borderId="5" fillId="21" fontId="60" numFmtId="0" xfId="0" applyAlignment="1" applyBorder="1" applyFont="1">
      <alignment horizontal="center" vertical="center"/>
    </xf>
    <xf borderId="5" fillId="0" fontId="4" numFmtId="49" xfId="0" applyBorder="1" applyFont="1" applyNumberFormat="1"/>
    <xf borderId="5" fillId="0" fontId="2" numFmtId="0" xfId="0" applyAlignment="1" applyBorder="1" applyFont="1">
      <alignment horizontal="center"/>
    </xf>
    <xf borderId="5" fillId="41" fontId="2" numFmtId="0" xfId="0" applyAlignment="1" applyBorder="1" applyFill="1" applyFont="1">
      <alignment horizontal="center"/>
    </xf>
    <xf borderId="5" fillId="41" fontId="2" numFmtId="0" xfId="0" applyBorder="1" applyFont="1"/>
    <xf borderId="5" fillId="0" fontId="26" numFmtId="0" xfId="0" applyAlignment="1" applyBorder="1" applyFont="1">
      <alignment horizontal="center"/>
    </xf>
    <xf borderId="5" fillId="19" fontId="26" numFmtId="0" xfId="0" applyAlignment="1" applyBorder="1" applyFont="1">
      <alignment horizontal="center"/>
    </xf>
    <xf borderId="5" fillId="19" fontId="26" numFmtId="0" xfId="0" applyBorder="1" applyFont="1"/>
    <xf borderId="51" fillId="21" fontId="26" numFmtId="0" xfId="0" applyBorder="1" applyFont="1"/>
    <xf borderId="5" fillId="0" fontId="4" numFmtId="0" xfId="0" applyBorder="1" applyFont="1"/>
    <xf borderId="0" fillId="0" fontId="28" numFmtId="1" xfId="0" applyAlignment="1" applyFont="1" applyNumberFormat="1">
      <alignment horizontal="center" shrinkToFit="0" vertical="center" wrapText="1"/>
    </xf>
    <xf borderId="0" fillId="0" fontId="92" numFmtId="0" xfId="0" applyAlignment="1" applyFont="1">
      <alignment readingOrder="0"/>
    </xf>
    <xf borderId="0" fillId="0" fontId="90" numFmtId="0" xfId="0" applyAlignment="1" applyFont="1">
      <alignment shrinkToFit="0" vertical="center" wrapText="1"/>
    </xf>
    <xf borderId="0" fillId="0" fontId="90" numFmtId="1" xfId="0" applyAlignment="1" applyFont="1" applyNumberFormat="1">
      <alignment horizontal="center" shrinkToFit="0" vertical="center" wrapText="1"/>
    </xf>
    <xf borderId="15" fillId="0" fontId="58" numFmtId="49" xfId="0" applyAlignment="1" applyBorder="1" applyFont="1" applyNumberFormat="1">
      <alignment horizontal="left" shrinkToFit="0" vertical="top" wrapText="1"/>
    </xf>
    <xf borderId="0" fillId="0" fontId="93" numFmtId="0" xfId="0" applyAlignment="1" applyFont="1">
      <alignment readingOrder="0"/>
    </xf>
    <xf borderId="5" fillId="36" fontId="89" numFmtId="0" xfId="0" applyAlignment="1" applyBorder="1" applyFont="1">
      <alignment horizontal="center" shrinkToFit="0" vertical="center" wrapText="1"/>
    </xf>
    <xf borderId="15" fillId="36" fontId="89" numFmtId="0" xfId="0" applyAlignment="1" applyBorder="1" applyFont="1">
      <alignment horizontal="center" readingOrder="0" shrinkToFit="0" vertical="center" wrapText="1"/>
    </xf>
    <xf borderId="15" fillId="36" fontId="89" numFmtId="0" xfId="0" applyAlignment="1" applyBorder="1" applyFont="1">
      <alignment horizontal="center" shrinkToFit="0" vertical="center" wrapText="1"/>
    </xf>
    <xf borderId="0" fillId="0" fontId="89" numFmtId="0" xfId="0" applyAlignment="1" applyFont="1">
      <alignment horizontal="center" shrinkToFit="0" vertical="center" wrapText="1"/>
    </xf>
    <xf borderId="15" fillId="0" fontId="58" numFmtId="49" xfId="0" applyAlignment="1" applyBorder="1" applyFont="1" applyNumberFormat="1">
      <alignment shrinkToFit="0" vertical="center" wrapText="1"/>
    </xf>
    <xf borderId="0" fillId="0" fontId="2" numFmtId="0" xfId="0" applyAlignment="1" applyFont="1">
      <alignment horizontal="center" shrinkToFit="0" vertical="center" wrapText="1"/>
    </xf>
    <xf borderId="112" fillId="37" fontId="63" numFmtId="0" xfId="0" applyAlignment="1" applyBorder="1" applyFont="1">
      <alignment horizontal="left" vertical="center"/>
    </xf>
    <xf borderId="113" fillId="0" fontId="8" numFmtId="0" xfId="0" applyBorder="1" applyFont="1"/>
    <xf borderId="42" fillId="0" fontId="20" numFmtId="49" xfId="0" applyAlignment="1" applyBorder="1" applyFont="1" applyNumberFormat="1">
      <alignment horizontal="left" readingOrder="0" vertical="center"/>
    </xf>
    <xf borderId="0" fillId="37" fontId="55" numFmtId="0" xfId="0" applyAlignment="1" applyFont="1">
      <alignment horizontal="left" vertical="center"/>
    </xf>
    <xf borderId="0" fillId="0" fontId="55" numFmtId="0" xfId="0" applyAlignment="1" applyFont="1">
      <alignment horizontal="left" vertical="center"/>
    </xf>
    <xf borderId="0" fillId="0" fontId="87" numFmtId="0" xfId="0" applyAlignment="1" applyFont="1">
      <alignment horizontal="left" vertical="center"/>
    </xf>
    <xf borderId="0" fillId="37" fontId="63" numFmtId="0" xfId="0" applyAlignment="1" applyFont="1">
      <alignment horizontal="left" vertical="center"/>
    </xf>
    <xf borderId="94" fillId="0" fontId="58" numFmtId="0" xfId="0" applyAlignment="1" applyBorder="1" applyFont="1">
      <alignment horizontal="center" vertical="center"/>
    </xf>
    <xf borderId="3" fillId="0" fontId="58" numFmtId="49" xfId="0" applyAlignment="1" applyBorder="1" applyFont="1" applyNumberFormat="1">
      <alignment horizontal="left" shrinkToFit="0" vertical="center" wrapText="1"/>
    </xf>
    <xf borderId="0" fillId="0" fontId="24" numFmtId="0" xfId="0" applyAlignment="1" applyFont="1">
      <alignment horizontal="left" shrinkToFit="0" vertical="center" wrapText="1"/>
    </xf>
    <xf borderId="0" fillId="0" fontId="24" numFmtId="49" xfId="0" applyAlignment="1" applyFont="1" applyNumberFormat="1">
      <alignment horizontal="left" shrinkToFit="0" vertical="center" wrapText="1"/>
    </xf>
    <xf borderId="0" fillId="0" fontId="92" numFmtId="0" xfId="0" applyFont="1"/>
    <xf borderId="0" fillId="0" fontId="94" numFmtId="0" xfId="0" applyAlignment="1" applyFont="1">
      <alignment horizontal="left" shrinkToFit="0" vertical="center" wrapText="1"/>
    </xf>
    <xf borderId="0" fillId="0" fontId="95" numFmtId="0" xfId="0" applyAlignment="1" applyFont="1">
      <alignment horizontal="left" shrinkToFit="0" vertical="center" wrapText="1"/>
    </xf>
    <xf borderId="0" fillId="0" fontId="96" numFmtId="0" xfId="0" applyAlignment="1" applyFont="1">
      <alignment horizontal="center" vertical="center"/>
    </xf>
    <xf borderId="0" fillId="0" fontId="96" numFmtId="0" xfId="0" applyAlignment="1" applyFont="1">
      <alignment horizontal="right" vertical="center"/>
    </xf>
    <xf borderId="0" fillId="0" fontId="96" numFmtId="0" xfId="0" applyAlignment="1" applyFont="1">
      <alignment horizontal="center"/>
    </xf>
    <xf borderId="0" fillId="0" fontId="96" numFmtId="0" xfId="0" applyFont="1"/>
    <xf borderId="0" fillId="0" fontId="96" numFmtId="0" xfId="0" applyAlignment="1" applyFont="1">
      <alignment horizontal="left" shrinkToFit="0" vertical="center" wrapText="1"/>
    </xf>
    <xf borderId="0" fillId="0" fontId="58" numFmtId="0" xfId="0" applyAlignment="1" applyFont="1">
      <alignment horizontal="left" vertical="center"/>
    </xf>
    <xf borderId="0" fillId="0" fontId="58" numFmtId="0" xfId="0" applyAlignment="1" applyFont="1">
      <alignment horizontal="center" vertical="center"/>
    </xf>
    <xf borderId="0" fillId="0" fontId="58" numFmtId="0" xfId="0" applyAlignment="1" applyFont="1">
      <alignment horizontal="right" vertical="center"/>
    </xf>
    <xf borderId="0" fillId="0" fontId="2" numFmtId="0" xfId="0" applyAlignment="1" applyFont="1">
      <alignment shrinkToFit="0" vertical="center" wrapText="1"/>
    </xf>
    <xf borderId="0" fillId="0" fontId="97" numFmtId="0" xfId="0" applyFont="1"/>
    <xf borderId="0" fillId="0" fontId="98" numFmtId="49" xfId="0" applyFont="1" applyNumberFormat="1"/>
    <xf borderId="0" fillId="0" fontId="2" numFmtId="49" xfId="0" applyFont="1" applyNumberFormat="1"/>
    <xf borderId="0" fillId="37" fontId="85" numFmtId="0" xfId="0" applyFont="1"/>
    <xf borderId="109" fillId="37" fontId="85" numFmtId="0" xfId="0" applyBorder="1" applyFont="1"/>
    <xf borderId="114" fillId="0" fontId="8" numFmtId="0" xfId="0" applyBorder="1" applyFont="1"/>
    <xf borderId="115" fillId="0" fontId="8" numFmtId="0" xfId="0" applyBorder="1" applyFont="1"/>
    <xf borderId="0" fillId="0" fontId="99" numFmtId="0" xfId="0" applyAlignment="1" applyFont="1">
      <alignment horizontal="center"/>
    </xf>
    <xf borderId="0" fillId="0" fontId="60" numFmtId="0" xfId="0" applyFont="1"/>
    <xf borderId="0" fillId="0" fontId="2" numFmtId="0" xfId="0" applyAlignment="1" applyFont="1">
      <alignment horizontal="left"/>
    </xf>
    <xf borderId="37" fillId="0" fontId="20" numFmtId="0" xfId="0" applyAlignment="1" applyBorder="1" applyFont="1">
      <alignment horizontal="center" vertical="center"/>
    </xf>
    <xf borderId="42" fillId="0" fontId="20" numFmtId="0" xfId="0" applyAlignment="1" applyBorder="1" applyFont="1">
      <alignment horizontal="center" vertical="center"/>
    </xf>
    <xf borderId="0" fillId="0" fontId="23" numFmtId="0" xfId="0" applyAlignment="1" applyFont="1">
      <alignment horizontal="left" vertical="center"/>
    </xf>
    <xf borderId="37" fillId="22" fontId="20" numFmtId="0" xfId="0" applyAlignment="1" applyBorder="1" applyFont="1">
      <alignment horizontal="center" vertical="center"/>
    </xf>
    <xf borderId="42" fillId="22" fontId="20" numFmtId="0" xfId="0" applyAlignment="1" applyBorder="1" applyFont="1">
      <alignment horizontal="center" vertical="center"/>
    </xf>
    <xf borderId="0" fillId="0" fontId="58" numFmtId="0" xfId="0" applyAlignment="1" applyFont="1">
      <alignment horizontal="left" shrinkToFit="0" vertical="top" wrapText="1"/>
    </xf>
    <xf borderId="0" fillId="0" fontId="23" numFmtId="0" xfId="0" applyAlignment="1" applyFont="1">
      <alignment horizontal="left" shrinkToFit="0" vertical="center" wrapText="1"/>
    </xf>
    <xf borderId="0" fillId="0" fontId="23" numFmtId="0" xfId="0" applyAlignment="1" applyFont="1">
      <alignment horizontal="center" vertical="center"/>
    </xf>
    <xf borderId="0" fillId="0" fontId="58" numFmtId="0" xfId="0" applyFont="1"/>
    <xf borderId="0" fillId="0" fontId="23" numFmtId="0" xfId="0" applyFont="1"/>
    <xf borderId="0" fillId="0" fontId="58" numFmtId="0" xfId="0" applyAlignment="1" applyFont="1">
      <alignment vertical="center"/>
    </xf>
    <xf borderId="15" fillId="39" fontId="23" numFmtId="0" xfId="0" applyAlignment="1" applyBorder="1" applyFont="1">
      <alignment horizontal="left" shrinkToFit="0" vertical="center" wrapText="1"/>
    </xf>
    <xf borderId="15" fillId="39" fontId="23" numFmtId="0" xfId="0" applyAlignment="1" applyBorder="1" applyFont="1">
      <alignment horizontal="center" shrinkToFit="0" vertical="center" wrapText="1"/>
    </xf>
    <xf borderId="15" fillId="0" fontId="23" numFmtId="0" xfId="0" applyAlignment="1" applyBorder="1" applyFont="1">
      <alignment horizontal="left" shrinkToFit="0" vertical="center" wrapText="1"/>
    </xf>
    <xf borderId="3" fillId="0" fontId="58" numFmtId="0" xfId="0" applyAlignment="1" applyBorder="1" applyFont="1">
      <alignment horizontal="center" vertical="center"/>
    </xf>
    <xf borderId="4" fillId="0" fontId="58" numFmtId="0" xfId="0" applyAlignment="1" applyBorder="1" applyFont="1">
      <alignment horizontal="left" shrinkToFit="0" vertical="center" wrapText="1"/>
    </xf>
    <xf borderId="1" fillId="0" fontId="58" numFmtId="49" xfId="0" applyAlignment="1" applyBorder="1" applyFont="1" applyNumberFormat="1">
      <alignment horizontal="center" shrinkToFit="0" vertical="center" wrapText="1"/>
    </xf>
    <xf borderId="116" fillId="22" fontId="20" numFmtId="0" xfId="0" applyAlignment="1" applyBorder="1" applyFont="1">
      <alignment horizontal="center" vertical="center"/>
    </xf>
    <xf borderId="116" fillId="22" fontId="20" numFmtId="49" xfId="0" applyAlignment="1" applyBorder="1" applyFont="1" applyNumberFormat="1">
      <alignment horizontal="center" vertical="center"/>
    </xf>
    <xf borderId="116" fillId="22" fontId="20" numFmtId="49" xfId="0" applyAlignment="1" applyBorder="1" applyFont="1" applyNumberFormat="1">
      <alignment vertical="center"/>
    </xf>
    <xf borderId="117" fillId="22" fontId="20" numFmtId="1" xfId="0" applyAlignment="1" applyBorder="1" applyFont="1" applyNumberFormat="1">
      <alignment horizontal="center" vertical="center"/>
    </xf>
    <xf borderId="104" fillId="0" fontId="58" numFmtId="0" xfId="0" applyAlignment="1" applyBorder="1" applyFont="1">
      <alignment horizontal="center" vertical="center"/>
    </xf>
    <xf borderId="93" fillId="0" fontId="58" numFmtId="0" xfId="0" applyAlignment="1" applyBorder="1" applyFont="1">
      <alignment horizontal="left" shrinkToFit="0" vertical="center" wrapText="1"/>
    </xf>
    <xf borderId="118" fillId="22" fontId="20" numFmtId="1" xfId="0" applyAlignment="1" applyBorder="1" applyFont="1" applyNumberFormat="1">
      <alignment horizontal="center" vertical="center"/>
    </xf>
    <xf borderId="15" fillId="30" fontId="23" numFmtId="0" xfId="0" applyAlignment="1" applyBorder="1" applyFont="1">
      <alignment horizontal="left" shrinkToFit="0" vertical="center" wrapText="1"/>
    </xf>
    <xf borderId="118" fillId="8" fontId="29" numFmtId="1" xfId="0" applyAlignment="1" applyBorder="1" applyFont="1" applyNumberFormat="1">
      <alignment horizontal="center" readingOrder="0" shrinkToFit="0" vertical="center" wrapText="1"/>
    </xf>
    <xf borderId="119" fillId="22" fontId="30" numFmtId="1" xfId="0" applyAlignment="1" applyBorder="1" applyFont="1" applyNumberFormat="1">
      <alignment horizontal="center" readingOrder="0" shrinkToFit="0" vertical="center" wrapText="1"/>
    </xf>
    <xf borderId="105" fillId="30" fontId="58" numFmtId="0" xfId="0" applyAlignment="1" applyBorder="1" applyFont="1">
      <alignment horizontal="center" vertical="center"/>
    </xf>
    <xf borderId="106" fillId="30" fontId="58" numFmtId="0" xfId="0" applyAlignment="1" applyBorder="1" applyFont="1">
      <alignment horizontal="left" shrinkToFit="0" vertical="center" wrapText="1"/>
    </xf>
    <xf borderId="120" fillId="0" fontId="8" numFmtId="0" xfId="0" applyBorder="1" applyFont="1"/>
    <xf borderId="1" fillId="30" fontId="58" numFmtId="49" xfId="0" applyAlignment="1" applyBorder="1" applyFont="1" applyNumberFormat="1">
      <alignment horizontal="center" shrinkToFit="0" vertical="center" wrapText="1"/>
    </xf>
    <xf borderId="1" fillId="30" fontId="58" numFmtId="0" xfId="0" applyAlignment="1" applyBorder="1" applyFont="1">
      <alignment horizontal="center" shrinkToFit="0" vertical="center" wrapText="1"/>
    </xf>
    <xf borderId="3" fillId="30" fontId="58" numFmtId="0" xfId="0" applyAlignment="1" applyBorder="1" applyFont="1">
      <alignment horizontal="center" shrinkToFit="0" vertical="center" wrapText="1"/>
    </xf>
    <xf borderId="108" fillId="30" fontId="58" numFmtId="0" xfId="0" applyAlignment="1" applyBorder="1" applyFont="1">
      <alignment horizontal="center" vertical="center"/>
    </xf>
    <xf borderId="109" fillId="30" fontId="58" numFmtId="0" xfId="0" applyAlignment="1" applyBorder="1" applyFont="1">
      <alignment horizontal="left" shrinkToFit="0" vertical="center" wrapText="1"/>
    </xf>
    <xf borderId="121" fillId="30" fontId="58" numFmtId="0" xfId="0" applyAlignment="1" applyBorder="1" applyFont="1">
      <alignment horizontal="center" vertical="center"/>
    </xf>
    <xf borderId="122" fillId="30" fontId="58" numFmtId="0" xfId="0" applyAlignment="1" applyBorder="1" applyFont="1">
      <alignment horizontal="left" shrinkToFit="0" vertical="center" wrapText="1"/>
    </xf>
    <xf borderId="123" fillId="0" fontId="8" numFmtId="0" xfId="0" applyBorder="1" applyFont="1"/>
    <xf borderId="3" fillId="30" fontId="23" numFmtId="0" xfId="0" applyAlignment="1" applyBorder="1" applyFont="1">
      <alignment horizontal="left" shrinkToFit="0" vertical="center" wrapText="1"/>
    </xf>
    <xf borderId="3" fillId="30" fontId="58" numFmtId="0" xfId="0" applyAlignment="1" applyBorder="1" applyFont="1">
      <alignment horizontal="center" vertical="center"/>
    </xf>
    <xf borderId="4" fillId="30" fontId="58" numFmtId="0" xfId="0" applyAlignment="1" applyBorder="1" applyFont="1">
      <alignment horizontal="left" shrinkToFit="0" vertical="center" wrapText="1"/>
    </xf>
    <xf borderId="6" fillId="30" fontId="58" numFmtId="49" xfId="0" applyAlignment="1" applyBorder="1" applyFont="1" applyNumberFormat="1">
      <alignment horizontal="center" shrinkToFit="0" vertical="center" wrapText="1"/>
    </xf>
    <xf borderId="103" fillId="30" fontId="58" numFmtId="0" xfId="0" applyAlignment="1" applyBorder="1" applyFont="1">
      <alignment horizontal="center" vertical="center"/>
    </xf>
    <xf borderId="0" fillId="30" fontId="58" numFmtId="0" xfId="0" applyAlignment="1" applyFont="1">
      <alignment horizontal="left" shrinkToFit="0" vertical="center" wrapText="1"/>
    </xf>
    <xf borderId="104" fillId="30" fontId="58" numFmtId="0" xfId="0" applyAlignment="1" applyBorder="1" applyFont="1">
      <alignment horizontal="center" vertical="center"/>
    </xf>
    <xf borderId="93" fillId="30" fontId="58" numFmtId="0" xfId="0" applyAlignment="1" applyBorder="1" applyFont="1">
      <alignment horizontal="left" shrinkToFit="0" vertical="center" wrapText="1"/>
    </xf>
    <xf borderId="0" fillId="0" fontId="100" numFmtId="0" xfId="0" applyAlignment="1" applyFont="1">
      <alignment horizontal="center" readingOrder="0" vertical="center"/>
    </xf>
    <xf borderId="0" fillId="0" fontId="101" numFmtId="0" xfId="0" applyAlignment="1" applyFont="1">
      <alignment vertical="center"/>
    </xf>
    <xf borderId="0" fillId="0" fontId="101" numFmtId="0" xfId="0" applyAlignment="1" applyFont="1">
      <alignment horizontal="center" readingOrder="0" vertical="center"/>
    </xf>
    <xf borderId="0" fillId="0" fontId="102" numFmtId="0" xfId="0" applyAlignment="1" applyFont="1">
      <alignment horizontal="center" readingOrder="0" vertical="center"/>
    </xf>
    <xf borderId="0" fillId="0" fontId="102" numFmtId="0" xfId="0" applyAlignment="1" applyFont="1">
      <alignment vertical="center"/>
    </xf>
    <xf borderId="15" fillId="0" fontId="102" numFmtId="0" xfId="0" applyAlignment="1" applyBorder="1" applyFont="1">
      <alignment horizontal="center" vertical="center"/>
    </xf>
    <xf borderId="15" fillId="0" fontId="102" numFmtId="0" xfId="0" applyAlignment="1" applyBorder="1" applyFont="1">
      <alignment horizontal="center" readingOrder="0" vertical="center"/>
    </xf>
    <xf borderId="0" fillId="0" fontId="103" numFmtId="0" xfId="0" applyAlignment="1" applyFont="1">
      <alignment horizontal="center" readingOrder="0" vertical="center"/>
    </xf>
    <xf borderId="0" fillId="0" fontId="104" numFmtId="0" xfId="0" applyAlignment="1" applyFont="1">
      <alignment horizontal="center" readingOrder="0" vertical="center"/>
    </xf>
    <xf borderId="0" fillId="0" fontId="104" numFmtId="0" xfId="0" applyAlignment="1" applyFont="1">
      <alignment vertical="center"/>
    </xf>
    <xf borderId="0" fillId="0" fontId="105" numFmtId="0" xfId="0" applyAlignment="1" applyFont="1">
      <alignment horizontal="center" readingOrder="0" shrinkToFit="0" vertical="center" wrapText="1"/>
    </xf>
    <xf borderId="0" fillId="0" fontId="105" numFmtId="0" xfId="0" applyAlignment="1" applyFont="1">
      <alignment horizontal="left" readingOrder="0" shrinkToFit="0" vertical="center" wrapText="1"/>
    </xf>
    <xf borderId="0" fillId="0" fontId="104" numFmtId="49" xfId="0" applyAlignment="1" applyFont="1" applyNumberFormat="1">
      <alignment horizontal="left" readingOrder="0" vertical="center"/>
    </xf>
    <xf borderId="0" fillId="0" fontId="106" numFmtId="49" xfId="0" applyAlignment="1" applyFont="1" applyNumberFormat="1">
      <alignment horizontal="left" readingOrder="0" vertical="center"/>
    </xf>
    <xf borderId="0" fillId="0" fontId="106" numFmtId="0" xfId="0" applyAlignment="1" applyFont="1">
      <alignment horizontal="left" readingOrder="0" vertical="center"/>
    </xf>
    <xf borderId="0" fillId="0" fontId="107" numFmtId="49" xfId="0" applyAlignment="1" applyFont="1" applyNumberFormat="1">
      <alignment horizontal="left" readingOrder="0" vertical="center"/>
    </xf>
    <xf borderId="0" fillId="0" fontId="104" numFmtId="0" xfId="0" applyAlignment="1" applyFont="1">
      <alignment horizontal="center" readingOrder="0"/>
    </xf>
    <xf borderId="0" fillId="0" fontId="102" numFmtId="0" xfId="0" applyAlignment="1" applyFont="1">
      <alignment horizontal="center" readingOrder="0"/>
    </xf>
    <xf borderId="0" fillId="0" fontId="108" numFmtId="0" xfId="0" applyFont="1"/>
    <xf borderId="0" fillId="0" fontId="106" numFmtId="0" xfId="0" applyAlignment="1" applyFont="1">
      <alignment readingOrder="0" vertical="center"/>
    </xf>
    <xf borderId="0" fillId="0" fontId="106" numFmtId="0" xfId="0" applyAlignment="1" applyFont="1">
      <alignment vertical="center"/>
    </xf>
    <xf borderId="0" fillId="0" fontId="106" numFmtId="49" xfId="0" applyAlignment="1" applyFont="1" applyNumberFormat="1">
      <alignment vertical="center"/>
    </xf>
    <xf borderId="0" fillId="0" fontId="106" numFmtId="0" xfId="0" applyAlignment="1" applyFont="1">
      <alignment readingOrder="0" vertical="top"/>
    </xf>
    <xf borderId="0" fillId="0" fontId="106" numFmtId="49" xfId="0" applyAlignment="1" applyFont="1" applyNumberFormat="1">
      <alignment shrinkToFit="0" vertical="top" wrapText="1"/>
    </xf>
    <xf borderId="0" fillId="6" fontId="109" numFmtId="0" xfId="0" applyAlignment="1" applyFont="1">
      <alignment horizontal="center" readingOrder="0" vertical="center"/>
    </xf>
    <xf borderId="0" fillId="0" fontId="110" numFmtId="0" xfId="0" applyAlignment="1" applyFont="1">
      <alignment horizontal="center" readingOrder="0" vertical="center"/>
    </xf>
    <xf borderId="0" fillId="0" fontId="111" numFmtId="0" xfId="0" applyAlignment="1" applyFont="1">
      <alignment horizontal="center" readingOrder="0" vertical="center"/>
    </xf>
    <xf borderId="0" fillId="0" fontId="111" numFmtId="0" xfId="0" applyAlignment="1" applyFont="1">
      <alignment readingOrder="0" vertical="center"/>
    </xf>
    <xf borderId="0" fillId="0" fontId="111" numFmtId="0" xfId="0" applyAlignment="1" applyFont="1">
      <alignment horizontal="center" readingOrder="0" vertical="top"/>
    </xf>
    <xf borderId="124" fillId="0" fontId="110" numFmtId="0" xfId="0" applyAlignment="1" applyBorder="1" applyFont="1">
      <alignment horizontal="center" readingOrder="0" vertical="center"/>
    </xf>
    <xf borderId="125" fillId="0" fontId="110" numFmtId="0" xfId="0" applyAlignment="1" applyBorder="1" applyFont="1">
      <alignment horizontal="center" readingOrder="0" vertical="center"/>
    </xf>
    <xf borderId="125" fillId="0" fontId="8" numFmtId="0" xfId="0" applyBorder="1" applyFont="1"/>
    <xf borderId="126" fillId="0" fontId="8" numFmtId="0" xfId="0" applyBorder="1" applyFont="1"/>
    <xf borderId="127" fillId="0" fontId="111" numFmtId="0" xfId="0" applyAlignment="1" applyBorder="1" applyFont="1">
      <alignment horizontal="center" readingOrder="0" vertical="top"/>
    </xf>
    <xf borderId="128" fillId="0" fontId="8" numFmtId="0" xfId="0" applyBorder="1" applyFont="1"/>
    <xf borderId="129" fillId="0" fontId="8" numFmtId="0" xfId="0" applyBorder="1" applyFont="1"/>
    <xf borderId="130" fillId="0" fontId="110" numFmtId="0" xfId="0" applyAlignment="1" applyBorder="1" applyFont="1">
      <alignment horizontal="center" readingOrder="0" vertical="center"/>
    </xf>
    <xf borderId="131" fillId="0" fontId="8" numFmtId="0" xfId="0" applyBorder="1" applyFont="1"/>
    <xf borderId="132" fillId="0" fontId="8" numFmtId="0" xfId="0" applyBorder="1" applyFont="1"/>
    <xf borderId="0" fillId="0" fontId="1" numFmtId="0" xfId="0" applyAlignment="1" applyFont="1">
      <alignment shrinkToFit="0" vertical="center" wrapText="1"/>
    </xf>
    <xf borderId="0" fillId="0" fontId="1" numFmtId="0" xfId="0" applyAlignment="1" applyFont="1">
      <alignment readingOrder="0" shrinkToFit="0" vertical="center" wrapText="1"/>
    </xf>
    <xf borderId="133" fillId="0" fontId="8" numFmtId="0" xfId="0" applyBorder="1" applyFont="1"/>
    <xf borderId="134" fillId="0" fontId="8" numFmtId="0" xfId="0" applyBorder="1" applyFont="1"/>
    <xf borderId="135" fillId="0" fontId="8" numFmtId="0" xfId="0" applyBorder="1" applyFont="1"/>
    <xf borderId="0" fillId="0" fontId="34" numFmtId="0" xfId="0" applyAlignment="1" applyFont="1">
      <alignment horizontal="center" readingOrder="0" shrinkToFit="0" vertical="center" wrapText="1"/>
    </xf>
    <xf borderId="136" fillId="7" fontId="34" numFmtId="0" xfId="0" applyAlignment="1" applyBorder="1" applyFont="1">
      <alignment horizontal="center" readingOrder="0" shrinkToFit="0" vertical="center" wrapText="1"/>
    </xf>
    <xf borderId="137" fillId="7" fontId="34" numFmtId="0" xfId="0" applyAlignment="1" applyBorder="1" applyFont="1">
      <alignment horizontal="center" readingOrder="0" shrinkToFit="0" vertical="center" wrapText="1"/>
    </xf>
    <xf borderId="138" fillId="7" fontId="34" numFmtId="0" xfId="0" applyAlignment="1" applyBorder="1" applyFont="1">
      <alignment horizontal="center" readingOrder="0" shrinkToFit="0" vertical="center" wrapText="1"/>
    </xf>
    <xf borderId="139" fillId="10" fontId="34" numFmtId="0" xfId="0" applyAlignment="1" applyBorder="1" applyFont="1">
      <alignment readingOrder="0" shrinkToFit="0" vertical="center" wrapText="1"/>
    </xf>
    <xf borderId="140" fillId="10" fontId="34" numFmtId="0" xfId="0" applyAlignment="1" applyBorder="1" applyFont="1">
      <alignment readingOrder="0" shrinkToFit="0" vertical="center" wrapText="1"/>
    </xf>
    <xf borderId="141" fillId="10" fontId="34" numFmtId="0" xfId="0" applyAlignment="1" applyBorder="1" applyFont="1">
      <alignment readingOrder="0" shrinkToFit="0" vertical="center" wrapText="1"/>
    </xf>
    <xf borderId="142" fillId="10" fontId="34" numFmtId="0" xfId="0" applyAlignment="1" applyBorder="1" applyFont="1">
      <alignment readingOrder="0" shrinkToFit="0" vertical="center" wrapText="1"/>
    </xf>
    <xf borderId="0" fillId="0" fontId="112" numFmtId="0" xfId="0" applyAlignment="1" applyFont="1">
      <alignment readingOrder="0" shrinkToFit="0" wrapText="0"/>
    </xf>
    <xf borderId="143" fillId="0" fontId="1" numFmtId="0" xfId="0" applyBorder="1" applyFont="1"/>
    <xf borderId="144" fillId="0" fontId="1" numFmtId="0" xfId="0" applyBorder="1" applyFont="1"/>
    <xf borderId="145" fillId="0" fontId="1" numFmtId="0" xfId="0" applyAlignment="1" applyBorder="1" applyFont="1">
      <alignment horizontal="center"/>
    </xf>
    <xf borderId="146" fillId="0" fontId="1" numFmtId="0" xfId="0" applyAlignment="1" applyBorder="1" applyFont="1">
      <alignment horizontal="center"/>
    </xf>
    <xf borderId="147" fillId="0" fontId="1" numFmtId="0" xfId="0" applyAlignment="1" applyBorder="1" applyFont="1">
      <alignment horizontal="center"/>
    </xf>
    <xf borderId="0" fillId="0" fontId="104" numFmtId="0" xfId="0" applyFont="1"/>
    <xf borderId="0" fillId="0" fontId="106" numFmtId="0" xfId="0" applyFont="1"/>
    <xf borderId="0" fillId="0" fontId="106" numFmtId="0" xfId="0" applyAlignment="1" applyFont="1">
      <alignment readingOrder="0"/>
    </xf>
    <xf borderId="0" fillId="0" fontId="113" numFmtId="0" xfId="0" applyAlignment="1" applyFont="1">
      <alignment readingOrder="0"/>
    </xf>
    <xf borderId="0" fillId="0" fontId="106" numFmtId="0" xfId="0" applyAlignment="1" applyFont="1">
      <alignment vertical="top"/>
    </xf>
    <xf borderId="0" fillId="0" fontId="60" numFmtId="0" xfId="0" applyAlignment="1" applyFont="1">
      <alignment readingOrder="0" vertical="center"/>
    </xf>
    <xf borderId="15" fillId="22" fontId="60" numFmtId="49" xfId="0" applyAlignment="1" applyBorder="1" applyFont="1" applyNumberFormat="1">
      <alignment readingOrder="0" vertical="center"/>
    </xf>
    <xf borderId="0" fillId="0" fontId="114" numFmtId="0" xfId="0" applyAlignment="1" applyFont="1">
      <alignment readingOrder="0" vertical="bottom"/>
    </xf>
    <xf borderId="0" fillId="0" fontId="115" numFmtId="0" xfId="0" applyAlignment="1" applyFont="1">
      <alignment readingOrder="0" vertical="bottom"/>
    </xf>
    <xf borderId="0" fillId="0" fontId="4" numFmtId="0" xfId="0" applyAlignment="1" applyFont="1">
      <alignment readingOrder="0" vertical="bottom"/>
    </xf>
    <xf borderId="0" fillId="0" fontId="4" numFmtId="0" xfId="0" applyFont="1"/>
    <xf borderId="148" fillId="26" fontId="25" numFmtId="0" xfId="0" applyAlignment="1" applyBorder="1" applyFont="1">
      <alignment vertical="center"/>
    </xf>
    <xf borderId="149" fillId="26" fontId="116" numFmtId="0" xfId="0" applyAlignment="1" applyBorder="1" applyFont="1">
      <alignment horizontal="center" readingOrder="0" vertical="center"/>
    </xf>
    <xf borderId="150" fillId="0" fontId="2" numFmtId="0" xfId="0" applyAlignment="1" applyBorder="1" applyFont="1">
      <alignment readingOrder="0" vertical="center"/>
    </xf>
    <xf borderId="151" fillId="0" fontId="8" numFmtId="0" xfId="0" applyBorder="1" applyFont="1"/>
    <xf borderId="33" fillId="32" fontId="2" numFmtId="49" xfId="0" applyAlignment="1" applyBorder="1" applyFont="1" applyNumberFormat="1">
      <alignment horizontal="center" vertical="center"/>
    </xf>
    <xf borderId="5" fillId="32" fontId="2" numFmtId="49" xfId="0" applyAlignment="1" applyBorder="1" applyFont="1" applyNumberFormat="1">
      <alignment vertical="center"/>
    </xf>
    <xf borderId="5" fillId="32" fontId="2" numFmtId="165" xfId="0" applyAlignment="1" applyBorder="1" applyFont="1" applyNumberFormat="1">
      <alignment vertical="center"/>
    </xf>
    <xf borderId="5" fillId="32" fontId="2" numFmtId="0" xfId="0" applyAlignment="1" applyBorder="1" applyFont="1">
      <alignment readingOrder="0" vertical="center"/>
    </xf>
    <xf borderId="5" fillId="32" fontId="2" numFmtId="0" xfId="0" applyAlignment="1" applyBorder="1" applyFont="1">
      <alignment vertical="center"/>
    </xf>
    <xf borderId="0" fillId="0" fontId="114" numFmtId="0" xfId="0" applyAlignment="1" applyFont="1">
      <alignment readingOrder="0"/>
    </xf>
    <xf borderId="0" fillId="0" fontId="117" numFmtId="0" xfId="0" applyAlignment="1" applyFont="1">
      <alignment readingOrder="0" vertical="center"/>
    </xf>
    <xf borderId="152" fillId="26" fontId="25" numFmtId="0" xfId="0" applyAlignment="1" applyBorder="1" applyFont="1">
      <alignment vertical="center"/>
    </xf>
    <xf borderId="153" fillId="26" fontId="116" numFmtId="0" xfId="0" applyAlignment="1" applyBorder="1" applyFont="1">
      <alignment horizontal="center" readingOrder="0" vertical="center"/>
    </xf>
    <xf borderId="154" fillId="0" fontId="2" numFmtId="0" xfId="0" applyAlignment="1" applyBorder="1" applyFont="1">
      <alignment readingOrder="0" vertical="center"/>
    </xf>
    <xf borderId="155" fillId="0" fontId="8" numFmtId="0" xfId="0" applyBorder="1" applyFont="1"/>
    <xf borderId="5" fillId="0" fontId="27" numFmtId="49" xfId="0" applyAlignment="1" applyBorder="1" applyFont="1" applyNumberFormat="1">
      <alignment vertical="center"/>
    </xf>
    <xf borderId="5" fillId="0" fontId="27" numFmtId="49" xfId="0" applyAlignment="1" applyBorder="1" applyFont="1" applyNumberFormat="1">
      <alignment readingOrder="0" vertical="center"/>
    </xf>
    <xf borderId="5" fillId="0" fontId="27" numFmtId="165" xfId="0" applyAlignment="1" applyBorder="1" applyFont="1" applyNumberFormat="1">
      <alignment vertical="center"/>
    </xf>
    <xf borderId="0" fillId="0" fontId="3" numFmtId="0" xfId="0" applyAlignment="1" applyFont="1">
      <alignment readingOrder="0" vertical="center"/>
    </xf>
    <xf borderId="0" fillId="0" fontId="118" numFmtId="0" xfId="0" applyAlignment="1" applyFont="1">
      <alignment vertical="center"/>
    </xf>
    <xf borderId="156" fillId="0" fontId="2" numFmtId="0" xfId="0" applyAlignment="1" applyBorder="1" applyFont="1">
      <alignment readingOrder="0" vertical="center"/>
    </xf>
    <xf borderId="157" fillId="0" fontId="8" numFmtId="0" xfId="0" applyBorder="1" applyFont="1"/>
    <xf borderId="145" fillId="0" fontId="1" numFmtId="0" xfId="0" applyBorder="1" applyFont="1"/>
    <xf borderId="146" fillId="0" fontId="1" numFmtId="0" xfId="0" applyBorder="1" applyFont="1"/>
    <xf borderId="147" fillId="0" fontId="1" numFmtId="0" xfId="0" applyBorder="1" applyFont="1"/>
    <xf borderId="153" fillId="26" fontId="25" numFmtId="0" xfId="0" applyAlignment="1" applyBorder="1" applyFont="1">
      <alignment readingOrder="0" vertical="center"/>
    </xf>
    <xf borderId="0" fillId="6" fontId="2" numFmtId="0" xfId="0" applyAlignment="1" applyFont="1">
      <alignment vertical="center"/>
    </xf>
    <xf borderId="5" fillId="0" fontId="27" numFmtId="49" xfId="0" applyAlignment="1" applyBorder="1" applyFont="1" applyNumberFormat="1">
      <alignment horizontal="center" vertical="center"/>
    </xf>
    <xf borderId="158" fillId="0" fontId="1" numFmtId="0" xfId="0" applyBorder="1" applyFont="1"/>
    <xf borderId="0" fillId="6" fontId="2" numFmtId="49" xfId="0" applyAlignment="1" applyFont="1" applyNumberFormat="1">
      <alignment vertical="center"/>
    </xf>
    <xf borderId="159" fillId="0" fontId="1" numFmtId="0" xfId="0" applyBorder="1" applyFont="1"/>
    <xf borderId="160" fillId="0" fontId="1" numFmtId="0" xfId="0" applyBorder="1" applyFont="1"/>
    <xf borderId="161" fillId="0" fontId="1" numFmtId="0" xfId="0" applyBorder="1" applyFont="1"/>
    <xf borderId="133" fillId="0" fontId="1" numFmtId="0" xfId="0" applyBorder="1" applyFont="1"/>
    <xf borderId="162" fillId="0" fontId="1" numFmtId="0" xfId="0" applyBorder="1" applyFont="1"/>
    <xf borderId="134" fillId="0" fontId="1" numFmtId="0" xfId="0" applyBorder="1" applyFont="1"/>
    <xf borderId="163" fillId="0" fontId="1" numFmtId="0" xfId="0" applyBorder="1" applyFont="1"/>
    <xf borderId="135" fillId="0" fontId="1" numFmtId="0" xfId="0" applyBorder="1" applyFont="1"/>
    <xf borderId="153" fillId="26" fontId="25" numFmtId="0" xfId="0" applyAlignment="1" applyBorder="1" applyFont="1">
      <alignment vertical="center"/>
    </xf>
    <xf borderId="0" fillId="42" fontId="24" numFmtId="0" xfId="0" applyAlignment="1" applyFill="1" applyFont="1">
      <alignment horizontal="right" readingOrder="0" vertical="center"/>
    </xf>
    <xf borderId="0" fillId="0" fontId="1" numFmtId="0" xfId="0" applyAlignment="1" applyFont="1">
      <alignment horizontal="center" readingOrder="0" vertical="center"/>
    </xf>
    <xf borderId="0" fillId="0" fontId="4" numFmtId="0" xfId="0" applyAlignment="1" applyFont="1">
      <alignment horizontal="center" shrinkToFit="0" vertical="center" wrapText="0"/>
    </xf>
    <xf borderId="0" fillId="0" fontId="55" numFmtId="0" xfId="0" applyAlignment="1" applyFont="1">
      <alignment vertical="bottom"/>
    </xf>
    <xf borderId="0" fillId="0" fontId="119" numFmtId="0" xfId="0" applyAlignment="1" applyFont="1">
      <alignment horizontal="center" vertical="bottom"/>
    </xf>
    <xf borderId="0" fillId="0" fontId="119" numFmtId="0" xfId="0" applyAlignment="1" applyFont="1">
      <alignment vertical="bottom"/>
    </xf>
    <xf borderId="5" fillId="10" fontId="63" numFmtId="0" xfId="0" applyAlignment="1" applyBorder="1" applyFont="1">
      <alignment horizontal="center" readingOrder="0" shrinkToFit="0" vertical="center" wrapText="1"/>
    </xf>
    <xf borderId="5" fillId="10" fontId="63" numFmtId="0" xfId="0" applyAlignment="1" applyBorder="1" applyFont="1">
      <alignment horizontal="center" shrinkToFit="0" vertical="center" wrapText="1"/>
    </xf>
    <xf borderId="164" fillId="22" fontId="63" numFmtId="0" xfId="0" applyAlignment="1" applyBorder="1" applyFont="1">
      <alignment horizontal="center" shrinkToFit="0" vertical="center" wrapText="1"/>
    </xf>
    <xf borderId="165" fillId="22" fontId="63" numFmtId="0" xfId="0" applyAlignment="1" applyBorder="1" applyFont="1">
      <alignment horizontal="center" readingOrder="0" shrinkToFit="0" vertical="center" wrapText="1"/>
    </xf>
    <xf borderId="164" fillId="22" fontId="63" numFmtId="0" xfId="0" applyAlignment="1" applyBorder="1" applyFont="1">
      <alignment horizontal="center" readingOrder="0" shrinkToFit="0" vertical="center" wrapText="1"/>
    </xf>
    <xf borderId="153" fillId="26" fontId="116" numFmtId="0" xfId="0" applyAlignment="1" applyBorder="1" applyFont="1">
      <alignment readingOrder="0" vertical="center"/>
    </xf>
    <xf borderId="166" fillId="22" fontId="63" numFmtId="0" xfId="0" applyAlignment="1" applyBorder="1" applyFont="1">
      <alignment horizontal="center" readingOrder="0" shrinkToFit="0" vertical="center" wrapText="1"/>
    </xf>
    <xf borderId="0" fillId="6" fontId="27" numFmtId="0" xfId="0" applyAlignment="1" applyFont="1">
      <alignment readingOrder="0" shrinkToFit="0" vertical="center" wrapText="0"/>
    </xf>
    <xf borderId="0" fillId="7" fontId="31" numFmtId="0" xfId="0" applyAlignment="1" applyFont="1">
      <alignment horizontal="center" readingOrder="0" shrinkToFit="0" vertical="center" wrapText="1"/>
    </xf>
    <xf borderId="167" fillId="7" fontId="31" numFmtId="0" xfId="0" applyAlignment="1" applyBorder="1" applyFont="1">
      <alignment horizontal="center" readingOrder="0" shrinkToFit="0" vertical="center" wrapText="1"/>
    </xf>
    <xf borderId="168" fillId="7" fontId="31" numFmtId="0" xfId="0" applyAlignment="1" applyBorder="1" applyFont="1">
      <alignment horizontal="center" readingOrder="0" shrinkToFit="0" vertical="center" wrapText="1"/>
    </xf>
    <xf borderId="169" fillId="7" fontId="31" numFmtId="0" xfId="0" applyAlignment="1" applyBorder="1" applyFont="1">
      <alignment horizontal="center" readingOrder="0" shrinkToFit="0" vertical="center" wrapText="1"/>
    </xf>
    <xf borderId="169" fillId="7" fontId="31" numFmtId="0" xfId="0" applyAlignment="1" applyBorder="1" applyFont="1">
      <alignment horizontal="center" shrinkToFit="0" vertical="center" wrapText="1"/>
    </xf>
    <xf borderId="168" fillId="7" fontId="31" numFmtId="0" xfId="0" applyAlignment="1" applyBorder="1" applyFont="1">
      <alignment horizontal="center" shrinkToFit="0" vertical="center" wrapText="1"/>
    </xf>
    <xf borderId="165" fillId="7" fontId="31" numFmtId="0" xfId="0" applyAlignment="1" applyBorder="1" applyFont="1">
      <alignment horizontal="center" shrinkToFit="0" vertical="center" wrapText="1"/>
    </xf>
    <xf borderId="164" fillId="7" fontId="31" numFmtId="0" xfId="0" applyAlignment="1" applyBorder="1" applyFont="1">
      <alignment horizontal="center" shrinkToFit="0" vertical="center" wrapText="1"/>
    </xf>
    <xf borderId="166" fillId="7" fontId="31" numFmtId="0" xfId="0" applyAlignment="1" applyBorder="1" applyFont="1">
      <alignment horizontal="center" shrinkToFit="0" vertical="center" wrapText="1"/>
    </xf>
    <xf borderId="0" fillId="0" fontId="4" numFmtId="0" xfId="0" applyAlignment="1" applyFont="1">
      <alignment shrinkToFit="0" wrapText="1"/>
    </xf>
    <xf borderId="5" fillId="43" fontId="4" numFmtId="0" xfId="0" applyAlignment="1" applyBorder="1" applyFill="1" applyFont="1">
      <alignment vertical="bottom"/>
    </xf>
    <xf borderId="5" fillId="43" fontId="119" numFmtId="0" xfId="0" applyAlignment="1" applyBorder="1" applyFont="1">
      <alignment horizontal="center" vertical="bottom"/>
    </xf>
    <xf borderId="0" fillId="43" fontId="4" numFmtId="0" xfId="0" applyAlignment="1" applyFont="1">
      <alignment shrinkToFit="0" wrapText="1"/>
    </xf>
    <xf borderId="5" fillId="10" fontId="81" numFmtId="0" xfId="0" applyAlignment="1" applyBorder="1" applyFont="1">
      <alignment horizontal="center" shrinkToFit="0" vertical="center" wrapText="1"/>
    </xf>
    <xf borderId="15" fillId="10" fontId="81" numFmtId="0" xfId="0" applyAlignment="1" applyBorder="1" applyFont="1">
      <alignment horizontal="center" vertical="center"/>
    </xf>
    <xf borderId="5" fillId="10" fontId="81" numFmtId="0" xfId="0" applyAlignment="1" applyBorder="1" applyFont="1">
      <alignment horizontal="center" readingOrder="0" shrinkToFit="0" vertical="center" wrapText="1"/>
    </xf>
    <xf borderId="0" fillId="0" fontId="81" numFmtId="0" xfId="0" applyAlignment="1" applyFont="1">
      <alignment horizontal="center" readingOrder="0" vertical="center"/>
    </xf>
    <xf borderId="170" fillId="0" fontId="81" numFmtId="0" xfId="0" applyAlignment="1" applyBorder="1" applyFont="1">
      <alignment horizontal="center" vertical="center"/>
    </xf>
    <xf borderId="0" fillId="7" fontId="120" numFmtId="0" xfId="0" applyAlignment="1" applyFont="1">
      <alignment horizontal="center" readingOrder="0" vertical="center"/>
    </xf>
    <xf borderId="171" fillId="7" fontId="120" numFmtId="0" xfId="0" applyAlignment="1" applyBorder="1" applyFont="1">
      <alignment horizontal="center" readingOrder="0" vertical="center"/>
    </xf>
    <xf borderId="170" fillId="7" fontId="120" numFmtId="0" xfId="0" applyAlignment="1" applyBorder="1" applyFont="1">
      <alignment horizontal="center" readingOrder="0" vertical="center"/>
    </xf>
    <xf borderId="170" fillId="7" fontId="121" numFmtId="0" xfId="0" applyBorder="1" applyFont="1"/>
    <xf borderId="0" fillId="7" fontId="121" numFmtId="0" xfId="0" applyFont="1"/>
    <xf borderId="0" fillId="0" fontId="81" numFmtId="0" xfId="0" applyAlignment="1" applyFont="1">
      <alignment horizontal="center" vertical="center"/>
    </xf>
    <xf borderId="0" fillId="43" fontId="81" numFmtId="0" xfId="0" applyAlignment="1" applyFont="1">
      <alignment horizontal="center" vertical="center"/>
    </xf>
    <xf borderId="0" fillId="44" fontId="2" numFmtId="0" xfId="0" applyAlignment="1" applyFill="1" applyFont="1">
      <alignment horizontal="center" shrinkToFit="0" vertical="center" wrapText="1"/>
    </xf>
    <xf borderId="0" fillId="44" fontId="2" numFmtId="0" xfId="0" applyAlignment="1" applyFont="1">
      <alignment horizontal="center" vertical="center"/>
    </xf>
    <xf borderId="0" fillId="44" fontId="2" numFmtId="0" xfId="0" applyAlignment="1" applyFont="1">
      <alignment horizontal="left" vertical="center"/>
    </xf>
    <xf borderId="0" fillId="44" fontId="2" numFmtId="0" xfId="0" applyAlignment="1" applyFont="1">
      <alignment horizontal="center" readingOrder="0" vertical="center"/>
    </xf>
    <xf borderId="172" fillId="0" fontId="4" numFmtId="0" xfId="0" applyAlignment="1" applyBorder="1" applyFont="1">
      <alignment horizontal="center" readingOrder="0" shrinkToFit="0" vertical="center" wrapText="1"/>
    </xf>
    <xf borderId="172" fillId="0" fontId="4" numFmtId="166" xfId="0" applyAlignment="1" applyBorder="1" applyFont="1" applyNumberFormat="1">
      <alignment horizontal="center" shrinkToFit="0" vertical="center" wrapText="1"/>
    </xf>
    <xf borderId="172" fillId="0" fontId="4" numFmtId="0" xfId="0" applyAlignment="1" applyBorder="1" applyFont="1">
      <alignment horizontal="center" shrinkToFit="0" vertical="center" wrapText="1"/>
    </xf>
    <xf borderId="173" fillId="39" fontId="4" numFmtId="0" xfId="0" applyAlignment="1" applyBorder="1" applyFont="1">
      <alignment horizontal="center" shrinkToFit="0" vertical="center" wrapText="1"/>
    </xf>
    <xf borderId="0" fillId="13" fontId="24" numFmtId="0" xfId="0" applyAlignment="1" applyFont="1">
      <alignment shrinkToFit="0" wrapText="1"/>
    </xf>
    <xf borderId="165" fillId="13" fontId="24" numFmtId="0" xfId="0" applyAlignment="1" applyBorder="1" applyFont="1">
      <alignment shrinkToFit="0" wrapText="1"/>
    </xf>
    <xf borderId="164" fillId="13" fontId="24" numFmtId="0" xfId="0" applyAlignment="1" applyBorder="1" applyFont="1">
      <alignment readingOrder="0" shrinkToFit="0" wrapText="1"/>
    </xf>
    <xf borderId="166" fillId="13" fontId="24" numFmtId="0" xfId="0" applyAlignment="1" applyBorder="1" applyFont="1">
      <alignment readingOrder="0" shrinkToFit="0" wrapText="1"/>
    </xf>
    <xf borderId="166" fillId="13" fontId="24" numFmtId="0" xfId="0" applyAlignment="1" applyBorder="1" applyFont="1">
      <alignment shrinkToFit="0" vertical="bottom" wrapText="1"/>
    </xf>
    <xf borderId="174" fillId="13" fontId="122" numFmtId="0" xfId="0" applyAlignment="1" applyBorder="1" applyFont="1">
      <alignment shrinkToFit="0" vertical="bottom" wrapText="1"/>
    </xf>
    <xf borderId="165" fillId="13" fontId="24" numFmtId="0" xfId="0" applyAlignment="1" applyBorder="1" applyFont="1">
      <alignment horizontal="center" readingOrder="0"/>
    </xf>
    <xf borderId="164" fillId="13" fontId="24" numFmtId="0" xfId="0" applyAlignment="1" applyBorder="1" applyFont="1">
      <alignment horizontal="center" shrinkToFit="0" wrapText="1"/>
    </xf>
    <xf borderId="164" fillId="13" fontId="24" numFmtId="49" xfId="0" applyAlignment="1" applyBorder="1" applyFont="1" applyNumberFormat="1">
      <alignment readingOrder="0" shrinkToFit="0" wrapText="1"/>
    </xf>
    <xf borderId="166" fillId="13" fontId="123" numFmtId="49" xfId="0" applyAlignment="1" applyBorder="1" applyFont="1" applyNumberFormat="1">
      <alignment shrinkToFit="0" vertical="bottom" wrapText="1"/>
    </xf>
    <xf borderId="0" fillId="43" fontId="4" numFmtId="0" xfId="0" applyAlignment="1" applyFont="1">
      <alignment vertical="bottom"/>
    </xf>
    <xf borderId="0" fillId="43" fontId="119" numFmtId="49" xfId="0" applyAlignment="1" applyFont="1" applyNumberFormat="1">
      <alignment horizontal="center" vertical="bottom"/>
    </xf>
    <xf borderId="0" fillId="43" fontId="1" numFmtId="0" xfId="0" applyFont="1"/>
    <xf borderId="154" fillId="0" fontId="4" numFmtId="0" xfId="0" applyAlignment="1" applyBorder="1" applyFont="1">
      <alignment horizontal="center" shrinkToFit="0" vertical="center" wrapText="1"/>
    </xf>
    <xf borderId="154" fillId="0" fontId="4" numFmtId="166" xfId="0" applyAlignment="1" applyBorder="1" applyFont="1" applyNumberFormat="1">
      <alignment horizontal="center" shrinkToFit="0" vertical="center" wrapText="1"/>
    </xf>
    <xf borderId="175" fillId="39" fontId="4" numFmtId="0" xfId="0" applyAlignment="1" applyBorder="1" applyFont="1">
      <alignment horizontal="center" shrinkToFit="0" vertical="center" wrapText="1"/>
    </xf>
    <xf borderId="0" fillId="6" fontId="124" numFmtId="0" xfId="0" applyAlignment="1" applyFont="1">
      <alignment shrinkToFit="0" vertical="center" wrapText="0"/>
    </xf>
    <xf borderId="176" fillId="13" fontId="24" numFmtId="0" xfId="0" applyAlignment="1" applyBorder="1" applyFont="1">
      <alignment shrinkToFit="0" wrapText="1"/>
    </xf>
    <xf borderId="5" fillId="13" fontId="24" numFmtId="0" xfId="0" applyAlignment="1" applyBorder="1" applyFont="1">
      <alignment shrinkToFit="0" wrapText="1"/>
    </xf>
    <xf borderId="177" fillId="13" fontId="24" numFmtId="0" xfId="0" applyAlignment="1" applyBorder="1" applyFont="1">
      <alignment vertical="center"/>
    </xf>
    <xf borderId="177" fillId="13" fontId="24" numFmtId="0" xfId="0" applyBorder="1" applyFont="1"/>
    <xf borderId="94" fillId="13" fontId="125" numFmtId="0" xfId="0" applyBorder="1" applyFont="1"/>
    <xf borderId="176" fillId="13" fontId="24" numFmtId="0" xfId="0" applyAlignment="1" applyBorder="1" applyFont="1">
      <alignment horizontal="center" readingOrder="0"/>
    </xf>
    <xf borderId="5" fillId="13" fontId="24" numFmtId="0" xfId="0" applyAlignment="1" applyBorder="1" applyFont="1">
      <alignment horizontal="center" readingOrder="0" shrinkToFit="0" wrapText="1"/>
    </xf>
    <xf borderId="5" fillId="13" fontId="24" numFmtId="49" xfId="0" applyAlignment="1" applyBorder="1" applyFont="1" applyNumberFormat="1">
      <alignment readingOrder="0" shrinkToFit="0" wrapText="1"/>
    </xf>
    <xf borderId="177" fillId="13" fontId="24" numFmtId="49" xfId="0" applyAlignment="1" applyBorder="1" applyFont="1" applyNumberFormat="1">
      <alignment readingOrder="0" shrinkToFit="0" wrapText="1"/>
    </xf>
    <xf borderId="178" fillId="26" fontId="116" numFmtId="0" xfId="0" applyAlignment="1" applyBorder="1" applyFont="1">
      <alignment readingOrder="0" shrinkToFit="0" vertical="center" wrapText="1"/>
    </xf>
    <xf borderId="177" fillId="13" fontId="123" numFmtId="49" xfId="0" applyAlignment="1" applyBorder="1" applyFont="1" applyNumberFormat="1">
      <alignment shrinkToFit="0" vertical="bottom" wrapText="1"/>
    </xf>
    <xf borderId="150" fillId="30" fontId="27" numFmtId="0" xfId="0" applyAlignment="1" applyBorder="1" applyFont="1">
      <alignment readingOrder="0" vertical="center"/>
    </xf>
    <xf borderId="176" fillId="13" fontId="24" numFmtId="0" xfId="0" applyAlignment="1" applyBorder="1" applyFont="1">
      <alignment horizontal="center"/>
    </xf>
    <xf borderId="177" fillId="13" fontId="24" numFmtId="0" xfId="0" applyAlignment="1" applyBorder="1" applyFont="1">
      <alignment shrinkToFit="0" wrapText="1"/>
    </xf>
    <xf borderId="177" fillId="13" fontId="24" numFmtId="0" xfId="0" applyAlignment="1" applyBorder="1" applyFont="1">
      <alignment shrinkToFit="0" vertical="bottom" wrapText="1"/>
    </xf>
    <xf borderId="94" fillId="13" fontId="126" numFmtId="0" xfId="0" applyAlignment="1" applyBorder="1" applyFont="1">
      <alignment shrinkToFit="0" vertical="bottom" wrapText="1"/>
    </xf>
    <xf borderId="179" fillId="0" fontId="8" numFmtId="0" xfId="0" applyBorder="1" applyFont="1"/>
    <xf borderId="180" fillId="30" fontId="27" numFmtId="0" xfId="0" applyAlignment="1" applyBorder="1" applyFont="1">
      <alignment readingOrder="0" vertical="center"/>
    </xf>
    <xf borderId="181" fillId="0" fontId="8" numFmtId="0" xfId="0" applyBorder="1" applyFont="1"/>
    <xf borderId="0" fillId="0" fontId="119" numFmtId="49" xfId="0" applyAlignment="1" applyFont="1" applyNumberFormat="1">
      <alignment vertical="bottom"/>
    </xf>
    <xf borderId="154" fillId="30" fontId="27" numFmtId="0" xfId="0" applyAlignment="1" applyBorder="1" applyFont="1">
      <alignment vertical="center"/>
    </xf>
    <xf borderId="154" fillId="30" fontId="27" numFmtId="0" xfId="0" applyAlignment="1" applyBorder="1" applyFont="1">
      <alignment vertical="center"/>
    </xf>
    <xf borderId="0" fillId="13" fontId="34" numFmtId="0" xfId="0" applyFont="1"/>
    <xf borderId="176" fillId="13" fontId="34" numFmtId="0" xfId="0" applyBorder="1" applyFont="1"/>
    <xf borderId="177" fillId="13" fontId="121" numFmtId="49" xfId="0" applyAlignment="1" applyBorder="1" applyFont="1" applyNumberFormat="1">
      <alignment vertical="bottom"/>
    </xf>
    <xf borderId="182" fillId="0" fontId="8" numFmtId="0" xfId="0" applyBorder="1" applyFont="1"/>
    <xf borderId="183" fillId="30" fontId="27" numFmtId="0" xfId="0" applyAlignment="1" applyBorder="1" applyFont="1">
      <alignment vertical="center"/>
    </xf>
    <xf borderId="184" fillId="0" fontId="8" numFmtId="0" xfId="0" applyBorder="1" applyFont="1"/>
    <xf borderId="185" fillId="30" fontId="27" numFmtId="0" xfId="0" applyAlignment="1" applyBorder="1" applyFont="1">
      <alignment readingOrder="0" vertical="center"/>
    </xf>
    <xf borderId="186" fillId="0" fontId="8" numFmtId="0" xfId="0" applyBorder="1" applyFont="1"/>
    <xf borderId="0" fillId="0" fontId="127" numFmtId="49" xfId="0" applyAlignment="1" applyFont="1" applyNumberFormat="1">
      <alignment vertical="bottom"/>
    </xf>
    <xf borderId="177" fillId="13" fontId="34" numFmtId="0" xfId="0" applyBorder="1" applyFont="1"/>
    <xf borderId="177" fillId="13" fontId="121" numFmtId="0" xfId="0" applyAlignment="1" applyBorder="1" applyFont="1">
      <alignment vertical="bottom"/>
    </xf>
    <xf borderId="94" fillId="13" fontId="121" numFmtId="0" xfId="0" applyAlignment="1" applyBorder="1" applyFont="1">
      <alignment vertical="bottom"/>
    </xf>
    <xf borderId="5" fillId="13" fontId="24" numFmtId="0" xfId="0" applyAlignment="1" applyBorder="1" applyFont="1">
      <alignment horizontal="center" shrinkToFit="0" wrapText="1"/>
    </xf>
    <xf borderId="5" fillId="13" fontId="24" numFmtId="0" xfId="0" applyAlignment="1" applyBorder="1" applyFont="1">
      <alignment readingOrder="0" shrinkToFit="0" wrapText="1"/>
    </xf>
    <xf borderId="0" fillId="13" fontId="25" numFmtId="0" xfId="0" applyAlignment="1" applyFont="1">
      <alignment horizontal="center" vertical="center"/>
    </xf>
    <xf borderId="176" fillId="13" fontId="25" numFmtId="0" xfId="0" applyAlignment="1" applyBorder="1" applyFont="1">
      <alignment horizontal="center" vertical="center"/>
    </xf>
    <xf borderId="5" fillId="13" fontId="34" numFmtId="0" xfId="0" applyBorder="1" applyFont="1"/>
    <xf borderId="5" fillId="13" fontId="24" numFmtId="0" xfId="0" applyAlignment="1" applyBorder="1" applyFont="1">
      <alignment horizontal="center"/>
    </xf>
    <xf borderId="177" fillId="13" fontId="24" numFmtId="49" xfId="0" applyBorder="1" applyFont="1" applyNumberFormat="1"/>
    <xf borderId="5" fillId="13" fontId="24" numFmtId="0" xfId="0" applyBorder="1" applyFont="1"/>
    <xf borderId="5" fillId="13" fontId="25" numFmtId="0" xfId="0" applyAlignment="1" applyBorder="1" applyFont="1">
      <alignment horizontal="center" vertical="center"/>
    </xf>
    <xf borderId="187" fillId="13" fontId="25" numFmtId="0" xfId="0" applyAlignment="1" applyBorder="1" applyFont="1">
      <alignment horizontal="center" vertical="center"/>
    </xf>
    <xf borderId="188" fillId="13" fontId="25" numFmtId="0" xfId="0" applyAlignment="1" applyBorder="1" applyFont="1">
      <alignment horizontal="center" vertical="center"/>
    </xf>
    <xf borderId="189" fillId="13" fontId="34" numFmtId="0" xfId="0" applyBorder="1" applyFont="1"/>
    <xf borderId="189" fillId="13" fontId="121" numFmtId="0" xfId="0" applyAlignment="1" applyBorder="1" applyFont="1">
      <alignment vertical="bottom"/>
    </xf>
    <xf borderId="190" fillId="13" fontId="121" numFmtId="0" xfId="0" applyAlignment="1" applyBorder="1" applyFont="1">
      <alignment vertical="bottom"/>
    </xf>
    <xf borderId="187" fillId="13" fontId="24" numFmtId="0" xfId="0" applyAlignment="1" applyBorder="1" applyFont="1">
      <alignment horizontal="center"/>
    </xf>
    <xf borderId="188" fillId="13" fontId="24" numFmtId="0" xfId="0" applyAlignment="1" applyBorder="1" applyFont="1">
      <alignment horizontal="center"/>
    </xf>
    <xf borderId="188" fillId="13" fontId="24" numFmtId="0" xfId="0" applyBorder="1" applyFont="1"/>
    <xf borderId="189" fillId="13" fontId="24" numFmtId="49" xfId="0" applyBorder="1" applyFont="1" applyNumberFormat="1"/>
    <xf borderId="0" fillId="0" fontId="4" numFmtId="0" xfId="0" applyAlignment="1" applyFont="1">
      <alignment horizontal="center" shrinkToFit="0" wrapText="0"/>
    </xf>
    <xf borderId="0" fillId="0" fontId="119" numFmtId="0" xfId="0" applyAlignment="1" applyFont="1">
      <alignment vertical="center"/>
    </xf>
    <xf borderId="156" fillId="30" fontId="27" numFmtId="0" xfId="0" applyAlignment="1" applyBorder="1" applyFont="1">
      <alignment vertical="center"/>
    </xf>
    <xf borderId="157" fillId="30" fontId="27" numFmtId="0" xfId="0" applyAlignment="1" applyBorder="1" applyFont="1">
      <alignment readingOrder="0" vertical="center"/>
    </xf>
    <xf borderId="0" fillId="44" fontId="2" numFmtId="0" xfId="0" applyAlignment="1" applyFont="1">
      <alignment vertical="center"/>
    </xf>
    <xf borderId="152" fillId="26" fontId="9" numFmtId="0" xfId="0" applyAlignment="1" applyBorder="1" applyFont="1">
      <alignment vertical="center"/>
    </xf>
    <xf borderId="191" fillId="6" fontId="2" numFmtId="0" xfId="0" applyAlignment="1" applyBorder="1" applyFont="1">
      <alignment vertical="center"/>
    </xf>
    <xf borderId="192" fillId="0" fontId="8" numFmtId="0" xfId="0" applyBorder="1" applyFont="1"/>
    <xf borderId="193" fillId="0" fontId="8" numFmtId="0" xfId="0" applyBorder="1" applyFont="1"/>
    <xf borderId="153" fillId="26" fontId="116" numFmtId="49" xfId="0" applyAlignment="1" applyBorder="1" applyFont="1" applyNumberFormat="1">
      <alignment horizontal="center" readingOrder="0" vertical="center"/>
    </xf>
    <xf borderId="193" fillId="6" fontId="27" numFmtId="0" xfId="0" applyAlignment="1" applyBorder="1" applyFont="1">
      <alignment vertical="center"/>
    </xf>
    <xf borderId="0" fillId="0" fontId="111" numFmtId="0" xfId="0" applyAlignment="1" applyFont="1">
      <alignment vertical="center"/>
    </xf>
    <xf borderId="0" fillId="0" fontId="1" numFmtId="167" xfId="0" applyAlignment="1" applyFont="1" applyNumberFormat="1">
      <alignment readingOrder="0"/>
    </xf>
    <xf borderId="0" fillId="0" fontId="1" numFmtId="0" xfId="0" applyAlignment="1" applyFont="1">
      <alignment readingOrder="0"/>
    </xf>
    <xf borderId="194" fillId="26" fontId="116" numFmtId="0" xfId="0" applyAlignment="1" applyBorder="1" applyFont="1">
      <alignment vertical="center"/>
    </xf>
    <xf borderId="195" fillId="26" fontId="116" numFmtId="49" xfId="0" applyAlignment="1" applyBorder="1" applyFont="1" applyNumberFormat="1">
      <alignment vertical="center"/>
    </xf>
    <xf borderId="196" fillId="6" fontId="27" numFmtId="0" xfId="0" applyAlignment="1" applyBorder="1" applyFont="1">
      <alignment vertical="center"/>
    </xf>
    <xf borderId="197" fillId="6" fontId="27" numFmtId="0" xfId="0" applyAlignment="1" applyBorder="1" applyFont="1">
      <alignment vertical="center"/>
    </xf>
    <xf borderId="0" fillId="0" fontId="27" numFmtId="0" xfId="0" applyAlignment="1" applyFont="1">
      <alignment vertical="center"/>
    </xf>
    <xf borderId="0" fillId="0" fontId="27" numFmtId="0" xfId="0" applyAlignment="1" applyFont="1">
      <alignment readingOrder="0" vertical="center"/>
    </xf>
    <xf borderId="0" fillId="0" fontId="27" numFmtId="49" xfId="0" applyAlignment="1" applyFont="1" applyNumberFormat="1">
      <alignment vertical="center"/>
    </xf>
    <xf borderId="0" fillId="0" fontId="1" numFmtId="49" xfId="0" applyAlignment="1" applyFont="1" applyNumberFormat="1">
      <alignment vertical="center"/>
    </xf>
    <xf borderId="5"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5" fillId="0" fontId="1" numFmtId="165" xfId="0" applyAlignment="1" applyBorder="1" applyFont="1" applyNumberFormat="1">
      <alignment vertical="center"/>
    </xf>
    <xf borderId="0" fillId="0" fontId="3" numFmtId="0" xfId="0" applyAlignment="1" applyFont="1">
      <alignment readingOrder="0"/>
    </xf>
    <xf borderId="198" fillId="0" fontId="59" numFmtId="49" xfId="0" applyAlignment="1" applyBorder="1" applyFont="1" applyNumberFormat="1">
      <alignment horizontal="center" vertical="center"/>
    </xf>
    <xf borderId="80" fillId="0" fontId="59" numFmtId="49" xfId="0" applyAlignment="1" applyBorder="1" applyFont="1" applyNumberFormat="1">
      <alignment horizontal="center" vertical="center"/>
    </xf>
    <xf borderId="80" fillId="0" fontId="59" numFmtId="49" xfId="0" applyAlignment="1" applyBorder="1" applyFont="1" applyNumberFormat="1">
      <alignment horizontal="left" vertical="center"/>
    </xf>
    <xf borderId="199" fillId="0" fontId="59" numFmtId="49" xfId="0" applyAlignment="1" applyBorder="1" applyFont="1" applyNumberFormat="1">
      <alignment horizontal="center" vertical="center"/>
    </xf>
    <xf borderId="200" fillId="6" fontId="62" numFmtId="1" xfId="0" applyAlignment="1" applyBorder="1" applyFont="1" applyNumberFormat="1">
      <alignment horizontal="center" vertical="center"/>
    </xf>
    <xf borderId="0" fillId="0" fontId="128" numFmtId="49" xfId="0" applyFont="1" applyNumberFormat="1"/>
    <xf borderId="201" fillId="9" fontId="62" numFmtId="1" xfId="0" applyAlignment="1" applyBorder="1" applyFont="1" applyNumberFormat="1">
      <alignment horizontal="center" vertical="center"/>
    </xf>
    <xf borderId="201" fillId="7" fontId="62" numFmtId="1" xfId="0" applyAlignment="1" applyBorder="1" applyFont="1" applyNumberFormat="1">
      <alignment horizontal="center" vertical="center"/>
    </xf>
    <xf borderId="201" fillId="11" fontId="62" numFmtId="1" xfId="0" applyAlignment="1" applyBorder="1" applyFont="1" applyNumberFormat="1">
      <alignment horizontal="center" vertical="center"/>
    </xf>
    <xf borderId="201" fillId="12" fontId="62" numFmtId="1" xfId="0" applyAlignment="1" applyBorder="1" applyFont="1" applyNumberFormat="1">
      <alignment horizontal="center" vertical="center"/>
    </xf>
    <xf borderId="201" fillId="8" fontId="62" numFmtId="1" xfId="0" applyAlignment="1" applyBorder="1" applyFont="1" applyNumberFormat="1">
      <alignment horizontal="center" vertical="center"/>
    </xf>
    <xf borderId="201" fillId="16" fontId="62" numFmtId="1" xfId="0" applyAlignment="1" applyBorder="1" applyFont="1" applyNumberFormat="1">
      <alignment horizontal="center" vertical="center"/>
    </xf>
    <xf borderId="201" fillId="17" fontId="62" numFmtId="1" xfId="0" applyAlignment="1" applyBorder="1" applyFont="1" applyNumberFormat="1">
      <alignment horizontal="center" vertical="center"/>
    </xf>
    <xf borderId="201" fillId="6" fontId="62" numFmtId="1" xfId="0" applyAlignment="1" applyBorder="1" applyFont="1" applyNumberFormat="1">
      <alignment horizontal="center" vertical="center"/>
    </xf>
    <xf borderId="201" fillId="20" fontId="62" numFmtId="1" xfId="0" applyAlignment="1" applyBorder="1" applyFont="1" applyNumberFormat="1">
      <alignment horizontal="center" vertical="center"/>
    </xf>
    <xf borderId="201" fillId="23" fontId="62" numFmtId="1" xfId="0" applyAlignment="1" applyBorder="1" applyFont="1" applyNumberFormat="1">
      <alignment horizontal="center" shrinkToFit="0" vertical="center" wrapText="0"/>
    </xf>
    <xf borderId="201" fillId="23" fontId="62" numFmtId="1" xfId="0" applyAlignment="1" applyBorder="1" applyFont="1" applyNumberFormat="1">
      <alignment horizontal="center" vertical="center"/>
    </xf>
    <xf borderId="202" fillId="0" fontId="59" numFmtId="49" xfId="0" applyAlignment="1" applyBorder="1" applyFont="1" applyNumberFormat="1">
      <alignment horizontal="center" vertical="center"/>
    </xf>
    <xf borderId="82" fillId="0" fontId="59" numFmtId="49" xfId="0" applyAlignment="1" applyBorder="1" applyFont="1" applyNumberFormat="1">
      <alignment horizontal="center" vertical="center"/>
    </xf>
    <xf borderId="203" fillId="0" fontId="59" numFmtId="49" xfId="0" applyAlignment="1" applyBorder="1" applyFont="1" applyNumberFormat="1">
      <alignment horizontal="center" vertical="center"/>
    </xf>
    <xf borderId="0" fillId="0" fontId="59" numFmtId="49" xfId="0" applyAlignment="1" applyFont="1" applyNumberFormat="1">
      <alignment horizontal="center"/>
    </xf>
    <xf borderId="0" fillId="0" fontId="62" numFmtId="49" xfId="0" applyAlignment="1" applyFont="1" applyNumberFormat="1">
      <alignment horizontal="center"/>
    </xf>
    <xf borderId="0" fillId="0" fontId="59" numFmtId="49" xfId="0" applyAlignment="1" applyFont="1" applyNumberFormat="1">
      <alignment horizontal="center" shrinkToFit="0" wrapText="0"/>
    </xf>
    <xf borderId="0" fillId="0" fontId="1" numFmtId="49" xfId="0" applyAlignment="1" applyFont="1" applyNumberFormat="1">
      <alignment horizontal="center" vertical="center"/>
    </xf>
    <xf borderId="0" fillId="0" fontId="129" numFmtId="49" xfId="0" applyAlignment="1" applyFont="1" applyNumberFormat="1">
      <alignment horizontal="center"/>
    </xf>
    <xf borderId="0" fillId="0" fontId="130" numFmtId="49" xfId="0" applyAlignment="1" applyFont="1" applyNumberFormat="1">
      <alignment horizontal="center" vertical="center"/>
    </xf>
    <xf borderId="0" fillId="0" fontId="1" numFmtId="165" xfId="0" applyAlignment="1" applyFont="1" applyNumberFormat="1">
      <alignment vertical="center"/>
    </xf>
    <xf borderId="0" fillId="0" fontId="62" numFmtId="0" xfId="0" applyFont="1"/>
    <xf borderId="0" fillId="0" fontId="130" numFmtId="0" xfId="0" applyFont="1"/>
    <xf borderId="0" fillId="0" fontId="129" numFmtId="0" xfId="0" applyFont="1"/>
    <xf borderId="0" fillId="0" fontId="129" numFmtId="0" xfId="0" applyAlignment="1" applyFont="1">
      <alignment horizontal="center"/>
    </xf>
    <xf borderId="0" fillId="0" fontId="129" numFmtId="0" xfId="0" applyAlignment="1" applyFont="1">
      <alignment shrinkToFit="0" wrapText="0"/>
    </xf>
    <xf borderId="0" fillId="0" fontId="41" numFmtId="0" xfId="0" applyFont="1"/>
    <xf borderId="0" fillId="0" fontId="130" numFmtId="0" xfId="0" applyAlignment="1" applyFont="1">
      <alignment horizontal="center"/>
    </xf>
    <xf borderId="0" fillId="0" fontId="59" numFmtId="1" xfId="0" applyAlignment="1" applyFont="1" applyNumberFormat="1">
      <alignment horizontal="center"/>
    </xf>
    <xf borderId="0" fillId="0" fontId="57" numFmtId="49" xfId="0" applyAlignment="1" applyFont="1" applyNumberFormat="1">
      <alignment horizontal="center"/>
    </xf>
    <xf borderId="0" fillId="0" fontId="130" numFmtId="49" xfId="0" applyAlignment="1" applyFont="1" applyNumberFormat="1">
      <alignment horizontal="left" vertical="center"/>
    </xf>
    <xf borderId="0" fillId="0" fontId="131" numFmtId="49" xfId="0" applyAlignment="1" applyFont="1" applyNumberFormat="1">
      <alignment horizontal="left" vertical="center"/>
    </xf>
    <xf borderId="0" fillId="0" fontId="132" numFmtId="49" xfId="0" applyAlignment="1" applyFont="1" applyNumberFormat="1">
      <alignment horizontal="center"/>
    </xf>
    <xf borderId="0" fillId="0" fontId="130" numFmtId="49" xfId="0" applyAlignment="1" applyFont="1" applyNumberFormat="1">
      <alignment horizontal="center"/>
    </xf>
    <xf borderId="80" fillId="0" fontId="20" numFmtId="49" xfId="0" applyAlignment="1" applyBorder="1" applyFont="1" applyNumberFormat="1">
      <alignment horizontal="center"/>
    </xf>
    <xf borderId="80" fillId="0" fontId="20" numFmtId="49" xfId="0" applyAlignment="1" applyBorder="1" applyFont="1" applyNumberFormat="1">
      <alignment horizontal="left"/>
    </xf>
    <xf borderId="199" fillId="0" fontId="20" numFmtId="49" xfId="0" applyAlignment="1" applyBorder="1" applyFont="1" applyNumberFormat="1">
      <alignment horizontal="center"/>
    </xf>
    <xf borderId="201" fillId="6" fontId="24" numFmtId="1" xfId="0" applyAlignment="1" applyBorder="1" applyFont="1" applyNumberFormat="1">
      <alignment horizontal="center" vertical="center"/>
    </xf>
    <xf borderId="204" fillId="0" fontId="20" numFmtId="0" xfId="0" applyAlignment="1" applyBorder="1" applyFont="1">
      <alignment horizontal="center" readingOrder="0" vertical="center"/>
    </xf>
    <xf borderId="201" fillId="9" fontId="24" numFmtId="1" xfId="0" applyAlignment="1" applyBorder="1" applyFont="1" applyNumberFormat="1">
      <alignment horizontal="center" vertical="center"/>
    </xf>
    <xf borderId="201" fillId="7" fontId="24" numFmtId="1" xfId="0" applyAlignment="1" applyBorder="1" applyFont="1" applyNumberFormat="1">
      <alignment horizontal="center" vertical="center"/>
    </xf>
    <xf borderId="201" fillId="11" fontId="24" numFmtId="1" xfId="0" applyAlignment="1" applyBorder="1" applyFont="1" applyNumberFormat="1">
      <alignment horizontal="center" vertical="center"/>
    </xf>
    <xf borderId="201" fillId="12" fontId="24" numFmtId="1" xfId="0" applyAlignment="1" applyBorder="1" applyFont="1" applyNumberFormat="1">
      <alignment horizontal="center" vertical="center"/>
    </xf>
    <xf borderId="201" fillId="8" fontId="24" numFmtId="1" xfId="0" applyAlignment="1" applyBorder="1" applyFont="1" applyNumberFormat="1">
      <alignment horizontal="center" vertical="center"/>
    </xf>
    <xf borderId="201" fillId="16" fontId="24" numFmtId="1" xfId="0" applyAlignment="1" applyBorder="1" applyFont="1" applyNumberFormat="1">
      <alignment horizontal="center" vertical="center"/>
    </xf>
    <xf borderId="201" fillId="17" fontId="24" numFmtId="1" xfId="0" applyAlignment="1" applyBorder="1" applyFont="1" applyNumberFormat="1">
      <alignment horizontal="center" vertical="center"/>
    </xf>
    <xf borderId="201" fillId="20" fontId="24" numFmtId="1" xfId="0" applyAlignment="1" applyBorder="1" applyFont="1" applyNumberFormat="1">
      <alignment horizontal="center" vertical="center"/>
    </xf>
    <xf borderId="201" fillId="23" fontId="24" numFmtId="1" xfId="0" applyAlignment="1" applyBorder="1" applyFont="1" applyNumberFormat="1">
      <alignment horizontal="center" vertical="center"/>
    </xf>
    <xf borderId="205" fillId="0" fontId="20" numFmtId="0" xfId="0" applyAlignment="1" applyBorder="1" applyFont="1">
      <alignment horizontal="center" readingOrder="0" vertical="center"/>
    </xf>
    <xf borderId="206" fillId="0" fontId="20" numFmtId="49" xfId="0" applyAlignment="1" applyBorder="1" applyFont="1" applyNumberFormat="1">
      <alignment horizontal="center" readingOrder="0" vertical="center"/>
    </xf>
    <xf borderId="207" fillId="0" fontId="20" numFmtId="49" xfId="0" applyAlignment="1" applyBorder="1" applyFont="1" applyNumberFormat="1">
      <alignment horizontal="center" readingOrder="0" vertical="center"/>
    </xf>
    <xf borderId="208" fillId="0" fontId="20" numFmtId="49" xfId="0" applyAlignment="1" applyBorder="1" applyFont="1" applyNumberFormat="1">
      <alignment horizontal="center" readingOrder="0" vertical="center"/>
    </xf>
    <xf borderId="209" fillId="0" fontId="20" numFmtId="49" xfId="0" applyAlignment="1" applyBorder="1" applyFont="1" applyNumberFormat="1">
      <alignment horizontal="center" readingOrder="0" vertical="center"/>
    </xf>
    <xf borderId="82" fillId="0" fontId="20" numFmtId="49" xfId="0" applyAlignment="1" applyBorder="1" applyFont="1" applyNumberFormat="1">
      <alignment horizontal="center" readingOrder="0" vertical="center"/>
    </xf>
    <xf borderId="210" fillId="0" fontId="20" numFmtId="49" xfId="0" applyAlignment="1" applyBorder="1" applyFont="1" applyNumberFormat="1">
      <alignment horizontal="center" readingOrder="0" vertical="center"/>
    </xf>
  </cellXfs>
  <cellStyles count="1">
    <cellStyle xfId="0" name="Normal" builtinId="0"/>
  </cellStyles>
  <dxfs count="12">
    <dxf>
      <font/>
      <fill>
        <patternFill patternType="solid">
          <fgColor rgb="FFB7E1CD"/>
          <bgColor rgb="FFB7E1CD"/>
        </patternFill>
      </fill>
      <border/>
    </dxf>
    <dxf>
      <font>
        <color rgb="FFFFFFFF"/>
      </font>
      <fill>
        <patternFill patternType="solid">
          <fgColor rgb="FFDD7E6B"/>
          <bgColor rgb="FFDD7E6B"/>
        </patternFill>
      </fill>
      <border/>
    </dxf>
    <dxf>
      <font>
        <color theme="0"/>
      </font>
      <fill>
        <patternFill patternType="none"/>
      </fill>
      <border/>
    </dxf>
    <dxf>
      <font>
        <color rgb="FFFFFFFF"/>
      </font>
      <fill>
        <patternFill patternType="none"/>
      </fill>
      <border/>
    </dxf>
    <dxf>
      <font>
        <strike/>
      </font>
      <fill>
        <patternFill patternType="none"/>
      </fill>
      <border/>
    </dxf>
    <dxf>
      <font>
        <strike/>
        <color rgb="FF000000"/>
      </font>
      <fill>
        <patternFill patternType="none"/>
      </fill>
      <border/>
    </dxf>
    <dxf>
      <font/>
      <fill>
        <patternFill patternType="solid">
          <fgColor rgb="FFDD7E6B"/>
          <bgColor rgb="FFDD7E6B"/>
        </patternFill>
      </fill>
      <border/>
    </dxf>
    <dxf>
      <font>
        <color rgb="FFFFFFFF"/>
      </font>
      <fill>
        <patternFill patternType="solid">
          <fgColor rgb="FFFFFFFF"/>
          <bgColor rgb="FFFFFFFF"/>
        </patternFill>
      </fill>
      <border/>
    </dxf>
    <dxf>
      <font>
        <color rgb="FFFFFFFF"/>
      </font>
      <fill>
        <patternFill patternType="solid">
          <fgColor rgb="FF980000"/>
          <bgColor rgb="FF980000"/>
        </patternFill>
      </fill>
      <border/>
    </dxf>
    <dxf>
      <font>
        <color rgb="FF000000"/>
      </font>
      <fill>
        <patternFill patternType="solid">
          <fgColor rgb="FF000000"/>
          <bgColor rgb="FF000000"/>
        </patternFill>
      </fill>
      <border/>
    </dxf>
    <dxf>
      <font>
        <strike/>
      </font>
      <fill>
        <patternFill patternType="solid">
          <fgColor rgb="FFFF9900"/>
          <bgColor rgb="FFFF9900"/>
        </patternFill>
      </fill>
      <border/>
    </dxf>
    <dxf>
      <font>
        <strike/>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1438275</xdr:colOff>
      <xdr:row>82</xdr:row>
      <xdr:rowOff>190500</xdr:rowOff>
    </xdr:from>
    <xdr:ext cx="1076325" cy="1285875"/>
    <xdr:sp>
      <xdr:nvSpPr>
        <xdr:cNvPr id="3" name="Shape 3"/>
        <xdr:cNvSpPr/>
      </xdr:nvSpPr>
      <xdr:spPr>
        <a:xfrm>
          <a:off x="98309" y="193200"/>
          <a:ext cx="1057500" cy="1271100"/>
        </a:xfrm>
        <a:prstGeom prst="rec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Pas Foto</a:t>
          </a:r>
          <a:br>
            <a:rPr lang="en-US" sz="1400"/>
          </a:br>
          <a:r>
            <a:rPr lang="en-US" sz="1400"/>
            <a:t>3x4</a:t>
          </a:r>
          <a:endParaRPr sz="1400"/>
        </a:p>
      </xdr:txBody>
    </xdr:sp>
    <xdr:clientData fLocksWithSheet="0"/>
  </xdr:oneCellAnchor>
  <xdr:oneCellAnchor>
    <xdr:from>
      <xdr:col>0</xdr:col>
      <xdr:colOff>0</xdr:colOff>
      <xdr:row>0</xdr:row>
      <xdr:rowOff>0</xdr:rowOff>
    </xdr:from>
    <xdr:ext cx="1714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xdr:row>
      <xdr:rowOff>0</xdr:rowOff>
    </xdr:from>
    <xdr:ext cx="20955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4</xdr:row>
      <xdr:rowOff>495300</xdr:rowOff>
    </xdr:from>
    <xdr:ext cx="1257300" cy="276225"/>
    <xdr:sp>
      <xdr:nvSpPr>
        <xdr:cNvPr id="4" name="Shape 4"/>
        <xdr:cNvSpPr/>
      </xdr:nvSpPr>
      <xdr:spPr>
        <a:xfrm>
          <a:off x="2149425" y="1740400"/>
          <a:ext cx="1492800" cy="317100"/>
        </a:xfrm>
        <a:prstGeom prst="homePlate">
          <a:avLst>
            <a:gd fmla="val 50000" name="adj"/>
          </a:avLst>
        </a:prstGeom>
        <a:solidFill>
          <a:srgbClr val="CFE2F3"/>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Paste Disini</a:t>
          </a:r>
          <a:endParaRPr sz="1400"/>
        </a:p>
      </xdr:txBody>
    </xdr:sp>
    <xdr:clientData fLocksWithSheet="0"/>
  </xdr:oneCellAnchor>
  <xdr:oneCellAnchor>
    <xdr:from>
      <xdr:col>2</xdr:col>
      <xdr:colOff>47625</xdr:colOff>
      <xdr:row>2</xdr:row>
      <xdr:rowOff>19050</xdr:rowOff>
    </xdr:from>
    <xdr:ext cx="1152525" cy="847725"/>
    <xdr:sp>
      <xdr:nvSpPr>
        <xdr:cNvPr id="5" name="Shape 5"/>
        <xdr:cNvSpPr/>
      </xdr:nvSpPr>
      <xdr:spPr>
        <a:xfrm>
          <a:off x="2640750" y="1436800"/>
          <a:ext cx="1645500" cy="12021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01.</a:t>
          </a:r>
          <a:br>
            <a:rPr b="1" lang="en-US" sz="1400"/>
          </a:br>
          <a:r>
            <a:rPr b="1" lang="en-US" sz="1400"/>
            <a:t>PASTE KE SINI</a:t>
          </a:r>
          <a:endParaRPr b="1" sz="1400"/>
        </a:p>
      </xdr:txBody>
    </xdr:sp>
    <xdr:clientData fLocksWithSheet="0"/>
  </xdr:oneCellAnchor>
  <xdr:oneCellAnchor>
    <xdr:from>
      <xdr:col>16</xdr:col>
      <xdr:colOff>1219200</xdr:colOff>
      <xdr:row>2</xdr:row>
      <xdr:rowOff>19050</xdr:rowOff>
    </xdr:from>
    <xdr:ext cx="1190625" cy="847725"/>
    <xdr:sp>
      <xdr:nvSpPr>
        <xdr:cNvPr id="6" name="Shape 6"/>
        <xdr:cNvSpPr/>
      </xdr:nvSpPr>
      <xdr:spPr>
        <a:xfrm>
          <a:off x="2640750" y="1436800"/>
          <a:ext cx="1645500" cy="12021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03.</a:t>
          </a:r>
          <a:br>
            <a:rPr b="1" lang="en-US" sz="1400"/>
          </a:br>
          <a:r>
            <a:rPr b="1" lang="en-US" sz="1400"/>
            <a:t>COPY KOLOM NILAI</a:t>
          </a:r>
          <a:endParaRPr b="1" sz="1400"/>
        </a:p>
      </xdr:txBody>
    </xdr:sp>
    <xdr:clientData fLocksWithSheet="0"/>
  </xdr:oneCellAnchor>
  <xdr:oneCellAnchor>
    <xdr:from>
      <xdr:col>8</xdr:col>
      <xdr:colOff>285750</xdr:colOff>
      <xdr:row>1</xdr:row>
      <xdr:rowOff>38100</xdr:rowOff>
    </xdr:from>
    <xdr:ext cx="2333625" cy="1695450"/>
    <xdr:sp>
      <xdr:nvSpPr>
        <xdr:cNvPr id="7" name="Shape 7"/>
        <xdr:cNvSpPr/>
      </xdr:nvSpPr>
      <xdr:spPr>
        <a:xfrm>
          <a:off x="2561925" y="855450"/>
          <a:ext cx="3084000" cy="2236800"/>
        </a:xfrm>
        <a:prstGeom prst="rect">
          <a:avLst/>
        </a:prstGeom>
        <a:solidFill>
          <a:srgbClr val="FF99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100"/>
            <a:t>02.</a:t>
          </a:r>
          <a:br>
            <a:rPr b="1" lang="en-US" sz="1100"/>
          </a:br>
          <a:r>
            <a:rPr b="1" lang="en-US" sz="1100"/>
            <a:t>Perhatikan yg warna merah saja !.</a:t>
          </a:r>
          <a:br>
            <a:rPr b="1" lang="en-US" sz="1100"/>
          </a:br>
          <a:r>
            <a:rPr lang="en-US" sz="1100"/>
            <a:t>-Jika salah nama (kurang huruf, spasi lebih, koreksi dulu!)</a:t>
          </a:r>
          <a:br>
            <a:rPr b="1" lang="en-US" sz="1100"/>
          </a:br>
          <a:endParaRPr b="1" sz="1100"/>
        </a:p>
        <a:p>
          <a:pPr indent="0" lvl="0" marL="0" rtl="0" algn="l">
            <a:spcBef>
              <a:spcPts val="0"/>
            </a:spcBef>
            <a:spcAft>
              <a:spcPts val="0"/>
            </a:spcAft>
            <a:buNone/>
          </a:pPr>
          <a:r>
            <a:rPr lang="en-US" sz="1100"/>
            <a:t>-Jika Siswa nya memang sudah keluar abaikan saja</a:t>
          </a:r>
          <a:endParaRPr sz="11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mknegeri1plered.sch.id"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script.google.com/macros/s/AKfycbwZ6bYw9LEM7mMvyyj6FK5mpd6B48Ny6pFvBuWrWPLBwa9Ohh-3kba3IxYKSS2_eP0vFQ/exec" TargetMode="External"/><Relationship Id="rId10" Type="http://schemas.openxmlformats.org/officeDocument/2006/relationships/hyperlink" Target="https://script.google.com/macros/s/AKfycbxiGOJIScu6TFOPdZ1AEFDNLiZhbUPz-yQ1b8j-thDYqTrdS9mM2ipsbBGfXWy17XrMFQ/exec" TargetMode="External"/><Relationship Id="rId13" Type="http://schemas.openxmlformats.org/officeDocument/2006/relationships/hyperlink" Target="https://script.google.com/macros/s/AKfycbzUidbKLLzw_xqQi12WoHq4TIaqfwJU6XiLXiXoK0u_lWByhoNyvhotihnjWX3qVeEH/exec" TargetMode="External"/><Relationship Id="rId12" Type="http://schemas.openxmlformats.org/officeDocument/2006/relationships/hyperlink" Target="https://script.google.com/macros/s/AKfycbzsreCRijV0r9MZokFyi8TiO_Ca0_OB0nE_0jLiVlXFvU2YkxCkUAAE-DCoKg4qXOgq/exec" TargetMode="External"/><Relationship Id="rId1" Type="http://schemas.openxmlformats.org/officeDocument/2006/relationships/hyperlink" Target="https://script.google.com/macros/s/AKfycbyHHBq619phZBghZCg0e_YCshYaHpSBIIxn1lCz-aE5NAnb1tB5ycLEP5fXHrOcksxL-w/exec" TargetMode="External"/><Relationship Id="rId2" Type="http://schemas.openxmlformats.org/officeDocument/2006/relationships/hyperlink" Target="https://script.google.com/macros/s/AKfycbzUFHZdLgTRIDENHsTS8AUOl9YpzAmMFmnbl1aYLfjvdsGC0g6dryzpOQIRCc6arBe0qg/exec" TargetMode="External"/><Relationship Id="rId3" Type="http://schemas.openxmlformats.org/officeDocument/2006/relationships/hyperlink" Target="https://script.google.com/macros/s/AKfycbyraBUKJN6JghSRcHlYIuv2UdH-ID6zrRmZlyTMMzxzVvulWY9aJx1QNxEFXCJ-JY6K/exec" TargetMode="External"/><Relationship Id="rId4" Type="http://schemas.openxmlformats.org/officeDocument/2006/relationships/hyperlink" Target="https://script.google.com/macros/s/AKfycbwdL0R1GSaxcCu2AqHf3vJhNpyNWqTPBsAOSNWu75YMs33aITZvDQVdQiJhjdmw5HdSFA/exec" TargetMode="External"/><Relationship Id="rId9" Type="http://schemas.openxmlformats.org/officeDocument/2006/relationships/hyperlink" Target="https://script.google.com/macros/s/AKfycbw6qAmRvS1X0-5IcFlhyO5zSWykIzHKr6lngUTzH_bVSlhAdd17csVazRzrj4keayU1/exec" TargetMode="External"/><Relationship Id="rId15" Type="http://schemas.openxmlformats.org/officeDocument/2006/relationships/hyperlink" Target="https://script.google.com/macros/s/AKfycbyq05o4rDN10lVt-IgB1jTXQ7YW3RZBa2gHILzaWOPjtdKOU3fVYs4pEtrwN8l1sQkspw/exec" TargetMode="External"/><Relationship Id="rId14" Type="http://schemas.openxmlformats.org/officeDocument/2006/relationships/hyperlink" Target="https://script.google.com/macros/s/AKfycbw_lCxFFcWDKl6LUj48J-oD4dtPupOUprr-r8zZc1IdD_Issw18v1O7PNu9lh4bi-k2VA/exec" TargetMode="External"/><Relationship Id="rId17" Type="http://schemas.openxmlformats.org/officeDocument/2006/relationships/hyperlink" Target="https://script.google.com/macros/s/AKfycbzdQ4eYVkxjH0GgSMoQ-RGTq50443ifzoPA9go_yZsW51FV4wD3MPR_VVURnHtV5EmI/exec" TargetMode="External"/><Relationship Id="rId16" Type="http://schemas.openxmlformats.org/officeDocument/2006/relationships/hyperlink" Target="http://smknegeri1plered.sch.id" TargetMode="External"/><Relationship Id="rId5" Type="http://schemas.openxmlformats.org/officeDocument/2006/relationships/hyperlink" Target="https://script.google.com/macros/s/AKfycbxkrxZYmB3COvub5lHfOsOkML89kV5HMY5wIMwQxuMeKAz7neKTCTVtmYhzZR3xGpThWA/exec" TargetMode="External"/><Relationship Id="rId6" Type="http://schemas.openxmlformats.org/officeDocument/2006/relationships/hyperlink" Target="https://script.google.com/macros/s/AKfycbw49J0iGQloAIgsRtMTUXElhHFcfj74pHbNz7rk06jhoQMzCJSeimltyJF4eATCohrK1A/exec" TargetMode="External"/><Relationship Id="rId18" Type="http://schemas.openxmlformats.org/officeDocument/2006/relationships/drawing" Target="../drawings/drawing18.xml"/><Relationship Id="rId7" Type="http://schemas.openxmlformats.org/officeDocument/2006/relationships/hyperlink" Target="https://script.google.com/macros/s/AKfycby7t-Ga43T-KB6altCyd1OLayLnTdBHugvk6JhPxKuE87glkdC1hIPZFVTnFVeKxek/exec" TargetMode="External"/><Relationship Id="rId8" Type="http://schemas.openxmlformats.org/officeDocument/2006/relationships/hyperlink" Target="https://script.google.com/macros/s/AKfycby1h0BMwfniFKFWivKaGT-vXU4WGMpV757EURffKwAg-mQpzkS6JrJtYpuQJcIQrX3r4A/exec"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4.43"/>
    <col customWidth="1" min="2" max="2" width="16.86"/>
    <col customWidth="1" min="3" max="3" width="15.14"/>
    <col customWidth="1" min="4" max="4" width="36.57"/>
    <col customWidth="1" min="5" max="5" width="11.29"/>
    <col customWidth="1" min="6" max="6" width="17.43"/>
    <col customWidth="1" min="7" max="71" width="8.71"/>
    <col customWidth="1" hidden="1" min="72" max="86" width="8.71"/>
  </cols>
  <sheetData>
    <row r="1" ht="12.75" hidden="1" customHeight="1">
      <c r="A1" s="4">
        <v>1.0</v>
      </c>
      <c r="B1" s="5">
        <v>2.0</v>
      </c>
      <c r="C1" s="4">
        <v>3.0</v>
      </c>
      <c r="D1" s="5">
        <v>4.0</v>
      </c>
      <c r="E1" s="4">
        <v>5.0</v>
      </c>
      <c r="F1" s="5">
        <v>6.0</v>
      </c>
      <c r="G1" s="4">
        <v>7.0</v>
      </c>
      <c r="H1" s="5">
        <v>8.0</v>
      </c>
      <c r="I1" s="4">
        <v>9.0</v>
      </c>
      <c r="J1" s="6">
        <v>10.0</v>
      </c>
      <c r="K1" s="4">
        <v>11.0</v>
      </c>
      <c r="L1" s="5">
        <v>12.0</v>
      </c>
      <c r="M1" s="4">
        <v>13.0</v>
      </c>
      <c r="N1" s="5">
        <v>14.0</v>
      </c>
      <c r="O1" s="4">
        <v>15.0</v>
      </c>
      <c r="P1" s="5">
        <v>16.0</v>
      </c>
      <c r="Q1" s="4">
        <v>17.0</v>
      </c>
      <c r="R1" s="5">
        <v>18.0</v>
      </c>
      <c r="S1" s="4">
        <v>19.0</v>
      </c>
      <c r="T1" s="5">
        <v>20.0</v>
      </c>
      <c r="U1" s="4">
        <v>21.0</v>
      </c>
      <c r="V1" s="5">
        <v>22.0</v>
      </c>
      <c r="W1" s="4">
        <v>23.0</v>
      </c>
      <c r="X1" s="5">
        <v>24.0</v>
      </c>
      <c r="Y1" s="4">
        <v>25.0</v>
      </c>
      <c r="Z1" s="5">
        <v>26.0</v>
      </c>
      <c r="AA1" s="4">
        <v>27.0</v>
      </c>
      <c r="AB1" s="5">
        <v>28.0</v>
      </c>
      <c r="AC1" s="4">
        <v>29.0</v>
      </c>
      <c r="AD1" s="5">
        <v>30.0</v>
      </c>
      <c r="AE1" s="4">
        <v>31.0</v>
      </c>
      <c r="AF1" s="5">
        <v>32.0</v>
      </c>
      <c r="AG1" s="4">
        <v>33.0</v>
      </c>
      <c r="AH1" s="5">
        <v>34.0</v>
      </c>
      <c r="AI1" s="4">
        <v>35.0</v>
      </c>
      <c r="AJ1" s="5">
        <v>36.0</v>
      </c>
      <c r="AK1" s="4">
        <v>37.0</v>
      </c>
      <c r="AL1" s="4">
        <v>37.0</v>
      </c>
      <c r="AM1" s="4">
        <v>39.0</v>
      </c>
      <c r="AN1" s="5">
        <v>40.0</v>
      </c>
      <c r="AO1" s="4">
        <v>41.0</v>
      </c>
      <c r="AP1" s="5">
        <v>42.0</v>
      </c>
      <c r="AQ1" s="4">
        <v>43.0</v>
      </c>
      <c r="AR1" s="5">
        <v>44.0</v>
      </c>
      <c r="AS1" s="4">
        <v>45.0</v>
      </c>
      <c r="AT1" s="5">
        <v>46.0</v>
      </c>
      <c r="AU1" s="4">
        <v>47.0</v>
      </c>
      <c r="AV1" s="5">
        <v>48.0</v>
      </c>
      <c r="AW1" s="4">
        <v>49.0</v>
      </c>
      <c r="AX1" s="5">
        <v>50.0</v>
      </c>
      <c r="AY1" s="4">
        <v>51.0</v>
      </c>
      <c r="AZ1" s="5">
        <v>52.0</v>
      </c>
      <c r="BA1" s="4">
        <v>53.0</v>
      </c>
      <c r="BB1" s="5">
        <v>54.0</v>
      </c>
      <c r="BC1" s="4">
        <v>55.0</v>
      </c>
      <c r="BD1" s="5">
        <v>56.0</v>
      </c>
      <c r="BE1" s="4">
        <v>57.0</v>
      </c>
      <c r="BF1" s="5">
        <v>58.0</v>
      </c>
      <c r="BG1" s="4">
        <v>59.0</v>
      </c>
      <c r="BH1" s="5">
        <v>60.0</v>
      </c>
      <c r="BI1" s="4">
        <v>61.0</v>
      </c>
      <c r="BJ1" s="5">
        <v>62.0</v>
      </c>
      <c r="BK1" s="4">
        <v>63.0</v>
      </c>
      <c r="BL1" s="5">
        <v>64.0</v>
      </c>
      <c r="BM1" s="4">
        <v>65.0</v>
      </c>
      <c r="BN1" s="5">
        <v>66.0</v>
      </c>
      <c r="BO1" s="4">
        <v>67.0</v>
      </c>
      <c r="BP1" s="5">
        <v>68.0</v>
      </c>
      <c r="BQ1" s="4">
        <v>69.0</v>
      </c>
      <c r="BR1" s="5">
        <v>70.0</v>
      </c>
      <c r="BS1" s="4">
        <v>71.0</v>
      </c>
      <c r="BT1" s="5">
        <v>76.0</v>
      </c>
      <c r="BU1" s="5">
        <v>72.0</v>
      </c>
      <c r="BV1" s="4">
        <v>73.0</v>
      </c>
      <c r="BW1" s="5">
        <v>74.0</v>
      </c>
      <c r="BX1" s="4">
        <v>75.0</v>
      </c>
      <c r="BY1" s="5">
        <v>76.0</v>
      </c>
      <c r="BZ1" s="4">
        <v>77.0</v>
      </c>
      <c r="CA1" s="5">
        <v>78.0</v>
      </c>
      <c r="CB1" s="4">
        <v>79.0</v>
      </c>
      <c r="CC1" s="5">
        <v>80.0</v>
      </c>
      <c r="CD1" s="4">
        <v>81.0</v>
      </c>
      <c r="CE1" s="5">
        <v>82.0</v>
      </c>
      <c r="CF1" s="4">
        <v>83.0</v>
      </c>
      <c r="CG1" s="5">
        <v>84.0</v>
      </c>
      <c r="CH1" s="4">
        <v>85.0</v>
      </c>
    </row>
    <row r="2" ht="27.75" hidden="1" customHeight="1">
      <c r="A2" s="9" t="str">
        <f t="shared" ref="A2:F2" si="1">A3</f>
        <v>NO</v>
      </c>
      <c r="B2" s="10" t="str">
        <f t="shared" si="1"/>
        <v>NIS</v>
      </c>
      <c r="C2" s="10" t="str">
        <f t="shared" si="1"/>
        <v>NISN</v>
      </c>
      <c r="D2" s="11" t="str">
        <f t="shared" si="1"/>
        <v>NAMA</v>
      </c>
      <c r="E2" s="10" t="str">
        <f t="shared" si="1"/>
        <v>KELAS</v>
      </c>
      <c r="F2" s="10" t="str">
        <f t="shared" si="1"/>
        <v>SEMESTER</v>
      </c>
      <c r="G2" s="9" t="str">
        <f t="shared" ref="G2:K2" si="2">$H3&amp;" "&amp;G4</f>
        <v>PAI SUMATIF 1</v>
      </c>
      <c r="H2" s="9" t="str">
        <f t="shared" si="2"/>
        <v>PAI SUMATIF 2</v>
      </c>
      <c r="I2" s="9" t="str">
        <f t="shared" si="2"/>
        <v>PAI SUMATIF 3</v>
      </c>
      <c r="J2" s="13" t="str">
        <f t="shared" si="2"/>
        <v>PAI RATA-RATA SUMATIF</v>
      </c>
      <c r="K2" s="9" t="str">
        <f t="shared" si="2"/>
        <v>PAI NILAI SUMATIF AKHIR</v>
      </c>
      <c r="L2" s="9" t="str">
        <f t="shared" ref="L2:P2" si="3">$M3&amp;" "&amp;L4</f>
        <v>PKN SUMATIF 1</v>
      </c>
      <c r="M2" s="9" t="str">
        <f t="shared" si="3"/>
        <v>PKN SUMATIF 2</v>
      </c>
      <c r="N2" s="9" t="str">
        <f t="shared" si="3"/>
        <v>PKN SUMATIF 3</v>
      </c>
      <c r="O2" s="9" t="str">
        <f t="shared" si="3"/>
        <v>PKN RATA-RATA SUMATIF</v>
      </c>
      <c r="P2" s="9" t="str">
        <f t="shared" si="3"/>
        <v>PKN NILAI SUMATIF AKHIR</v>
      </c>
      <c r="Q2" s="9" t="str">
        <f t="shared" ref="Q2:U2" si="4">$R3&amp;" "&amp;Q4</f>
        <v>B. INDONESIA SUMATIF 1</v>
      </c>
      <c r="R2" s="9" t="str">
        <f t="shared" si="4"/>
        <v>B. INDONESIA SUMATIF 2</v>
      </c>
      <c r="S2" s="9" t="str">
        <f t="shared" si="4"/>
        <v>B. INDONESIA SUMATIF 3</v>
      </c>
      <c r="T2" s="9" t="str">
        <f t="shared" si="4"/>
        <v>B. INDONESIA RATA-RATA SUMATIF</v>
      </c>
      <c r="U2" s="9" t="str">
        <f t="shared" si="4"/>
        <v>B. INDONESIA NILAI SUMATIF AKHIR</v>
      </c>
      <c r="V2" s="9" t="str">
        <f t="shared" ref="V2:Z2" si="5">$W3&amp;" "&amp;V4</f>
        <v>PJOK SUMATIF 1</v>
      </c>
      <c r="W2" s="9" t="str">
        <f t="shared" si="5"/>
        <v>PJOK SUMATIF 2</v>
      </c>
      <c r="X2" s="9" t="str">
        <f t="shared" si="5"/>
        <v>PJOK SUMATIF 3</v>
      </c>
      <c r="Y2" s="9" t="str">
        <f t="shared" si="5"/>
        <v>PJOK RATA-RATA SUMATIF</v>
      </c>
      <c r="Z2" s="9" t="str">
        <f t="shared" si="5"/>
        <v>PJOK NILAI SUMATIF AKHIR</v>
      </c>
      <c r="AA2" s="9" t="str">
        <f t="shared" ref="AA2:AE2" si="6">$AB3&amp;" "&amp;AA4</f>
        <v>SEJARAH SUMATIF 1</v>
      </c>
      <c r="AB2" s="9" t="str">
        <f t="shared" si="6"/>
        <v>SEJARAH SUMATIF 2</v>
      </c>
      <c r="AC2" s="9" t="str">
        <f t="shared" si="6"/>
        <v>SEJARAH SUMATIF 3</v>
      </c>
      <c r="AD2" s="9" t="str">
        <f t="shared" si="6"/>
        <v>SEJARAH RATA-RATA SUMATIF</v>
      </c>
      <c r="AE2" s="9" t="str">
        <f t="shared" si="6"/>
        <v>SEJARAH NILAI SUMATIF AKHIR</v>
      </c>
      <c r="AF2" s="9" t="str">
        <f t="shared" ref="AF2:AJ2" si="7">$AG3&amp;" "&amp;AF4</f>
        <v>SENI BUDAYA SUMATIF 1</v>
      </c>
      <c r="AG2" s="9" t="str">
        <f t="shared" si="7"/>
        <v>SENI BUDAYA SUMATIF 2</v>
      </c>
      <c r="AH2" s="9" t="str">
        <f t="shared" si="7"/>
        <v>SENI BUDAYA SUMATIF 3</v>
      </c>
      <c r="AI2" s="9" t="str">
        <f t="shared" si="7"/>
        <v>SENI BUDAYA RATA-RATA SUMATIF</v>
      </c>
      <c r="AJ2" s="9" t="str">
        <f t="shared" si="7"/>
        <v>SENI BUDAYA NILAI SUMATIF AKHIR</v>
      </c>
      <c r="AK2" s="9" t="str">
        <f t="shared" ref="AK2:AO2" si="8">$AL3&amp;" "&amp;AK4</f>
        <v>B. SUNDA SUMATIF 1</v>
      </c>
      <c r="AL2" s="9" t="str">
        <f t="shared" si="8"/>
        <v>B. SUNDA SUMATIF 2</v>
      </c>
      <c r="AM2" s="9" t="str">
        <f t="shared" si="8"/>
        <v>B. SUNDA SUMATIF 3</v>
      </c>
      <c r="AN2" s="9" t="str">
        <f t="shared" si="8"/>
        <v>B. SUNDA RATA-RATA SUMATIF</v>
      </c>
      <c r="AO2" s="9" t="str">
        <f t="shared" si="8"/>
        <v>B. SUNDA NILAI SUMATIF AKHIR</v>
      </c>
      <c r="AP2" s="9" t="str">
        <f t="shared" ref="AP2:AT2" si="9">$AQ3&amp;" "&amp;AP4</f>
        <v>MATEMATIKA SUMATIF 1</v>
      </c>
      <c r="AQ2" s="9" t="str">
        <f t="shared" si="9"/>
        <v>MATEMATIKA SUMATIF 2</v>
      </c>
      <c r="AR2" s="9" t="str">
        <f t="shared" si="9"/>
        <v>MATEMATIKA SUMATIF 3</v>
      </c>
      <c r="AS2" s="9" t="str">
        <f t="shared" si="9"/>
        <v>MATEMATIKA RATA-RATA SUMATIF</v>
      </c>
      <c r="AT2" s="9" t="str">
        <f t="shared" si="9"/>
        <v>MATEMATIKA NILAI SUMATIF AKHIR</v>
      </c>
      <c r="AU2" s="9" t="str">
        <f t="shared" ref="AU2:AY2" si="10">$AV3&amp;" "&amp;AU4</f>
        <v>B. INGGRIS SUMATIF 1</v>
      </c>
      <c r="AV2" s="9" t="str">
        <f t="shared" si="10"/>
        <v>B. INGGRIS SUMATIF 2</v>
      </c>
      <c r="AW2" s="9" t="str">
        <f t="shared" si="10"/>
        <v>B. INGGRIS SUMATIF 3</v>
      </c>
      <c r="AX2" s="9" t="str">
        <f t="shared" si="10"/>
        <v>B. INGGRIS RATA-RATA SUMATIF</v>
      </c>
      <c r="AY2" s="9" t="str">
        <f t="shared" si="10"/>
        <v>B. INGGRIS NILAI SUMATIF AKHIR</v>
      </c>
      <c r="AZ2" s="9" t="str">
        <f t="shared" ref="AZ2:BD2" si="11">$BA3&amp;" "&amp;AZ4</f>
        <v>INFORMATIKA SUMATIF 1</v>
      </c>
      <c r="BA2" s="9" t="str">
        <f t="shared" si="11"/>
        <v>INFORMATIKA SUMATIF 2</v>
      </c>
      <c r="BB2" s="9" t="str">
        <f t="shared" si="11"/>
        <v>INFORMATIKA SUMATIF 3</v>
      </c>
      <c r="BC2" s="9" t="str">
        <f t="shared" si="11"/>
        <v>INFORMATIKA RATA-RATA SUMATIF</v>
      </c>
      <c r="BD2" s="9" t="str">
        <f t="shared" si="11"/>
        <v>INFORMATIKA NILAI SUMATIF AKHIR</v>
      </c>
      <c r="BE2" s="9" t="str">
        <f t="shared" ref="BE2:BI2" si="12">$BF3&amp;" "&amp;BE4</f>
        <v>PROJEK IPAS SUMATIF 1</v>
      </c>
      <c r="BF2" s="9" t="str">
        <f t="shared" si="12"/>
        <v>PROJEK IPAS SUMATIF 2</v>
      </c>
      <c r="BG2" s="9" t="str">
        <f t="shared" si="12"/>
        <v>PROJEK IPAS SUMATIF 3</v>
      </c>
      <c r="BH2" s="9" t="str">
        <f t="shared" si="12"/>
        <v>PROJEK IPAS RATA-RATA SUMATIF</v>
      </c>
      <c r="BI2" s="9" t="str">
        <f t="shared" si="12"/>
        <v>PROJEK IPAS NILAI SUMATIF AKHIR</v>
      </c>
      <c r="BJ2" s="9" t="str">
        <f t="shared" ref="BJ2:BN2" si="13">$BK3&amp;" "&amp;BJ4</f>
        <v>DDPK SUMATIF 1</v>
      </c>
      <c r="BK2" s="9" t="str">
        <f t="shared" si="13"/>
        <v>DDPK SUMATIF 2</v>
      </c>
      <c r="BL2" s="9" t="str">
        <f t="shared" si="13"/>
        <v>DDPK SUMATIF 3</v>
      </c>
      <c r="BM2" s="9" t="str">
        <f t="shared" si="13"/>
        <v>DDPK RATA-RATA SUMATIF</v>
      </c>
      <c r="BN2" s="9" t="str">
        <f t="shared" si="13"/>
        <v>DDPK NILAI SUMATIF AKHIR</v>
      </c>
      <c r="BO2" s="9" t="str">
        <f t="shared" ref="BO2:BS2" si="14">$BP3&amp;" "&amp;BO4</f>
        <v>KODING SUMATIF 1</v>
      </c>
      <c r="BP2" s="9" t="str">
        <f t="shared" si="14"/>
        <v>KODING SUMATIF 2</v>
      </c>
      <c r="BQ2" s="9" t="str">
        <f t="shared" si="14"/>
        <v>KODING SUMATIF 3</v>
      </c>
      <c r="BR2" s="9" t="str">
        <f t="shared" si="14"/>
        <v>KODING RATA-RATA SUMATIF</v>
      </c>
      <c r="BS2" s="9" t="str">
        <f t="shared" si="14"/>
        <v>KODING NILAI SUMATIF AKHIR</v>
      </c>
      <c r="BT2" s="9" t="str">
        <f t="shared" ref="BT2:BX2" si="15">$BU3&amp;" "&amp;BT4</f>
        <v>KONS. KEAHLIAN SUMATIF 1</v>
      </c>
      <c r="BU2" s="9" t="str">
        <f t="shared" si="15"/>
        <v>KONS. KEAHLIAN SUMATIF 2</v>
      </c>
      <c r="BV2" s="9" t="str">
        <f t="shared" si="15"/>
        <v>KONS. KEAHLIAN SUMATIF 3</v>
      </c>
      <c r="BW2" s="9" t="str">
        <f t="shared" si="15"/>
        <v>KONS. KEAHLIAN RATA-RATA SUMATIF</v>
      </c>
      <c r="BX2" s="9" t="str">
        <f t="shared" si="15"/>
        <v>KONS. KEAHLIAN NILAI SUMATIF AKHIR</v>
      </c>
      <c r="BY2" s="9" t="str">
        <f t="shared" ref="BY2:CC2" si="16">$BZ3&amp;" "&amp;BY4</f>
        <v>PKK SUMATIF 1</v>
      </c>
      <c r="BZ2" s="9" t="str">
        <f t="shared" si="16"/>
        <v>PKK SUMATIF 2</v>
      </c>
      <c r="CA2" s="9" t="str">
        <f t="shared" si="16"/>
        <v>PKK SUMATIF 3</v>
      </c>
      <c r="CB2" s="9" t="str">
        <f t="shared" si="16"/>
        <v>PKK RATA-RATA SUMATIF</v>
      </c>
      <c r="CC2" s="9" t="str">
        <f t="shared" si="16"/>
        <v>PKK NILAI SUMATIF AKHIR</v>
      </c>
      <c r="CD2" s="9" t="str">
        <f t="shared" ref="CD2:CH2" si="17">$CE3&amp;" "&amp;CD4</f>
        <v>MAPEL PILIHAN SUMATIF 1</v>
      </c>
      <c r="CE2" s="9" t="str">
        <f t="shared" si="17"/>
        <v>MAPEL PILIHAN SUMATIF 2</v>
      </c>
      <c r="CF2" s="9" t="str">
        <f t="shared" si="17"/>
        <v>MAPEL PILIHAN SUMATIF 3</v>
      </c>
      <c r="CG2" s="9" t="str">
        <f t="shared" si="17"/>
        <v>MAPEL PILIHAN RATA-RATA SUMATIF</v>
      </c>
      <c r="CH2" s="9" t="str">
        <f t="shared" si="17"/>
        <v>MAPEL PILIHAN NILAI SUMATIF AKHIR</v>
      </c>
    </row>
    <row r="3" ht="27.75" customHeight="1">
      <c r="A3" s="23" t="s">
        <v>0</v>
      </c>
      <c r="B3" s="26" t="s">
        <v>1</v>
      </c>
      <c r="C3" s="26" t="s">
        <v>2</v>
      </c>
      <c r="D3" s="26" t="s">
        <v>3</v>
      </c>
      <c r="E3" s="26" t="s">
        <v>4</v>
      </c>
      <c r="F3" s="26" t="s">
        <v>5</v>
      </c>
      <c r="G3" s="30" t="s">
        <v>128</v>
      </c>
      <c r="H3" s="36" t="s">
        <v>52</v>
      </c>
      <c r="I3" s="36"/>
      <c r="J3" s="36"/>
      <c r="K3" s="39" t="s">
        <v>197</v>
      </c>
      <c r="L3" s="44" t="s">
        <v>129</v>
      </c>
      <c r="M3" s="46" t="s">
        <v>54</v>
      </c>
      <c r="N3" s="46"/>
      <c r="O3" s="46"/>
      <c r="P3" s="51" t="s">
        <v>197</v>
      </c>
      <c r="Q3" s="55" t="s">
        <v>130</v>
      </c>
      <c r="R3" s="58" t="s">
        <v>57</v>
      </c>
      <c r="S3" s="40"/>
      <c r="T3" s="40"/>
      <c r="U3" s="65" t="s">
        <v>197</v>
      </c>
      <c r="V3" s="69" t="s">
        <v>131</v>
      </c>
      <c r="W3" s="62" t="s">
        <v>61</v>
      </c>
      <c r="X3" s="62"/>
      <c r="Y3" s="62"/>
      <c r="Z3" s="73" t="s">
        <v>197</v>
      </c>
      <c r="AA3" s="77" t="s">
        <v>132</v>
      </c>
      <c r="AB3" s="68" t="s">
        <v>63</v>
      </c>
      <c r="AC3" s="40"/>
      <c r="AD3" s="40"/>
      <c r="AE3" s="79" t="s">
        <v>197</v>
      </c>
      <c r="AF3" s="80" t="s">
        <v>133</v>
      </c>
      <c r="AG3" s="76" t="s">
        <v>66</v>
      </c>
      <c r="AH3" s="40"/>
      <c r="AI3" s="40"/>
      <c r="AJ3" s="84" t="s">
        <v>197</v>
      </c>
      <c r="AK3" s="88" t="s">
        <v>134</v>
      </c>
      <c r="AL3" s="87" t="s">
        <v>70</v>
      </c>
      <c r="AM3" s="40"/>
      <c r="AN3" s="40"/>
      <c r="AO3" s="90" t="s">
        <v>197</v>
      </c>
      <c r="AP3" s="91" t="s">
        <v>136</v>
      </c>
      <c r="AQ3" s="96" t="s">
        <v>137</v>
      </c>
      <c r="AR3" s="40"/>
      <c r="AS3" s="40"/>
      <c r="AT3" s="97" t="s">
        <v>197</v>
      </c>
      <c r="AU3" s="101" t="s">
        <v>138</v>
      </c>
      <c r="AV3" s="36" t="s">
        <v>75</v>
      </c>
      <c r="AW3" s="40"/>
      <c r="AX3" s="40"/>
      <c r="AY3" s="106" t="s">
        <v>197</v>
      </c>
      <c r="AZ3" s="107" t="s">
        <v>139</v>
      </c>
      <c r="BA3" s="110" t="s">
        <v>77</v>
      </c>
      <c r="BB3" s="40"/>
      <c r="BC3" s="40"/>
      <c r="BD3" s="114" t="s">
        <v>197</v>
      </c>
      <c r="BE3" s="105" t="s">
        <v>140</v>
      </c>
      <c r="BF3" s="113" t="s">
        <v>81</v>
      </c>
      <c r="BG3" s="40"/>
      <c r="BH3" s="40"/>
      <c r="BI3" s="116" t="s">
        <v>197</v>
      </c>
      <c r="BJ3" s="105" t="s">
        <v>141</v>
      </c>
      <c r="BK3" s="118" t="s">
        <v>83</v>
      </c>
      <c r="BL3" s="40"/>
      <c r="BM3" s="40"/>
      <c r="BN3" s="116" t="s">
        <v>197</v>
      </c>
      <c r="BO3" s="105" t="s">
        <v>207</v>
      </c>
      <c r="BP3" s="118" t="s">
        <v>205</v>
      </c>
      <c r="BQ3" s="40"/>
      <c r="BR3" s="40"/>
      <c r="BS3" s="116" t="s">
        <v>197</v>
      </c>
      <c r="BT3" s="123" t="s">
        <v>142</v>
      </c>
      <c r="BU3" s="124" t="s">
        <v>86</v>
      </c>
      <c r="BV3" s="40"/>
      <c r="BW3" s="40"/>
      <c r="BX3" s="125" t="s">
        <v>197</v>
      </c>
      <c r="BY3" s="123" t="s">
        <v>144</v>
      </c>
      <c r="BZ3" s="126" t="s">
        <v>90</v>
      </c>
      <c r="CA3" s="126"/>
      <c r="CB3" s="126"/>
      <c r="CC3" s="125" t="s">
        <v>197</v>
      </c>
      <c r="CD3" s="128" t="s">
        <v>147</v>
      </c>
      <c r="CE3" s="46" t="s">
        <v>92</v>
      </c>
      <c r="CF3" s="40"/>
      <c r="CG3" s="40"/>
      <c r="CH3" s="130" t="s">
        <v>197</v>
      </c>
    </row>
    <row r="4" ht="33.75" customHeight="1">
      <c r="A4" s="131"/>
      <c r="B4" s="131"/>
      <c r="C4" s="131"/>
      <c r="D4" s="131"/>
      <c r="E4" s="131"/>
      <c r="F4" s="131"/>
      <c r="G4" s="133" t="s">
        <v>148</v>
      </c>
      <c r="H4" s="139" t="s">
        <v>149</v>
      </c>
      <c r="I4" s="139" t="s">
        <v>151</v>
      </c>
      <c r="J4" s="141" t="s">
        <v>152</v>
      </c>
      <c r="K4" s="39" t="s">
        <v>153</v>
      </c>
      <c r="L4" s="142" t="s">
        <v>148</v>
      </c>
      <c r="M4" s="146" t="s">
        <v>149</v>
      </c>
      <c r="N4" s="146" t="s">
        <v>151</v>
      </c>
      <c r="O4" s="146" t="s">
        <v>152</v>
      </c>
      <c r="P4" s="51" t="s">
        <v>153</v>
      </c>
      <c r="Q4" s="148" t="s">
        <v>148</v>
      </c>
      <c r="R4" s="152" t="s">
        <v>149</v>
      </c>
      <c r="S4" s="152" t="s">
        <v>151</v>
      </c>
      <c r="T4" s="152" t="s">
        <v>152</v>
      </c>
      <c r="U4" s="65" t="s">
        <v>153</v>
      </c>
      <c r="V4" s="156" t="s">
        <v>148</v>
      </c>
      <c r="W4" s="157" t="s">
        <v>149</v>
      </c>
      <c r="X4" s="157" t="s">
        <v>151</v>
      </c>
      <c r="Y4" s="157" t="s">
        <v>152</v>
      </c>
      <c r="Z4" s="73" t="s">
        <v>153</v>
      </c>
      <c r="AA4" s="161" t="s">
        <v>148</v>
      </c>
      <c r="AB4" s="162" t="s">
        <v>149</v>
      </c>
      <c r="AC4" s="162" t="s">
        <v>151</v>
      </c>
      <c r="AD4" s="166" t="s">
        <v>152</v>
      </c>
      <c r="AE4" s="79" t="s">
        <v>153</v>
      </c>
      <c r="AF4" s="169" t="s">
        <v>148</v>
      </c>
      <c r="AG4" s="170" t="s">
        <v>149</v>
      </c>
      <c r="AH4" s="170" t="s">
        <v>151</v>
      </c>
      <c r="AI4" s="170" t="s">
        <v>152</v>
      </c>
      <c r="AJ4" s="176" t="s">
        <v>153</v>
      </c>
      <c r="AK4" s="173" t="s">
        <v>148</v>
      </c>
      <c r="AL4" s="174" t="s">
        <v>149</v>
      </c>
      <c r="AM4" s="174" t="s">
        <v>151</v>
      </c>
      <c r="AN4" s="178" t="s">
        <v>152</v>
      </c>
      <c r="AO4" s="179" t="s">
        <v>153</v>
      </c>
      <c r="AP4" s="183" t="s">
        <v>148</v>
      </c>
      <c r="AQ4" s="185" t="s">
        <v>149</v>
      </c>
      <c r="AR4" s="185" t="s">
        <v>151</v>
      </c>
      <c r="AS4" s="188" t="s">
        <v>152</v>
      </c>
      <c r="AT4" s="97" t="s">
        <v>153</v>
      </c>
      <c r="AU4" s="190" t="s">
        <v>148</v>
      </c>
      <c r="AV4" s="194" t="s">
        <v>149</v>
      </c>
      <c r="AW4" s="194" t="s">
        <v>151</v>
      </c>
      <c r="AX4" s="197" t="s">
        <v>152</v>
      </c>
      <c r="AY4" s="106" t="s">
        <v>153</v>
      </c>
      <c r="AZ4" s="199" t="s">
        <v>148</v>
      </c>
      <c r="BA4" s="202" t="s">
        <v>149</v>
      </c>
      <c r="BB4" s="202" t="s">
        <v>151</v>
      </c>
      <c r="BC4" s="204" t="s">
        <v>152</v>
      </c>
      <c r="BD4" s="114" t="s">
        <v>153</v>
      </c>
      <c r="BE4" s="207" t="s">
        <v>148</v>
      </c>
      <c r="BF4" s="209" t="s">
        <v>149</v>
      </c>
      <c r="BG4" s="209" t="s">
        <v>151</v>
      </c>
      <c r="BH4" s="209" t="s">
        <v>152</v>
      </c>
      <c r="BI4" s="116" t="s">
        <v>153</v>
      </c>
      <c r="BJ4" s="207" t="s">
        <v>148</v>
      </c>
      <c r="BK4" s="209" t="s">
        <v>149</v>
      </c>
      <c r="BL4" s="209" t="s">
        <v>151</v>
      </c>
      <c r="BM4" s="209" t="s">
        <v>152</v>
      </c>
      <c r="BN4" s="116" t="s">
        <v>153</v>
      </c>
      <c r="BO4" s="207" t="s">
        <v>148</v>
      </c>
      <c r="BP4" s="209" t="s">
        <v>149</v>
      </c>
      <c r="BQ4" s="209" t="s">
        <v>151</v>
      </c>
      <c r="BR4" s="209" t="s">
        <v>152</v>
      </c>
      <c r="BS4" s="116" t="s">
        <v>153</v>
      </c>
      <c r="BT4" s="212" t="s">
        <v>148</v>
      </c>
      <c r="BU4" s="213" t="s">
        <v>149</v>
      </c>
      <c r="BV4" s="213" t="s">
        <v>151</v>
      </c>
      <c r="BW4" s="216" t="s">
        <v>152</v>
      </c>
      <c r="BX4" s="125" t="s">
        <v>153</v>
      </c>
      <c r="BY4" s="212" t="s">
        <v>148</v>
      </c>
      <c r="BZ4" s="213" t="s">
        <v>149</v>
      </c>
      <c r="CA4" s="213" t="s">
        <v>151</v>
      </c>
      <c r="CB4" s="216" t="s">
        <v>152</v>
      </c>
      <c r="CC4" s="125" t="s">
        <v>153</v>
      </c>
      <c r="CD4" s="218" t="s">
        <v>148</v>
      </c>
      <c r="CE4" s="219" t="s">
        <v>149</v>
      </c>
      <c r="CF4" s="219" t="s">
        <v>151</v>
      </c>
      <c r="CG4" s="220" t="s">
        <v>152</v>
      </c>
      <c r="CH4" s="130" t="s">
        <v>153</v>
      </c>
    </row>
    <row r="5" ht="15.75" customHeight="1">
      <c r="A5" s="222">
        <f>IFERROR(__xludf.DUMMYFUNCTION("QUERY(SETTING!$E$3:$I$56, ""SELECT * WHERE Col1 IS NOT NULL"")
"),1.0)</f>
        <v>1</v>
      </c>
      <c r="B5" s="119" t="str">
        <f>IFERROR(__xludf.DUMMYFUNCTION("""COMPUTED_VALUE"""),"2526100414")</f>
        <v>2526100414</v>
      </c>
      <c r="C5" s="119" t="str">
        <f>IFERROR(__xludf.DUMMYFUNCTION("""COMPUTED_VALUE"""),"0098742051")</f>
        <v>0098742051</v>
      </c>
      <c r="D5" s="122" t="str">
        <f>IFERROR(__xludf.DUMMYFUNCTION("""COMPUTED_VALUE"""),"AHMAD FAUZI")</f>
        <v>AHMAD FAUZI</v>
      </c>
      <c r="E5" s="119" t="str">
        <f>IFERROR(__xludf.DUMMYFUNCTION("""COMPUTED_VALUE"""),"X TO 4")</f>
        <v>X TO 4</v>
      </c>
      <c r="F5" s="119" t="str">
        <f t="array" ref="F5:F54">IF(D5:D54&lt;&gt;"",SETTING!$C$3,"")</f>
        <v>Ganjil</v>
      </c>
      <c r="G5" s="225">
        <v>82.0</v>
      </c>
      <c r="H5" s="226">
        <v>81.0</v>
      </c>
      <c r="I5" s="226"/>
      <c r="J5" s="230">
        <f t="shared" ref="J5:J53" si="19">IFERROR(AVERAGE(G5:I5),"")</f>
        <v>81.5</v>
      </c>
      <c r="K5" s="232">
        <v>80.0</v>
      </c>
      <c r="L5" s="225">
        <v>85.0</v>
      </c>
      <c r="M5" s="226">
        <v>80.0</v>
      </c>
      <c r="N5" s="226"/>
      <c r="O5" s="233">
        <f t="shared" ref="O5:O53" si="20">IFERROR(AVERAGE(L5:N5),"")</f>
        <v>82.5</v>
      </c>
      <c r="P5" s="232">
        <v>82.0</v>
      </c>
      <c r="Q5" s="225">
        <v>85.0</v>
      </c>
      <c r="R5" s="226">
        <v>85.0</v>
      </c>
      <c r="S5" s="226">
        <v>86.0</v>
      </c>
      <c r="T5" s="235">
        <f t="shared" ref="T5:T53" si="21">IFERROR(AVERAGE(Q5:S5),"")</f>
        <v>85.33333333</v>
      </c>
      <c r="U5" s="232">
        <v>87.0</v>
      </c>
      <c r="V5" s="225">
        <v>75.0</v>
      </c>
      <c r="W5" s="226">
        <v>93.0</v>
      </c>
      <c r="X5" s="226"/>
      <c r="Y5" s="236">
        <f t="shared" ref="Y5:Y54" si="22">IFERROR(AVERAGE(V5:X5),"")</f>
        <v>84</v>
      </c>
      <c r="Z5" s="232">
        <v>87.0</v>
      </c>
      <c r="AA5" s="225">
        <v>86.0</v>
      </c>
      <c r="AB5" s="226">
        <v>84.0</v>
      </c>
      <c r="AC5" s="226">
        <v>85.0</v>
      </c>
      <c r="AD5" s="238">
        <f t="shared" ref="AD5:AD54" si="23">IFERROR(AVERAGE(AA5:AC5),"")</f>
        <v>85</v>
      </c>
      <c r="AE5" s="232">
        <v>81.0</v>
      </c>
      <c r="AF5" s="240">
        <v>90.0</v>
      </c>
      <c r="AG5" s="240">
        <v>90.0</v>
      </c>
      <c r="AH5" s="242">
        <v>90.0</v>
      </c>
      <c r="AI5" s="239">
        <f t="shared" ref="AI5:AI53" si="24">IFERROR(AVERAGE(AF5:AH5),"")</f>
        <v>90</v>
      </c>
      <c r="AJ5" s="242">
        <v>90.0</v>
      </c>
      <c r="AK5" s="245">
        <v>86.0</v>
      </c>
      <c r="AL5" s="245">
        <v>85.0</v>
      </c>
      <c r="AM5" s="245">
        <v>84.0</v>
      </c>
      <c r="AN5" s="243">
        <f t="shared" ref="AN5:AN53" si="25">IFERROR(AVERAGE(AK5:AM5),"")</f>
        <v>85</v>
      </c>
      <c r="AO5" s="246">
        <v>88.0</v>
      </c>
      <c r="AP5" s="225">
        <v>80.0</v>
      </c>
      <c r="AQ5" s="226">
        <f t="shared" ref="AQ5:AR5" si="18">AP5</f>
        <v>80</v>
      </c>
      <c r="AR5" s="226">
        <f t="shared" si="18"/>
        <v>80</v>
      </c>
      <c r="AS5" s="247">
        <f t="shared" ref="AS5:AS53" si="27">IFERROR(AVERAGE(AP5:AR5),"")</f>
        <v>80</v>
      </c>
      <c r="AT5" s="232">
        <f t="shared" ref="AT5:AT50" si="28">AS5</f>
        <v>80</v>
      </c>
      <c r="AU5" s="248">
        <v>74.0</v>
      </c>
      <c r="AV5" s="248">
        <v>76.0</v>
      </c>
      <c r="AW5" s="248">
        <v>78.0</v>
      </c>
      <c r="AX5" s="249">
        <f t="shared" ref="AX5:AX53" si="29">IFERROR(AVERAGE(AU5:AW5),"")</f>
        <v>76</v>
      </c>
      <c r="AY5" s="232">
        <v>75.0</v>
      </c>
      <c r="AZ5" s="225">
        <v>80.0</v>
      </c>
      <c r="BA5" s="225">
        <v>80.0</v>
      </c>
      <c r="BB5" s="226"/>
      <c r="BC5" s="250">
        <f t="shared" ref="BC5:BC53" si="30">IFERROR(AVERAGE(AZ5:BB5),"")</f>
        <v>80</v>
      </c>
      <c r="BD5" s="225">
        <v>80.0</v>
      </c>
      <c r="BE5" s="251">
        <v>80.0</v>
      </c>
      <c r="BF5" s="252">
        <v>0.0</v>
      </c>
      <c r="BG5" s="252">
        <v>0.0</v>
      </c>
      <c r="BH5" s="254">
        <f t="shared" ref="BH5:BH53" si="31">IFERROR(AVERAGE(BE5:BG5),"")</f>
        <v>26.66666667</v>
      </c>
      <c r="BI5" s="258">
        <v>80.0</v>
      </c>
      <c r="BJ5" s="251">
        <v>85.0</v>
      </c>
      <c r="BK5" s="252">
        <v>80.0</v>
      </c>
      <c r="BL5" s="252">
        <v>80.0</v>
      </c>
      <c r="BM5" s="254">
        <f t="shared" ref="BM5:BM53" si="32">IFERROR(AVERAGE(BJ5:BL5),"")</f>
        <v>81.66666667</v>
      </c>
      <c r="BN5" s="262">
        <v>80.0</v>
      </c>
      <c r="BO5" s="251">
        <v>79.0</v>
      </c>
      <c r="BP5" s="252">
        <v>80.0</v>
      </c>
      <c r="BQ5" s="252">
        <v>79.0</v>
      </c>
      <c r="BR5" s="254">
        <f t="shared" ref="BR5:BR53" si="33">IFERROR(AVERAGE(BO5:BQ5),"")</f>
        <v>79.33333333</v>
      </c>
      <c r="BS5" s="258">
        <v>78.0</v>
      </c>
      <c r="BT5" s="225"/>
      <c r="BU5" s="226"/>
      <c r="BV5" s="226"/>
      <c r="BW5" s="266" t="str">
        <f t="shared" ref="BW5:BW54" si="34">IFERROR(AVERAGE(BT5:BV5),"")</f>
        <v/>
      </c>
      <c r="BX5" s="232"/>
      <c r="BY5" s="225"/>
      <c r="BZ5" s="226"/>
      <c r="CA5" s="226"/>
      <c r="CB5" s="266" t="str">
        <f t="shared" ref="CB5:CB53" si="35">IFERROR(AVERAGE(BY5:CA5),"")</f>
        <v/>
      </c>
      <c r="CC5" s="232"/>
      <c r="CD5" s="225"/>
      <c r="CE5" s="226"/>
      <c r="CF5" s="226"/>
      <c r="CG5" s="269" t="str">
        <f t="shared" ref="CG5:CG53" si="36">IFERROR(AVERAGE(CD5:CF5),"")</f>
        <v/>
      </c>
      <c r="CH5" s="232"/>
    </row>
    <row r="6" ht="15.75" customHeight="1">
      <c r="A6" s="189">
        <f>IFERROR(__xludf.DUMMYFUNCTION("""COMPUTED_VALUE"""),2.0)</f>
        <v>2</v>
      </c>
      <c r="B6" s="193" t="str">
        <f>IFERROR(__xludf.DUMMYFUNCTION("""COMPUTED_VALUE"""),"2526100415")</f>
        <v>2526100415</v>
      </c>
      <c r="C6" s="193" t="str">
        <f>IFERROR(__xludf.DUMMYFUNCTION("""COMPUTED_VALUE"""),"0094541761")</f>
        <v>0094541761</v>
      </c>
      <c r="D6" s="195" t="str">
        <f>IFERROR(__xludf.DUMMYFUNCTION("""COMPUTED_VALUE"""),"AHMAD YOPI JUMAEDI")</f>
        <v>AHMAD YOPI JUMAEDI</v>
      </c>
      <c r="E6" s="193" t="str">
        <f>IFERROR(__xludf.DUMMYFUNCTION("""COMPUTED_VALUE"""),"X TO 4")</f>
        <v>X TO 4</v>
      </c>
      <c r="F6" s="193" t="s">
        <v>220</v>
      </c>
      <c r="G6" s="272">
        <v>78.0</v>
      </c>
      <c r="H6" s="275">
        <v>77.0</v>
      </c>
      <c r="I6" s="275"/>
      <c r="J6" s="230">
        <f t="shared" si="19"/>
        <v>77.5</v>
      </c>
      <c r="K6" s="276">
        <v>75.0</v>
      </c>
      <c r="L6" s="272">
        <v>85.0</v>
      </c>
      <c r="M6" s="275">
        <v>80.0</v>
      </c>
      <c r="N6" s="275"/>
      <c r="O6" s="233">
        <f t="shared" si="20"/>
        <v>82.5</v>
      </c>
      <c r="P6" s="276">
        <v>83.0</v>
      </c>
      <c r="Q6" s="272">
        <v>76.0</v>
      </c>
      <c r="R6" s="275">
        <v>76.0</v>
      </c>
      <c r="S6" s="275">
        <v>78.0</v>
      </c>
      <c r="T6" s="235">
        <f t="shared" si="21"/>
        <v>76.66666667</v>
      </c>
      <c r="U6" s="276">
        <v>78.0</v>
      </c>
      <c r="V6" s="272">
        <v>90.0</v>
      </c>
      <c r="W6" s="275">
        <v>90.0</v>
      </c>
      <c r="X6" s="275"/>
      <c r="Y6" s="236">
        <f t="shared" si="22"/>
        <v>90</v>
      </c>
      <c r="Z6" s="276">
        <v>90.0</v>
      </c>
      <c r="AA6" s="272">
        <v>78.0</v>
      </c>
      <c r="AB6" s="275">
        <v>76.0</v>
      </c>
      <c r="AC6" s="275">
        <v>77.0</v>
      </c>
      <c r="AD6" s="238">
        <f t="shared" si="23"/>
        <v>77</v>
      </c>
      <c r="AE6" s="276">
        <v>73.0</v>
      </c>
      <c r="AF6" s="240">
        <v>90.0</v>
      </c>
      <c r="AG6" s="240">
        <v>90.0</v>
      </c>
      <c r="AH6" s="240">
        <v>89.0</v>
      </c>
      <c r="AI6" s="239">
        <f t="shared" si="24"/>
        <v>89.66666667</v>
      </c>
      <c r="AJ6" s="240">
        <v>88.0</v>
      </c>
      <c r="AK6" s="245">
        <v>78.0</v>
      </c>
      <c r="AL6" s="245">
        <v>73.0</v>
      </c>
      <c r="AM6" s="245">
        <v>72.0</v>
      </c>
      <c r="AN6" s="243">
        <f t="shared" si="25"/>
        <v>74.33333333</v>
      </c>
      <c r="AO6" s="246">
        <v>70.0</v>
      </c>
      <c r="AP6" s="272">
        <v>72.0</v>
      </c>
      <c r="AQ6" s="226">
        <f t="shared" ref="AQ6:AR6" si="26">AP6</f>
        <v>72</v>
      </c>
      <c r="AR6" s="226">
        <f t="shared" si="26"/>
        <v>72</v>
      </c>
      <c r="AS6" s="247">
        <f t="shared" si="27"/>
        <v>72</v>
      </c>
      <c r="AT6" s="232">
        <f t="shared" si="28"/>
        <v>72</v>
      </c>
      <c r="AU6" s="248">
        <v>72.0</v>
      </c>
      <c r="AV6" s="248">
        <v>72.0</v>
      </c>
      <c r="AW6" s="248">
        <v>72.0</v>
      </c>
      <c r="AX6" s="249">
        <f t="shared" si="29"/>
        <v>72</v>
      </c>
      <c r="AY6" s="280">
        <v>72.0</v>
      </c>
      <c r="AZ6" s="272">
        <v>80.0</v>
      </c>
      <c r="BA6" s="272">
        <v>80.0</v>
      </c>
      <c r="BB6" s="275"/>
      <c r="BC6" s="250">
        <f t="shared" si="30"/>
        <v>80</v>
      </c>
      <c r="BD6" s="272">
        <v>80.0</v>
      </c>
      <c r="BE6" s="283">
        <v>0.0</v>
      </c>
      <c r="BF6" s="285">
        <v>0.0</v>
      </c>
      <c r="BG6" s="285">
        <v>0.0</v>
      </c>
      <c r="BH6" s="254">
        <f t="shared" si="31"/>
        <v>0</v>
      </c>
      <c r="BI6" s="286">
        <v>78.0</v>
      </c>
      <c r="BJ6" s="283">
        <v>79.0</v>
      </c>
      <c r="BK6" s="285">
        <v>80.0</v>
      </c>
      <c r="BL6" s="285">
        <v>80.0</v>
      </c>
      <c r="BM6" s="254">
        <f t="shared" si="32"/>
        <v>79.66666667</v>
      </c>
      <c r="BN6" s="287">
        <v>80.0</v>
      </c>
      <c r="BO6" s="283">
        <v>78.0</v>
      </c>
      <c r="BP6" s="285">
        <v>77.0</v>
      </c>
      <c r="BQ6" s="285">
        <v>78.0</v>
      </c>
      <c r="BR6" s="254">
        <f t="shared" si="33"/>
        <v>77.66666667</v>
      </c>
      <c r="BS6" s="286">
        <v>77.0</v>
      </c>
      <c r="BT6" s="272"/>
      <c r="BU6" s="275"/>
      <c r="BV6" s="275"/>
      <c r="BW6" s="266" t="str">
        <f t="shared" si="34"/>
        <v/>
      </c>
      <c r="BX6" s="276"/>
      <c r="BY6" s="272"/>
      <c r="BZ6" s="275"/>
      <c r="CA6" s="275"/>
      <c r="CB6" s="266" t="str">
        <f t="shared" si="35"/>
        <v/>
      </c>
      <c r="CC6" s="276"/>
      <c r="CD6" s="272"/>
      <c r="CE6" s="275"/>
      <c r="CF6" s="275"/>
      <c r="CG6" s="269" t="str">
        <f t="shared" si="36"/>
        <v/>
      </c>
      <c r="CH6" s="276"/>
    </row>
    <row r="7" ht="15.75" customHeight="1">
      <c r="A7" s="115">
        <f>IFERROR(__xludf.DUMMYFUNCTION("""COMPUTED_VALUE"""),3.0)</f>
        <v>3</v>
      </c>
      <c r="B7" s="119" t="str">
        <f>IFERROR(__xludf.DUMMYFUNCTION("""COMPUTED_VALUE"""),"2526100416")</f>
        <v>2526100416</v>
      </c>
      <c r="C7" s="119" t="str">
        <f>IFERROR(__xludf.DUMMYFUNCTION("""COMPUTED_VALUE"""),"0095885037")</f>
        <v>0095885037</v>
      </c>
      <c r="D7" s="122" t="str">
        <f>IFERROR(__xludf.DUMMYFUNCTION("""COMPUTED_VALUE"""),"ALGI FALGIAN")</f>
        <v>ALGI FALGIAN</v>
      </c>
      <c r="E7" s="119" t="str">
        <f>IFERROR(__xludf.DUMMYFUNCTION("""COMPUTED_VALUE"""),"X TO 4")</f>
        <v>X TO 4</v>
      </c>
      <c r="F7" s="119" t="s">
        <v>220</v>
      </c>
      <c r="G7" s="225">
        <v>80.0</v>
      </c>
      <c r="H7" s="226">
        <v>80.0</v>
      </c>
      <c r="I7" s="226"/>
      <c r="J7" s="230">
        <f t="shared" si="19"/>
        <v>80</v>
      </c>
      <c r="K7" s="232">
        <v>80.0</v>
      </c>
      <c r="L7" s="225">
        <v>85.0</v>
      </c>
      <c r="M7" s="226">
        <v>80.0</v>
      </c>
      <c r="N7" s="226"/>
      <c r="O7" s="233">
        <f t="shared" si="20"/>
        <v>82.5</v>
      </c>
      <c r="P7" s="232">
        <v>76.0</v>
      </c>
      <c r="Q7" s="225">
        <v>80.0</v>
      </c>
      <c r="R7" s="226">
        <v>80.0</v>
      </c>
      <c r="S7" s="226">
        <v>84.0</v>
      </c>
      <c r="T7" s="235">
        <f t="shared" si="21"/>
        <v>81.33333333</v>
      </c>
      <c r="U7" s="232">
        <v>85.0</v>
      </c>
      <c r="V7" s="225">
        <v>75.0</v>
      </c>
      <c r="W7" s="226">
        <v>88.0</v>
      </c>
      <c r="X7" s="226"/>
      <c r="Y7" s="236">
        <f t="shared" si="22"/>
        <v>81.5</v>
      </c>
      <c r="Z7" s="232">
        <v>85.0</v>
      </c>
      <c r="AA7" s="225">
        <v>78.0</v>
      </c>
      <c r="AB7" s="226">
        <v>76.0</v>
      </c>
      <c r="AC7" s="226">
        <v>77.0</v>
      </c>
      <c r="AD7" s="238">
        <f t="shared" si="23"/>
        <v>77</v>
      </c>
      <c r="AE7" s="232">
        <v>73.0</v>
      </c>
      <c r="AF7" s="240">
        <v>90.0</v>
      </c>
      <c r="AG7" s="240">
        <v>89.0</v>
      </c>
      <c r="AH7" s="240">
        <v>90.0</v>
      </c>
      <c r="AI7" s="239">
        <f t="shared" si="24"/>
        <v>89.66666667</v>
      </c>
      <c r="AJ7" s="240">
        <v>89.0</v>
      </c>
      <c r="AK7" s="245">
        <v>78.0</v>
      </c>
      <c r="AL7" s="245">
        <v>74.0</v>
      </c>
      <c r="AM7" s="245">
        <v>71.0</v>
      </c>
      <c r="AN7" s="243">
        <f t="shared" si="25"/>
        <v>74.33333333</v>
      </c>
      <c r="AO7" s="246">
        <v>70.0</v>
      </c>
      <c r="AP7" s="225">
        <v>80.0</v>
      </c>
      <c r="AQ7" s="226">
        <f t="shared" ref="AQ7:AR7" si="37">AP7</f>
        <v>80</v>
      </c>
      <c r="AR7" s="226">
        <f t="shared" si="37"/>
        <v>80</v>
      </c>
      <c r="AS7" s="247">
        <f t="shared" si="27"/>
        <v>80</v>
      </c>
      <c r="AT7" s="232">
        <f t="shared" si="28"/>
        <v>80</v>
      </c>
      <c r="AU7" s="248">
        <v>72.0</v>
      </c>
      <c r="AV7" s="248">
        <v>72.0</v>
      </c>
      <c r="AW7" s="248">
        <v>72.0</v>
      </c>
      <c r="AX7" s="249">
        <f t="shared" si="29"/>
        <v>72</v>
      </c>
      <c r="AY7" s="288">
        <v>72.0</v>
      </c>
      <c r="AZ7" s="225">
        <v>80.0</v>
      </c>
      <c r="BA7" s="225">
        <v>80.0</v>
      </c>
      <c r="BB7" s="226"/>
      <c r="BC7" s="250">
        <f t="shared" si="30"/>
        <v>80</v>
      </c>
      <c r="BD7" s="225">
        <v>80.0</v>
      </c>
      <c r="BE7" s="251">
        <v>0.0</v>
      </c>
      <c r="BF7" s="252">
        <v>0.0</v>
      </c>
      <c r="BG7" s="252">
        <v>0.0</v>
      </c>
      <c r="BH7" s="254">
        <f t="shared" si="31"/>
        <v>0</v>
      </c>
      <c r="BI7" s="258">
        <v>75.0</v>
      </c>
      <c r="BJ7" s="251">
        <v>79.0</v>
      </c>
      <c r="BK7" s="252">
        <v>80.0</v>
      </c>
      <c r="BL7" s="252">
        <v>80.0</v>
      </c>
      <c r="BM7" s="254">
        <f t="shared" si="32"/>
        <v>79.66666667</v>
      </c>
      <c r="BN7" s="262">
        <v>80.0</v>
      </c>
      <c r="BO7" s="251">
        <v>79.0</v>
      </c>
      <c r="BP7" s="252">
        <v>78.0</v>
      </c>
      <c r="BQ7" s="252">
        <v>78.0</v>
      </c>
      <c r="BR7" s="254">
        <f t="shared" si="33"/>
        <v>78.33333333</v>
      </c>
      <c r="BS7" s="258">
        <v>78.0</v>
      </c>
      <c r="BT7" s="225"/>
      <c r="BU7" s="226"/>
      <c r="BV7" s="226"/>
      <c r="BW7" s="266" t="str">
        <f t="shared" si="34"/>
        <v/>
      </c>
      <c r="BX7" s="232"/>
      <c r="BY7" s="225"/>
      <c r="BZ7" s="226"/>
      <c r="CA7" s="226"/>
      <c r="CB7" s="266" t="str">
        <f t="shared" si="35"/>
        <v/>
      </c>
      <c r="CC7" s="232"/>
      <c r="CD7" s="225"/>
      <c r="CE7" s="226"/>
      <c r="CF7" s="226"/>
      <c r="CG7" s="269" t="str">
        <f t="shared" si="36"/>
        <v/>
      </c>
      <c r="CH7" s="232"/>
    </row>
    <row r="8" ht="15.75" customHeight="1">
      <c r="A8" s="189">
        <f>IFERROR(__xludf.DUMMYFUNCTION("""COMPUTED_VALUE"""),4.0)</f>
        <v>4</v>
      </c>
      <c r="B8" s="193" t="str">
        <f>IFERROR(__xludf.DUMMYFUNCTION("""COMPUTED_VALUE"""),"2526100417")</f>
        <v>2526100417</v>
      </c>
      <c r="C8" s="193" t="str">
        <f>IFERROR(__xludf.DUMMYFUNCTION("""COMPUTED_VALUE"""),"0095141993")</f>
        <v>0095141993</v>
      </c>
      <c r="D8" s="195" t="str">
        <f>IFERROR(__xludf.DUMMYFUNCTION("""COMPUTED_VALUE"""),"ALI PERMANA")</f>
        <v>ALI PERMANA</v>
      </c>
      <c r="E8" s="193" t="str">
        <f>IFERROR(__xludf.DUMMYFUNCTION("""COMPUTED_VALUE"""),"X TO 4")</f>
        <v>X TO 4</v>
      </c>
      <c r="F8" s="193" t="s">
        <v>220</v>
      </c>
      <c r="G8" s="272"/>
      <c r="H8" s="275"/>
      <c r="I8" s="275"/>
      <c r="J8" s="230" t="str">
        <f t="shared" si="19"/>
        <v/>
      </c>
      <c r="K8" s="276"/>
      <c r="L8" s="272"/>
      <c r="M8" s="275"/>
      <c r="N8" s="275"/>
      <c r="O8" s="233" t="str">
        <f t="shared" si="20"/>
        <v/>
      </c>
      <c r="P8" s="276"/>
      <c r="Q8" s="272">
        <v>85.0</v>
      </c>
      <c r="R8" s="275">
        <v>80.0</v>
      </c>
      <c r="S8" s="275">
        <v>80.0</v>
      </c>
      <c r="T8" s="235">
        <f t="shared" si="21"/>
        <v>81.66666667</v>
      </c>
      <c r="U8" s="276">
        <v>0.0</v>
      </c>
      <c r="V8" s="272">
        <v>75.0</v>
      </c>
      <c r="W8" s="275">
        <v>75.0</v>
      </c>
      <c r="X8" s="275"/>
      <c r="Y8" s="236">
        <f t="shared" si="22"/>
        <v>75</v>
      </c>
      <c r="Z8" s="276">
        <v>75.0</v>
      </c>
      <c r="AA8" s="272">
        <v>60.0</v>
      </c>
      <c r="AB8" s="275">
        <v>58.0</v>
      </c>
      <c r="AC8" s="275">
        <v>59.0</v>
      </c>
      <c r="AD8" s="238">
        <f t="shared" si="23"/>
        <v>59</v>
      </c>
      <c r="AE8" s="276">
        <v>55.0</v>
      </c>
      <c r="AF8" s="242">
        <v>88.0</v>
      </c>
      <c r="AG8" s="240">
        <v>88.0</v>
      </c>
      <c r="AH8" s="242">
        <v>88.0</v>
      </c>
      <c r="AI8" s="239">
        <f t="shared" si="24"/>
        <v>88</v>
      </c>
      <c r="AJ8" s="242">
        <v>75.0</v>
      </c>
      <c r="AK8" s="290">
        <v>60.0</v>
      </c>
      <c r="AL8" s="290">
        <v>0.0</v>
      </c>
      <c r="AM8" s="290">
        <v>0.0</v>
      </c>
      <c r="AN8" s="243">
        <f t="shared" si="25"/>
        <v>20</v>
      </c>
      <c r="AO8" s="291">
        <v>0.0</v>
      </c>
      <c r="AP8" s="272">
        <v>72.0</v>
      </c>
      <c r="AQ8" s="226">
        <f t="shared" ref="AQ8:AR8" si="38">AP8</f>
        <v>72</v>
      </c>
      <c r="AR8" s="226">
        <f t="shared" si="38"/>
        <v>72</v>
      </c>
      <c r="AS8" s="247">
        <f t="shared" si="27"/>
        <v>72</v>
      </c>
      <c r="AT8" s="232">
        <f t="shared" si="28"/>
        <v>72</v>
      </c>
      <c r="AU8" s="248">
        <v>40.0</v>
      </c>
      <c r="AV8" s="248">
        <v>43.0</v>
      </c>
      <c r="AW8" s="248">
        <v>40.0</v>
      </c>
      <c r="AX8" s="249">
        <f t="shared" si="29"/>
        <v>41</v>
      </c>
      <c r="AY8" s="295">
        <v>41.0</v>
      </c>
      <c r="AZ8" s="272">
        <v>80.0</v>
      </c>
      <c r="BA8" s="272">
        <v>80.0</v>
      </c>
      <c r="BB8" s="275"/>
      <c r="BC8" s="250">
        <f t="shared" si="30"/>
        <v>80</v>
      </c>
      <c r="BD8" s="272">
        <v>80.0</v>
      </c>
      <c r="BE8" s="283">
        <v>0.0</v>
      </c>
      <c r="BF8" s="285">
        <v>0.0</v>
      </c>
      <c r="BG8" s="285">
        <v>0.0</v>
      </c>
      <c r="BH8" s="254">
        <f t="shared" si="31"/>
        <v>0</v>
      </c>
      <c r="BI8" s="286">
        <v>0.0</v>
      </c>
      <c r="BJ8" s="283">
        <v>50.0</v>
      </c>
      <c r="BK8" s="285">
        <v>50.0</v>
      </c>
      <c r="BL8" s="285">
        <v>50.0</v>
      </c>
      <c r="BM8" s="254">
        <f t="shared" si="32"/>
        <v>50</v>
      </c>
      <c r="BN8" s="287">
        <v>50.0</v>
      </c>
      <c r="BO8" s="283">
        <v>45.0</v>
      </c>
      <c r="BP8" s="285">
        <v>50.0</v>
      </c>
      <c r="BQ8" s="285">
        <v>45.0</v>
      </c>
      <c r="BR8" s="254">
        <f t="shared" si="33"/>
        <v>46.66666667</v>
      </c>
      <c r="BS8" s="286">
        <v>0.0</v>
      </c>
      <c r="BT8" s="272"/>
      <c r="BU8" s="275"/>
      <c r="BV8" s="275"/>
      <c r="BW8" s="266" t="str">
        <f t="shared" si="34"/>
        <v/>
      </c>
      <c r="BX8" s="276"/>
      <c r="BY8" s="272"/>
      <c r="BZ8" s="275"/>
      <c r="CA8" s="275"/>
      <c r="CB8" s="266" t="str">
        <f t="shared" si="35"/>
        <v/>
      </c>
      <c r="CC8" s="276"/>
      <c r="CD8" s="272"/>
      <c r="CE8" s="275"/>
      <c r="CF8" s="275"/>
      <c r="CG8" s="269" t="str">
        <f t="shared" si="36"/>
        <v/>
      </c>
      <c r="CH8" s="276"/>
    </row>
    <row r="9" ht="15.75" customHeight="1">
      <c r="A9" s="115">
        <f>IFERROR(__xludf.DUMMYFUNCTION("""COMPUTED_VALUE"""),5.0)</f>
        <v>5</v>
      </c>
      <c r="B9" s="119" t="str">
        <f>IFERROR(__xludf.DUMMYFUNCTION("""COMPUTED_VALUE"""),"2526100418")</f>
        <v>2526100418</v>
      </c>
      <c r="C9" s="119" t="str">
        <f>IFERROR(__xludf.DUMMYFUNCTION("""COMPUTED_VALUE"""),"0107198266")</f>
        <v>0107198266</v>
      </c>
      <c r="D9" s="122" t="str">
        <f>IFERROR(__xludf.DUMMYFUNCTION("""COMPUTED_VALUE"""),"AZRIL EKA NUGRAHA")</f>
        <v>AZRIL EKA NUGRAHA</v>
      </c>
      <c r="E9" s="119" t="str">
        <f>IFERROR(__xludf.DUMMYFUNCTION("""COMPUTED_VALUE"""),"X TO 4")</f>
        <v>X TO 4</v>
      </c>
      <c r="F9" s="119" t="s">
        <v>220</v>
      </c>
      <c r="G9" s="225">
        <v>80.0</v>
      </c>
      <c r="H9" s="226">
        <v>81.0</v>
      </c>
      <c r="I9" s="226"/>
      <c r="J9" s="230">
        <f t="shared" si="19"/>
        <v>80.5</v>
      </c>
      <c r="K9" s="232">
        <v>77.0</v>
      </c>
      <c r="L9" s="225">
        <v>85.0</v>
      </c>
      <c r="M9" s="226">
        <v>80.0</v>
      </c>
      <c r="N9" s="226"/>
      <c r="O9" s="233">
        <f t="shared" si="20"/>
        <v>82.5</v>
      </c>
      <c r="P9" s="232">
        <v>84.0</v>
      </c>
      <c r="Q9" s="225">
        <v>80.0</v>
      </c>
      <c r="R9" s="226">
        <v>85.0</v>
      </c>
      <c r="S9" s="226">
        <v>86.0</v>
      </c>
      <c r="T9" s="235">
        <f t="shared" si="21"/>
        <v>83.66666667</v>
      </c>
      <c r="U9" s="232">
        <v>86.0</v>
      </c>
      <c r="V9" s="225">
        <v>90.0</v>
      </c>
      <c r="W9" s="226">
        <v>86.0</v>
      </c>
      <c r="X9" s="226"/>
      <c r="Y9" s="236">
        <f t="shared" si="22"/>
        <v>88</v>
      </c>
      <c r="Z9" s="232">
        <v>88.0</v>
      </c>
      <c r="AA9" s="225">
        <v>86.0</v>
      </c>
      <c r="AB9" s="226">
        <v>84.0</v>
      </c>
      <c r="AC9" s="226">
        <v>85.0</v>
      </c>
      <c r="AD9" s="238">
        <f t="shared" si="23"/>
        <v>85</v>
      </c>
      <c r="AE9" s="232">
        <v>81.0</v>
      </c>
      <c r="AF9" s="240">
        <v>88.0</v>
      </c>
      <c r="AG9" s="240">
        <v>89.0</v>
      </c>
      <c r="AH9" s="240">
        <v>90.0</v>
      </c>
      <c r="AI9" s="239">
        <f t="shared" si="24"/>
        <v>89</v>
      </c>
      <c r="AJ9" s="240">
        <v>90.0</v>
      </c>
      <c r="AK9" s="245">
        <v>86.0</v>
      </c>
      <c r="AL9" s="245">
        <v>86.0</v>
      </c>
      <c r="AM9" s="245">
        <v>82.0</v>
      </c>
      <c r="AN9" s="243">
        <f t="shared" si="25"/>
        <v>84.66666667</v>
      </c>
      <c r="AO9" s="246">
        <v>83.0</v>
      </c>
      <c r="AP9" s="225">
        <v>72.0</v>
      </c>
      <c r="AQ9" s="226">
        <f t="shared" ref="AQ9:AR9" si="39">AP9</f>
        <v>72</v>
      </c>
      <c r="AR9" s="226">
        <f t="shared" si="39"/>
        <v>72</v>
      </c>
      <c r="AS9" s="247">
        <f t="shared" si="27"/>
        <v>72</v>
      </c>
      <c r="AT9" s="232">
        <f t="shared" si="28"/>
        <v>72</v>
      </c>
      <c r="AU9" s="248">
        <v>72.0</v>
      </c>
      <c r="AV9" s="248">
        <v>72.0</v>
      </c>
      <c r="AW9" s="248">
        <v>72.0</v>
      </c>
      <c r="AX9" s="249">
        <f t="shared" si="29"/>
        <v>72</v>
      </c>
      <c r="AY9" s="288">
        <v>72.0</v>
      </c>
      <c r="AZ9" s="225">
        <v>80.0</v>
      </c>
      <c r="BA9" s="225">
        <v>80.0</v>
      </c>
      <c r="BB9" s="226"/>
      <c r="BC9" s="250">
        <f t="shared" si="30"/>
        <v>80</v>
      </c>
      <c r="BD9" s="225">
        <v>80.0</v>
      </c>
      <c r="BE9" s="251">
        <v>80.0</v>
      </c>
      <c r="BF9" s="252">
        <v>0.0</v>
      </c>
      <c r="BG9" s="252">
        <v>0.0</v>
      </c>
      <c r="BH9" s="254">
        <f t="shared" si="31"/>
        <v>26.66666667</v>
      </c>
      <c r="BI9" s="258">
        <v>75.0</v>
      </c>
      <c r="BJ9" s="251">
        <v>80.0</v>
      </c>
      <c r="BK9" s="252">
        <v>80.0</v>
      </c>
      <c r="BL9" s="252">
        <v>80.0</v>
      </c>
      <c r="BM9" s="254">
        <f t="shared" si="32"/>
        <v>80</v>
      </c>
      <c r="BN9" s="262">
        <v>80.0</v>
      </c>
      <c r="BO9" s="251">
        <v>78.0</v>
      </c>
      <c r="BP9" s="252">
        <v>80.0</v>
      </c>
      <c r="BQ9" s="252">
        <v>77.0</v>
      </c>
      <c r="BR9" s="254">
        <f t="shared" si="33"/>
        <v>78.33333333</v>
      </c>
      <c r="BS9" s="258">
        <v>78.0</v>
      </c>
      <c r="BT9" s="225"/>
      <c r="BU9" s="226"/>
      <c r="BV9" s="226"/>
      <c r="BW9" s="266" t="str">
        <f t="shared" si="34"/>
        <v/>
      </c>
      <c r="BX9" s="232"/>
      <c r="BY9" s="225"/>
      <c r="BZ9" s="226"/>
      <c r="CA9" s="226"/>
      <c r="CB9" s="266" t="str">
        <f t="shared" si="35"/>
        <v/>
      </c>
      <c r="CC9" s="232"/>
      <c r="CD9" s="225"/>
      <c r="CE9" s="226"/>
      <c r="CF9" s="226"/>
      <c r="CG9" s="269" t="str">
        <f t="shared" si="36"/>
        <v/>
      </c>
      <c r="CH9" s="232"/>
    </row>
    <row r="10" ht="15.75" customHeight="1">
      <c r="A10" s="189">
        <f>IFERROR(__xludf.DUMMYFUNCTION("""COMPUTED_VALUE"""),6.0)</f>
        <v>6</v>
      </c>
      <c r="B10" s="193" t="str">
        <f>IFERROR(__xludf.DUMMYFUNCTION("""COMPUTED_VALUE"""),"2526100419")</f>
        <v>2526100419</v>
      </c>
      <c r="C10" s="193" t="str">
        <f>IFERROR(__xludf.DUMMYFUNCTION("""COMPUTED_VALUE"""),"0096198310")</f>
        <v>0096198310</v>
      </c>
      <c r="D10" s="195" t="str">
        <f>IFERROR(__xludf.DUMMYFUNCTION("""COMPUTED_VALUE"""),"DIKA MUSTIKA SAPUTRA")</f>
        <v>DIKA MUSTIKA SAPUTRA</v>
      </c>
      <c r="E10" s="193" t="str">
        <f>IFERROR(__xludf.DUMMYFUNCTION("""COMPUTED_VALUE"""),"X TO 4")</f>
        <v>X TO 4</v>
      </c>
      <c r="F10" s="193" t="s">
        <v>220</v>
      </c>
      <c r="G10" s="272">
        <v>78.0</v>
      </c>
      <c r="H10" s="275">
        <v>79.0</v>
      </c>
      <c r="I10" s="275"/>
      <c r="J10" s="230">
        <f t="shared" si="19"/>
        <v>78.5</v>
      </c>
      <c r="K10" s="276">
        <v>77.0</v>
      </c>
      <c r="L10" s="272">
        <v>85.0</v>
      </c>
      <c r="M10" s="275">
        <v>80.0</v>
      </c>
      <c r="N10" s="275"/>
      <c r="O10" s="233">
        <f t="shared" si="20"/>
        <v>82.5</v>
      </c>
      <c r="P10" s="276">
        <v>83.0</v>
      </c>
      <c r="Q10" s="272">
        <v>76.0</v>
      </c>
      <c r="R10" s="275">
        <v>76.0</v>
      </c>
      <c r="S10" s="275">
        <v>76.0</v>
      </c>
      <c r="T10" s="235">
        <f t="shared" si="21"/>
        <v>76</v>
      </c>
      <c r="U10" s="276">
        <v>78.0</v>
      </c>
      <c r="V10" s="272">
        <v>95.0</v>
      </c>
      <c r="W10" s="275">
        <v>95.0</v>
      </c>
      <c r="X10" s="275"/>
      <c r="Y10" s="236">
        <f t="shared" si="22"/>
        <v>95</v>
      </c>
      <c r="Z10" s="276">
        <v>82.0</v>
      </c>
      <c r="AA10" s="272">
        <v>60.0</v>
      </c>
      <c r="AB10" s="275">
        <v>58.0</v>
      </c>
      <c r="AC10" s="275">
        <v>59.0</v>
      </c>
      <c r="AD10" s="238">
        <f t="shared" si="23"/>
        <v>59</v>
      </c>
      <c r="AE10" s="276">
        <v>55.0</v>
      </c>
      <c r="AF10" s="240">
        <v>89.0</v>
      </c>
      <c r="AG10" s="240">
        <v>90.0</v>
      </c>
      <c r="AH10" s="240">
        <v>89.0</v>
      </c>
      <c r="AI10" s="239">
        <f t="shared" si="24"/>
        <v>89.33333333</v>
      </c>
      <c r="AJ10" s="240">
        <v>90.0</v>
      </c>
      <c r="AK10" s="290">
        <v>60.0</v>
      </c>
      <c r="AL10" s="290">
        <v>0.0</v>
      </c>
      <c r="AM10" s="290">
        <v>0.0</v>
      </c>
      <c r="AN10" s="243">
        <f t="shared" si="25"/>
        <v>20</v>
      </c>
      <c r="AO10" s="291">
        <v>40.0</v>
      </c>
      <c r="AP10" s="272">
        <v>72.0</v>
      </c>
      <c r="AQ10" s="226">
        <f t="shared" ref="AQ10:AR10" si="40">AP10</f>
        <v>72</v>
      </c>
      <c r="AR10" s="226">
        <f t="shared" si="40"/>
        <v>72</v>
      </c>
      <c r="AS10" s="247">
        <f t="shared" si="27"/>
        <v>72</v>
      </c>
      <c r="AT10" s="232">
        <f t="shared" si="28"/>
        <v>72</v>
      </c>
      <c r="AU10" s="248">
        <v>72.0</v>
      </c>
      <c r="AV10" s="248">
        <v>72.0</v>
      </c>
      <c r="AW10" s="248">
        <v>72.0</v>
      </c>
      <c r="AX10" s="249">
        <f t="shared" si="29"/>
        <v>72</v>
      </c>
      <c r="AY10" s="280">
        <v>72.0</v>
      </c>
      <c r="AZ10" s="272">
        <v>80.0</v>
      </c>
      <c r="BA10" s="272">
        <v>80.0</v>
      </c>
      <c r="BB10" s="275"/>
      <c r="BC10" s="250">
        <f t="shared" si="30"/>
        <v>80</v>
      </c>
      <c r="BD10" s="272">
        <v>80.0</v>
      </c>
      <c r="BE10" s="283">
        <v>0.0</v>
      </c>
      <c r="BF10" s="285">
        <v>0.0</v>
      </c>
      <c r="BG10" s="285">
        <v>0.0</v>
      </c>
      <c r="BH10" s="254">
        <f t="shared" si="31"/>
        <v>0</v>
      </c>
      <c r="BI10" s="286">
        <v>78.0</v>
      </c>
      <c r="BJ10" s="283">
        <v>80.0</v>
      </c>
      <c r="BK10" s="285">
        <v>80.0</v>
      </c>
      <c r="BL10" s="285">
        <v>80.0</v>
      </c>
      <c r="BM10" s="254">
        <f t="shared" si="32"/>
        <v>80</v>
      </c>
      <c r="BN10" s="287">
        <v>80.0</v>
      </c>
      <c r="BO10" s="283">
        <v>78.0</v>
      </c>
      <c r="BP10" s="285">
        <v>77.0</v>
      </c>
      <c r="BQ10" s="285">
        <v>78.0</v>
      </c>
      <c r="BR10" s="254">
        <f t="shared" si="33"/>
        <v>77.66666667</v>
      </c>
      <c r="BS10" s="286">
        <v>78.0</v>
      </c>
      <c r="BT10" s="272"/>
      <c r="BU10" s="275"/>
      <c r="BV10" s="275"/>
      <c r="BW10" s="266" t="str">
        <f t="shared" si="34"/>
        <v/>
      </c>
      <c r="BX10" s="276"/>
      <c r="BY10" s="272"/>
      <c r="BZ10" s="275"/>
      <c r="CA10" s="275"/>
      <c r="CB10" s="266" t="str">
        <f t="shared" si="35"/>
        <v/>
      </c>
      <c r="CC10" s="276"/>
      <c r="CD10" s="272"/>
      <c r="CE10" s="275"/>
      <c r="CF10" s="275"/>
      <c r="CG10" s="269" t="str">
        <f t="shared" si="36"/>
        <v/>
      </c>
      <c r="CH10" s="276"/>
    </row>
    <row r="11" ht="15.75" customHeight="1">
      <c r="A11" s="115">
        <f>IFERROR(__xludf.DUMMYFUNCTION("""COMPUTED_VALUE"""),7.0)</f>
        <v>7</v>
      </c>
      <c r="B11" s="119" t="str">
        <f>IFERROR(__xludf.DUMMYFUNCTION("""COMPUTED_VALUE"""),"2526100420")</f>
        <v>2526100420</v>
      </c>
      <c r="C11" s="119" t="str">
        <f>IFERROR(__xludf.DUMMYFUNCTION("""COMPUTED_VALUE"""),"0092542662")</f>
        <v>0092542662</v>
      </c>
      <c r="D11" s="122" t="str">
        <f>IFERROR(__xludf.DUMMYFUNCTION("""COMPUTED_VALUE"""),"FAWAZ NAUPAL ALFATIR")</f>
        <v>FAWAZ NAUPAL ALFATIR</v>
      </c>
      <c r="E11" s="119" t="str">
        <f>IFERROR(__xludf.DUMMYFUNCTION("""COMPUTED_VALUE"""),"X TO 4")</f>
        <v>X TO 4</v>
      </c>
      <c r="F11" s="119" t="s">
        <v>220</v>
      </c>
      <c r="G11" s="225">
        <v>77.0</v>
      </c>
      <c r="H11" s="226">
        <v>78.0</v>
      </c>
      <c r="I11" s="226"/>
      <c r="J11" s="230">
        <f t="shared" si="19"/>
        <v>77.5</v>
      </c>
      <c r="K11" s="232">
        <v>77.0</v>
      </c>
      <c r="L11" s="225">
        <v>85.0</v>
      </c>
      <c r="M11" s="226">
        <v>80.0</v>
      </c>
      <c r="N11" s="226"/>
      <c r="O11" s="233">
        <f t="shared" si="20"/>
        <v>82.5</v>
      </c>
      <c r="P11" s="232">
        <v>80.0</v>
      </c>
      <c r="Q11" s="225">
        <v>80.0</v>
      </c>
      <c r="R11" s="226">
        <v>78.0</v>
      </c>
      <c r="S11" s="226">
        <v>80.0</v>
      </c>
      <c r="T11" s="235">
        <f t="shared" si="21"/>
        <v>79.33333333</v>
      </c>
      <c r="U11" s="232">
        <v>80.0</v>
      </c>
      <c r="V11" s="225">
        <v>80.0</v>
      </c>
      <c r="W11" s="226">
        <v>96.0</v>
      </c>
      <c r="X11" s="226"/>
      <c r="Y11" s="236">
        <f t="shared" si="22"/>
        <v>88</v>
      </c>
      <c r="Z11" s="232">
        <v>88.0</v>
      </c>
      <c r="AA11" s="225">
        <v>81.0</v>
      </c>
      <c r="AB11" s="226">
        <v>79.0</v>
      </c>
      <c r="AC11" s="226">
        <v>80.0</v>
      </c>
      <c r="AD11" s="238">
        <f t="shared" si="23"/>
        <v>80</v>
      </c>
      <c r="AE11" s="232">
        <v>76.0</v>
      </c>
      <c r="AF11" s="333">
        <v>88.0</v>
      </c>
      <c r="AG11" s="240">
        <v>90.0</v>
      </c>
      <c r="AH11" s="240">
        <v>90.0</v>
      </c>
      <c r="AI11" s="239">
        <f t="shared" si="24"/>
        <v>89.33333333</v>
      </c>
      <c r="AJ11" s="240">
        <v>90.0</v>
      </c>
      <c r="AK11" s="245">
        <v>81.0</v>
      </c>
      <c r="AL11" s="245">
        <v>78.0</v>
      </c>
      <c r="AM11" s="245">
        <v>78.0</v>
      </c>
      <c r="AN11" s="243">
        <f t="shared" si="25"/>
        <v>79</v>
      </c>
      <c r="AO11" s="246">
        <v>75.0</v>
      </c>
      <c r="AP11" s="225">
        <v>75.0</v>
      </c>
      <c r="AQ11" s="226">
        <f t="shared" ref="AQ11:AR11" si="41">AP11</f>
        <v>75</v>
      </c>
      <c r="AR11" s="226">
        <f t="shared" si="41"/>
        <v>75</v>
      </c>
      <c r="AS11" s="247">
        <f t="shared" si="27"/>
        <v>75</v>
      </c>
      <c r="AT11" s="232">
        <f t="shared" si="28"/>
        <v>75</v>
      </c>
      <c r="AU11" s="248">
        <v>73.0</v>
      </c>
      <c r="AV11" s="248">
        <v>75.0</v>
      </c>
      <c r="AW11" s="248">
        <v>77.0</v>
      </c>
      <c r="AX11" s="249">
        <f t="shared" si="29"/>
        <v>75</v>
      </c>
      <c r="AY11" s="288">
        <v>76.0</v>
      </c>
      <c r="AZ11" s="225">
        <v>80.0</v>
      </c>
      <c r="BA11" s="225">
        <v>80.0</v>
      </c>
      <c r="BB11" s="226"/>
      <c r="BC11" s="250">
        <f t="shared" si="30"/>
        <v>80</v>
      </c>
      <c r="BD11" s="225">
        <v>80.0</v>
      </c>
      <c r="BE11" s="251">
        <v>88.0</v>
      </c>
      <c r="BF11" s="252">
        <v>80.0</v>
      </c>
      <c r="BG11" s="252">
        <v>80.0</v>
      </c>
      <c r="BH11" s="254">
        <f t="shared" si="31"/>
        <v>82.66666667</v>
      </c>
      <c r="BI11" s="258">
        <v>80.0</v>
      </c>
      <c r="BJ11" s="251">
        <v>79.0</v>
      </c>
      <c r="BK11" s="252">
        <v>80.0</v>
      </c>
      <c r="BL11" s="252">
        <v>80.0</v>
      </c>
      <c r="BM11" s="254">
        <f t="shared" si="32"/>
        <v>79.66666667</v>
      </c>
      <c r="BN11" s="262">
        <v>80.0</v>
      </c>
      <c r="BO11" s="251">
        <v>77.0</v>
      </c>
      <c r="BP11" s="252">
        <v>77.0</v>
      </c>
      <c r="BQ11" s="252">
        <v>78.0</v>
      </c>
      <c r="BR11" s="254">
        <f t="shared" si="33"/>
        <v>77.33333333</v>
      </c>
      <c r="BS11" s="258">
        <v>79.0</v>
      </c>
      <c r="BT11" s="225"/>
      <c r="BU11" s="226"/>
      <c r="BV11" s="226"/>
      <c r="BW11" s="266" t="str">
        <f t="shared" si="34"/>
        <v/>
      </c>
      <c r="BX11" s="232"/>
      <c r="BY11" s="225"/>
      <c r="BZ11" s="226"/>
      <c r="CA11" s="226"/>
      <c r="CB11" s="266" t="str">
        <f t="shared" si="35"/>
        <v/>
      </c>
      <c r="CC11" s="232"/>
      <c r="CD11" s="225"/>
      <c r="CE11" s="226"/>
      <c r="CF11" s="226"/>
      <c r="CG11" s="269" t="str">
        <f t="shared" si="36"/>
        <v/>
      </c>
      <c r="CH11" s="232"/>
    </row>
    <row r="12" ht="15.75" customHeight="1">
      <c r="A12" s="189">
        <f>IFERROR(__xludf.DUMMYFUNCTION("""COMPUTED_VALUE"""),8.0)</f>
        <v>8</v>
      </c>
      <c r="B12" s="193" t="str">
        <f>IFERROR(__xludf.DUMMYFUNCTION("""COMPUTED_VALUE"""),"2526100421")</f>
        <v>2526100421</v>
      </c>
      <c r="C12" s="193" t="str">
        <f>IFERROR(__xludf.DUMMYFUNCTION("""COMPUTED_VALUE"""),"0107343620")</f>
        <v>0107343620</v>
      </c>
      <c r="D12" s="195" t="str">
        <f>IFERROR(__xludf.DUMMYFUNCTION("""COMPUTED_VALUE"""),"FIKRI AHMAD NAWAWI")</f>
        <v>FIKRI AHMAD NAWAWI</v>
      </c>
      <c r="E12" s="193" t="str">
        <f>IFERROR(__xludf.DUMMYFUNCTION("""COMPUTED_VALUE"""),"X TO 4")</f>
        <v>X TO 4</v>
      </c>
      <c r="F12" s="193" t="s">
        <v>220</v>
      </c>
      <c r="G12" s="272">
        <v>80.0</v>
      </c>
      <c r="H12" s="275">
        <v>80.0</v>
      </c>
      <c r="I12" s="275"/>
      <c r="J12" s="230">
        <f t="shared" si="19"/>
        <v>80</v>
      </c>
      <c r="K12" s="276">
        <v>77.0</v>
      </c>
      <c r="L12" s="272">
        <v>85.0</v>
      </c>
      <c r="M12" s="275">
        <v>80.0</v>
      </c>
      <c r="N12" s="275"/>
      <c r="O12" s="233">
        <f t="shared" si="20"/>
        <v>82.5</v>
      </c>
      <c r="P12" s="276">
        <v>82.0</v>
      </c>
      <c r="Q12" s="272">
        <v>76.0</v>
      </c>
      <c r="R12" s="275">
        <v>80.0</v>
      </c>
      <c r="S12" s="275">
        <v>78.0</v>
      </c>
      <c r="T12" s="235">
        <f t="shared" si="21"/>
        <v>78</v>
      </c>
      <c r="U12" s="276">
        <v>78.0</v>
      </c>
      <c r="V12" s="272">
        <v>90.0</v>
      </c>
      <c r="W12" s="275">
        <v>89.0</v>
      </c>
      <c r="X12" s="275"/>
      <c r="Y12" s="236">
        <f t="shared" si="22"/>
        <v>89.5</v>
      </c>
      <c r="Z12" s="276">
        <v>84.0</v>
      </c>
      <c r="AA12" s="272">
        <v>81.0</v>
      </c>
      <c r="AB12" s="275">
        <v>79.0</v>
      </c>
      <c r="AC12" s="275">
        <v>80.0</v>
      </c>
      <c r="AD12" s="238">
        <f t="shared" si="23"/>
        <v>80</v>
      </c>
      <c r="AE12" s="276">
        <v>76.0</v>
      </c>
      <c r="AF12" s="240">
        <v>88.0</v>
      </c>
      <c r="AG12" s="240">
        <v>90.0</v>
      </c>
      <c r="AH12" s="240">
        <v>90.0</v>
      </c>
      <c r="AI12" s="239">
        <f t="shared" si="24"/>
        <v>89.33333333</v>
      </c>
      <c r="AJ12" s="240">
        <v>89.0</v>
      </c>
      <c r="AK12" s="245">
        <v>81.0</v>
      </c>
      <c r="AL12" s="245">
        <v>79.0</v>
      </c>
      <c r="AM12" s="245">
        <v>80.0</v>
      </c>
      <c r="AN12" s="243">
        <f t="shared" si="25"/>
        <v>80</v>
      </c>
      <c r="AO12" s="246">
        <v>79.0</v>
      </c>
      <c r="AP12" s="272">
        <v>72.0</v>
      </c>
      <c r="AQ12" s="226">
        <f t="shared" ref="AQ12:AR12" si="42">AP12</f>
        <v>72</v>
      </c>
      <c r="AR12" s="226">
        <f t="shared" si="42"/>
        <v>72</v>
      </c>
      <c r="AS12" s="247">
        <f t="shared" si="27"/>
        <v>72</v>
      </c>
      <c r="AT12" s="232">
        <f t="shared" si="28"/>
        <v>72</v>
      </c>
      <c r="AU12" s="248">
        <v>72.0</v>
      </c>
      <c r="AV12" s="248">
        <v>72.0</v>
      </c>
      <c r="AW12" s="248">
        <v>72.0</v>
      </c>
      <c r="AX12" s="249">
        <f t="shared" si="29"/>
        <v>72</v>
      </c>
      <c r="AY12" s="280">
        <v>72.0</v>
      </c>
      <c r="AZ12" s="272">
        <v>80.0</v>
      </c>
      <c r="BA12" s="272">
        <v>80.0</v>
      </c>
      <c r="BB12" s="275"/>
      <c r="BC12" s="250">
        <f t="shared" si="30"/>
        <v>80</v>
      </c>
      <c r="BD12" s="272">
        <v>80.0</v>
      </c>
      <c r="BE12" s="283">
        <v>0.0</v>
      </c>
      <c r="BF12" s="285">
        <v>0.0</v>
      </c>
      <c r="BG12" s="285">
        <v>0.0</v>
      </c>
      <c r="BH12" s="254">
        <f t="shared" si="31"/>
        <v>0</v>
      </c>
      <c r="BI12" s="286">
        <v>78.0</v>
      </c>
      <c r="BJ12" s="283">
        <v>82.0</v>
      </c>
      <c r="BK12" s="285">
        <v>80.0</v>
      </c>
      <c r="BL12" s="285">
        <v>80.0</v>
      </c>
      <c r="BM12" s="254">
        <f t="shared" si="32"/>
        <v>80.66666667</v>
      </c>
      <c r="BN12" s="287">
        <v>80.0</v>
      </c>
      <c r="BO12" s="283">
        <v>78.0</v>
      </c>
      <c r="BP12" s="285">
        <v>77.0</v>
      </c>
      <c r="BQ12" s="285">
        <v>78.0</v>
      </c>
      <c r="BR12" s="254">
        <f t="shared" si="33"/>
        <v>77.66666667</v>
      </c>
      <c r="BS12" s="286">
        <v>79.0</v>
      </c>
      <c r="BT12" s="272"/>
      <c r="BU12" s="275"/>
      <c r="BV12" s="275"/>
      <c r="BW12" s="266" t="str">
        <f t="shared" si="34"/>
        <v/>
      </c>
      <c r="BX12" s="276"/>
      <c r="BY12" s="272"/>
      <c r="BZ12" s="275"/>
      <c r="CA12" s="275"/>
      <c r="CB12" s="266" t="str">
        <f t="shared" si="35"/>
        <v/>
      </c>
      <c r="CC12" s="276"/>
      <c r="CD12" s="272"/>
      <c r="CE12" s="275"/>
      <c r="CF12" s="275"/>
      <c r="CG12" s="269" t="str">
        <f t="shared" si="36"/>
        <v/>
      </c>
      <c r="CH12" s="276"/>
    </row>
    <row r="13" ht="15.75" customHeight="1">
      <c r="A13" s="115">
        <f>IFERROR(__xludf.DUMMYFUNCTION("""COMPUTED_VALUE"""),9.0)</f>
        <v>9</v>
      </c>
      <c r="B13" s="119" t="str">
        <f>IFERROR(__xludf.DUMMYFUNCTION("""COMPUTED_VALUE"""),"2526100422")</f>
        <v>2526100422</v>
      </c>
      <c r="C13" s="119" t="str">
        <f>IFERROR(__xludf.DUMMYFUNCTION("""COMPUTED_VALUE"""),"0076614788")</f>
        <v>0076614788</v>
      </c>
      <c r="D13" s="122" t="str">
        <f>IFERROR(__xludf.DUMMYFUNCTION("""COMPUTED_VALUE"""),"HADI NURYADI")</f>
        <v>HADI NURYADI</v>
      </c>
      <c r="E13" s="119" t="str">
        <f>IFERROR(__xludf.DUMMYFUNCTION("""COMPUTED_VALUE"""),"X TO 4")</f>
        <v>X TO 4</v>
      </c>
      <c r="F13" s="119" t="s">
        <v>220</v>
      </c>
      <c r="G13" s="225">
        <v>80.0</v>
      </c>
      <c r="H13" s="226">
        <v>81.0</v>
      </c>
      <c r="I13" s="226"/>
      <c r="J13" s="230">
        <f t="shared" si="19"/>
        <v>80.5</v>
      </c>
      <c r="K13" s="232">
        <v>75.0</v>
      </c>
      <c r="L13" s="225">
        <v>85.0</v>
      </c>
      <c r="M13" s="226">
        <v>80.0</v>
      </c>
      <c r="N13" s="226"/>
      <c r="O13" s="233">
        <f t="shared" si="20"/>
        <v>82.5</v>
      </c>
      <c r="P13" s="232">
        <v>85.0</v>
      </c>
      <c r="Q13" s="225">
        <v>78.0</v>
      </c>
      <c r="R13" s="226">
        <v>78.0</v>
      </c>
      <c r="S13" s="226">
        <v>78.0</v>
      </c>
      <c r="T13" s="235">
        <f t="shared" si="21"/>
        <v>78</v>
      </c>
      <c r="U13" s="232">
        <v>80.0</v>
      </c>
      <c r="V13" s="225">
        <v>75.0</v>
      </c>
      <c r="W13" s="226">
        <v>90.0</v>
      </c>
      <c r="X13" s="226"/>
      <c r="Y13" s="236">
        <f t="shared" si="22"/>
        <v>82.5</v>
      </c>
      <c r="Z13" s="232">
        <v>84.0</v>
      </c>
      <c r="AA13" s="225">
        <v>79.0</v>
      </c>
      <c r="AB13" s="226">
        <v>77.0</v>
      </c>
      <c r="AC13" s="226">
        <v>78.0</v>
      </c>
      <c r="AD13" s="238">
        <f t="shared" si="23"/>
        <v>78</v>
      </c>
      <c r="AE13" s="232">
        <v>74.0</v>
      </c>
      <c r="AF13" s="240">
        <v>90.0</v>
      </c>
      <c r="AG13" s="240">
        <v>90.0</v>
      </c>
      <c r="AH13" s="240">
        <v>90.0</v>
      </c>
      <c r="AI13" s="239">
        <f t="shared" si="24"/>
        <v>90</v>
      </c>
      <c r="AJ13" s="240">
        <v>90.0</v>
      </c>
      <c r="AK13" s="245">
        <v>79.0</v>
      </c>
      <c r="AL13" s="245">
        <v>77.0</v>
      </c>
      <c r="AM13" s="245">
        <v>73.0</v>
      </c>
      <c r="AN13" s="243">
        <f t="shared" si="25"/>
        <v>76.33333333</v>
      </c>
      <c r="AO13" s="246">
        <v>70.0</v>
      </c>
      <c r="AP13" s="225">
        <v>80.0</v>
      </c>
      <c r="AQ13" s="226">
        <f t="shared" ref="AQ13:AR13" si="43">AP13</f>
        <v>80</v>
      </c>
      <c r="AR13" s="226">
        <f t="shared" si="43"/>
        <v>80</v>
      </c>
      <c r="AS13" s="247">
        <f t="shared" si="27"/>
        <v>80</v>
      </c>
      <c r="AT13" s="232">
        <f t="shared" si="28"/>
        <v>80</v>
      </c>
      <c r="AU13" s="248">
        <v>72.0</v>
      </c>
      <c r="AV13" s="248">
        <v>72.0</v>
      </c>
      <c r="AW13" s="248">
        <v>72.0</v>
      </c>
      <c r="AX13" s="249">
        <f t="shared" si="29"/>
        <v>72</v>
      </c>
      <c r="AY13" s="288">
        <v>72.0</v>
      </c>
      <c r="AZ13" s="225">
        <v>80.0</v>
      </c>
      <c r="BA13" s="225">
        <v>80.0</v>
      </c>
      <c r="BB13" s="226"/>
      <c r="BC13" s="250">
        <f t="shared" si="30"/>
        <v>80</v>
      </c>
      <c r="BD13" s="225">
        <v>80.0</v>
      </c>
      <c r="BE13" s="251">
        <v>0.0</v>
      </c>
      <c r="BF13" s="252">
        <v>0.0</v>
      </c>
      <c r="BG13" s="252">
        <v>0.0</v>
      </c>
      <c r="BH13" s="254">
        <f t="shared" si="31"/>
        <v>0</v>
      </c>
      <c r="BI13" s="258">
        <v>80.0</v>
      </c>
      <c r="BJ13" s="251">
        <v>80.0</v>
      </c>
      <c r="BK13" s="252">
        <v>78.0</v>
      </c>
      <c r="BL13" s="252">
        <v>78.0</v>
      </c>
      <c r="BM13" s="254">
        <f t="shared" si="32"/>
        <v>78.66666667</v>
      </c>
      <c r="BN13" s="262">
        <v>78.0</v>
      </c>
      <c r="BO13" s="251">
        <v>78.0</v>
      </c>
      <c r="BP13" s="252">
        <v>79.0</v>
      </c>
      <c r="BQ13" s="252">
        <v>77.0</v>
      </c>
      <c r="BR13" s="254">
        <f t="shared" si="33"/>
        <v>78</v>
      </c>
      <c r="BS13" s="258">
        <v>79.0</v>
      </c>
      <c r="BT13" s="225"/>
      <c r="BU13" s="226"/>
      <c r="BV13" s="226"/>
      <c r="BW13" s="266" t="str">
        <f t="shared" si="34"/>
        <v/>
      </c>
      <c r="BX13" s="232"/>
      <c r="BY13" s="225"/>
      <c r="BZ13" s="226"/>
      <c r="CA13" s="226"/>
      <c r="CB13" s="266" t="str">
        <f t="shared" si="35"/>
        <v/>
      </c>
      <c r="CC13" s="232"/>
      <c r="CD13" s="225"/>
      <c r="CE13" s="226"/>
      <c r="CF13" s="226"/>
      <c r="CG13" s="269" t="str">
        <f t="shared" si="36"/>
        <v/>
      </c>
      <c r="CH13" s="232"/>
    </row>
    <row r="14" ht="15.75" customHeight="1">
      <c r="A14" s="189">
        <f>IFERROR(__xludf.DUMMYFUNCTION("""COMPUTED_VALUE"""),10.0)</f>
        <v>10</v>
      </c>
      <c r="B14" s="193" t="str">
        <f>IFERROR(__xludf.DUMMYFUNCTION("""COMPUTED_VALUE"""),"2526100423")</f>
        <v>2526100423</v>
      </c>
      <c r="C14" s="193" t="str">
        <f>IFERROR(__xludf.DUMMYFUNCTION("""COMPUTED_VALUE"""),"0093759169")</f>
        <v>0093759169</v>
      </c>
      <c r="D14" s="195" t="str">
        <f>IFERROR(__xludf.DUMMYFUNCTION("""COMPUTED_VALUE"""),"IBNU WANALI")</f>
        <v>IBNU WANALI</v>
      </c>
      <c r="E14" s="193" t="str">
        <f>IFERROR(__xludf.DUMMYFUNCTION("""COMPUTED_VALUE"""),"X TO 4")</f>
        <v>X TO 4</v>
      </c>
      <c r="F14" s="193" t="s">
        <v>220</v>
      </c>
      <c r="G14" s="272">
        <v>79.0</v>
      </c>
      <c r="H14" s="275">
        <v>80.0</v>
      </c>
      <c r="I14" s="275"/>
      <c r="J14" s="230">
        <f t="shared" si="19"/>
        <v>79.5</v>
      </c>
      <c r="K14" s="276">
        <v>77.0</v>
      </c>
      <c r="L14" s="272">
        <v>85.0</v>
      </c>
      <c r="M14" s="275">
        <v>85.0</v>
      </c>
      <c r="N14" s="275"/>
      <c r="O14" s="233">
        <f t="shared" si="20"/>
        <v>85</v>
      </c>
      <c r="P14" s="276">
        <v>79.0</v>
      </c>
      <c r="Q14" s="272">
        <v>80.0</v>
      </c>
      <c r="R14" s="275">
        <v>78.0</v>
      </c>
      <c r="S14" s="275">
        <v>80.0</v>
      </c>
      <c r="T14" s="235">
        <f t="shared" si="21"/>
        <v>79.33333333</v>
      </c>
      <c r="U14" s="276">
        <v>80.0</v>
      </c>
      <c r="V14" s="272">
        <v>75.0</v>
      </c>
      <c r="W14" s="275">
        <v>75.0</v>
      </c>
      <c r="X14" s="275"/>
      <c r="Y14" s="236">
        <f t="shared" si="22"/>
        <v>75</v>
      </c>
      <c r="Z14" s="276">
        <v>90.0</v>
      </c>
      <c r="AA14" s="272">
        <v>78.0</v>
      </c>
      <c r="AB14" s="275">
        <v>76.0</v>
      </c>
      <c r="AC14" s="275">
        <v>77.0</v>
      </c>
      <c r="AD14" s="238">
        <f t="shared" si="23"/>
        <v>77</v>
      </c>
      <c r="AE14" s="276">
        <v>73.0</v>
      </c>
      <c r="AF14" s="240">
        <v>90.0</v>
      </c>
      <c r="AG14" s="240">
        <v>89.0</v>
      </c>
      <c r="AH14" s="240">
        <v>90.0</v>
      </c>
      <c r="AI14" s="239">
        <f t="shared" si="24"/>
        <v>89.66666667</v>
      </c>
      <c r="AJ14" s="240">
        <v>90.0</v>
      </c>
      <c r="AK14" s="245">
        <v>78.0</v>
      </c>
      <c r="AL14" s="245">
        <v>77.0</v>
      </c>
      <c r="AM14" s="245">
        <v>73.0</v>
      </c>
      <c r="AN14" s="243">
        <f t="shared" si="25"/>
        <v>76</v>
      </c>
      <c r="AO14" s="246">
        <v>70.0</v>
      </c>
      <c r="AP14" s="272">
        <v>76.0</v>
      </c>
      <c r="AQ14" s="226">
        <f t="shared" ref="AQ14:AR14" si="44">AP14</f>
        <v>76</v>
      </c>
      <c r="AR14" s="226">
        <f t="shared" si="44"/>
        <v>76</v>
      </c>
      <c r="AS14" s="247">
        <f t="shared" si="27"/>
        <v>76</v>
      </c>
      <c r="AT14" s="232">
        <f t="shared" si="28"/>
        <v>76</v>
      </c>
      <c r="AU14" s="248">
        <v>72.0</v>
      </c>
      <c r="AV14" s="248">
        <v>72.0</v>
      </c>
      <c r="AW14" s="248">
        <v>72.0</v>
      </c>
      <c r="AX14" s="249">
        <f t="shared" si="29"/>
        <v>72</v>
      </c>
      <c r="AY14" s="280">
        <v>72.0</v>
      </c>
      <c r="AZ14" s="272">
        <v>80.0</v>
      </c>
      <c r="BA14" s="272">
        <v>80.0</v>
      </c>
      <c r="BB14" s="275"/>
      <c r="BC14" s="250">
        <f t="shared" si="30"/>
        <v>80</v>
      </c>
      <c r="BD14" s="272">
        <v>80.0</v>
      </c>
      <c r="BE14" s="283">
        <v>83.0</v>
      </c>
      <c r="BF14" s="285">
        <v>0.0</v>
      </c>
      <c r="BG14" s="285">
        <v>0.0</v>
      </c>
      <c r="BH14" s="254">
        <f t="shared" si="31"/>
        <v>27.66666667</v>
      </c>
      <c r="BI14" s="286">
        <v>83.0</v>
      </c>
      <c r="BJ14" s="283">
        <v>80.0</v>
      </c>
      <c r="BK14" s="285">
        <v>80.0</v>
      </c>
      <c r="BL14" s="285">
        <v>80.0</v>
      </c>
      <c r="BM14" s="254">
        <f t="shared" si="32"/>
        <v>80</v>
      </c>
      <c r="BN14" s="287">
        <v>80.0</v>
      </c>
      <c r="BO14" s="283">
        <v>79.0</v>
      </c>
      <c r="BP14" s="285">
        <v>78.0</v>
      </c>
      <c r="BQ14" s="285">
        <v>78.0</v>
      </c>
      <c r="BR14" s="254">
        <f t="shared" si="33"/>
        <v>78.33333333</v>
      </c>
      <c r="BS14" s="286">
        <v>78.0</v>
      </c>
      <c r="BT14" s="272"/>
      <c r="BU14" s="275"/>
      <c r="BV14" s="275"/>
      <c r="BW14" s="266" t="str">
        <f t="shared" si="34"/>
        <v/>
      </c>
      <c r="BX14" s="276"/>
      <c r="BY14" s="272"/>
      <c r="BZ14" s="275"/>
      <c r="CA14" s="275"/>
      <c r="CB14" s="266" t="str">
        <f t="shared" si="35"/>
        <v/>
      </c>
      <c r="CC14" s="276"/>
      <c r="CD14" s="272"/>
      <c r="CE14" s="275"/>
      <c r="CF14" s="275"/>
      <c r="CG14" s="269" t="str">
        <f t="shared" si="36"/>
        <v/>
      </c>
      <c r="CH14" s="276"/>
    </row>
    <row r="15" ht="15.75" customHeight="1">
      <c r="A15" s="115">
        <f>IFERROR(__xludf.DUMMYFUNCTION("""COMPUTED_VALUE"""),11.0)</f>
        <v>11</v>
      </c>
      <c r="B15" s="119" t="str">
        <f>IFERROR(__xludf.DUMMYFUNCTION("""COMPUTED_VALUE"""),"2526100424")</f>
        <v>2526100424</v>
      </c>
      <c r="C15" s="119" t="str">
        <f>IFERROR(__xludf.DUMMYFUNCTION("""COMPUTED_VALUE"""),"0095752965")</f>
        <v>0095752965</v>
      </c>
      <c r="D15" s="122" t="str">
        <f>IFERROR(__xludf.DUMMYFUNCTION("""COMPUTED_VALUE"""),"IHSAN ABDULOH ")</f>
        <v>IHSAN ABDULOH </v>
      </c>
      <c r="E15" s="119" t="str">
        <f>IFERROR(__xludf.DUMMYFUNCTION("""COMPUTED_VALUE"""),"X TO 4")</f>
        <v>X TO 4</v>
      </c>
      <c r="F15" s="119" t="s">
        <v>220</v>
      </c>
      <c r="G15" s="225">
        <v>80.0</v>
      </c>
      <c r="H15" s="226">
        <v>80.0</v>
      </c>
      <c r="I15" s="226"/>
      <c r="J15" s="230">
        <f t="shared" si="19"/>
        <v>80</v>
      </c>
      <c r="K15" s="232">
        <v>80.0</v>
      </c>
      <c r="L15" s="225">
        <v>85.0</v>
      </c>
      <c r="M15" s="226">
        <v>80.0</v>
      </c>
      <c r="N15" s="226"/>
      <c r="O15" s="233">
        <f t="shared" si="20"/>
        <v>82.5</v>
      </c>
      <c r="P15" s="232">
        <v>86.0</v>
      </c>
      <c r="Q15" s="225">
        <v>80.0</v>
      </c>
      <c r="R15" s="226">
        <v>80.0</v>
      </c>
      <c r="S15" s="226">
        <v>87.0</v>
      </c>
      <c r="T15" s="235">
        <f t="shared" si="21"/>
        <v>82.33333333</v>
      </c>
      <c r="U15" s="232">
        <v>86.0</v>
      </c>
      <c r="V15" s="225">
        <v>92.0</v>
      </c>
      <c r="W15" s="226">
        <v>90.0</v>
      </c>
      <c r="X15" s="226"/>
      <c r="Y15" s="236">
        <f t="shared" si="22"/>
        <v>91</v>
      </c>
      <c r="Z15" s="232">
        <v>84.0</v>
      </c>
      <c r="AA15" s="225">
        <v>85.0</v>
      </c>
      <c r="AB15" s="226">
        <v>83.0</v>
      </c>
      <c r="AC15" s="226">
        <v>84.0</v>
      </c>
      <c r="AD15" s="238">
        <f t="shared" si="23"/>
        <v>84</v>
      </c>
      <c r="AE15" s="232">
        <v>80.0</v>
      </c>
      <c r="AF15" s="240">
        <v>89.0</v>
      </c>
      <c r="AG15" s="240">
        <v>90.0</v>
      </c>
      <c r="AH15" s="240">
        <v>90.0</v>
      </c>
      <c r="AI15" s="239">
        <f t="shared" si="24"/>
        <v>89.66666667</v>
      </c>
      <c r="AJ15" s="240">
        <v>88.0</v>
      </c>
      <c r="AK15" s="245">
        <v>85.0</v>
      </c>
      <c r="AL15" s="245">
        <v>83.0</v>
      </c>
      <c r="AM15" s="245">
        <v>82.0</v>
      </c>
      <c r="AN15" s="243">
        <f t="shared" si="25"/>
        <v>83.33333333</v>
      </c>
      <c r="AO15" s="246">
        <v>86.0</v>
      </c>
      <c r="AP15" s="225">
        <v>77.0</v>
      </c>
      <c r="AQ15" s="226">
        <f t="shared" ref="AQ15:AR15" si="45">AP15</f>
        <v>77</v>
      </c>
      <c r="AR15" s="226">
        <f t="shared" si="45"/>
        <v>77</v>
      </c>
      <c r="AS15" s="247">
        <f t="shared" si="27"/>
        <v>77</v>
      </c>
      <c r="AT15" s="232">
        <f t="shared" si="28"/>
        <v>77</v>
      </c>
      <c r="AU15" s="248">
        <v>76.0</v>
      </c>
      <c r="AV15" s="248">
        <v>78.0</v>
      </c>
      <c r="AW15" s="248">
        <v>80.0</v>
      </c>
      <c r="AX15" s="249">
        <f t="shared" si="29"/>
        <v>78</v>
      </c>
      <c r="AY15" s="232">
        <v>80.0</v>
      </c>
      <c r="AZ15" s="225">
        <v>80.0</v>
      </c>
      <c r="BA15" s="225">
        <v>80.0</v>
      </c>
      <c r="BB15" s="226"/>
      <c r="BC15" s="250">
        <f t="shared" si="30"/>
        <v>80</v>
      </c>
      <c r="BD15" s="225">
        <v>80.0</v>
      </c>
      <c r="BE15" s="251">
        <v>88.0</v>
      </c>
      <c r="BF15" s="252">
        <v>80.0</v>
      </c>
      <c r="BG15" s="252">
        <v>78.0</v>
      </c>
      <c r="BH15" s="254">
        <f t="shared" si="31"/>
        <v>82</v>
      </c>
      <c r="BI15" s="258">
        <v>83.0</v>
      </c>
      <c r="BJ15" s="251">
        <v>84.0</v>
      </c>
      <c r="BK15" s="252">
        <v>85.0</v>
      </c>
      <c r="BL15" s="252">
        <v>85.0</v>
      </c>
      <c r="BM15" s="254">
        <f t="shared" si="32"/>
        <v>84.66666667</v>
      </c>
      <c r="BN15" s="262">
        <v>85.0</v>
      </c>
      <c r="BO15" s="251">
        <v>79.0</v>
      </c>
      <c r="BP15" s="252">
        <v>78.0</v>
      </c>
      <c r="BQ15" s="252">
        <v>77.0</v>
      </c>
      <c r="BR15" s="254">
        <f t="shared" si="33"/>
        <v>78</v>
      </c>
      <c r="BS15" s="258">
        <v>78.0</v>
      </c>
      <c r="BT15" s="225"/>
      <c r="BU15" s="226"/>
      <c r="BV15" s="226"/>
      <c r="BW15" s="266" t="str">
        <f t="shared" si="34"/>
        <v/>
      </c>
      <c r="BX15" s="232"/>
      <c r="BY15" s="225"/>
      <c r="BZ15" s="226"/>
      <c r="CA15" s="226"/>
      <c r="CB15" s="266" t="str">
        <f t="shared" si="35"/>
        <v/>
      </c>
      <c r="CC15" s="232"/>
      <c r="CD15" s="225"/>
      <c r="CE15" s="226"/>
      <c r="CF15" s="226"/>
      <c r="CG15" s="269" t="str">
        <f t="shared" si="36"/>
        <v/>
      </c>
      <c r="CH15" s="232"/>
    </row>
    <row r="16" ht="15.75" customHeight="1">
      <c r="A16" s="189">
        <f>IFERROR(__xludf.DUMMYFUNCTION("""COMPUTED_VALUE"""),12.0)</f>
        <v>12</v>
      </c>
      <c r="B16" s="193" t="str">
        <f>IFERROR(__xludf.DUMMYFUNCTION("""COMPUTED_VALUE"""),"2526100425")</f>
        <v>2526100425</v>
      </c>
      <c r="C16" s="193" t="str">
        <f>IFERROR(__xludf.DUMMYFUNCTION("""COMPUTED_VALUE"""),"0095318140")</f>
        <v>0095318140</v>
      </c>
      <c r="D16" s="195" t="str">
        <f>IFERROR(__xludf.DUMMYFUNCTION("""COMPUTED_VALUE"""),"INDRA NURMAN")</f>
        <v>INDRA NURMAN</v>
      </c>
      <c r="E16" s="193" t="str">
        <f>IFERROR(__xludf.DUMMYFUNCTION("""COMPUTED_VALUE"""),"X TO 4")</f>
        <v>X TO 4</v>
      </c>
      <c r="F16" s="193" t="s">
        <v>220</v>
      </c>
      <c r="G16" s="272">
        <v>80.0</v>
      </c>
      <c r="H16" s="275">
        <v>80.0</v>
      </c>
      <c r="I16" s="275"/>
      <c r="J16" s="230">
        <f t="shared" si="19"/>
        <v>80</v>
      </c>
      <c r="K16" s="276">
        <v>75.0</v>
      </c>
      <c r="L16" s="272">
        <v>85.0</v>
      </c>
      <c r="M16" s="275">
        <v>80.0</v>
      </c>
      <c r="N16" s="275"/>
      <c r="O16" s="233">
        <f t="shared" si="20"/>
        <v>82.5</v>
      </c>
      <c r="P16" s="276">
        <v>79.0</v>
      </c>
      <c r="Q16" s="272">
        <v>78.0</v>
      </c>
      <c r="R16" s="275">
        <v>80.0</v>
      </c>
      <c r="S16" s="275">
        <v>80.0</v>
      </c>
      <c r="T16" s="235">
        <f t="shared" si="21"/>
        <v>79.33333333</v>
      </c>
      <c r="U16" s="276">
        <v>80.0</v>
      </c>
      <c r="V16" s="272">
        <v>75.0</v>
      </c>
      <c r="W16" s="275">
        <v>91.0</v>
      </c>
      <c r="X16" s="275"/>
      <c r="Y16" s="236">
        <f t="shared" si="22"/>
        <v>83</v>
      </c>
      <c r="Z16" s="276">
        <v>85.0</v>
      </c>
      <c r="AA16" s="272">
        <v>84.0</v>
      </c>
      <c r="AB16" s="275">
        <v>82.0</v>
      </c>
      <c r="AC16" s="275">
        <v>83.0</v>
      </c>
      <c r="AD16" s="238">
        <f t="shared" si="23"/>
        <v>83</v>
      </c>
      <c r="AE16" s="276">
        <v>79.0</v>
      </c>
      <c r="AF16" s="240">
        <v>90.0</v>
      </c>
      <c r="AG16" s="240">
        <v>90.0</v>
      </c>
      <c r="AH16" s="240">
        <v>90.0</v>
      </c>
      <c r="AI16" s="239">
        <f t="shared" si="24"/>
        <v>90</v>
      </c>
      <c r="AJ16" s="240">
        <v>89.0</v>
      </c>
      <c r="AK16" s="245">
        <v>84.0</v>
      </c>
      <c r="AL16" s="245">
        <v>85.0</v>
      </c>
      <c r="AM16" s="245">
        <v>82.0</v>
      </c>
      <c r="AN16" s="243">
        <f t="shared" si="25"/>
        <v>83.66666667</v>
      </c>
      <c r="AO16" s="246">
        <v>87.0</v>
      </c>
      <c r="AP16" s="272">
        <v>83.0</v>
      </c>
      <c r="AQ16" s="226">
        <f t="shared" ref="AQ16:AR16" si="46">AP16</f>
        <v>83</v>
      </c>
      <c r="AR16" s="226">
        <f t="shared" si="46"/>
        <v>83</v>
      </c>
      <c r="AS16" s="247">
        <f t="shared" si="27"/>
        <v>83</v>
      </c>
      <c r="AT16" s="232">
        <f t="shared" si="28"/>
        <v>83</v>
      </c>
      <c r="AU16" s="248">
        <v>76.0</v>
      </c>
      <c r="AV16" s="248">
        <v>76.0</v>
      </c>
      <c r="AW16" s="248">
        <v>78.0</v>
      </c>
      <c r="AX16" s="249">
        <f t="shared" si="29"/>
        <v>76.66666667</v>
      </c>
      <c r="AY16" s="276">
        <v>76.0</v>
      </c>
      <c r="AZ16" s="272">
        <v>80.0</v>
      </c>
      <c r="BA16" s="272">
        <v>80.0</v>
      </c>
      <c r="BB16" s="275"/>
      <c r="BC16" s="250">
        <f t="shared" si="30"/>
        <v>80</v>
      </c>
      <c r="BD16" s="272">
        <v>80.0</v>
      </c>
      <c r="BE16" s="283">
        <v>80.0</v>
      </c>
      <c r="BF16" s="285">
        <v>0.0</v>
      </c>
      <c r="BG16" s="285">
        <v>0.0</v>
      </c>
      <c r="BH16" s="254">
        <f t="shared" si="31"/>
        <v>26.66666667</v>
      </c>
      <c r="BI16" s="286">
        <v>82.0</v>
      </c>
      <c r="BJ16" s="283">
        <v>85.0</v>
      </c>
      <c r="BK16" s="285">
        <v>80.0</v>
      </c>
      <c r="BL16" s="285">
        <v>80.0</v>
      </c>
      <c r="BM16" s="254">
        <f t="shared" si="32"/>
        <v>81.66666667</v>
      </c>
      <c r="BN16" s="287">
        <v>80.0</v>
      </c>
      <c r="BO16" s="283">
        <v>78.0</v>
      </c>
      <c r="BP16" s="285">
        <v>77.0</v>
      </c>
      <c r="BQ16" s="285">
        <v>78.0</v>
      </c>
      <c r="BR16" s="254">
        <f t="shared" si="33"/>
        <v>77.66666667</v>
      </c>
      <c r="BS16" s="286">
        <v>77.0</v>
      </c>
      <c r="BT16" s="272"/>
      <c r="BU16" s="275"/>
      <c r="BV16" s="275"/>
      <c r="BW16" s="266" t="str">
        <f t="shared" si="34"/>
        <v/>
      </c>
      <c r="BX16" s="276"/>
      <c r="BY16" s="272"/>
      <c r="BZ16" s="275"/>
      <c r="CA16" s="275"/>
      <c r="CB16" s="266" t="str">
        <f t="shared" si="35"/>
        <v/>
      </c>
      <c r="CC16" s="276"/>
      <c r="CD16" s="272"/>
      <c r="CE16" s="275"/>
      <c r="CF16" s="275"/>
      <c r="CG16" s="269" t="str">
        <f t="shared" si="36"/>
        <v/>
      </c>
      <c r="CH16" s="276"/>
    </row>
    <row r="17" ht="15.75" customHeight="1">
      <c r="A17" s="115">
        <f>IFERROR(__xludf.DUMMYFUNCTION("""COMPUTED_VALUE"""),13.0)</f>
        <v>13</v>
      </c>
      <c r="B17" s="119" t="str">
        <f>IFERROR(__xludf.DUMMYFUNCTION("""COMPUTED_VALUE"""),"2526100426")</f>
        <v>2526100426</v>
      </c>
      <c r="C17" s="119" t="str">
        <f>IFERROR(__xludf.DUMMYFUNCTION("""COMPUTED_VALUE"""),"3109448408")</f>
        <v>3109448408</v>
      </c>
      <c r="D17" s="122" t="str">
        <f>IFERROR(__xludf.DUMMYFUNCTION("""COMPUTED_VALUE"""),"IWAN SOPYAN")</f>
        <v>IWAN SOPYAN</v>
      </c>
      <c r="E17" s="119" t="str">
        <f>IFERROR(__xludf.DUMMYFUNCTION("""COMPUTED_VALUE"""),"X TO 4")</f>
        <v>X TO 4</v>
      </c>
      <c r="F17" s="119" t="s">
        <v>220</v>
      </c>
      <c r="G17" s="225">
        <v>80.0</v>
      </c>
      <c r="H17" s="226">
        <v>81.0</v>
      </c>
      <c r="I17" s="226"/>
      <c r="J17" s="230">
        <f t="shared" si="19"/>
        <v>80.5</v>
      </c>
      <c r="K17" s="232">
        <v>77.0</v>
      </c>
      <c r="L17" s="225">
        <v>85.0</v>
      </c>
      <c r="M17" s="226">
        <v>80.0</v>
      </c>
      <c r="N17" s="226"/>
      <c r="O17" s="233">
        <f t="shared" si="20"/>
        <v>82.5</v>
      </c>
      <c r="P17" s="232">
        <v>82.0</v>
      </c>
      <c r="Q17" s="225">
        <v>80.0</v>
      </c>
      <c r="R17" s="226">
        <v>85.0</v>
      </c>
      <c r="S17" s="226">
        <v>87.0</v>
      </c>
      <c r="T17" s="235">
        <f t="shared" si="21"/>
        <v>84</v>
      </c>
      <c r="U17" s="232">
        <v>86.0</v>
      </c>
      <c r="V17" s="225">
        <v>75.0</v>
      </c>
      <c r="W17" s="226">
        <v>86.0</v>
      </c>
      <c r="X17" s="226"/>
      <c r="Y17" s="236">
        <f t="shared" si="22"/>
        <v>80.5</v>
      </c>
      <c r="Z17" s="232">
        <v>85.0</v>
      </c>
      <c r="AA17" s="225">
        <v>84.0</v>
      </c>
      <c r="AB17" s="226">
        <v>82.0</v>
      </c>
      <c r="AC17" s="226">
        <v>83.0</v>
      </c>
      <c r="AD17" s="238">
        <f t="shared" si="23"/>
        <v>83</v>
      </c>
      <c r="AE17" s="232">
        <v>79.0</v>
      </c>
      <c r="AF17" s="240">
        <v>90.0</v>
      </c>
      <c r="AG17" s="240">
        <v>88.0</v>
      </c>
      <c r="AH17" s="240">
        <v>90.0</v>
      </c>
      <c r="AI17" s="239">
        <f t="shared" si="24"/>
        <v>89.33333333</v>
      </c>
      <c r="AJ17" s="240">
        <v>89.0</v>
      </c>
      <c r="AK17" s="245">
        <v>84.0</v>
      </c>
      <c r="AL17" s="245">
        <v>85.0</v>
      </c>
      <c r="AM17" s="245">
        <v>81.0</v>
      </c>
      <c r="AN17" s="243">
        <f t="shared" si="25"/>
        <v>83.33333333</v>
      </c>
      <c r="AO17" s="246">
        <v>87.0</v>
      </c>
      <c r="AP17" s="225">
        <v>82.0</v>
      </c>
      <c r="AQ17" s="226">
        <f t="shared" ref="AQ17:AR17" si="47">AP17</f>
        <v>82</v>
      </c>
      <c r="AR17" s="226">
        <f t="shared" si="47"/>
        <v>82</v>
      </c>
      <c r="AS17" s="247">
        <f t="shared" si="27"/>
        <v>82</v>
      </c>
      <c r="AT17" s="232">
        <f t="shared" si="28"/>
        <v>82</v>
      </c>
      <c r="AU17" s="248">
        <v>76.0</v>
      </c>
      <c r="AV17" s="248">
        <v>78.0</v>
      </c>
      <c r="AW17" s="248">
        <v>80.0</v>
      </c>
      <c r="AX17" s="249">
        <f t="shared" si="29"/>
        <v>78</v>
      </c>
      <c r="AY17" s="232">
        <v>80.0</v>
      </c>
      <c r="AZ17" s="225">
        <v>80.0</v>
      </c>
      <c r="BA17" s="225">
        <v>80.0</v>
      </c>
      <c r="BB17" s="226"/>
      <c r="BC17" s="250">
        <f t="shared" si="30"/>
        <v>80</v>
      </c>
      <c r="BD17" s="225">
        <v>80.0</v>
      </c>
      <c r="BE17" s="251">
        <v>82.0</v>
      </c>
      <c r="BF17" s="252">
        <v>0.0</v>
      </c>
      <c r="BG17" s="252">
        <v>0.0</v>
      </c>
      <c r="BH17" s="254">
        <f t="shared" si="31"/>
        <v>27.33333333</v>
      </c>
      <c r="BI17" s="258">
        <v>84.0</v>
      </c>
      <c r="BJ17" s="251">
        <v>85.0</v>
      </c>
      <c r="BK17" s="252">
        <v>80.0</v>
      </c>
      <c r="BL17" s="252">
        <v>80.0</v>
      </c>
      <c r="BM17" s="254">
        <f t="shared" si="32"/>
        <v>81.66666667</v>
      </c>
      <c r="BN17" s="262">
        <v>80.0</v>
      </c>
      <c r="BO17" s="251">
        <v>79.0</v>
      </c>
      <c r="BP17" s="252">
        <v>80.0</v>
      </c>
      <c r="BQ17" s="252">
        <v>80.0</v>
      </c>
      <c r="BR17" s="254">
        <f t="shared" si="33"/>
        <v>79.66666667</v>
      </c>
      <c r="BS17" s="258">
        <v>80.0</v>
      </c>
      <c r="BT17" s="225"/>
      <c r="BU17" s="226"/>
      <c r="BV17" s="226"/>
      <c r="BW17" s="266" t="str">
        <f t="shared" si="34"/>
        <v/>
      </c>
      <c r="BX17" s="232"/>
      <c r="BY17" s="225"/>
      <c r="BZ17" s="226"/>
      <c r="CA17" s="226"/>
      <c r="CB17" s="266" t="str">
        <f t="shared" si="35"/>
        <v/>
      </c>
      <c r="CC17" s="232"/>
      <c r="CD17" s="225"/>
      <c r="CE17" s="226"/>
      <c r="CF17" s="226"/>
      <c r="CG17" s="269" t="str">
        <f t="shared" si="36"/>
        <v/>
      </c>
      <c r="CH17" s="232"/>
    </row>
    <row r="18" ht="15.75" customHeight="1">
      <c r="A18" s="189">
        <f>IFERROR(__xludf.DUMMYFUNCTION("""COMPUTED_VALUE"""),14.0)</f>
        <v>14</v>
      </c>
      <c r="B18" s="193" t="str">
        <f>IFERROR(__xludf.DUMMYFUNCTION("""COMPUTED_VALUE"""),"2526100427")</f>
        <v>2526100427</v>
      </c>
      <c r="C18" s="193" t="str">
        <f>IFERROR(__xludf.DUMMYFUNCTION("""COMPUTED_VALUE"""),"0097319943")</f>
        <v>0097319943</v>
      </c>
      <c r="D18" s="195" t="str">
        <f>IFERROR(__xludf.DUMMYFUNCTION("""COMPUTED_VALUE"""),"JEJEN JAENI")</f>
        <v>JEJEN JAENI</v>
      </c>
      <c r="E18" s="193" t="str">
        <f>IFERROR(__xludf.DUMMYFUNCTION("""COMPUTED_VALUE"""),"X TO 4")</f>
        <v>X TO 4</v>
      </c>
      <c r="F18" s="193" t="s">
        <v>220</v>
      </c>
      <c r="G18" s="272">
        <v>80.0</v>
      </c>
      <c r="H18" s="275">
        <v>81.0</v>
      </c>
      <c r="I18" s="275"/>
      <c r="J18" s="230">
        <f t="shared" si="19"/>
        <v>80.5</v>
      </c>
      <c r="K18" s="276">
        <v>80.0</v>
      </c>
      <c r="L18" s="272">
        <v>85.0</v>
      </c>
      <c r="M18" s="275">
        <v>80.0</v>
      </c>
      <c r="N18" s="275"/>
      <c r="O18" s="233">
        <f t="shared" si="20"/>
        <v>82.5</v>
      </c>
      <c r="P18" s="276">
        <v>83.0</v>
      </c>
      <c r="Q18" s="272">
        <v>80.0</v>
      </c>
      <c r="R18" s="275">
        <v>80.0</v>
      </c>
      <c r="S18" s="275">
        <v>86.0</v>
      </c>
      <c r="T18" s="235">
        <f t="shared" si="21"/>
        <v>82</v>
      </c>
      <c r="U18" s="276">
        <v>86.0</v>
      </c>
      <c r="V18" s="272">
        <v>90.0</v>
      </c>
      <c r="W18" s="275">
        <v>93.0</v>
      </c>
      <c r="X18" s="275"/>
      <c r="Y18" s="236">
        <f t="shared" si="22"/>
        <v>91.5</v>
      </c>
      <c r="Z18" s="276">
        <v>78.0</v>
      </c>
      <c r="AA18" s="272">
        <v>84.0</v>
      </c>
      <c r="AB18" s="275">
        <v>82.0</v>
      </c>
      <c r="AC18" s="275">
        <v>83.0</v>
      </c>
      <c r="AD18" s="238">
        <f t="shared" si="23"/>
        <v>83</v>
      </c>
      <c r="AE18" s="276">
        <v>79.0</v>
      </c>
      <c r="AF18" s="240">
        <v>90.0</v>
      </c>
      <c r="AG18" s="240">
        <v>89.0</v>
      </c>
      <c r="AH18" s="240">
        <v>88.0</v>
      </c>
      <c r="AI18" s="239">
        <f t="shared" si="24"/>
        <v>89</v>
      </c>
      <c r="AJ18" s="240">
        <v>88.0</v>
      </c>
      <c r="AK18" s="245">
        <v>84.0</v>
      </c>
      <c r="AL18" s="245">
        <v>84.0</v>
      </c>
      <c r="AM18" s="245">
        <v>81.0</v>
      </c>
      <c r="AN18" s="243">
        <f t="shared" si="25"/>
        <v>83</v>
      </c>
      <c r="AO18" s="246">
        <v>86.0</v>
      </c>
      <c r="AP18" s="272">
        <v>83.0</v>
      </c>
      <c r="AQ18" s="226">
        <f t="shared" ref="AQ18:AR18" si="48">AP18</f>
        <v>83</v>
      </c>
      <c r="AR18" s="226">
        <f t="shared" si="48"/>
        <v>83</v>
      </c>
      <c r="AS18" s="247">
        <f t="shared" si="27"/>
        <v>83</v>
      </c>
      <c r="AT18" s="232">
        <f t="shared" si="28"/>
        <v>83</v>
      </c>
      <c r="AU18" s="248">
        <v>76.0</v>
      </c>
      <c r="AV18" s="248">
        <v>79.0</v>
      </c>
      <c r="AW18" s="248">
        <v>80.0</v>
      </c>
      <c r="AX18" s="249">
        <f t="shared" si="29"/>
        <v>78.33333333</v>
      </c>
      <c r="AY18" s="276">
        <v>80.0</v>
      </c>
      <c r="AZ18" s="272">
        <v>80.0</v>
      </c>
      <c r="BA18" s="272">
        <v>80.0</v>
      </c>
      <c r="BB18" s="275"/>
      <c r="BC18" s="250">
        <f t="shared" si="30"/>
        <v>80</v>
      </c>
      <c r="BD18" s="272">
        <v>80.0</v>
      </c>
      <c r="BE18" s="283">
        <v>83.0</v>
      </c>
      <c r="BF18" s="285">
        <v>80.0</v>
      </c>
      <c r="BG18" s="285">
        <v>82.0</v>
      </c>
      <c r="BH18" s="254">
        <f t="shared" si="31"/>
        <v>81.66666667</v>
      </c>
      <c r="BI18" s="286">
        <v>84.0</v>
      </c>
      <c r="BJ18" s="283">
        <v>85.0</v>
      </c>
      <c r="BK18" s="285">
        <v>85.0</v>
      </c>
      <c r="BL18" s="285">
        <v>85.0</v>
      </c>
      <c r="BM18" s="254">
        <f t="shared" si="32"/>
        <v>85</v>
      </c>
      <c r="BN18" s="287">
        <v>85.0</v>
      </c>
      <c r="BO18" s="283">
        <v>78.0</v>
      </c>
      <c r="BP18" s="285">
        <v>77.0</v>
      </c>
      <c r="BQ18" s="285">
        <v>78.0</v>
      </c>
      <c r="BR18" s="254">
        <f t="shared" si="33"/>
        <v>77.66666667</v>
      </c>
      <c r="BS18" s="286">
        <v>78.0</v>
      </c>
      <c r="BT18" s="272"/>
      <c r="BU18" s="275"/>
      <c r="BV18" s="275"/>
      <c r="BW18" s="266" t="str">
        <f t="shared" si="34"/>
        <v/>
      </c>
      <c r="BX18" s="276"/>
      <c r="BY18" s="272"/>
      <c r="BZ18" s="275"/>
      <c r="CA18" s="275"/>
      <c r="CB18" s="266" t="str">
        <f t="shared" si="35"/>
        <v/>
      </c>
      <c r="CC18" s="276"/>
      <c r="CD18" s="272"/>
      <c r="CE18" s="275"/>
      <c r="CF18" s="275"/>
      <c r="CG18" s="269" t="str">
        <f t="shared" si="36"/>
        <v/>
      </c>
      <c r="CH18" s="276"/>
    </row>
    <row r="19" ht="15.75" customHeight="1">
      <c r="A19" s="115">
        <f>IFERROR(__xludf.DUMMYFUNCTION("""COMPUTED_VALUE"""),15.0)</f>
        <v>15</v>
      </c>
      <c r="B19" s="119" t="str">
        <f>IFERROR(__xludf.DUMMYFUNCTION("""COMPUTED_VALUE"""),"2526100428")</f>
        <v>2526100428</v>
      </c>
      <c r="C19" s="119" t="str">
        <f>IFERROR(__xludf.DUMMYFUNCTION("""COMPUTED_VALUE"""),"0093753099")</f>
        <v>0093753099</v>
      </c>
      <c r="D19" s="122" t="str">
        <f>IFERROR(__xludf.DUMMYFUNCTION("""COMPUTED_VALUE"""),"M.HASAN ASARI")</f>
        <v>M.HASAN ASARI</v>
      </c>
      <c r="E19" s="119" t="str">
        <f>IFERROR(__xludf.DUMMYFUNCTION("""COMPUTED_VALUE"""),"X TO 4")</f>
        <v>X TO 4</v>
      </c>
      <c r="F19" s="119" t="s">
        <v>220</v>
      </c>
      <c r="G19" s="225">
        <v>82.0</v>
      </c>
      <c r="H19" s="226">
        <v>83.0</v>
      </c>
      <c r="I19" s="226"/>
      <c r="J19" s="230">
        <f t="shared" si="19"/>
        <v>82.5</v>
      </c>
      <c r="K19" s="232">
        <v>80.0</v>
      </c>
      <c r="L19" s="225">
        <v>85.0</v>
      </c>
      <c r="M19" s="226">
        <v>80.0</v>
      </c>
      <c r="N19" s="226"/>
      <c r="O19" s="233">
        <f t="shared" si="20"/>
        <v>82.5</v>
      </c>
      <c r="P19" s="232">
        <v>80.0</v>
      </c>
      <c r="Q19" s="225">
        <v>80.0</v>
      </c>
      <c r="R19" s="226">
        <v>80.0</v>
      </c>
      <c r="S19" s="226">
        <v>86.0</v>
      </c>
      <c r="T19" s="235">
        <f t="shared" si="21"/>
        <v>82</v>
      </c>
      <c r="U19" s="232">
        <v>86.0</v>
      </c>
      <c r="V19" s="225">
        <v>75.0</v>
      </c>
      <c r="W19" s="226">
        <v>95.0</v>
      </c>
      <c r="X19" s="226"/>
      <c r="Y19" s="236">
        <f t="shared" si="22"/>
        <v>85</v>
      </c>
      <c r="Z19" s="232">
        <v>86.0</v>
      </c>
      <c r="AA19" s="225">
        <v>85.0</v>
      </c>
      <c r="AB19" s="226">
        <v>83.0</v>
      </c>
      <c r="AC19" s="226">
        <v>84.0</v>
      </c>
      <c r="AD19" s="238">
        <f t="shared" si="23"/>
        <v>84</v>
      </c>
      <c r="AE19" s="232">
        <v>80.0</v>
      </c>
      <c r="AF19" s="240">
        <v>90.0</v>
      </c>
      <c r="AG19" s="240">
        <v>90.0</v>
      </c>
      <c r="AH19" s="240">
        <v>89.0</v>
      </c>
      <c r="AI19" s="239">
        <f t="shared" si="24"/>
        <v>89.66666667</v>
      </c>
      <c r="AJ19" s="240">
        <v>89.0</v>
      </c>
      <c r="AK19" s="245">
        <v>85.0</v>
      </c>
      <c r="AL19" s="245">
        <v>83.0</v>
      </c>
      <c r="AM19" s="245">
        <v>82.0</v>
      </c>
      <c r="AN19" s="243">
        <f t="shared" si="25"/>
        <v>83.33333333</v>
      </c>
      <c r="AO19" s="246">
        <v>87.0</v>
      </c>
      <c r="AP19" s="225">
        <v>83.0</v>
      </c>
      <c r="AQ19" s="226">
        <f t="shared" ref="AQ19:AR19" si="49">AP19</f>
        <v>83</v>
      </c>
      <c r="AR19" s="226">
        <f t="shared" si="49"/>
        <v>83</v>
      </c>
      <c r="AS19" s="247">
        <f t="shared" si="27"/>
        <v>83</v>
      </c>
      <c r="AT19" s="232">
        <f t="shared" si="28"/>
        <v>83</v>
      </c>
      <c r="AU19" s="248">
        <v>77.0</v>
      </c>
      <c r="AV19" s="248">
        <v>76.0</v>
      </c>
      <c r="AW19" s="248">
        <v>78.0</v>
      </c>
      <c r="AX19" s="249">
        <f t="shared" si="29"/>
        <v>77</v>
      </c>
      <c r="AY19" s="232">
        <v>78.0</v>
      </c>
      <c r="AZ19" s="225">
        <v>80.0</v>
      </c>
      <c r="BA19" s="225">
        <v>80.0</v>
      </c>
      <c r="BB19" s="226"/>
      <c r="BC19" s="250">
        <f t="shared" si="30"/>
        <v>80</v>
      </c>
      <c r="BD19" s="225">
        <v>80.0</v>
      </c>
      <c r="BE19" s="251">
        <v>87.0</v>
      </c>
      <c r="BF19" s="252">
        <v>80.0</v>
      </c>
      <c r="BG19" s="252">
        <v>82.0</v>
      </c>
      <c r="BH19" s="254">
        <f t="shared" si="31"/>
        <v>83</v>
      </c>
      <c r="BI19" s="258">
        <v>82.0</v>
      </c>
      <c r="BJ19" s="251">
        <v>80.0</v>
      </c>
      <c r="BK19" s="252">
        <v>80.0</v>
      </c>
      <c r="BL19" s="252">
        <v>80.0</v>
      </c>
      <c r="BM19" s="254">
        <f t="shared" si="32"/>
        <v>80</v>
      </c>
      <c r="BN19" s="262">
        <v>80.0</v>
      </c>
      <c r="BO19" s="251">
        <v>79.0</v>
      </c>
      <c r="BP19" s="252">
        <v>77.0</v>
      </c>
      <c r="BQ19" s="252">
        <v>78.0</v>
      </c>
      <c r="BR19" s="254">
        <f t="shared" si="33"/>
        <v>78</v>
      </c>
      <c r="BS19" s="258">
        <v>78.0</v>
      </c>
      <c r="BT19" s="225"/>
      <c r="BU19" s="226"/>
      <c r="BV19" s="226"/>
      <c r="BW19" s="266" t="str">
        <f t="shared" si="34"/>
        <v/>
      </c>
      <c r="BX19" s="232"/>
      <c r="BY19" s="225"/>
      <c r="BZ19" s="226"/>
      <c r="CA19" s="226"/>
      <c r="CB19" s="266" t="str">
        <f t="shared" si="35"/>
        <v/>
      </c>
      <c r="CC19" s="232"/>
      <c r="CD19" s="225"/>
      <c r="CE19" s="226"/>
      <c r="CF19" s="226"/>
      <c r="CG19" s="269" t="str">
        <f t="shared" si="36"/>
        <v/>
      </c>
      <c r="CH19" s="232"/>
    </row>
    <row r="20" ht="15.75" customHeight="1">
      <c r="A20" s="189">
        <f>IFERROR(__xludf.DUMMYFUNCTION("""COMPUTED_VALUE"""),16.0)</f>
        <v>16</v>
      </c>
      <c r="B20" s="193" t="str">
        <f>IFERROR(__xludf.DUMMYFUNCTION("""COMPUTED_VALUE"""),"2526100429")</f>
        <v>2526100429</v>
      </c>
      <c r="C20" s="193" t="str">
        <f>IFERROR(__xludf.DUMMYFUNCTION("""COMPUTED_VALUE"""),"0105910447")</f>
        <v>0105910447</v>
      </c>
      <c r="D20" s="195" t="str">
        <f>IFERROR(__xludf.DUMMYFUNCTION("""COMPUTED_VALUE"""),"MUHAMAD ABIB RIZAL")</f>
        <v>MUHAMAD ABIB RIZAL</v>
      </c>
      <c r="E20" s="193" t="str">
        <f>IFERROR(__xludf.DUMMYFUNCTION("""COMPUTED_VALUE"""),"X TO 4")</f>
        <v>X TO 4</v>
      </c>
      <c r="F20" s="193" t="s">
        <v>220</v>
      </c>
      <c r="G20" s="272">
        <v>80.0</v>
      </c>
      <c r="H20" s="275">
        <v>79.0</v>
      </c>
      <c r="I20" s="275"/>
      <c r="J20" s="230">
        <f t="shared" si="19"/>
        <v>79.5</v>
      </c>
      <c r="K20" s="276">
        <v>75.0</v>
      </c>
      <c r="L20" s="272">
        <v>85.0</v>
      </c>
      <c r="M20" s="275">
        <v>80.0</v>
      </c>
      <c r="N20" s="275"/>
      <c r="O20" s="233">
        <f t="shared" si="20"/>
        <v>82.5</v>
      </c>
      <c r="P20" s="276">
        <v>78.0</v>
      </c>
      <c r="Q20" s="272">
        <v>80.0</v>
      </c>
      <c r="R20" s="275">
        <v>80.0</v>
      </c>
      <c r="S20" s="275">
        <v>80.0</v>
      </c>
      <c r="T20" s="235">
        <f t="shared" si="21"/>
        <v>80</v>
      </c>
      <c r="U20" s="276">
        <v>85.0</v>
      </c>
      <c r="V20" s="272">
        <v>75.0</v>
      </c>
      <c r="W20" s="275">
        <v>83.0</v>
      </c>
      <c r="X20" s="275"/>
      <c r="Y20" s="236">
        <f t="shared" si="22"/>
        <v>79</v>
      </c>
      <c r="Z20" s="276">
        <v>85.0</v>
      </c>
      <c r="AA20" s="272">
        <v>81.0</v>
      </c>
      <c r="AB20" s="275">
        <v>79.0</v>
      </c>
      <c r="AC20" s="275">
        <v>80.0</v>
      </c>
      <c r="AD20" s="238">
        <f t="shared" si="23"/>
        <v>80</v>
      </c>
      <c r="AE20" s="276">
        <v>76.0</v>
      </c>
      <c r="AF20" s="240">
        <v>90.0</v>
      </c>
      <c r="AG20" s="240">
        <v>89.0</v>
      </c>
      <c r="AH20" s="240">
        <v>90.0</v>
      </c>
      <c r="AI20" s="239">
        <f t="shared" si="24"/>
        <v>89.66666667</v>
      </c>
      <c r="AJ20" s="240">
        <v>90.0</v>
      </c>
      <c r="AK20" s="245">
        <v>81.0</v>
      </c>
      <c r="AL20" s="245">
        <v>81.0</v>
      </c>
      <c r="AM20" s="245">
        <v>79.0</v>
      </c>
      <c r="AN20" s="243">
        <f t="shared" si="25"/>
        <v>80.33333333</v>
      </c>
      <c r="AO20" s="246">
        <v>73.0</v>
      </c>
      <c r="AP20" s="272">
        <v>72.0</v>
      </c>
      <c r="AQ20" s="226">
        <f t="shared" ref="AQ20:AR20" si="50">AP20</f>
        <v>72</v>
      </c>
      <c r="AR20" s="226">
        <f t="shared" si="50"/>
        <v>72</v>
      </c>
      <c r="AS20" s="247">
        <f t="shared" si="27"/>
        <v>72</v>
      </c>
      <c r="AT20" s="232">
        <f t="shared" si="28"/>
        <v>72</v>
      </c>
      <c r="AU20" s="248">
        <v>74.0</v>
      </c>
      <c r="AV20" s="248">
        <v>72.0</v>
      </c>
      <c r="AW20" s="248">
        <v>74.0</v>
      </c>
      <c r="AX20" s="249">
        <f t="shared" si="29"/>
        <v>73.33333333</v>
      </c>
      <c r="AY20" s="276">
        <v>74.0</v>
      </c>
      <c r="AZ20" s="225">
        <v>80.0</v>
      </c>
      <c r="BA20" s="225">
        <v>80.0</v>
      </c>
      <c r="BB20" s="275"/>
      <c r="BC20" s="250">
        <f t="shared" si="30"/>
        <v>80</v>
      </c>
      <c r="BD20" s="225">
        <v>80.0</v>
      </c>
      <c r="BE20" s="283">
        <v>0.0</v>
      </c>
      <c r="BF20" s="285">
        <v>0.0</v>
      </c>
      <c r="BG20" s="285">
        <v>0.0</v>
      </c>
      <c r="BH20" s="254">
        <f t="shared" si="31"/>
        <v>0</v>
      </c>
      <c r="BI20" s="286">
        <v>75.0</v>
      </c>
      <c r="BJ20" s="283">
        <v>79.0</v>
      </c>
      <c r="BK20" s="285">
        <v>80.0</v>
      </c>
      <c r="BL20" s="285">
        <v>80.0</v>
      </c>
      <c r="BM20" s="254">
        <f t="shared" si="32"/>
        <v>79.66666667</v>
      </c>
      <c r="BN20" s="287">
        <v>80.0</v>
      </c>
      <c r="BO20" s="283">
        <v>78.0</v>
      </c>
      <c r="BP20" s="285">
        <v>78.0</v>
      </c>
      <c r="BQ20" s="285">
        <v>78.0</v>
      </c>
      <c r="BR20" s="254">
        <f t="shared" si="33"/>
        <v>78</v>
      </c>
      <c r="BS20" s="286">
        <v>78.0</v>
      </c>
      <c r="BT20" s="272"/>
      <c r="BU20" s="275"/>
      <c r="BV20" s="275"/>
      <c r="BW20" s="266" t="str">
        <f t="shared" si="34"/>
        <v/>
      </c>
      <c r="BX20" s="276"/>
      <c r="BY20" s="272"/>
      <c r="BZ20" s="275"/>
      <c r="CA20" s="275"/>
      <c r="CB20" s="266" t="str">
        <f t="shared" si="35"/>
        <v/>
      </c>
      <c r="CC20" s="276"/>
      <c r="CD20" s="272"/>
      <c r="CE20" s="275"/>
      <c r="CF20" s="275"/>
      <c r="CG20" s="269" t="str">
        <f t="shared" si="36"/>
        <v/>
      </c>
      <c r="CH20" s="276"/>
    </row>
    <row r="21" ht="15.75" customHeight="1">
      <c r="A21" s="115">
        <f>IFERROR(__xludf.DUMMYFUNCTION("""COMPUTED_VALUE"""),17.0)</f>
        <v>17</v>
      </c>
      <c r="B21" s="119" t="str">
        <f>IFERROR(__xludf.DUMMYFUNCTION("""COMPUTED_VALUE"""),"2526100430")</f>
        <v>2526100430</v>
      </c>
      <c r="C21" s="119" t="str">
        <f>IFERROR(__xludf.DUMMYFUNCTION("""COMPUTED_VALUE"""),"0099084784")</f>
        <v>0099084784</v>
      </c>
      <c r="D21" s="122" t="str">
        <f>IFERROR(__xludf.DUMMYFUNCTION("""COMPUTED_VALUE"""),"MUHAMAD AL FARIZ")</f>
        <v>MUHAMAD AL FARIZ</v>
      </c>
      <c r="E21" s="119" t="str">
        <f>IFERROR(__xludf.DUMMYFUNCTION("""COMPUTED_VALUE"""),"X TO 4")</f>
        <v>X TO 4</v>
      </c>
      <c r="F21" s="119" t="s">
        <v>220</v>
      </c>
      <c r="G21" s="225">
        <v>80.0</v>
      </c>
      <c r="H21" s="226">
        <v>79.0</v>
      </c>
      <c r="I21" s="226"/>
      <c r="J21" s="230">
        <f t="shared" si="19"/>
        <v>79.5</v>
      </c>
      <c r="K21" s="232">
        <v>75.0</v>
      </c>
      <c r="L21" s="225">
        <v>85.0</v>
      </c>
      <c r="M21" s="226">
        <v>80.0</v>
      </c>
      <c r="N21" s="226"/>
      <c r="O21" s="233">
        <f t="shared" si="20"/>
        <v>82.5</v>
      </c>
      <c r="P21" s="232">
        <v>82.0</v>
      </c>
      <c r="Q21" s="225">
        <v>85.0</v>
      </c>
      <c r="R21" s="226">
        <v>87.0</v>
      </c>
      <c r="S21" s="226">
        <v>89.0</v>
      </c>
      <c r="T21" s="235">
        <f t="shared" si="21"/>
        <v>87</v>
      </c>
      <c r="U21" s="232">
        <v>89.0</v>
      </c>
      <c r="V21" s="225">
        <v>98.0</v>
      </c>
      <c r="W21" s="226">
        <v>98.0</v>
      </c>
      <c r="X21" s="226"/>
      <c r="Y21" s="236">
        <f t="shared" si="22"/>
        <v>98</v>
      </c>
      <c r="Z21" s="232">
        <v>87.0</v>
      </c>
      <c r="AA21" s="225">
        <v>86.0</v>
      </c>
      <c r="AB21" s="226">
        <v>84.0</v>
      </c>
      <c r="AC21" s="226">
        <v>85.0</v>
      </c>
      <c r="AD21" s="238">
        <f t="shared" si="23"/>
        <v>85</v>
      </c>
      <c r="AE21" s="232">
        <v>81.0</v>
      </c>
      <c r="AF21" s="240">
        <v>90.0</v>
      </c>
      <c r="AG21" s="240">
        <v>90.0</v>
      </c>
      <c r="AH21" s="240">
        <v>89.0</v>
      </c>
      <c r="AI21" s="239">
        <f t="shared" si="24"/>
        <v>89.66666667</v>
      </c>
      <c r="AJ21" s="240">
        <v>90.0</v>
      </c>
      <c r="AK21" s="245">
        <v>86.0</v>
      </c>
      <c r="AL21" s="245">
        <v>85.0</v>
      </c>
      <c r="AM21" s="245">
        <v>84.0</v>
      </c>
      <c r="AN21" s="243">
        <f t="shared" si="25"/>
        <v>85</v>
      </c>
      <c r="AO21" s="246">
        <v>86.0</v>
      </c>
      <c r="AP21" s="225">
        <v>72.0</v>
      </c>
      <c r="AQ21" s="226">
        <f t="shared" ref="AQ21:AR21" si="51">AP21</f>
        <v>72</v>
      </c>
      <c r="AR21" s="226">
        <f t="shared" si="51"/>
        <v>72</v>
      </c>
      <c r="AS21" s="247">
        <f t="shared" si="27"/>
        <v>72</v>
      </c>
      <c r="AT21" s="232">
        <f t="shared" si="28"/>
        <v>72</v>
      </c>
      <c r="AU21" s="248">
        <v>76.0</v>
      </c>
      <c r="AV21" s="248">
        <v>76.0</v>
      </c>
      <c r="AW21" s="248">
        <v>72.0</v>
      </c>
      <c r="AX21" s="249">
        <f t="shared" si="29"/>
        <v>74.66666667</v>
      </c>
      <c r="AY21" s="232">
        <v>78.0</v>
      </c>
      <c r="AZ21" s="272">
        <v>80.0</v>
      </c>
      <c r="BA21" s="272">
        <v>80.0</v>
      </c>
      <c r="BB21" s="226"/>
      <c r="BC21" s="250">
        <f t="shared" si="30"/>
        <v>80</v>
      </c>
      <c r="BD21" s="272">
        <v>80.0</v>
      </c>
      <c r="BE21" s="251">
        <v>80.0</v>
      </c>
      <c r="BF21" s="252">
        <v>0.0</v>
      </c>
      <c r="BG21" s="252">
        <v>0.0</v>
      </c>
      <c r="BH21" s="254">
        <f t="shared" si="31"/>
        <v>26.66666667</v>
      </c>
      <c r="BI21" s="258">
        <v>83.0</v>
      </c>
      <c r="BJ21" s="251">
        <v>83.0</v>
      </c>
      <c r="BK21" s="252">
        <v>80.0</v>
      </c>
      <c r="BL21" s="252">
        <v>80.0</v>
      </c>
      <c r="BM21" s="254">
        <f t="shared" si="32"/>
        <v>81</v>
      </c>
      <c r="BN21" s="262">
        <v>80.0</v>
      </c>
      <c r="BO21" s="251">
        <v>79.0</v>
      </c>
      <c r="BP21" s="252">
        <v>80.0</v>
      </c>
      <c r="BQ21" s="252">
        <v>79.0</v>
      </c>
      <c r="BR21" s="254">
        <f t="shared" si="33"/>
        <v>79.33333333</v>
      </c>
      <c r="BS21" s="258">
        <v>79.0</v>
      </c>
      <c r="BT21" s="225"/>
      <c r="BU21" s="226"/>
      <c r="BV21" s="226"/>
      <c r="BW21" s="266" t="str">
        <f t="shared" si="34"/>
        <v/>
      </c>
      <c r="BX21" s="232"/>
      <c r="BY21" s="225"/>
      <c r="BZ21" s="226"/>
      <c r="CA21" s="226"/>
      <c r="CB21" s="266" t="str">
        <f t="shared" si="35"/>
        <v/>
      </c>
      <c r="CC21" s="232"/>
      <c r="CD21" s="225"/>
      <c r="CE21" s="226"/>
      <c r="CF21" s="226"/>
      <c r="CG21" s="269" t="str">
        <f t="shared" si="36"/>
        <v/>
      </c>
      <c r="CH21" s="232"/>
    </row>
    <row r="22" ht="15.75" customHeight="1">
      <c r="A22" s="189">
        <f>IFERROR(__xludf.DUMMYFUNCTION("""COMPUTED_VALUE"""),18.0)</f>
        <v>18</v>
      </c>
      <c r="B22" s="193" t="str">
        <f>IFERROR(__xludf.DUMMYFUNCTION("""COMPUTED_VALUE"""),"2526100431")</f>
        <v>2526100431</v>
      </c>
      <c r="C22" s="193" t="str">
        <f>IFERROR(__xludf.DUMMYFUNCTION("""COMPUTED_VALUE"""),"0092469837")</f>
        <v>0092469837</v>
      </c>
      <c r="D22" s="195" t="str">
        <f>IFERROR(__xludf.DUMMYFUNCTION("""COMPUTED_VALUE"""),"MUHAMAD ASRUL")</f>
        <v>MUHAMAD ASRUL</v>
      </c>
      <c r="E22" s="193" t="str">
        <f>IFERROR(__xludf.DUMMYFUNCTION("""COMPUTED_VALUE"""),"X TO 4")</f>
        <v>X TO 4</v>
      </c>
      <c r="F22" s="193" t="s">
        <v>220</v>
      </c>
      <c r="G22" s="272">
        <v>80.0</v>
      </c>
      <c r="H22" s="275">
        <v>82.0</v>
      </c>
      <c r="I22" s="275"/>
      <c r="J22" s="230">
        <f t="shared" si="19"/>
        <v>81</v>
      </c>
      <c r="K22" s="276">
        <v>80.0</v>
      </c>
      <c r="L22" s="272">
        <v>85.0</v>
      </c>
      <c r="M22" s="275">
        <v>80.0</v>
      </c>
      <c r="N22" s="275"/>
      <c r="O22" s="233">
        <f t="shared" si="20"/>
        <v>82.5</v>
      </c>
      <c r="P22" s="276">
        <v>83.0</v>
      </c>
      <c r="Q22" s="272">
        <v>85.0</v>
      </c>
      <c r="R22" s="275">
        <v>87.0</v>
      </c>
      <c r="S22" s="275">
        <v>86.0</v>
      </c>
      <c r="T22" s="235">
        <f t="shared" si="21"/>
        <v>86</v>
      </c>
      <c r="U22" s="276">
        <v>85.0</v>
      </c>
      <c r="V22" s="272">
        <v>92.0</v>
      </c>
      <c r="W22" s="275">
        <v>98.0</v>
      </c>
      <c r="X22" s="275"/>
      <c r="Y22" s="236">
        <f t="shared" si="22"/>
        <v>95</v>
      </c>
      <c r="Z22" s="276">
        <v>80.0</v>
      </c>
      <c r="AA22" s="272">
        <v>87.0</v>
      </c>
      <c r="AB22" s="275">
        <v>85.0</v>
      </c>
      <c r="AC22" s="275">
        <v>86.0</v>
      </c>
      <c r="AD22" s="238">
        <f t="shared" si="23"/>
        <v>86</v>
      </c>
      <c r="AE22" s="276">
        <v>82.0</v>
      </c>
      <c r="AF22" s="240">
        <v>88.0</v>
      </c>
      <c r="AG22" s="240">
        <v>90.0</v>
      </c>
      <c r="AH22" s="240">
        <v>90.0</v>
      </c>
      <c r="AI22" s="239">
        <f t="shared" si="24"/>
        <v>89.33333333</v>
      </c>
      <c r="AJ22" s="240">
        <v>90.0</v>
      </c>
      <c r="AK22" s="245">
        <v>87.0</v>
      </c>
      <c r="AL22" s="245">
        <v>86.0</v>
      </c>
      <c r="AM22" s="245">
        <v>86.0</v>
      </c>
      <c r="AN22" s="243">
        <f t="shared" si="25"/>
        <v>86.33333333</v>
      </c>
      <c r="AO22" s="246">
        <v>87.0</v>
      </c>
      <c r="AP22" s="272">
        <v>84.0</v>
      </c>
      <c r="AQ22" s="226">
        <f t="shared" ref="AQ22:AR22" si="52">AP22</f>
        <v>84</v>
      </c>
      <c r="AR22" s="226">
        <f t="shared" si="52"/>
        <v>84</v>
      </c>
      <c r="AS22" s="247">
        <f t="shared" si="27"/>
        <v>84</v>
      </c>
      <c r="AT22" s="232">
        <f t="shared" si="28"/>
        <v>84</v>
      </c>
      <c r="AU22" s="248">
        <v>74.0</v>
      </c>
      <c r="AV22" s="248">
        <v>76.0</v>
      </c>
      <c r="AW22" s="248">
        <v>80.0</v>
      </c>
      <c r="AX22" s="249">
        <f t="shared" si="29"/>
        <v>76.66666667</v>
      </c>
      <c r="AY22" s="276">
        <v>76.0</v>
      </c>
      <c r="AZ22" s="225">
        <v>80.0</v>
      </c>
      <c r="BA22" s="225">
        <v>80.0</v>
      </c>
      <c r="BB22" s="275"/>
      <c r="BC22" s="250">
        <f t="shared" si="30"/>
        <v>80</v>
      </c>
      <c r="BD22" s="225">
        <v>80.0</v>
      </c>
      <c r="BE22" s="283">
        <v>81.0</v>
      </c>
      <c r="BF22" s="285">
        <v>0.0</v>
      </c>
      <c r="BG22" s="285">
        <v>0.0</v>
      </c>
      <c r="BH22" s="254">
        <f t="shared" si="31"/>
        <v>27</v>
      </c>
      <c r="BI22" s="286">
        <v>85.0</v>
      </c>
      <c r="BJ22" s="283">
        <v>85.0</v>
      </c>
      <c r="BK22" s="285">
        <v>85.0</v>
      </c>
      <c r="BL22" s="285">
        <v>85.0</v>
      </c>
      <c r="BM22" s="254">
        <f t="shared" si="32"/>
        <v>85</v>
      </c>
      <c r="BN22" s="287">
        <v>85.0</v>
      </c>
      <c r="BO22" s="283">
        <v>77.0</v>
      </c>
      <c r="BP22" s="285">
        <v>78.0</v>
      </c>
      <c r="BQ22" s="285">
        <v>78.0</v>
      </c>
      <c r="BR22" s="254">
        <f t="shared" si="33"/>
        <v>77.66666667</v>
      </c>
      <c r="BS22" s="286">
        <v>78.0</v>
      </c>
      <c r="BT22" s="272"/>
      <c r="BU22" s="275"/>
      <c r="BV22" s="275"/>
      <c r="BW22" s="266" t="str">
        <f t="shared" si="34"/>
        <v/>
      </c>
      <c r="BX22" s="276"/>
      <c r="BY22" s="272"/>
      <c r="BZ22" s="275"/>
      <c r="CA22" s="275"/>
      <c r="CB22" s="266" t="str">
        <f t="shared" si="35"/>
        <v/>
      </c>
      <c r="CC22" s="276"/>
      <c r="CD22" s="272"/>
      <c r="CE22" s="275"/>
      <c r="CF22" s="275"/>
      <c r="CG22" s="269" t="str">
        <f t="shared" si="36"/>
        <v/>
      </c>
      <c r="CH22" s="276"/>
    </row>
    <row r="23" ht="15.75" customHeight="1">
      <c r="A23" s="115">
        <f>IFERROR(__xludf.DUMMYFUNCTION("""COMPUTED_VALUE"""),19.0)</f>
        <v>19</v>
      </c>
      <c r="B23" s="119" t="str">
        <f>IFERROR(__xludf.DUMMYFUNCTION("""COMPUTED_VALUE"""),"2526100432")</f>
        <v>2526100432</v>
      </c>
      <c r="C23" s="119" t="str">
        <f>IFERROR(__xludf.DUMMYFUNCTION("""COMPUTED_VALUE"""),"0099940282")</f>
        <v>0099940282</v>
      </c>
      <c r="D23" s="122" t="str">
        <f>IFERROR(__xludf.DUMMYFUNCTION("""COMPUTED_VALUE"""),"MUHAMAD FARHAN")</f>
        <v>MUHAMAD FARHAN</v>
      </c>
      <c r="E23" s="119" t="str">
        <f>IFERROR(__xludf.DUMMYFUNCTION("""COMPUTED_VALUE"""),"X TO 4")</f>
        <v>X TO 4</v>
      </c>
      <c r="F23" s="119" t="s">
        <v>220</v>
      </c>
      <c r="G23" s="225">
        <v>83.0</v>
      </c>
      <c r="H23" s="226">
        <v>83.0</v>
      </c>
      <c r="I23" s="226"/>
      <c r="J23" s="230">
        <f t="shared" si="19"/>
        <v>83</v>
      </c>
      <c r="K23" s="232">
        <v>82.0</v>
      </c>
      <c r="L23" s="225">
        <v>85.0</v>
      </c>
      <c r="M23" s="226">
        <v>80.0</v>
      </c>
      <c r="N23" s="226"/>
      <c r="O23" s="233">
        <f t="shared" si="20"/>
        <v>82.5</v>
      </c>
      <c r="P23" s="232">
        <v>80.0</v>
      </c>
      <c r="Q23" s="225">
        <v>85.0</v>
      </c>
      <c r="R23" s="226">
        <v>87.0</v>
      </c>
      <c r="S23" s="226">
        <v>87.0</v>
      </c>
      <c r="T23" s="235">
        <f t="shared" si="21"/>
        <v>86.33333333</v>
      </c>
      <c r="U23" s="232">
        <v>87.0</v>
      </c>
      <c r="V23" s="225">
        <v>75.0</v>
      </c>
      <c r="W23" s="226">
        <v>83.0</v>
      </c>
      <c r="X23" s="226"/>
      <c r="Y23" s="236">
        <f t="shared" si="22"/>
        <v>79</v>
      </c>
      <c r="Z23" s="232">
        <v>86.0</v>
      </c>
      <c r="AA23" s="225">
        <v>86.0</v>
      </c>
      <c r="AB23" s="226">
        <v>84.0</v>
      </c>
      <c r="AC23" s="226">
        <v>85.0</v>
      </c>
      <c r="AD23" s="238">
        <f t="shared" si="23"/>
        <v>85</v>
      </c>
      <c r="AE23" s="232">
        <v>81.0</v>
      </c>
      <c r="AF23" s="240">
        <v>89.0</v>
      </c>
      <c r="AG23" s="240">
        <v>89.0</v>
      </c>
      <c r="AH23" s="240">
        <v>89.0</v>
      </c>
      <c r="AI23" s="239">
        <f t="shared" si="24"/>
        <v>89</v>
      </c>
      <c r="AJ23" s="240">
        <v>90.0</v>
      </c>
      <c r="AK23" s="245">
        <v>86.0</v>
      </c>
      <c r="AL23" s="245">
        <v>85.0</v>
      </c>
      <c r="AM23" s="245">
        <v>85.0</v>
      </c>
      <c r="AN23" s="243">
        <f t="shared" si="25"/>
        <v>85.33333333</v>
      </c>
      <c r="AO23" s="246">
        <v>86.0</v>
      </c>
      <c r="AP23" s="225">
        <v>82.0</v>
      </c>
      <c r="AQ23" s="226">
        <f t="shared" ref="AQ23:AR23" si="53">AP23</f>
        <v>82</v>
      </c>
      <c r="AR23" s="226">
        <f t="shared" si="53"/>
        <v>82</v>
      </c>
      <c r="AS23" s="247">
        <f t="shared" si="27"/>
        <v>82</v>
      </c>
      <c r="AT23" s="232">
        <f t="shared" si="28"/>
        <v>82</v>
      </c>
      <c r="AU23" s="248">
        <v>74.0</v>
      </c>
      <c r="AV23" s="248">
        <v>76.0</v>
      </c>
      <c r="AW23" s="248">
        <v>80.0</v>
      </c>
      <c r="AX23" s="249">
        <f t="shared" si="29"/>
        <v>76.66666667</v>
      </c>
      <c r="AY23" s="232">
        <v>76.0</v>
      </c>
      <c r="AZ23" s="225">
        <v>80.0</v>
      </c>
      <c r="BA23" s="225">
        <v>80.0</v>
      </c>
      <c r="BB23" s="226"/>
      <c r="BC23" s="250">
        <f t="shared" si="30"/>
        <v>80</v>
      </c>
      <c r="BD23" s="225">
        <v>80.0</v>
      </c>
      <c r="BE23" s="251">
        <v>83.0</v>
      </c>
      <c r="BF23" s="252">
        <v>78.0</v>
      </c>
      <c r="BG23" s="252">
        <v>79.0</v>
      </c>
      <c r="BH23" s="254">
        <f t="shared" si="31"/>
        <v>80</v>
      </c>
      <c r="BI23" s="258">
        <v>85.0</v>
      </c>
      <c r="BJ23" s="251">
        <v>85.0</v>
      </c>
      <c r="BK23" s="252">
        <v>80.0</v>
      </c>
      <c r="BL23" s="252">
        <v>80.0</v>
      </c>
      <c r="BM23" s="254">
        <f t="shared" si="32"/>
        <v>81.66666667</v>
      </c>
      <c r="BN23" s="262">
        <v>80.0</v>
      </c>
      <c r="BO23" s="251">
        <v>78.0</v>
      </c>
      <c r="BP23" s="252">
        <v>78.0</v>
      </c>
      <c r="BQ23" s="252">
        <v>77.0</v>
      </c>
      <c r="BR23" s="254">
        <f t="shared" si="33"/>
        <v>77.66666667</v>
      </c>
      <c r="BS23" s="258">
        <v>77.0</v>
      </c>
      <c r="BT23" s="225"/>
      <c r="BU23" s="226"/>
      <c r="BV23" s="226"/>
      <c r="BW23" s="266" t="str">
        <f t="shared" si="34"/>
        <v/>
      </c>
      <c r="BX23" s="232"/>
      <c r="BY23" s="225"/>
      <c r="BZ23" s="226"/>
      <c r="CA23" s="226"/>
      <c r="CB23" s="266" t="str">
        <f t="shared" si="35"/>
        <v/>
      </c>
      <c r="CC23" s="232"/>
      <c r="CD23" s="225"/>
      <c r="CE23" s="226"/>
      <c r="CF23" s="226"/>
      <c r="CG23" s="269" t="str">
        <f t="shared" si="36"/>
        <v/>
      </c>
      <c r="CH23" s="232"/>
    </row>
    <row r="24" ht="15.75" customHeight="1">
      <c r="A24" s="189">
        <f>IFERROR(__xludf.DUMMYFUNCTION("""COMPUTED_VALUE"""),20.0)</f>
        <v>20</v>
      </c>
      <c r="B24" s="193" t="str">
        <f>IFERROR(__xludf.DUMMYFUNCTION("""COMPUTED_VALUE"""),"2526100433")</f>
        <v>2526100433</v>
      </c>
      <c r="C24" s="193" t="str">
        <f>IFERROR(__xludf.DUMMYFUNCTION("""COMPUTED_VALUE"""),"0088633294")</f>
        <v>0088633294</v>
      </c>
      <c r="D24" s="195" t="str">
        <f>IFERROR(__xludf.DUMMYFUNCTION("""COMPUTED_VALUE"""),"MUHAMAD MIFTAH NASHIRUDIN")</f>
        <v>MUHAMAD MIFTAH NASHIRUDIN</v>
      </c>
      <c r="E24" s="193" t="str">
        <f>IFERROR(__xludf.DUMMYFUNCTION("""COMPUTED_VALUE"""),"X TO 4")</f>
        <v>X TO 4</v>
      </c>
      <c r="F24" s="193" t="s">
        <v>220</v>
      </c>
      <c r="G24" s="272">
        <v>78.0</v>
      </c>
      <c r="H24" s="275">
        <v>79.0</v>
      </c>
      <c r="I24" s="275"/>
      <c r="J24" s="230">
        <f t="shared" si="19"/>
        <v>78.5</v>
      </c>
      <c r="K24" s="276">
        <v>77.0</v>
      </c>
      <c r="L24" s="272">
        <v>85.0</v>
      </c>
      <c r="M24" s="275">
        <v>80.0</v>
      </c>
      <c r="N24" s="275"/>
      <c r="O24" s="233">
        <f t="shared" si="20"/>
        <v>82.5</v>
      </c>
      <c r="P24" s="276">
        <v>84.0</v>
      </c>
      <c r="Q24" s="272">
        <v>80.0</v>
      </c>
      <c r="R24" s="275">
        <v>85.0</v>
      </c>
      <c r="S24" s="275">
        <v>85.0</v>
      </c>
      <c r="T24" s="235">
        <f t="shared" si="21"/>
        <v>83.33333333</v>
      </c>
      <c r="U24" s="276">
        <v>86.0</v>
      </c>
      <c r="V24" s="272">
        <v>75.0</v>
      </c>
      <c r="W24" s="275">
        <v>82.0</v>
      </c>
      <c r="X24" s="275"/>
      <c r="Y24" s="236">
        <f t="shared" si="22"/>
        <v>78.5</v>
      </c>
      <c r="Z24" s="276">
        <v>75.0</v>
      </c>
      <c r="AA24" s="272">
        <v>82.0</v>
      </c>
      <c r="AB24" s="275">
        <v>80.0</v>
      </c>
      <c r="AC24" s="275">
        <v>81.0</v>
      </c>
      <c r="AD24" s="238">
        <f t="shared" si="23"/>
        <v>81</v>
      </c>
      <c r="AE24" s="276">
        <v>77.0</v>
      </c>
      <c r="AF24" s="333">
        <v>88.0</v>
      </c>
      <c r="AG24" s="240">
        <v>90.0</v>
      </c>
      <c r="AH24" s="240">
        <v>90.0</v>
      </c>
      <c r="AI24" s="239">
        <f t="shared" si="24"/>
        <v>89.33333333</v>
      </c>
      <c r="AJ24" s="240">
        <v>89.0</v>
      </c>
      <c r="AK24" s="245">
        <v>82.0</v>
      </c>
      <c r="AL24" s="245">
        <v>81.0</v>
      </c>
      <c r="AM24" s="245">
        <v>81.0</v>
      </c>
      <c r="AN24" s="243">
        <f t="shared" si="25"/>
        <v>81.33333333</v>
      </c>
      <c r="AO24" s="246">
        <v>78.0</v>
      </c>
      <c r="AP24" s="272">
        <v>72.0</v>
      </c>
      <c r="AQ24" s="226">
        <f t="shared" ref="AQ24:AR24" si="54">AP24</f>
        <v>72</v>
      </c>
      <c r="AR24" s="226">
        <f t="shared" si="54"/>
        <v>72</v>
      </c>
      <c r="AS24" s="247">
        <f t="shared" si="27"/>
        <v>72</v>
      </c>
      <c r="AT24" s="232">
        <f t="shared" si="28"/>
        <v>72</v>
      </c>
      <c r="AU24" s="248">
        <v>74.0</v>
      </c>
      <c r="AV24" s="248">
        <v>76.0</v>
      </c>
      <c r="AW24" s="248">
        <v>80.0</v>
      </c>
      <c r="AX24" s="249">
        <f t="shared" si="29"/>
        <v>76.66666667</v>
      </c>
      <c r="AY24" s="276">
        <v>76.0</v>
      </c>
      <c r="AZ24" s="272">
        <v>80.0</v>
      </c>
      <c r="BA24" s="272">
        <v>80.0</v>
      </c>
      <c r="BB24" s="275"/>
      <c r="BC24" s="250">
        <f t="shared" si="30"/>
        <v>80</v>
      </c>
      <c r="BD24" s="272">
        <v>80.0</v>
      </c>
      <c r="BE24" s="283">
        <v>83.0</v>
      </c>
      <c r="BF24" s="285">
        <v>80.0</v>
      </c>
      <c r="BG24" s="285">
        <v>80.0</v>
      </c>
      <c r="BH24" s="254">
        <f t="shared" si="31"/>
        <v>81</v>
      </c>
      <c r="BI24" s="286">
        <v>85.0</v>
      </c>
      <c r="BJ24" s="283">
        <v>82.0</v>
      </c>
      <c r="BK24" s="285">
        <v>80.0</v>
      </c>
      <c r="BL24" s="285">
        <v>80.0</v>
      </c>
      <c r="BM24" s="254">
        <f t="shared" si="32"/>
        <v>80.66666667</v>
      </c>
      <c r="BN24" s="287">
        <v>80.0</v>
      </c>
      <c r="BO24" s="283">
        <v>79.0</v>
      </c>
      <c r="BP24" s="285">
        <v>80.0</v>
      </c>
      <c r="BQ24" s="285">
        <v>79.0</v>
      </c>
      <c r="BR24" s="254">
        <f t="shared" si="33"/>
        <v>79.33333333</v>
      </c>
      <c r="BS24" s="286">
        <v>79.0</v>
      </c>
      <c r="BT24" s="272"/>
      <c r="BU24" s="275"/>
      <c r="BV24" s="275"/>
      <c r="BW24" s="266" t="str">
        <f t="shared" si="34"/>
        <v/>
      </c>
      <c r="BX24" s="276"/>
      <c r="BY24" s="272"/>
      <c r="BZ24" s="275"/>
      <c r="CA24" s="275"/>
      <c r="CB24" s="266" t="str">
        <f t="shared" si="35"/>
        <v/>
      </c>
      <c r="CC24" s="276"/>
      <c r="CD24" s="272"/>
      <c r="CE24" s="275"/>
      <c r="CF24" s="275"/>
      <c r="CG24" s="269" t="str">
        <f t="shared" si="36"/>
        <v/>
      </c>
      <c r="CH24" s="276"/>
    </row>
    <row r="25" ht="15.75" customHeight="1">
      <c r="A25" s="115">
        <f>IFERROR(__xludf.DUMMYFUNCTION("""COMPUTED_VALUE"""),21.0)</f>
        <v>21</v>
      </c>
      <c r="B25" s="119" t="str">
        <f>IFERROR(__xludf.DUMMYFUNCTION("""COMPUTED_VALUE"""),"2526100434")</f>
        <v>2526100434</v>
      </c>
      <c r="C25" s="119" t="str">
        <f>IFERROR(__xludf.DUMMYFUNCTION("""COMPUTED_VALUE"""),"0094805329")</f>
        <v>0094805329</v>
      </c>
      <c r="D25" s="122" t="str">
        <f>IFERROR(__xludf.DUMMYFUNCTION("""COMPUTED_VALUE"""),"MUHAMAD NUR KHOLIS ROMDONI")</f>
        <v>MUHAMAD NUR KHOLIS ROMDONI</v>
      </c>
      <c r="E25" s="119" t="str">
        <f>IFERROR(__xludf.DUMMYFUNCTION("""COMPUTED_VALUE"""),"X TO 4")</f>
        <v>X TO 4</v>
      </c>
      <c r="F25" s="119" t="s">
        <v>220</v>
      </c>
      <c r="G25" s="225">
        <v>77.0</v>
      </c>
      <c r="H25" s="226">
        <v>78.0</v>
      </c>
      <c r="I25" s="226"/>
      <c r="J25" s="230">
        <f t="shared" si="19"/>
        <v>77.5</v>
      </c>
      <c r="K25" s="232">
        <v>77.0</v>
      </c>
      <c r="L25" s="225">
        <v>85.0</v>
      </c>
      <c r="M25" s="226">
        <v>80.0</v>
      </c>
      <c r="N25" s="226"/>
      <c r="O25" s="233">
        <f t="shared" si="20"/>
        <v>82.5</v>
      </c>
      <c r="P25" s="232">
        <v>80.0</v>
      </c>
      <c r="Q25" s="225">
        <v>80.0</v>
      </c>
      <c r="R25" s="226">
        <v>80.0</v>
      </c>
      <c r="S25" s="226">
        <v>85.0</v>
      </c>
      <c r="T25" s="235">
        <f t="shared" si="21"/>
        <v>81.66666667</v>
      </c>
      <c r="U25" s="232">
        <v>86.0</v>
      </c>
      <c r="V25" s="225">
        <v>75.0</v>
      </c>
      <c r="W25" s="226">
        <v>86.0</v>
      </c>
      <c r="X25" s="226"/>
      <c r="Y25" s="236">
        <f t="shared" si="22"/>
        <v>80.5</v>
      </c>
      <c r="Z25" s="232">
        <v>84.0</v>
      </c>
      <c r="AA25" s="225">
        <v>0.0</v>
      </c>
      <c r="AB25" s="226">
        <v>0.0</v>
      </c>
      <c r="AC25" s="226">
        <v>0.0</v>
      </c>
      <c r="AD25" s="238">
        <f t="shared" si="23"/>
        <v>0</v>
      </c>
      <c r="AE25" s="232">
        <v>0.0</v>
      </c>
      <c r="AF25" s="240">
        <v>88.0</v>
      </c>
      <c r="AG25" s="240">
        <v>89.0</v>
      </c>
      <c r="AH25" s="240">
        <v>90.0</v>
      </c>
      <c r="AI25" s="239">
        <f t="shared" si="24"/>
        <v>89</v>
      </c>
      <c r="AJ25" s="240">
        <v>90.0</v>
      </c>
      <c r="AK25" s="290">
        <v>0.0</v>
      </c>
      <c r="AL25" s="290">
        <v>0.0</v>
      </c>
      <c r="AM25" s="290">
        <v>20.0</v>
      </c>
      <c r="AN25" s="243">
        <f t="shared" si="25"/>
        <v>6.666666667</v>
      </c>
      <c r="AO25" s="291">
        <v>0.0</v>
      </c>
      <c r="AP25" s="225">
        <v>72.0</v>
      </c>
      <c r="AQ25" s="226">
        <f t="shared" ref="AQ25:AR25" si="55">AP25</f>
        <v>72</v>
      </c>
      <c r="AR25" s="226">
        <f t="shared" si="55"/>
        <v>72</v>
      </c>
      <c r="AS25" s="247">
        <f t="shared" si="27"/>
        <v>72</v>
      </c>
      <c r="AT25" s="232">
        <f t="shared" si="28"/>
        <v>72</v>
      </c>
      <c r="AU25" s="248">
        <v>78.0</v>
      </c>
      <c r="AV25" s="248">
        <v>75.0</v>
      </c>
      <c r="AW25" s="248">
        <v>75.0</v>
      </c>
      <c r="AX25" s="249">
        <f t="shared" si="29"/>
        <v>76</v>
      </c>
      <c r="AY25" s="232">
        <v>76.0</v>
      </c>
      <c r="AZ25" s="225">
        <v>80.0</v>
      </c>
      <c r="BA25" s="225">
        <v>80.0</v>
      </c>
      <c r="BB25" s="226"/>
      <c r="BC25" s="250">
        <f t="shared" si="30"/>
        <v>80</v>
      </c>
      <c r="BD25" s="225">
        <v>80.0</v>
      </c>
      <c r="BE25" s="251">
        <v>0.0</v>
      </c>
      <c r="BF25" s="252">
        <v>0.0</v>
      </c>
      <c r="BG25" s="252">
        <v>0.0</v>
      </c>
      <c r="BH25" s="254">
        <f t="shared" si="31"/>
        <v>0</v>
      </c>
      <c r="BI25" s="258">
        <v>77.0</v>
      </c>
      <c r="BJ25" s="251">
        <v>80.0</v>
      </c>
      <c r="BK25" s="252">
        <v>80.0</v>
      </c>
      <c r="BL25" s="252">
        <v>80.0</v>
      </c>
      <c r="BM25" s="254">
        <f t="shared" si="32"/>
        <v>80</v>
      </c>
      <c r="BN25" s="262">
        <v>80.0</v>
      </c>
      <c r="BO25" s="251">
        <v>78.0</v>
      </c>
      <c r="BP25" s="252">
        <v>77.0</v>
      </c>
      <c r="BQ25" s="252">
        <v>78.0</v>
      </c>
      <c r="BR25" s="254">
        <f t="shared" si="33"/>
        <v>77.66666667</v>
      </c>
      <c r="BS25" s="258">
        <v>77.0</v>
      </c>
      <c r="BT25" s="225"/>
      <c r="BU25" s="226"/>
      <c r="BV25" s="226"/>
      <c r="BW25" s="266" t="str">
        <f t="shared" si="34"/>
        <v/>
      </c>
      <c r="BX25" s="232"/>
      <c r="BY25" s="225"/>
      <c r="BZ25" s="226"/>
      <c r="CA25" s="226"/>
      <c r="CB25" s="266" t="str">
        <f t="shared" si="35"/>
        <v/>
      </c>
      <c r="CC25" s="232"/>
      <c r="CD25" s="225"/>
      <c r="CE25" s="226"/>
      <c r="CF25" s="226"/>
      <c r="CG25" s="269" t="str">
        <f t="shared" si="36"/>
        <v/>
      </c>
      <c r="CH25" s="232"/>
    </row>
    <row r="26" ht="15.75" customHeight="1">
      <c r="A26" s="189">
        <f>IFERROR(__xludf.DUMMYFUNCTION("""COMPUTED_VALUE"""),22.0)</f>
        <v>22</v>
      </c>
      <c r="B26" s="193" t="str">
        <f>IFERROR(__xludf.DUMMYFUNCTION("""COMPUTED_VALUE"""),"2526100435")</f>
        <v>2526100435</v>
      </c>
      <c r="C26" s="193" t="str">
        <f>IFERROR(__xludf.DUMMYFUNCTION("""COMPUTED_VALUE"""),"0098562523")</f>
        <v>0098562523</v>
      </c>
      <c r="D26" s="195" t="str">
        <f>IFERROR(__xludf.DUMMYFUNCTION("""COMPUTED_VALUE"""),"MUHAMAD RIDWAN")</f>
        <v>MUHAMAD RIDWAN</v>
      </c>
      <c r="E26" s="193" t="str">
        <f>IFERROR(__xludf.DUMMYFUNCTION("""COMPUTED_VALUE"""),"X TO 4")</f>
        <v>X TO 4</v>
      </c>
      <c r="F26" s="193" t="s">
        <v>220</v>
      </c>
      <c r="G26" s="272">
        <v>79.0</v>
      </c>
      <c r="H26" s="275">
        <v>80.0</v>
      </c>
      <c r="I26" s="275"/>
      <c r="J26" s="230">
        <f t="shared" si="19"/>
        <v>79.5</v>
      </c>
      <c r="K26" s="276">
        <v>77.0</v>
      </c>
      <c r="L26" s="272">
        <v>85.0</v>
      </c>
      <c r="M26" s="275">
        <v>80.0</v>
      </c>
      <c r="N26" s="275"/>
      <c r="O26" s="233">
        <f t="shared" si="20"/>
        <v>82.5</v>
      </c>
      <c r="P26" s="276">
        <v>82.0</v>
      </c>
      <c r="Q26" s="272">
        <v>80.0</v>
      </c>
      <c r="R26" s="275">
        <v>87.0</v>
      </c>
      <c r="S26" s="275">
        <v>80.0</v>
      </c>
      <c r="T26" s="235">
        <f t="shared" si="21"/>
        <v>82.33333333</v>
      </c>
      <c r="U26" s="276">
        <v>86.0</v>
      </c>
      <c r="V26" s="272">
        <v>80.0</v>
      </c>
      <c r="W26" s="275">
        <v>89.0</v>
      </c>
      <c r="X26" s="275"/>
      <c r="Y26" s="236">
        <f t="shared" si="22"/>
        <v>84.5</v>
      </c>
      <c r="Z26" s="276">
        <v>90.0</v>
      </c>
      <c r="AA26" s="272">
        <v>85.0</v>
      </c>
      <c r="AB26" s="275">
        <v>83.0</v>
      </c>
      <c r="AC26" s="275">
        <v>84.0</v>
      </c>
      <c r="AD26" s="238">
        <f t="shared" si="23"/>
        <v>84</v>
      </c>
      <c r="AE26" s="276">
        <v>80.0</v>
      </c>
      <c r="AF26" s="240">
        <v>90.0</v>
      </c>
      <c r="AG26" s="240">
        <v>90.0</v>
      </c>
      <c r="AH26" s="240">
        <v>90.0</v>
      </c>
      <c r="AI26" s="239">
        <f t="shared" si="24"/>
        <v>90</v>
      </c>
      <c r="AJ26" s="240">
        <v>90.0</v>
      </c>
      <c r="AK26" s="245">
        <v>85.0</v>
      </c>
      <c r="AL26" s="245">
        <v>84.0</v>
      </c>
      <c r="AM26" s="245">
        <v>80.0</v>
      </c>
      <c r="AN26" s="243">
        <f t="shared" si="25"/>
        <v>83</v>
      </c>
      <c r="AO26" s="246">
        <v>86.0</v>
      </c>
      <c r="AP26" s="272">
        <v>72.0</v>
      </c>
      <c r="AQ26" s="226">
        <f t="shared" ref="AQ26:AR26" si="56">AP26</f>
        <v>72</v>
      </c>
      <c r="AR26" s="226">
        <f t="shared" si="56"/>
        <v>72</v>
      </c>
      <c r="AS26" s="247">
        <f t="shared" si="27"/>
        <v>72</v>
      </c>
      <c r="AT26" s="232">
        <f t="shared" si="28"/>
        <v>72</v>
      </c>
      <c r="AU26" s="248">
        <v>75.0</v>
      </c>
      <c r="AV26" s="248">
        <v>76.0</v>
      </c>
      <c r="AW26" s="248">
        <v>77.0</v>
      </c>
      <c r="AX26" s="249">
        <f t="shared" si="29"/>
        <v>76</v>
      </c>
      <c r="AY26" s="276">
        <v>77.0</v>
      </c>
      <c r="AZ26" s="225">
        <v>80.0</v>
      </c>
      <c r="BA26" s="225">
        <v>80.0</v>
      </c>
      <c r="BB26" s="275"/>
      <c r="BC26" s="250">
        <f t="shared" si="30"/>
        <v>80</v>
      </c>
      <c r="BD26" s="225">
        <v>80.0</v>
      </c>
      <c r="BE26" s="283">
        <v>81.0</v>
      </c>
      <c r="BF26" s="285">
        <v>0.0</v>
      </c>
      <c r="BG26" s="285">
        <v>0.0</v>
      </c>
      <c r="BH26" s="254">
        <f t="shared" si="31"/>
        <v>27</v>
      </c>
      <c r="BI26" s="286">
        <v>78.0</v>
      </c>
      <c r="BJ26" s="283">
        <v>80.0</v>
      </c>
      <c r="BK26" s="285">
        <v>80.0</v>
      </c>
      <c r="BL26" s="285">
        <v>80.0</v>
      </c>
      <c r="BM26" s="254">
        <f t="shared" si="32"/>
        <v>80</v>
      </c>
      <c r="BN26" s="287">
        <v>80.0</v>
      </c>
      <c r="BO26" s="283">
        <v>78.0</v>
      </c>
      <c r="BP26" s="285">
        <v>77.0</v>
      </c>
      <c r="BQ26" s="285">
        <v>78.0</v>
      </c>
      <c r="BR26" s="254">
        <f t="shared" si="33"/>
        <v>77.66666667</v>
      </c>
      <c r="BS26" s="286">
        <v>78.0</v>
      </c>
      <c r="BT26" s="272"/>
      <c r="BU26" s="275"/>
      <c r="BV26" s="275"/>
      <c r="BW26" s="266" t="str">
        <f t="shared" si="34"/>
        <v/>
      </c>
      <c r="BX26" s="276"/>
      <c r="BY26" s="272"/>
      <c r="BZ26" s="275"/>
      <c r="CA26" s="275"/>
      <c r="CB26" s="266" t="str">
        <f t="shared" si="35"/>
        <v/>
      </c>
      <c r="CC26" s="276"/>
      <c r="CD26" s="272"/>
      <c r="CE26" s="275"/>
      <c r="CF26" s="275"/>
      <c r="CG26" s="269" t="str">
        <f t="shared" si="36"/>
        <v/>
      </c>
      <c r="CH26" s="276"/>
    </row>
    <row r="27" ht="15.75" customHeight="1">
      <c r="A27" s="115">
        <f>IFERROR(__xludf.DUMMYFUNCTION("""COMPUTED_VALUE"""),23.0)</f>
        <v>23</v>
      </c>
      <c r="B27" s="119" t="str">
        <f>IFERROR(__xludf.DUMMYFUNCTION("""COMPUTED_VALUE"""),"2526100436")</f>
        <v>2526100436</v>
      </c>
      <c r="C27" s="119" t="str">
        <f>IFERROR(__xludf.DUMMYFUNCTION("""COMPUTED_VALUE"""),"0095384573")</f>
        <v>0095384573</v>
      </c>
      <c r="D27" s="122" t="str">
        <f>IFERROR(__xludf.DUMMYFUNCTION("""COMPUTED_VALUE"""),"MUHAMAD RUDI RIVIANSYAH")</f>
        <v>MUHAMAD RUDI RIVIANSYAH</v>
      </c>
      <c r="E27" s="119" t="str">
        <f>IFERROR(__xludf.DUMMYFUNCTION("""COMPUTED_VALUE"""),"X TO 4")</f>
        <v>X TO 4</v>
      </c>
      <c r="F27" s="119" t="s">
        <v>220</v>
      </c>
      <c r="G27" s="225">
        <v>80.0</v>
      </c>
      <c r="H27" s="226">
        <v>81.0</v>
      </c>
      <c r="I27" s="226"/>
      <c r="J27" s="230">
        <f t="shared" si="19"/>
        <v>80.5</v>
      </c>
      <c r="K27" s="232">
        <v>77.0</v>
      </c>
      <c r="L27" s="225">
        <v>85.0</v>
      </c>
      <c r="M27" s="226">
        <v>80.0</v>
      </c>
      <c r="N27" s="226"/>
      <c r="O27" s="233">
        <f t="shared" si="20"/>
        <v>82.5</v>
      </c>
      <c r="P27" s="232">
        <v>84.0</v>
      </c>
      <c r="Q27" s="225">
        <v>85.0</v>
      </c>
      <c r="R27" s="226">
        <v>87.0</v>
      </c>
      <c r="S27" s="226">
        <v>87.0</v>
      </c>
      <c r="T27" s="235">
        <f t="shared" si="21"/>
        <v>86.33333333</v>
      </c>
      <c r="U27" s="232">
        <v>87.0</v>
      </c>
      <c r="V27" s="225">
        <v>80.0</v>
      </c>
      <c r="W27" s="226">
        <v>92.0</v>
      </c>
      <c r="X27" s="226"/>
      <c r="Y27" s="236">
        <f t="shared" si="22"/>
        <v>86</v>
      </c>
      <c r="Z27" s="232">
        <v>90.0</v>
      </c>
      <c r="AA27" s="225">
        <v>84.0</v>
      </c>
      <c r="AB27" s="226">
        <v>82.0</v>
      </c>
      <c r="AC27" s="226">
        <v>83.0</v>
      </c>
      <c r="AD27" s="238">
        <f t="shared" si="23"/>
        <v>83</v>
      </c>
      <c r="AE27" s="232">
        <v>79.0</v>
      </c>
      <c r="AF27" s="240">
        <v>90.0</v>
      </c>
      <c r="AG27" s="240">
        <v>90.0</v>
      </c>
      <c r="AH27" s="240">
        <v>90.0</v>
      </c>
      <c r="AI27" s="239">
        <f t="shared" si="24"/>
        <v>90</v>
      </c>
      <c r="AJ27" s="240">
        <v>88.0</v>
      </c>
      <c r="AK27" s="245">
        <v>84.0</v>
      </c>
      <c r="AL27" s="245">
        <v>84.0</v>
      </c>
      <c r="AM27" s="245">
        <v>83.0</v>
      </c>
      <c r="AN27" s="243">
        <f t="shared" si="25"/>
        <v>83.66666667</v>
      </c>
      <c r="AO27" s="246">
        <v>85.0</v>
      </c>
      <c r="AP27" s="225">
        <v>83.0</v>
      </c>
      <c r="AQ27" s="226">
        <f t="shared" ref="AQ27:AR27" si="57">AP27</f>
        <v>83</v>
      </c>
      <c r="AR27" s="226">
        <f t="shared" si="57"/>
        <v>83</v>
      </c>
      <c r="AS27" s="247">
        <f t="shared" si="27"/>
        <v>83</v>
      </c>
      <c r="AT27" s="232">
        <f t="shared" si="28"/>
        <v>83</v>
      </c>
      <c r="AU27" s="248">
        <v>76.0</v>
      </c>
      <c r="AV27" s="248">
        <v>78.0</v>
      </c>
      <c r="AW27" s="248">
        <v>80.0</v>
      </c>
      <c r="AX27" s="249">
        <f t="shared" si="29"/>
        <v>78</v>
      </c>
      <c r="AY27" s="232">
        <v>80.0</v>
      </c>
      <c r="AZ27" s="272">
        <v>80.0</v>
      </c>
      <c r="BA27" s="272">
        <v>80.0</v>
      </c>
      <c r="BB27" s="226"/>
      <c r="BC27" s="250">
        <f t="shared" si="30"/>
        <v>80</v>
      </c>
      <c r="BD27" s="272">
        <v>80.0</v>
      </c>
      <c r="BE27" s="251">
        <v>87.0</v>
      </c>
      <c r="BF27" s="252">
        <v>85.0</v>
      </c>
      <c r="BG27" s="252">
        <v>82.0</v>
      </c>
      <c r="BH27" s="254">
        <f t="shared" si="31"/>
        <v>84.66666667</v>
      </c>
      <c r="BI27" s="258">
        <v>87.0</v>
      </c>
      <c r="BJ27" s="251">
        <v>85.0</v>
      </c>
      <c r="BK27" s="252">
        <v>80.0</v>
      </c>
      <c r="BL27" s="252">
        <v>80.0</v>
      </c>
      <c r="BM27" s="254">
        <f t="shared" si="32"/>
        <v>81.66666667</v>
      </c>
      <c r="BN27" s="262">
        <v>80.0</v>
      </c>
      <c r="BO27" s="251">
        <v>79.0</v>
      </c>
      <c r="BP27" s="252">
        <v>80.0</v>
      </c>
      <c r="BQ27" s="252">
        <v>80.0</v>
      </c>
      <c r="BR27" s="254">
        <f t="shared" si="33"/>
        <v>79.66666667</v>
      </c>
      <c r="BS27" s="258">
        <v>80.0</v>
      </c>
      <c r="BT27" s="225"/>
      <c r="BU27" s="226"/>
      <c r="BV27" s="226"/>
      <c r="BW27" s="266" t="str">
        <f t="shared" si="34"/>
        <v/>
      </c>
      <c r="BX27" s="232"/>
      <c r="BY27" s="225"/>
      <c r="BZ27" s="226"/>
      <c r="CA27" s="226"/>
      <c r="CB27" s="266" t="str">
        <f t="shared" si="35"/>
        <v/>
      </c>
      <c r="CC27" s="232"/>
      <c r="CD27" s="225"/>
      <c r="CE27" s="226"/>
      <c r="CF27" s="226"/>
      <c r="CG27" s="269" t="str">
        <f t="shared" si="36"/>
        <v/>
      </c>
      <c r="CH27" s="232"/>
    </row>
    <row r="28" ht="15.75" customHeight="1">
      <c r="A28" s="189">
        <f>IFERROR(__xludf.DUMMYFUNCTION("""COMPUTED_VALUE"""),24.0)</f>
        <v>24</v>
      </c>
      <c r="B28" s="193" t="str">
        <f>IFERROR(__xludf.DUMMYFUNCTION("""COMPUTED_VALUE"""),"2526100437")</f>
        <v>2526100437</v>
      </c>
      <c r="C28" s="193" t="str">
        <f>IFERROR(__xludf.DUMMYFUNCTION("""COMPUTED_VALUE"""),"3098503903")</f>
        <v>3098503903</v>
      </c>
      <c r="D28" s="195" t="str">
        <f>IFERROR(__xludf.DUMMYFUNCTION("""COMPUTED_VALUE"""),"MUHAMAD SALMAN")</f>
        <v>MUHAMAD SALMAN</v>
      </c>
      <c r="E28" s="193" t="str">
        <f>IFERROR(__xludf.DUMMYFUNCTION("""COMPUTED_VALUE"""),"X TO 4")</f>
        <v>X TO 4</v>
      </c>
      <c r="F28" s="193" t="s">
        <v>220</v>
      </c>
      <c r="G28" s="272">
        <v>80.0</v>
      </c>
      <c r="H28" s="275">
        <v>79.0</v>
      </c>
      <c r="I28" s="275"/>
      <c r="J28" s="230">
        <f t="shared" si="19"/>
        <v>79.5</v>
      </c>
      <c r="K28" s="276">
        <v>75.0</v>
      </c>
      <c r="L28" s="272">
        <v>85.0</v>
      </c>
      <c r="M28" s="275">
        <v>80.0</v>
      </c>
      <c r="N28" s="275"/>
      <c r="O28" s="233">
        <f t="shared" si="20"/>
        <v>82.5</v>
      </c>
      <c r="P28" s="276">
        <v>79.0</v>
      </c>
      <c r="Q28" s="272">
        <v>78.0</v>
      </c>
      <c r="R28" s="275">
        <v>78.0</v>
      </c>
      <c r="S28" s="275">
        <v>80.0</v>
      </c>
      <c r="T28" s="235">
        <f t="shared" si="21"/>
        <v>78.66666667</v>
      </c>
      <c r="U28" s="276">
        <v>85.0</v>
      </c>
      <c r="V28" s="272">
        <v>95.0</v>
      </c>
      <c r="W28" s="275">
        <v>92.0</v>
      </c>
      <c r="X28" s="275"/>
      <c r="Y28" s="236">
        <f t="shared" si="22"/>
        <v>93.5</v>
      </c>
      <c r="Z28" s="276">
        <v>84.0</v>
      </c>
      <c r="AA28" s="272">
        <v>75.0</v>
      </c>
      <c r="AB28" s="275">
        <v>73.0</v>
      </c>
      <c r="AC28" s="275">
        <v>74.0</v>
      </c>
      <c r="AD28" s="238">
        <f t="shared" si="23"/>
        <v>74</v>
      </c>
      <c r="AE28" s="276">
        <v>70.0</v>
      </c>
      <c r="AF28" s="240">
        <v>90.0</v>
      </c>
      <c r="AG28" s="240">
        <v>90.0</v>
      </c>
      <c r="AH28" s="240">
        <v>90.0</v>
      </c>
      <c r="AI28" s="239">
        <f t="shared" si="24"/>
        <v>90</v>
      </c>
      <c r="AJ28" s="240">
        <v>89.0</v>
      </c>
      <c r="AK28" s="245">
        <v>75.0</v>
      </c>
      <c r="AL28" s="245">
        <v>75.0</v>
      </c>
      <c r="AM28" s="245">
        <v>74.0</v>
      </c>
      <c r="AN28" s="243">
        <f t="shared" si="25"/>
        <v>74.66666667</v>
      </c>
      <c r="AO28" s="246">
        <v>71.0</v>
      </c>
      <c r="AP28" s="272">
        <v>72.0</v>
      </c>
      <c r="AQ28" s="226">
        <f t="shared" ref="AQ28:AR28" si="58">AP28</f>
        <v>72</v>
      </c>
      <c r="AR28" s="226">
        <f t="shared" si="58"/>
        <v>72</v>
      </c>
      <c r="AS28" s="247">
        <f t="shared" si="27"/>
        <v>72</v>
      </c>
      <c r="AT28" s="232">
        <f t="shared" si="28"/>
        <v>72</v>
      </c>
      <c r="AU28" s="248">
        <v>74.0</v>
      </c>
      <c r="AV28" s="248">
        <v>74.0</v>
      </c>
      <c r="AW28" s="248">
        <v>74.0</v>
      </c>
      <c r="AX28" s="249">
        <f t="shared" si="29"/>
        <v>74</v>
      </c>
      <c r="AY28" s="276">
        <v>74.0</v>
      </c>
      <c r="AZ28" s="225">
        <v>80.0</v>
      </c>
      <c r="BA28" s="225">
        <v>80.0</v>
      </c>
      <c r="BB28" s="275"/>
      <c r="BC28" s="250">
        <f t="shared" si="30"/>
        <v>80</v>
      </c>
      <c r="BD28" s="225">
        <v>80.0</v>
      </c>
      <c r="BE28" s="283">
        <v>80.0</v>
      </c>
      <c r="BF28" s="285">
        <v>0.0</v>
      </c>
      <c r="BG28" s="285">
        <v>0.0</v>
      </c>
      <c r="BH28" s="254">
        <f t="shared" si="31"/>
        <v>26.66666667</v>
      </c>
      <c r="BI28" s="286">
        <v>85.0</v>
      </c>
      <c r="BJ28" s="283">
        <v>85.0</v>
      </c>
      <c r="BK28" s="285">
        <v>78.0</v>
      </c>
      <c r="BL28" s="285">
        <v>78.0</v>
      </c>
      <c r="BM28" s="254">
        <f t="shared" si="32"/>
        <v>80.33333333</v>
      </c>
      <c r="BN28" s="287">
        <v>78.0</v>
      </c>
      <c r="BO28" s="283">
        <v>79.0</v>
      </c>
      <c r="BP28" s="285">
        <v>80.0</v>
      </c>
      <c r="BQ28" s="285">
        <v>79.0</v>
      </c>
      <c r="BR28" s="254">
        <f t="shared" si="33"/>
        <v>79.33333333</v>
      </c>
      <c r="BS28" s="286">
        <v>80.0</v>
      </c>
      <c r="BT28" s="272"/>
      <c r="BU28" s="275"/>
      <c r="BV28" s="275"/>
      <c r="BW28" s="266" t="str">
        <f t="shared" si="34"/>
        <v/>
      </c>
      <c r="BX28" s="276"/>
      <c r="BY28" s="272"/>
      <c r="BZ28" s="275"/>
      <c r="CA28" s="275"/>
      <c r="CB28" s="266" t="str">
        <f t="shared" si="35"/>
        <v/>
      </c>
      <c r="CC28" s="276"/>
      <c r="CD28" s="272"/>
      <c r="CE28" s="275"/>
      <c r="CF28" s="275"/>
      <c r="CG28" s="269" t="str">
        <f t="shared" si="36"/>
        <v/>
      </c>
      <c r="CH28" s="276"/>
    </row>
    <row r="29" ht="15.75" customHeight="1">
      <c r="A29" s="115">
        <f>IFERROR(__xludf.DUMMYFUNCTION("""COMPUTED_VALUE"""),25.0)</f>
        <v>25</v>
      </c>
      <c r="B29" s="119" t="str">
        <f>IFERROR(__xludf.DUMMYFUNCTION("""COMPUTED_VALUE"""),"2526100438")</f>
        <v>2526100438</v>
      </c>
      <c r="C29" s="119" t="str">
        <f>IFERROR(__xludf.DUMMYFUNCTION("""COMPUTED_VALUE"""),"0096750607")</f>
        <v>0096750607</v>
      </c>
      <c r="D29" s="122" t="str">
        <f>IFERROR(__xludf.DUMMYFUNCTION("""COMPUTED_VALUE"""),"MUHAMAD SUTIAWAN ALI")</f>
        <v>MUHAMAD SUTIAWAN ALI</v>
      </c>
      <c r="E29" s="119" t="str">
        <f>IFERROR(__xludf.DUMMYFUNCTION("""COMPUTED_VALUE"""),"X TO 4")</f>
        <v>X TO 4</v>
      </c>
      <c r="F29" s="119" t="s">
        <v>220</v>
      </c>
      <c r="G29" s="225"/>
      <c r="H29" s="226"/>
      <c r="I29" s="226"/>
      <c r="J29" s="230" t="str">
        <f t="shared" si="19"/>
        <v/>
      </c>
      <c r="K29" s="232"/>
      <c r="L29" s="225"/>
      <c r="M29" s="226"/>
      <c r="N29" s="226"/>
      <c r="O29" s="233" t="str">
        <f t="shared" si="20"/>
        <v/>
      </c>
      <c r="P29" s="232"/>
      <c r="Q29" s="225"/>
      <c r="R29" s="226"/>
      <c r="S29" s="226"/>
      <c r="T29" s="235" t="str">
        <f t="shared" si="21"/>
        <v/>
      </c>
      <c r="U29" s="232">
        <v>0.0</v>
      </c>
      <c r="V29" s="225">
        <v>75.0</v>
      </c>
      <c r="W29" s="226">
        <v>75.0</v>
      </c>
      <c r="X29" s="226"/>
      <c r="Y29" s="236">
        <f t="shared" si="22"/>
        <v>75</v>
      </c>
      <c r="Z29" s="232">
        <v>75.0</v>
      </c>
      <c r="AA29" s="225">
        <v>0.0</v>
      </c>
      <c r="AB29" s="226">
        <v>0.0</v>
      </c>
      <c r="AC29" s="226">
        <v>0.0</v>
      </c>
      <c r="AD29" s="238">
        <f t="shared" si="23"/>
        <v>0</v>
      </c>
      <c r="AE29" s="232">
        <v>0.0</v>
      </c>
      <c r="AF29" s="240">
        <v>90.0</v>
      </c>
      <c r="AG29" s="240">
        <v>90.0</v>
      </c>
      <c r="AH29" s="240">
        <v>90.0</v>
      </c>
      <c r="AI29" s="239">
        <f t="shared" si="24"/>
        <v>90</v>
      </c>
      <c r="AJ29" s="240">
        <v>89.0</v>
      </c>
      <c r="AK29" s="290">
        <v>0.0</v>
      </c>
      <c r="AL29" s="290">
        <v>0.0</v>
      </c>
      <c r="AM29" s="290">
        <v>0.0</v>
      </c>
      <c r="AN29" s="243">
        <f t="shared" si="25"/>
        <v>0</v>
      </c>
      <c r="AO29" s="291">
        <v>0.0</v>
      </c>
      <c r="AP29" s="225">
        <v>72.0</v>
      </c>
      <c r="AQ29" s="226">
        <f t="shared" ref="AQ29:AR29" si="59">AP29</f>
        <v>72</v>
      </c>
      <c r="AR29" s="226">
        <f t="shared" si="59"/>
        <v>72</v>
      </c>
      <c r="AS29" s="247">
        <f t="shared" si="27"/>
        <v>72</v>
      </c>
      <c r="AT29" s="232">
        <f t="shared" si="28"/>
        <v>72</v>
      </c>
      <c r="AU29" s="248">
        <v>72.0</v>
      </c>
      <c r="AV29" s="248">
        <v>72.0</v>
      </c>
      <c r="AW29" s="248">
        <v>72.0</v>
      </c>
      <c r="AX29" s="249">
        <f t="shared" si="29"/>
        <v>72</v>
      </c>
      <c r="AY29" s="232">
        <v>72.0</v>
      </c>
      <c r="AZ29" s="225">
        <v>80.0</v>
      </c>
      <c r="BA29" s="225">
        <v>80.0</v>
      </c>
      <c r="BB29" s="226"/>
      <c r="BC29" s="250">
        <f t="shared" si="30"/>
        <v>80</v>
      </c>
      <c r="BD29" s="225">
        <v>80.0</v>
      </c>
      <c r="BE29" s="251">
        <v>83.0</v>
      </c>
      <c r="BF29" s="252">
        <v>0.0</v>
      </c>
      <c r="BG29" s="252">
        <v>0.0</v>
      </c>
      <c r="BH29" s="254">
        <f t="shared" si="31"/>
        <v>27.66666667</v>
      </c>
      <c r="BI29" s="258">
        <v>0.0</v>
      </c>
      <c r="BJ29" s="251">
        <v>50.0</v>
      </c>
      <c r="BK29" s="252">
        <v>50.0</v>
      </c>
      <c r="BL29" s="252">
        <v>50.0</v>
      </c>
      <c r="BM29" s="254">
        <f t="shared" si="32"/>
        <v>50</v>
      </c>
      <c r="BN29" s="262">
        <v>50.0</v>
      </c>
      <c r="BO29" s="251">
        <v>45.0</v>
      </c>
      <c r="BP29" s="252">
        <v>50.0</v>
      </c>
      <c r="BQ29" s="252">
        <v>45.0</v>
      </c>
      <c r="BR29" s="254">
        <f t="shared" si="33"/>
        <v>46.66666667</v>
      </c>
      <c r="BS29" s="258">
        <v>0.0</v>
      </c>
      <c r="BT29" s="225"/>
      <c r="BU29" s="226"/>
      <c r="BV29" s="226"/>
      <c r="BW29" s="266" t="str">
        <f t="shared" si="34"/>
        <v/>
      </c>
      <c r="BX29" s="232"/>
      <c r="BY29" s="225"/>
      <c r="BZ29" s="226"/>
      <c r="CA29" s="226"/>
      <c r="CB29" s="266" t="str">
        <f t="shared" si="35"/>
        <v/>
      </c>
      <c r="CC29" s="232"/>
      <c r="CD29" s="225"/>
      <c r="CE29" s="226"/>
      <c r="CF29" s="226"/>
      <c r="CG29" s="269" t="str">
        <f t="shared" si="36"/>
        <v/>
      </c>
      <c r="CH29" s="232"/>
    </row>
    <row r="30" ht="15.75" customHeight="1">
      <c r="A30" s="189">
        <f>IFERROR(__xludf.DUMMYFUNCTION("""COMPUTED_VALUE"""),26.0)</f>
        <v>26</v>
      </c>
      <c r="B30" s="193" t="str">
        <f>IFERROR(__xludf.DUMMYFUNCTION("""COMPUTED_VALUE"""),"2526100439")</f>
        <v>2526100439</v>
      </c>
      <c r="C30" s="193" t="str">
        <f>IFERROR(__xludf.DUMMYFUNCTION("""COMPUTED_VALUE"""),"0094990767")</f>
        <v>0094990767</v>
      </c>
      <c r="D30" s="195" t="str">
        <f>IFERROR(__xludf.DUMMYFUNCTION("""COMPUTED_VALUE"""),"MUHAMMAD FAHRI MAULANA")</f>
        <v>MUHAMMAD FAHRI MAULANA</v>
      </c>
      <c r="E30" s="193" t="str">
        <f>IFERROR(__xludf.DUMMYFUNCTION("""COMPUTED_VALUE"""),"X TO 4")</f>
        <v>X TO 4</v>
      </c>
      <c r="F30" s="193" t="s">
        <v>220</v>
      </c>
      <c r="G30" s="272">
        <v>78.0</v>
      </c>
      <c r="H30" s="275">
        <v>78.0</v>
      </c>
      <c r="I30" s="275"/>
      <c r="J30" s="230">
        <f t="shared" si="19"/>
        <v>78</v>
      </c>
      <c r="K30" s="276">
        <v>75.0</v>
      </c>
      <c r="L30" s="272">
        <v>85.0</v>
      </c>
      <c r="M30" s="275">
        <v>80.0</v>
      </c>
      <c r="N30" s="275"/>
      <c r="O30" s="233">
        <f t="shared" si="20"/>
        <v>82.5</v>
      </c>
      <c r="P30" s="276">
        <v>81.0</v>
      </c>
      <c r="Q30" s="272">
        <v>76.0</v>
      </c>
      <c r="R30" s="275">
        <v>78.0</v>
      </c>
      <c r="S30" s="275">
        <v>80.0</v>
      </c>
      <c r="T30" s="235">
        <f t="shared" si="21"/>
        <v>78</v>
      </c>
      <c r="U30" s="276">
        <v>80.0</v>
      </c>
      <c r="V30" s="272">
        <v>80.0</v>
      </c>
      <c r="W30" s="275">
        <v>96.0</v>
      </c>
      <c r="X30" s="275"/>
      <c r="Y30" s="236">
        <f t="shared" si="22"/>
        <v>88</v>
      </c>
      <c r="Z30" s="276">
        <v>80.0</v>
      </c>
      <c r="AA30" s="272">
        <v>75.0</v>
      </c>
      <c r="AB30" s="275">
        <v>73.0</v>
      </c>
      <c r="AC30" s="275">
        <v>74.0</v>
      </c>
      <c r="AD30" s="238">
        <f t="shared" si="23"/>
        <v>74</v>
      </c>
      <c r="AE30" s="276">
        <v>70.0</v>
      </c>
      <c r="AF30" s="240">
        <v>90.0</v>
      </c>
      <c r="AG30" s="240">
        <v>89.0</v>
      </c>
      <c r="AH30" s="240">
        <v>90.0</v>
      </c>
      <c r="AI30" s="239">
        <f t="shared" si="24"/>
        <v>89.66666667</v>
      </c>
      <c r="AJ30" s="240">
        <v>88.0</v>
      </c>
      <c r="AK30" s="245">
        <v>75.0</v>
      </c>
      <c r="AL30" s="245">
        <v>74.0</v>
      </c>
      <c r="AM30" s="245">
        <v>74.0</v>
      </c>
      <c r="AN30" s="243">
        <f t="shared" si="25"/>
        <v>74.33333333</v>
      </c>
      <c r="AO30" s="246">
        <v>70.0</v>
      </c>
      <c r="AP30" s="272">
        <v>72.0</v>
      </c>
      <c r="AQ30" s="226">
        <f t="shared" ref="AQ30:AR30" si="60">AP30</f>
        <v>72</v>
      </c>
      <c r="AR30" s="226">
        <f t="shared" si="60"/>
        <v>72</v>
      </c>
      <c r="AS30" s="247">
        <f t="shared" si="27"/>
        <v>72</v>
      </c>
      <c r="AT30" s="232">
        <f t="shared" si="28"/>
        <v>72</v>
      </c>
      <c r="AU30" s="248">
        <v>72.0</v>
      </c>
      <c r="AV30" s="248">
        <v>72.0</v>
      </c>
      <c r="AW30" s="248">
        <v>72.0</v>
      </c>
      <c r="AX30" s="249">
        <f t="shared" si="29"/>
        <v>72</v>
      </c>
      <c r="AY30" s="276">
        <v>72.0</v>
      </c>
      <c r="AZ30" s="272">
        <v>80.0</v>
      </c>
      <c r="BA30" s="272">
        <v>80.0</v>
      </c>
      <c r="BB30" s="275"/>
      <c r="BC30" s="250">
        <f t="shared" si="30"/>
        <v>80</v>
      </c>
      <c r="BD30" s="272">
        <v>80.0</v>
      </c>
      <c r="BE30" s="283">
        <v>83.0</v>
      </c>
      <c r="BF30" s="285">
        <v>0.0</v>
      </c>
      <c r="BG30" s="285">
        <v>0.0</v>
      </c>
      <c r="BH30" s="254">
        <f t="shared" si="31"/>
        <v>27.66666667</v>
      </c>
      <c r="BI30" s="286">
        <v>77.0</v>
      </c>
      <c r="BJ30" s="283">
        <v>75.0</v>
      </c>
      <c r="BK30" s="285">
        <v>80.0</v>
      </c>
      <c r="BL30" s="285">
        <v>80.0</v>
      </c>
      <c r="BM30" s="254">
        <f t="shared" si="32"/>
        <v>78.33333333</v>
      </c>
      <c r="BN30" s="287">
        <v>80.0</v>
      </c>
      <c r="BO30" s="283">
        <v>78.0</v>
      </c>
      <c r="BP30" s="285">
        <v>77.0</v>
      </c>
      <c r="BQ30" s="285">
        <v>78.0</v>
      </c>
      <c r="BR30" s="254">
        <f t="shared" si="33"/>
        <v>77.66666667</v>
      </c>
      <c r="BS30" s="286">
        <v>77.0</v>
      </c>
      <c r="BT30" s="272"/>
      <c r="BU30" s="275"/>
      <c r="BV30" s="275"/>
      <c r="BW30" s="266" t="str">
        <f t="shared" si="34"/>
        <v/>
      </c>
      <c r="BX30" s="276"/>
      <c r="BY30" s="272"/>
      <c r="BZ30" s="275"/>
      <c r="CA30" s="275"/>
      <c r="CB30" s="266" t="str">
        <f t="shared" si="35"/>
        <v/>
      </c>
      <c r="CC30" s="276"/>
      <c r="CD30" s="272"/>
      <c r="CE30" s="275"/>
      <c r="CF30" s="275"/>
      <c r="CG30" s="269" t="str">
        <f t="shared" si="36"/>
        <v/>
      </c>
      <c r="CH30" s="276"/>
    </row>
    <row r="31" ht="15.75" customHeight="1">
      <c r="A31" s="115">
        <f>IFERROR(__xludf.DUMMYFUNCTION("""COMPUTED_VALUE"""),27.0)</f>
        <v>27</v>
      </c>
      <c r="B31" s="119" t="str">
        <f>IFERROR(__xludf.DUMMYFUNCTION("""COMPUTED_VALUE"""),"2526100440")</f>
        <v>2526100440</v>
      </c>
      <c r="C31" s="119" t="str">
        <f>IFERROR(__xludf.DUMMYFUNCTION("""COMPUTED_VALUE"""),"0105005356")</f>
        <v>0105005356</v>
      </c>
      <c r="D31" s="122" t="str">
        <f>IFERROR(__xludf.DUMMYFUNCTION("""COMPUTED_VALUE"""),"MUHAMMAD GALANG GUNAWAN")</f>
        <v>MUHAMMAD GALANG GUNAWAN</v>
      </c>
      <c r="E31" s="119" t="str">
        <f>IFERROR(__xludf.DUMMYFUNCTION("""COMPUTED_VALUE"""),"X TO 4")</f>
        <v>X TO 4</v>
      </c>
      <c r="F31" s="119" t="s">
        <v>220</v>
      </c>
      <c r="G31" s="225">
        <v>75.0</v>
      </c>
      <c r="H31" s="226">
        <v>75.0</v>
      </c>
      <c r="I31" s="226"/>
      <c r="J31" s="230">
        <f t="shared" si="19"/>
        <v>75</v>
      </c>
      <c r="K31" s="232">
        <v>75.0</v>
      </c>
      <c r="L31" s="225">
        <v>75.0</v>
      </c>
      <c r="M31" s="226">
        <v>75.0</v>
      </c>
      <c r="N31" s="226"/>
      <c r="O31" s="233">
        <f t="shared" si="20"/>
        <v>75</v>
      </c>
      <c r="P31" s="232">
        <v>75.0</v>
      </c>
      <c r="Q31" s="225">
        <v>76.0</v>
      </c>
      <c r="R31" s="226">
        <v>76.0</v>
      </c>
      <c r="S31" s="226">
        <v>75.0</v>
      </c>
      <c r="T31" s="235">
        <f t="shared" si="21"/>
        <v>75.66666667</v>
      </c>
      <c r="U31" s="232">
        <v>75.0</v>
      </c>
      <c r="V31" s="225">
        <v>75.0</v>
      </c>
      <c r="W31" s="226">
        <v>75.0</v>
      </c>
      <c r="X31" s="226"/>
      <c r="Y31" s="236">
        <f t="shared" si="22"/>
        <v>75</v>
      </c>
      <c r="Z31" s="232">
        <v>75.0</v>
      </c>
      <c r="AA31" s="225">
        <v>75.0</v>
      </c>
      <c r="AB31" s="226">
        <v>75.0</v>
      </c>
      <c r="AC31" s="226">
        <v>75.0</v>
      </c>
      <c r="AD31" s="238">
        <f t="shared" si="23"/>
        <v>75</v>
      </c>
      <c r="AE31" s="232">
        <v>75.0</v>
      </c>
      <c r="AF31" s="240">
        <v>90.0</v>
      </c>
      <c r="AG31" s="240">
        <v>90.0</v>
      </c>
      <c r="AH31" s="240">
        <v>88.0</v>
      </c>
      <c r="AI31" s="239">
        <f t="shared" si="24"/>
        <v>89.33333333</v>
      </c>
      <c r="AJ31" s="240">
        <v>89.0</v>
      </c>
      <c r="AK31" s="290">
        <v>75.0</v>
      </c>
      <c r="AL31" s="290">
        <v>75.0</v>
      </c>
      <c r="AM31" s="290">
        <v>75.0</v>
      </c>
      <c r="AN31" s="243">
        <f t="shared" si="25"/>
        <v>75</v>
      </c>
      <c r="AO31" s="291">
        <v>75.0</v>
      </c>
      <c r="AP31" s="225">
        <v>75.0</v>
      </c>
      <c r="AQ31" s="226">
        <v>75.0</v>
      </c>
      <c r="AR31" s="226">
        <f>AQ31</f>
        <v>75</v>
      </c>
      <c r="AS31" s="247">
        <f t="shared" si="27"/>
        <v>75</v>
      </c>
      <c r="AT31" s="232">
        <f t="shared" si="28"/>
        <v>75</v>
      </c>
      <c r="AU31" s="248">
        <v>75.0</v>
      </c>
      <c r="AV31" s="248">
        <v>75.0</v>
      </c>
      <c r="AW31" s="248">
        <v>75.0</v>
      </c>
      <c r="AX31" s="249">
        <f t="shared" si="29"/>
        <v>75</v>
      </c>
      <c r="AY31" s="232">
        <v>75.0</v>
      </c>
      <c r="AZ31" s="225">
        <v>80.0</v>
      </c>
      <c r="BA31" s="225">
        <v>80.0</v>
      </c>
      <c r="BB31" s="226"/>
      <c r="BC31" s="250">
        <f t="shared" si="30"/>
        <v>80</v>
      </c>
      <c r="BD31" s="225">
        <v>80.0</v>
      </c>
      <c r="BE31" s="251">
        <v>75.0</v>
      </c>
      <c r="BF31" s="252">
        <v>75.0</v>
      </c>
      <c r="BG31" s="252">
        <v>75.0</v>
      </c>
      <c r="BH31" s="254">
        <f t="shared" si="31"/>
        <v>75</v>
      </c>
      <c r="BI31" s="258">
        <v>75.0</v>
      </c>
      <c r="BJ31" s="251">
        <v>75.0</v>
      </c>
      <c r="BK31" s="252">
        <v>75.0</v>
      </c>
      <c r="BL31" s="252">
        <v>75.0</v>
      </c>
      <c r="BM31" s="254">
        <f t="shared" si="32"/>
        <v>75</v>
      </c>
      <c r="BN31" s="262">
        <v>75.0</v>
      </c>
      <c r="BO31" s="251">
        <v>75.0</v>
      </c>
      <c r="BP31" s="252">
        <v>75.0</v>
      </c>
      <c r="BQ31" s="252">
        <v>75.0</v>
      </c>
      <c r="BR31" s="254">
        <f t="shared" si="33"/>
        <v>75</v>
      </c>
      <c r="BS31" s="258">
        <v>75.0</v>
      </c>
      <c r="BT31" s="225"/>
      <c r="BU31" s="226"/>
      <c r="BV31" s="226"/>
      <c r="BW31" s="266" t="str">
        <f t="shared" si="34"/>
        <v/>
      </c>
      <c r="BX31" s="232"/>
      <c r="BY31" s="225"/>
      <c r="BZ31" s="226"/>
      <c r="CA31" s="226"/>
      <c r="CB31" s="266" t="str">
        <f t="shared" si="35"/>
        <v/>
      </c>
      <c r="CC31" s="232"/>
      <c r="CD31" s="225"/>
      <c r="CE31" s="226"/>
      <c r="CF31" s="226"/>
      <c r="CG31" s="269" t="str">
        <f t="shared" si="36"/>
        <v/>
      </c>
      <c r="CH31" s="232"/>
    </row>
    <row r="32" ht="15.75" customHeight="1">
      <c r="A32" s="189">
        <f>IFERROR(__xludf.DUMMYFUNCTION("""COMPUTED_VALUE"""),28.0)</f>
        <v>28</v>
      </c>
      <c r="B32" s="193" t="str">
        <f>IFERROR(__xludf.DUMMYFUNCTION("""COMPUTED_VALUE"""),"2526100441")</f>
        <v>2526100441</v>
      </c>
      <c r="C32" s="193" t="str">
        <f>IFERROR(__xludf.DUMMYFUNCTION("""COMPUTED_VALUE"""),"0089904752")</f>
        <v>0089904752</v>
      </c>
      <c r="D32" s="195" t="str">
        <f>IFERROR(__xludf.DUMMYFUNCTION("""COMPUTED_VALUE"""),"MUHAMMAD GOZALI")</f>
        <v>MUHAMMAD GOZALI</v>
      </c>
      <c r="E32" s="193" t="str">
        <f>IFERROR(__xludf.DUMMYFUNCTION("""COMPUTED_VALUE"""),"X TO 4")</f>
        <v>X TO 4</v>
      </c>
      <c r="F32" s="193" t="s">
        <v>220</v>
      </c>
      <c r="G32" s="272">
        <v>80.0</v>
      </c>
      <c r="H32" s="275">
        <v>80.0</v>
      </c>
      <c r="I32" s="275"/>
      <c r="J32" s="230">
        <f t="shared" si="19"/>
        <v>80</v>
      </c>
      <c r="K32" s="276">
        <v>75.0</v>
      </c>
      <c r="L32" s="272">
        <v>85.0</v>
      </c>
      <c r="M32" s="275">
        <v>80.0</v>
      </c>
      <c r="N32" s="275"/>
      <c r="O32" s="233">
        <f t="shared" si="20"/>
        <v>82.5</v>
      </c>
      <c r="P32" s="276">
        <v>83.0</v>
      </c>
      <c r="Q32" s="272">
        <v>78.0</v>
      </c>
      <c r="R32" s="275">
        <v>87.0</v>
      </c>
      <c r="S32" s="275">
        <v>85.0</v>
      </c>
      <c r="T32" s="235">
        <f t="shared" si="21"/>
        <v>83.33333333</v>
      </c>
      <c r="U32" s="276">
        <v>85.0</v>
      </c>
      <c r="V32" s="272">
        <v>97.0</v>
      </c>
      <c r="W32" s="275">
        <v>87.0</v>
      </c>
      <c r="X32" s="275"/>
      <c r="Y32" s="236">
        <f t="shared" si="22"/>
        <v>92</v>
      </c>
      <c r="Z32" s="276">
        <v>90.0</v>
      </c>
      <c r="AA32" s="272">
        <v>86.0</v>
      </c>
      <c r="AB32" s="275">
        <v>84.0</v>
      </c>
      <c r="AC32" s="275">
        <v>85.0</v>
      </c>
      <c r="AD32" s="238">
        <f t="shared" si="23"/>
        <v>85</v>
      </c>
      <c r="AE32" s="276">
        <v>81.0</v>
      </c>
      <c r="AF32" s="240">
        <v>90.0</v>
      </c>
      <c r="AG32" s="240">
        <v>89.0</v>
      </c>
      <c r="AH32" s="240">
        <v>89.0</v>
      </c>
      <c r="AI32" s="239">
        <f t="shared" si="24"/>
        <v>89.33333333</v>
      </c>
      <c r="AJ32" s="240">
        <v>90.0</v>
      </c>
      <c r="AK32" s="245">
        <v>86.0</v>
      </c>
      <c r="AL32" s="245">
        <v>86.0</v>
      </c>
      <c r="AM32" s="245">
        <v>84.0</v>
      </c>
      <c r="AN32" s="243">
        <f t="shared" si="25"/>
        <v>85.33333333</v>
      </c>
      <c r="AO32" s="246">
        <v>86.0</v>
      </c>
      <c r="AP32" s="272">
        <v>75.0</v>
      </c>
      <c r="AQ32" s="226">
        <f t="shared" ref="AQ32:AR32" si="61">AP32</f>
        <v>75</v>
      </c>
      <c r="AR32" s="226">
        <f t="shared" si="61"/>
        <v>75</v>
      </c>
      <c r="AS32" s="247">
        <f t="shared" si="27"/>
        <v>75</v>
      </c>
      <c r="AT32" s="232">
        <f t="shared" si="28"/>
        <v>75</v>
      </c>
      <c r="AU32" s="248">
        <v>76.0</v>
      </c>
      <c r="AV32" s="248">
        <v>78.0</v>
      </c>
      <c r="AW32" s="248">
        <v>80.0</v>
      </c>
      <c r="AX32" s="249">
        <f t="shared" si="29"/>
        <v>78</v>
      </c>
      <c r="AY32" s="276">
        <v>76.0</v>
      </c>
      <c r="AZ32" s="225">
        <v>80.0</v>
      </c>
      <c r="BA32" s="225">
        <v>80.0</v>
      </c>
      <c r="BB32" s="275"/>
      <c r="BC32" s="250">
        <f t="shared" si="30"/>
        <v>80</v>
      </c>
      <c r="BD32" s="225">
        <v>80.0</v>
      </c>
      <c r="BE32" s="283">
        <v>88.0</v>
      </c>
      <c r="BF32" s="285">
        <v>80.0</v>
      </c>
      <c r="BG32" s="285">
        <v>80.0</v>
      </c>
      <c r="BH32" s="254">
        <f t="shared" si="31"/>
        <v>82.66666667</v>
      </c>
      <c r="BI32" s="286">
        <v>83.0</v>
      </c>
      <c r="BJ32" s="283">
        <v>83.0</v>
      </c>
      <c r="BK32" s="285">
        <v>80.0</v>
      </c>
      <c r="BL32" s="285">
        <v>80.0</v>
      </c>
      <c r="BM32" s="254">
        <f t="shared" si="32"/>
        <v>81</v>
      </c>
      <c r="BN32" s="287">
        <v>80.0</v>
      </c>
      <c r="BO32" s="283">
        <v>78.0</v>
      </c>
      <c r="BP32" s="285">
        <v>78.0</v>
      </c>
      <c r="BQ32" s="285">
        <v>78.0</v>
      </c>
      <c r="BR32" s="254">
        <f t="shared" si="33"/>
        <v>78</v>
      </c>
      <c r="BS32" s="286">
        <v>77.0</v>
      </c>
      <c r="BT32" s="272"/>
      <c r="BU32" s="275"/>
      <c r="BV32" s="275"/>
      <c r="BW32" s="266" t="str">
        <f t="shared" si="34"/>
        <v/>
      </c>
      <c r="BX32" s="276"/>
      <c r="BY32" s="272"/>
      <c r="BZ32" s="275"/>
      <c r="CA32" s="275"/>
      <c r="CB32" s="266" t="str">
        <f t="shared" si="35"/>
        <v/>
      </c>
      <c r="CC32" s="276"/>
      <c r="CD32" s="272"/>
      <c r="CE32" s="275"/>
      <c r="CF32" s="275"/>
      <c r="CG32" s="269" t="str">
        <f t="shared" si="36"/>
        <v/>
      </c>
      <c r="CH32" s="276"/>
    </row>
    <row r="33" ht="15.75" customHeight="1">
      <c r="A33" s="115">
        <f>IFERROR(__xludf.DUMMYFUNCTION("""COMPUTED_VALUE"""),29.0)</f>
        <v>29</v>
      </c>
      <c r="B33" s="119" t="str">
        <f>IFERROR(__xludf.DUMMYFUNCTION("""COMPUTED_VALUE"""),"2526100442")</f>
        <v>2526100442</v>
      </c>
      <c r="C33" s="119" t="str">
        <f>IFERROR(__xludf.DUMMYFUNCTION("""COMPUTED_VALUE"""),"0093764470")</f>
        <v>0093764470</v>
      </c>
      <c r="D33" s="122" t="str">
        <f>IFERROR(__xludf.DUMMYFUNCTION("""COMPUTED_VALUE"""),"MUHAMMAD HADAD AT'TOILLAH")</f>
        <v>MUHAMMAD HADAD AT'TOILLAH</v>
      </c>
      <c r="E33" s="119" t="str">
        <f>IFERROR(__xludf.DUMMYFUNCTION("""COMPUTED_VALUE"""),"X TO 4")</f>
        <v>X TO 4</v>
      </c>
      <c r="F33" s="119" t="s">
        <v>220</v>
      </c>
      <c r="G33" s="225">
        <v>78.0</v>
      </c>
      <c r="H33" s="226">
        <v>79.0</v>
      </c>
      <c r="I33" s="226"/>
      <c r="J33" s="230">
        <f t="shared" si="19"/>
        <v>78.5</v>
      </c>
      <c r="K33" s="232"/>
      <c r="L33" s="225">
        <v>85.0</v>
      </c>
      <c r="M33" s="226">
        <v>80.0</v>
      </c>
      <c r="N33" s="226"/>
      <c r="O33" s="233">
        <f t="shared" si="20"/>
        <v>82.5</v>
      </c>
      <c r="P33" s="232">
        <v>80.0</v>
      </c>
      <c r="Q33" s="225">
        <v>78.0</v>
      </c>
      <c r="R33" s="226">
        <v>80.0</v>
      </c>
      <c r="S33" s="226">
        <v>85.0</v>
      </c>
      <c r="T33" s="235">
        <f t="shared" si="21"/>
        <v>81</v>
      </c>
      <c r="U33" s="232">
        <v>80.0</v>
      </c>
      <c r="V33" s="225">
        <v>75.0</v>
      </c>
      <c r="W33" s="226">
        <v>90.0</v>
      </c>
      <c r="X33" s="226"/>
      <c r="Y33" s="236">
        <f t="shared" si="22"/>
        <v>82.5</v>
      </c>
      <c r="Z33" s="232">
        <v>80.0</v>
      </c>
      <c r="AA33" s="225">
        <v>83.0</v>
      </c>
      <c r="AB33" s="226">
        <v>81.0</v>
      </c>
      <c r="AC33" s="226">
        <v>82.0</v>
      </c>
      <c r="AD33" s="238">
        <f t="shared" si="23"/>
        <v>82</v>
      </c>
      <c r="AE33" s="232">
        <v>78.0</v>
      </c>
      <c r="AF33" s="240">
        <v>90.0</v>
      </c>
      <c r="AG33" s="240">
        <v>90.0</v>
      </c>
      <c r="AH33" s="240">
        <v>90.0</v>
      </c>
      <c r="AI33" s="239">
        <f t="shared" si="24"/>
        <v>90</v>
      </c>
      <c r="AJ33" s="240">
        <v>90.0</v>
      </c>
      <c r="AK33" s="245">
        <v>83.0</v>
      </c>
      <c r="AL33" s="245">
        <v>82.0</v>
      </c>
      <c r="AM33" s="245">
        <v>81.0</v>
      </c>
      <c r="AN33" s="243">
        <f t="shared" si="25"/>
        <v>82</v>
      </c>
      <c r="AO33" s="246">
        <v>78.0</v>
      </c>
      <c r="AP33" s="225">
        <v>72.0</v>
      </c>
      <c r="AQ33" s="226">
        <f t="shared" ref="AQ33:AR33" si="62">AP33</f>
        <v>72</v>
      </c>
      <c r="AR33" s="226">
        <f t="shared" si="62"/>
        <v>72</v>
      </c>
      <c r="AS33" s="247">
        <f t="shared" si="27"/>
        <v>72</v>
      </c>
      <c r="AT33" s="232">
        <f t="shared" si="28"/>
        <v>72</v>
      </c>
      <c r="AU33" s="248">
        <v>74.0</v>
      </c>
      <c r="AV33" s="248">
        <v>76.0</v>
      </c>
      <c r="AW33" s="248">
        <v>78.0</v>
      </c>
      <c r="AX33" s="249">
        <f t="shared" si="29"/>
        <v>76</v>
      </c>
      <c r="AY33" s="232">
        <v>74.0</v>
      </c>
      <c r="AZ33" s="272">
        <v>80.0</v>
      </c>
      <c r="BA33" s="272">
        <v>80.0</v>
      </c>
      <c r="BB33" s="226"/>
      <c r="BC33" s="250">
        <f t="shared" si="30"/>
        <v>80</v>
      </c>
      <c r="BD33" s="272">
        <v>80.0</v>
      </c>
      <c r="BE33" s="251">
        <v>87.0</v>
      </c>
      <c r="BF33" s="252">
        <v>78.0</v>
      </c>
      <c r="BG33" s="252">
        <v>80.0</v>
      </c>
      <c r="BH33" s="254">
        <f t="shared" si="31"/>
        <v>81.66666667</v>
      </c>
      <c r="BI33" s="258">
        <v>83.0</v>
      </c>
      <c r="BJ33" s="251">
        <v>85.0</v>
      </c>
      <c r="BK33" s="252">
        <v>80.0</v>
      </c>
      <c r="BL33" s="252">
        <v>80.0</v>
      </c>
      <c r="BM33" s="254">
        <f t="shared" si="32"/>
        <v>81.66666667</v>
      </c>
      <c r="BN33" s="262">
        <v>80.0</v>
      </c>
      <c r="BO33" s="251">
        <v>77.0</v>
      </c>
      <c r="BP33" s="252">
        <v>78.0</v>
      </c>
      <c r="BQ33" s="252">
        <v>78.0</v>
      </c>
      <c r="BR33" s="254">
        <f t="shared" si="33"/>
        <v>77.66666667</v>
      </c>
      <c r="BS33" s="258">
        <v>77.0</v>
      </c>
      <c r="BT33" s="225"/>
      <c r="BU33" s="226"/>
      <c r="BV33" s="226"/>
      <c r="BW33" s="266" t="str">
        <f t="shared" si="34"/>
        <v/>
      </c>
      <c r="BX33" s="232"/>
      <c r="BY33" s="225"/>
      <c r="BZ33" s="226"/>
      <c r="CA33" s="226"/>
      <c r="CB33" s="266" t="str">
        <f t="shared" si="35"/>
        <v/>
      </c>
      <c r="CC33" s="232"/>
      <c r="CD33" s="225"/>
      <c r="CE33" s="226"/>
      <c r="CF33" s="226"/>
      <c r="CG33" s="269" t="str">
        <f t="shared" si="36"/>
        <v/>
      </c>
      <c r="CH33" s="232"/>
    </row>
    <row r="34" ht="15.75" customHeight="1">
      <c r="A34" s="189">
        <f>IFERROR(__xludf.DUMMYFUNCTION("""COMPUTED_VALUE"""),30.0)</f>
        <v>30</v>
      </c>
      <c r="B34" s="193" t="str">
        <f>IFERROR(__xludf.DUMMYFUNCTION("""COMPUTED_VALUE"""),"2526100443")</f>
        <v>2526100443</v>
      </c>
      <c r="C34" s="193" t="str">
        <f>IFERROR(__xludf.DUMMYFUNCTION("""COMPUTED_VALUE"""),"0092995954")</f>
        <v>0092995954</v>
      </c>
      <c r="D34" s="195" t="str">
        <f>IFERROR(__xludf.DUMMYFUNCTION("""COMPUTED_VALUE"""),"MUHAMMAD ILHAM")</f>
        <v>MUHAMMAD ILHAM</v>
      </c>
      <c r="E34" s="193" t="str">
        <f>IFERROR(__xludf.DUMMYFUNCTION("""COMPUTED_VALUE"""),"X TO 4")</f>
        <v>X TO 4</v>
      </c>
      <c r="F34" s="193" t="s">
        <v>220</v>
      </c>
      <c r="G34" s="272">
        <v>80.0</v>
      </c>
      <c r="H34" s="275">
        <v>81.0</v>
      </c>
      <c r="I34" s="275"/>
      <c r="J34" s="230">
        <f t="shared" si="19"/>
        <v>80.5</v>
      </c>
      <c r="K34" s="276">
        <v>80.0</v>
      </c>
      <c r="L34" s="272">
        <v>85.0</v>
      </c>
      <c r="M34" s="275">
        <v>80.0</v>
      </c>
      <c r="N34" s="275"/>
      <c r="O34" s="233">
        <f t="shared" si="20"/>
        <v>82.5</v>
      </c>
      <c r="P34" s="276">
        <v>82.0</v>
      </c>
      <c r="Q34" s="272">
        <v>78.0</v>
      </c>
      <c r="R34" s="275">
        <v>80.0</v>
      </c>
      <c r="S34" s="275">
        <v>80.0</v>
      </c>
      <c r="T34" s="235">
        <f t="shared" si="21"/>
        <v>79.33333333</v>
      </c>
      <c r="U34" s="276">
        <v>80.0</v>
      </c>
      <c r="V34" s="272">
        <v>80.0</v>
      </c>
      <c r="W34" s="275">
        <v>91.0</v>
      </c>
      <c r="X34" s="275"/>
      <c r="Y34" s="236">
        <f t="shared" si="22"/>
        <v>85.5</v>
      </c>
      <c r="Z34" s="276">
        <v>80.0</v>
      </c>
      <c r="AA34" s="272">
        <v>70.0</v>
      </c>
      <c r="AB34" s="275">
        <v>68.0</v>
      </c>
      <c r="AC34" s="275">
        <v>69.0</v>
      </c>
      <c r="AD34" s="238">
        <f t="shared" si="23"/>
        <v>69</v>
      </c>
      <c r="AE34" s="276">
        <v>65.0</v>
      </c>
      <c r="AF34" s="240">
        <v>90.0</v>
      </c>
      <c r="AG34" s="240">
        <v>90.0</v>
      </c>
      <c r="AH34" s="240">
        <v>89.0</v>
      </c>
      <c r="AI34" s="239">
        <f t="shared" si="24"/>
        <v>89.66666667</v>
      </c>
      <c r="AJ34" s="240">
        <v>90.0</v>
      </c>
      <c r="AK34" s="290">
        <v>70.0</v>
      </c>
      <c r="AL34" s="290">
        <v>0.0</v>
      </c>
      <c r="AM34" s="290">
        <v>0.0</v>
      </c>
      <c r="AN34" s="243">
        <f t="shared" si="25"/>
        <v>23.33333333</v>
      </c>
      <c r="AO34" s="291">
        <v>20.0</v>
      </c>
      <c r="AP34" s="272">
        <v>72.0</v>
      </c>
      <c r="AQ34" s="226">
        <f t="shared" ref="AQ34:AR34" si="63">AP34</f>
        <v>72</v>
      </c>
      <c r="AR34" s="226">
        <f t="shared" si="63"/>
        <v>72</v>
      </c>
      <c r="AS34" s="247">
        <f t="shared" si="27"/>
        <v>72</v>
      </c>
      <c r="AT34" s="232">
        <f t="shared" si="28"/>
        <v>72</v>
      </c>
      <c r="AU34" s="248">
        <v>72.0</v>
      </c>
      <c r="AV34" s="248">
        <v>72.0</v>
      </c>
      <c r="AW34" s="248">
        <v>72.0</v>
      </c>
      <c r="AX34" s="249">
        <f t="shared" si="29"/>
        <v>72</v>
      </c>
      <c r="AY34" s="276">
        <v>72.0</v>
      </c>
      <c r="AZ34" s="225">
        <v>80.0</v>
      </c>
      <c r="BA34" s="225">
        <v>80.0</v>
      </c>
      <c r="BB34" s="275"/>
      <c r="BC34" s="250">
        <f t="shared" si="30"/>
        <v>80</v>
      </c>
      <c r="BD34" s="225">
        <v>80.0</v>
      </c>
      <c r="BE34" s="283">
        <v>85.0</v>
      </c>
      <c r="BF34" s="359">
        <v>0.0</v>
      </c>
      <c r="BG34" s="285">
        <v>0.0</v>
      </c>
      <c r="BH34" s="360">
        <f t="shared" si="31"/>
        <v>28.33333333</v>
      </c>
      <c r="BI34" s="286">
        <v>80.0</v>
      </c>
      <c r="BJ34" s="283">
        <v>83.0</v>
      </c>
      <c r="BK34" s="359">
        <v>80.0</v>
      </c>
      <c r="BL34" s="285">
        <v>80.0</v>
      </c>
      <c r="BM34" s="360">
        <f t="shared" si="32"/>
        <v>81</v>
      </c>
      <c r="BN34" s="287">
        <v>80.0</v>
      </c>
      <c r="BO34" s="283">
        <v>79.0</v>
      </c>
      <c r="BP34" s="359">
        <v>80.0</v>
      </c>
      <c r="BQ34" s="285">
        <v>79.0</v>
      </c>
      <c r="BR34" s="360">
        <f t="shared" si="33"/>
        <v>79.33333333</v>
      </c>
      <c r="BS34" s="286">
        <v>79.0</v>
      </c>
      <c r="BT34" s="272"/>
      <c r="BU34" s="275"/>
      <c r="BV34" s="275"/>
      <c r="BW34" s="266" t="str">
        <f t="shared" si="34"/>
        <v/>
      </c>
      <c r="BX34" s="276"/>
      <c r="BY34" s="272"/>
      <c r="BZ34" s="275"/>
      <c r="CA34" s="275"/>
      <c r="CB34" s="266" t="str">
        <f t="shared" si="35"/>
        <v/>
      </c>
      <c r="CC34" s="276"/>
      <c r="CD34" s="272"/>
      <c r="CE34" s="275"/>
      <c r="CF34" s="275"/>
      <c r="CG34" s="269" t="str">
        <f t="shared" si="36"/>
        <v/>
      </c>
      <c r="CH34" s="276"/>
    </row>
    <row r="35" ht="15.75" customHeight="1">
      <c r="A35" s="115">
        <f>IFERROR(__xludf.DUMMYFUNCTION("""COMPUTED_VALUE"""),31.0)</f>
        <v>31</v>
      </c>
      <c r="B35" s="119" t="str">
        <f>IFERROR(__xludf.DUMMYFUNCTION("""COMPUTED_VALUE"""),"2526100444")</f>
        <v>2526100444</v>
      </c>
      <c r="C35" s="119" t="str">
        <f>IFERROR(__xludf.DUMMYFUNCTION("""COMPUTED_VALUE"""),"0091433917")</f>
        <v>0091433917</v>
      </c>
      <c r="D35" s="122" t="str">
        <f>IFERROR(__xludf.DUMMYFUNCTION("""COMPUTED_VALUE"""),"M. IRPAN SAEPUL IBRAHIM ")</f>
        <v>M. IRPAN SAEPUL IBRAHIM </v>
      </c>
      <c r="E35" s="119" t="str">
        <f>IFERROR(__xludf.DUMMYFUNCTION("""COMPUTED_VALUE"""),"X TO 4")</f>
        <v>X TO 4</v>
      </c>
      <c r="F35" s="119" t="s">
        <v>220</v>
      </c>
      <c r="G35" s="225">
        <v>76.0</v>
      </c>
      <c r="H35" s="226">
        <v>77.0</v>
      </c>
      <c r="I35" s="226"/>
      <c r="J35" s="230">
        <f t="shared" si="19"/>
        <v>76.5</v>
      </c>
      <c r="K35" s="232"/>
      <c r="L35" s="225"/>
      <c r="M35" s="226"/>
      <c r="N35" s="226"/>
      <c r="O35" s="233" t="str">
        <f t="shared" si="20"/>
        <v/>
      </c>
      <c r="P35" s="232"/>
      <c r="Q35" s="225">
        <v>75.0</v>
      </c>
      <c r="R35" s="226">
        <v>65.0</v>
      </c>
      <c r="S35" s="226">
        <v>65.0</v>
      </c>
      <c r="T35" s="235">
        <f t="shared" si="21"/>
        <v>68.33333333</v>
      </c>
      <c r="U35" s="232">
        <v>0.0</v>
      </c>
      <c r="V35" s="225">
        <v>75.0</v>
      </c>
      <c r="W35" s="226">
        <v>75.0</v>
      </c>
      <c r="X35" s="226"/>
      <c r="Y35" s="236">
        <f t="shared" si="22"/>
        <v>75</v>
      </c>
      <c r="Z35" s="232">
        <v>80.0</v>
      </c>
      <c r="AA35" s="225">
        <v>75.0</v>
      </c>
      <c r="AB35" s="226">
        <v>73.0</v>
      </c>
      <c r="AC35" s="226">
        <v>74.0</v>
      </c>
      <c r="AD35" s="238">
        <f t="shared" si="23"/>
        <v>74</v>
      </c>
      <c r="AE35" s="232">
        <v>70.0</v>
      </c>
      <c r="AF35" s="240">
        <v>90.0</v>
      </c>
      <c r="AG35" s="361">
        <v>90.0</v>
      </c>
      <c r="AH35" s="240">
        <v>90.0</v>
      </c>
      <c r="AI35" s="239">
        <f t="shared" si="24"/>
        <v>90</v>
      </c>
      <c r="AJ35" s="240">
        <v>90.0</v>
      </c>
      <c r="AK35" s="245">
        <v>75.0</v>
      </c>
      <c r="AL35" s="245">
        <v>72.0</v>
      </c>
      <c r="AM35" s="245">
        <v>71.0</v>
      </c>
      <c r="AN35" s="243">
        <f t="shared" si="25"/>
        <v>72.66666667</v>
      </c>
      <c r="AO35" s="246">
        <v>70.0</v>
      </c>
      <c r="AP35" s="225">
        <v>72.0</v>
      </c>
      <c r="AQ35" s="226">
        <f t="shared" ref="AQ35:AR35" si="64">AP35</f>
        <v>72</v>
      </c>
      <c r="AR35" s="226">
        <f t="shared" si="64"/>
        <v>72</v>
      </c>
      <c r="AS35" s="247">
        <f t="shared" si="27"/>
        <v>72</v>
      </c>
      <c r="AT35" s="232">
        <f t="shared" si="28"/>
        <v>72</v>
      </c>
      <c r="AU35" s="248">
        <v>74.0</v>
      </c>
      <c r="AV35" s="248">
        <v>76.0</v>
      </c>
      <c r="AW35" s="248">
        <v>76.0</v>
      </c>
      <c r="AX35" s="249">
        <f t="shared" si="29"/>
        <v>75.33333333</v>
      </c>
      <c r="AY35" s="232">
        <v>72.0</v>
      </c>
      <c r="AZ35" s="225">
        <v>80.0</v>
      </c>
      <c r="BA35" s="225">
        <v>80.0</v>
      </c>
      <c r="BB35" s="226"/>
      <c r="BC35" s="250">
        <f t="shared" si="30"/>
        <v>80</v>
      </c>
      <c r="BD35" s="225">
        <v>80.0</v>
      </c>
      <c r="BE35" s="251">
        <v>80.0</v>
      </c>
      <c r="BF35" s="252">
        <v>0.0</v>
      </c>
      <c r="BG35" s="252">
        <v>0.0</v>
      </c>
      <c r="BH35" s="254">
        <f t="shared" si="31"/>
        <v>26.66666667</v>
      </c>
      <c r="BI35" s="258">
        <v>80.0</v>
      </c>
      <c r="BJ35" s="251">
        <v>80.0</v>
      </c>
      <c r="BK35" s="252">
        <v>80.0</v>
      </c>
      <c r="BL35" s="252">
        <v>80.0</v>
      </c>
      <c r="BM35" s="254">
        <f t="shared" si="32"/>
        <v>80</v>
      </c>
      <c r="BN35" s="262">
        <v>80.0</v>
      </c>
      <c r="BO35" s="251">
        <v>77.0</v>
      </c>
      <c r="BP35" s="252">
        <v>78.0</v>
      </c>
      <c r="BQ35" s="252">
        <v>77.0</v>
      </c>
      <c r="BR35" s="254">
        <f t="shared" si="33"/>
        <v>77.33333333</v>
      </c>
      <c r="BS35" s="258">
        <v>77.0</v>
      </c>
      <c r="BT35" s="225"/>
      <c r="BU35" s="226"/>
      <c r="BV35" s="226"/>
      <c r="BW35" s="266" t="str">
        <f t="shared" si="34"/>
        <v/>
      </c>
      <c r="BX35" s="232"/>
      <c r="BY35" s="225"/>
      <c r="BZ35" s="226"/>
      <c r="CA35" s="226"/>
      <c r="CB35" s="266" t="str">
        <f t="shared" si="35"/>
        <v/>
      </c>
      <c r="CC35" s="232"/>
      <c r="CD35" s="225"/>
      <c r="CE35" s="226"/>
      <c r="CF35" s="226"/>
      <c r="CG35" s="269" t="str">
        <f t="shared" si="36"/>
        <v/>
      </c>
      <c r="CH35" s="232"/>
    </row>
    <row r="36" ht="15.75" customHeight="1">
      <c r="A36" s="189">
        <f>IFERROR(__xludf.DUMMYFUNCTION("""COMPUTED_VALUE"""),32.0)</f>
        <v>32</v>
      </c>
      <c r="B36" s="193" t="str">
        <f>IFERROR(__xludf.DUMMYFUNCTION("""COMPUTED_VALUE"""),"2526100445")</f>
        <v>2526100445</v>
      </c>
      <c r="C36" s="193" t="str">
        <f>IFERROR(__xludf.DUMMYFUNCTION("""COMPUTED_VALUE"""),"0093505472")</f>
        <v>0093505472</v>
      </c>
      <c r="D36" s="195" t="str">
        <f>IFERROR(__xludf.DUMMYFUNCTION("""COMPUTED_VALUE"""),"MUHAMMAD NAZIL SIBTHURRIDHO")</f>
        <v>MUHAMMAD NAZIL SIBTHURRIDHO</v>
      </c>
      <c r="E36" s="193" t="str">
        <f>IFERROR(__xludf.DUMMYFUNCTION("""COMPUTED_VALUE"""),"X TO 4")</f>
        <v>X TO 4</v>
      </c>
      <c r="F36" s="193" t="s">
        <v>220</v>
      </c>
      <c r="G36" s="272">
        <v>80.0</v>
      </c>
      <c r="H36" s="275">
        <v>82.0</v>
      </c>
      <c r="I36" s="275"/>
      <c r="J36" s="230">
        <f t="shared" si="19"/>
        <v>81</v>
      </c>
      <c r="K36" s="276">
        <v>80.0</v>
      </c>
      <c r="L36" s="272"/>
      <c r="M36" s="275"/>
      <c r="N36" s="275"/>
      <c r="O36" s="233" t="str">
        <f t="shared" si="20"/>
        <v/>
      </c>
      <c r="P36" s="276"/>
      <c r="Q36" s="272">
        <v>76.0</v>
      </c>
      <c r="R36" s="275">
        <v>78.0</v>
      </c>
      <c r="S36" s="275">
        <v>60.0</v>
      </c>
      <c r="T36" s="235">
        <f t="shared" si="21"/>
        <v>71.33333333</v>
      </c>
      <c r="U36" s="276">
        <v>76.0</v>
      </c>
      <c r="V36" s="272">
        <v>90.0</v>
      </c>
      <c r="W36" s="275">
        <v>90.0</v>
      </c>
      <c r="X36" s="275"/>
      <c r="Y36" s="236">
        <f t="shared" si="22"/>
        <v>90</v>
      </c>
      <c r="Z36" s="276">
        <v>87.0</v>
      </c>
      <c r="AA36" s="272">
        <v>50.0</v>
      </c>
      <c r="AB36" s="275">
        <v>48.0</v>
      </c>
      <c r="AC36" s="275">
        <v>49.0</v>
      </c>
      <c r="AD36" s="238">
        <f t="shared" si="23"/>
        <v>49</v>
      </c>
      <c r="AE36" s="276">
        <v>45.0</v>
      </c>
      <c r="AF36" s="240">
        <v>90.0</v>
      </c>
      <c r="AG36" s="361">
        <v>89.0</v>
      </c>
      <c r="AH36" s="240">
        <v>89.0</v>
      </c>
      <c r="AI36" s="239">
        <f t="shared" si="24"/>
        <v>89.33333333</v>
      </c>
      <c r="AJ36" s="240">
        <v>89.0</v>
      </c>
      <c r="AK36" s="290">
        <v>50.0</v>
      </c>
      <c r="AL36" s="290">
        <v>0.0</v>
      </c>
      <c r="AM36" s="290">
        <v>0.0</v>
      </c>
      <c r="AN36" s="243">
        <f t="shared" si="25"/>
        <v>16.66666667</v>
      </c>
      <c r="AO36" s="291">
        <v>20.0</v>
      </c>
      <c r="AP36" s="272">
        <v>72.0</v>
      </c>
      <c r="AQ36" s="226">
        <f t="shared" ref="AQ36:AR36" si="65">AP36</f>
        <v>72</v>
      </c>
      <c r="AR36" s="226">
        <f t="shared" si="65"/>
        <v>72</v>
      </c>
      <c r="AS36" s="247">
        <f t="shared" si="27"/>
        <v>72</v>
      </c>
      <c r="AT36" s="232">
        <f t="shared" si="28"/>
        <v>72</v>
      </c>
      <c r="AU36" s="248"/>
      <c r="AV36" s="248"/>
      <c r="AW36" s="248"/>
      <c r="AX36" s="249" t="str">
        <f t="shared" si="29"/>
        <v/>
      </c>
      <c r="AY36" s="276"/>
      <c r="AZ36" s="272">
        <v>80.0</v>
      </c>
      <c r="BA36" s="272">
        <v>80.0</v>
      </c>
      <c r="BB36" s="275"/>
      <c r="BC36" s="250">
        <f t="shared" si="30"/>
        <v>80</v>
      </c>
      <c r="BD36" s="272">
        <v>80.0</v>
      </c>
      <c r="BE36" s="283">
        <v>85.0</v>
      </c>
      <c r="BF36" s="285">
        <v>0.0</v>
      </c>
      <c r="BG36" s="285">
        <v>0.0</v>
      </c>
      <c r="BH36" s="254">
        <f t="shared" si="31"/>
        <v>28.33333333</v>
      </c>
      <c r="BI36" s="286">
        <v>77.0</v>
      </c>
      <c r="BJ36" s="283">
        <v>80.0</v>
      </c>
      <c r="BK36" s="285">
        <v>78.0</v>
      </c>
      <c r="BL36" s="285">
        <v>78.0</v>
      </c>
      <c r="BM36" s="254">
        <f t="shared" si="32"/>
        <v>78.66666667</v>
      </c>
      <c r="BN36" s="287">
        <v>78.0</v>
      </c>
      <c r="BO36" s="283">
        <v>78.0</v>
      </c>
      <c r="BP36" s="285">
        <v>78.0</v>
      </c>
      <c r="BQ36" s="285">
        <v>77.0</v>
      </c>
      <c r="BR36" s="254">
        <f t="shared" si="33"/>
        <v>77.66666667</v>
      </c>
      <c r="BS36" s="286">
        <v>77.0</v>
      </c>
      <c r="BT36" s="272"/>
      <c r="BU36" s="275"/>
      <c r="BV36" s="275"/>
      <c r="BW36" s="266" t="str">
        <f t="shared" si="34"/>
        <v/>
      </c>
      <c r="BX36" s="276"/>
      <c r="BY36" s="272"/>
      <c r="BZ36" s="275"/>
      <c r="CA36" s="275"/>
      <c r="CB36" s="266" t="str">
        <f t="shared" si="35"/>
        <v/>
      </c>
      <c r="CC36" s="276"/>
      <c r="CD36" s="272"/>
      <c r="CE36" s="275"/>
      <c r="CF36" s="275"/>
      <c r="CG36" s="269" t="str">
        <f t="shared" si="36"/>
        <v/>
      </c>
      <c r="CH36" s="276"/>
    </row>
    <row r="37" ht="15.75" customHeight="1">
      <c r="A37" s="115">
        <f>IFERROR(__xludf.DUMMYFUNCTION("""COMPUTED_VALUE"""),33.0)</f>
        <v>33</v>
      </c>
      <c r="B37" s="119" t="str">
        <f>IFERROR(__xludf.DUMMYFUNCTION("""COMPUTED_VALUE"""),"2526100446")</f>
        <v>2526100446</v>
      </c>
      <c r="C37" s="119" t="str">
        <f>IFERROR(__xludf.DUMMYFUNCTION("""COMPUTED_VALUE"""),"0078810983")</f>
        <v>0078810983</v>
      </c>
      <c r="D37" s="122" t="str">
        <f>IFERROR(__xludf.DUMMYFUNCTION("""COMPUTED_VALUE"""),"MUHAMMAD RAGIL")</f>
        <v>MUHAMMAD RAGIL</v>
      </c>
      <c r="E37" s="119" t="str">
        <f>IFERROR(__xludf.DUMMYFUNCTION("""COMPUTED_VALUE"""),"X TO 4")</f>
        <v>X TO 4</v>
      </c>
      <c r="F37" s="119" t="s">
        <v>220</v>
      </c>
      <c r="G37" s="225">
        <v>80.0</v>
      </c>
      <c r="H37" s="226">
        <v>82.0</v>
      </c>
      <c r="I37" s="226"/>
      <c r="J37" s="230">
        <f t="shared" si="19"/>
        <v>81</v>
      </c>
      <c r="K37" s="232">
        <v>80.0</v>
      </c>
      <c r="L37" s="225">
        <v>85.0</v>
      </c>
      <c r="M37" s="226">
        <v>80.0</v>
      </c>
      <c r="N37" s="226"/>
      <c r="O37" s="233">
        <f t="shared" si="20"/>
        <v>82.5</v>
      </c>
      <c r="P37" s="232">
        <v>72.0</v>
      </c>
      <c r="Q37" s="225">
        <v>78.0</v>
      </c>
      <c r="R37" s="226">
        <v>80.0</v>
      </c>
      <c r="S37" s="226">
        <v>80.0</v>
      </c>
      <c r="T37" s="235">
        <f t="shared" si="21"/>
        <v>79.33333333</v>
      </c>
      <c r="U37" s="232">
        <v>85.0</v>
      </c>
      <c r="V37" s="225">
        <v>80.0</v>
      </c>
      <c r="W37" s="226">
        <v>86.0</v>
      </c>
      <c r="X37" s="226"/>
      <c r="Y37" s="236">
        <f t="shared" si="22"/>
        <v>83</v>
      </c>
      <c r="Z37" s="232">
        <v>84.0</v>
      </c>
      <c r="AA37" s="225">
        <v>82.0</v>
      </c>
      <c r="AB37" s="226">
        <v>80.0</v>
      </c>
      <c r="AC37" s="226">
        <v>81.0</v>
      </c>
      <c r="AD37" s="238">
        <f t="shared" si="23"/>
        <v>81</v>
      </c>
      <c r="AE37" s="232">
        <v>77.0</v>
      </c>
      <c r="AF37" s="240">
        <v>90.0</v>
      </c>
      <c r="AG37" s="362">
        <v>89.0</v>
      </c>
      <c r="AH37" s="240">
        <v>90.0</v>
      </c>
      <c r="AI37" s="239">
        <f t="shared" si="24"/>
        <v>89.66666667</v>
      </c>
      <c r="AJ37" s="240">
        <v>90.0</v>
      </c>
      <c r="AK37" s="245">
        <v>82.0</v>
      </c>
      <c r="AL37" s="245">
        <v>83.0</v>
      </c>
      <c r="AM37" s="245">
        <v>79.0</v>
      </c>
      <c r="AN37" s="243">
        <f t="shared" si="25"/>
        <v>81.33333333</v>
      </c>
      <c r="AO37" s="246">
        <v>77.0</v>
      </c>
      <c r="AP37" s="225">
        <v>81.0</v>
      </c>
      <c r="AQ37" s="226">
        <f t="shared" ref="AQ37:AR37" si="66">AP37</f>
        <v>81</v>
      </c>
      <c r="AR37" s="226">
        <f t="shared" si="66"/>
        <v>81</v>
      </c>
      <c r="AS37" s="247">
        <f t="shared" si="27"/>
        <v>81</v>
      </c>
      <c r="AT37" s="232">
        <f t="shared" si="28"/>
        <v>81</v>
      </c>
      <c r="AU37" s="248">
        <v>74.0</v>
      </c>
      <c r="AV37" s="248">
        <v>76.0</v>
      </c>
      <c r="AW37" s="248">
        <v>78.0</v>
      </c>
      <c r="AX37" s="249">
        <f t="shared" si="29"/>
        <v>76</v>
      </c>
      <c r="AY37" s="232">
        <v>75.0</v>
      </c>
      <c r="AZ37" s="225">
        <v>80.0</v>
      </c>
      <c r="BA37" s="225">
        <v>80.0</v>
      </c>
      <c r="BB37" s="226"/>
      <c r="BC37" s="250">
        <f t="shared" si="30"/>
        <v>80</v>
      </c>
      <c r="BD37" s="225">
        <v>80.0</v>
      </c>
      <c r="BE37" s="251">
        <v>80.0</v>
      </c>
      <c r="BF37" s="252">
        <v>0.0</v>
      </c>
      <c r="BG37" s="252">
        <v>0.0</v>
      </c>
      <c r="BH37" s="254">
        <f t="shared" si="31"/>
        <v>26.66666667</v>
      </c>
      <c r="BI37" s="258">
        <v>85.0</v>
      </c>
      <c r="BJ37" s="251">
        <v>82.0</v>
      </c>
      <c r="BK37" s="252">
        <v>80.0</v>
      </c>
      <c r="BL37" s="252">
        <v>80.0</v>
      </c>
      <c r="BM37" s="254">
        <f t="shared" si="32"/>
        <v>80.66666667</v>
      </c>
      <c r="BN37" s="262">
        <v>80.0</v>
      </c>
      <c r="BO37" s="251">
        <v>79.0</v>
      </c>
      <c r="BP37" s="252">
        <v>80.0</v>
      </c>
      <c r="BQ37" s="252">
        <v>79.0</v>
      </c>
      <c r="BR37" s="254">
        <f t="shared" si="33"/>
        <v>79.33333333</v>
      </c>
      <c r="BS37" s="258">
        <v>79.0</v>
      </c>
      <c r="BT37" s="225"/>
      <c r="BU37" s="226"/>
      <c r="BV37" s="226"/>
      <c r="BW37" s="266" t="str">
        <f t="shared" si="34"/>
        <v/>
      </c>
      <c r="BX37" s="232"/>
      <c r="BY37" s="225"/>
      <c r="BZ37" s="226"/>
      <c r="CA37" s="226"/>
      <c r="CB37" s="266" t="str">
        <f t="shared" si="35"/>
        <v/>
      </c>
      <c r="CC37" s="232"/>
      <c r="CD37" s="225"/>
      <c r="CE37" s="226"/>
      <c r="CF37" s="226"/>
      <c r="CG37" s="269" t="str">
        <f t="shared" si="36"/>
        <v/>
      </c>
      <c r="CH37" s="232"/>
    </row>
    <row r="38" ht="15.75" customHeight="1">
      <c r="A38" s="189">
        <f>IFERROR(__xludf.DUMMYFUNCTION("""COMPUTED_VALUE"""),34.0)</f>
        <v>34</v>
      </c>
      <c r="B38" s="193" t="str">
        <f>IFERROR(__xludf.DUMMYFUNCTION("""COMPUTED_VALUE"""),"2526100447")</f>
        <v>2526100447</v>
      </c>
      <c r="C38" s="193" t="str">
        <f>IFERROR(__xludf.DUMMYFUNCTION("""COMPUTED_VALUE"""),"0098041660")</f>
        <v>0098041660</v>
      </c>
      <c r="D38" s="195" t="str">
        <f>IFERROR(__xludf.DUMMYFUNCTION("""COMPUTED_VALUE"""),"NAJMI ERIANA")</f>
        <v>NAJMI ERIANA</v>
      </c>
      <c r="E38" s="193" t="str">
        <f>IFERROR(__xludf.DUMMYFUNCTION("""COMPUTED_VALUE"""),"X TO 4")</f>
        <v>X TO 4</v>
      </c>
      <c r="F38" s="193" t="s">
        <v>220</v>
      </c>
      <c r="G38" s="272">
        <v>80.0</v>
      </c>
      <c r="H38" s="275">
        <v>82.0</v>
      </c>
      <c r="I38" s="275"/>
      <c r="J38" s="230">
        <f t="shared" si="19"/>
        <v>81</v>
      </c>
      <c r="K38" s="276">
        <v>77.0</v>
      </c>
      <c r="L38" s="272">
        <v>85.0</v>
      </c>
      <c r="M38" s="275">
        <v>80.0</v>
      </c>
      <c r="N38" s="275"/>
      <c r="O38" s="233">
        <f t="shared" si="20"/>
        <v>82.5</v>
      </c>
      <c r="P38" s="276">
        <v>84.0</v>
      </c>
      <c r="Q38" s="272">
        <v>78.0</v>
      </c>
      <c r="R38" s="275">
        <v>80.0</v>
      </c>
      <c r="S38" s="275">
        <v>85.0</v>
      </c>
      <c r="T38" s="235">
        <f t="shared" si="21"/>
        <v>81</v>
      </c>
      <c r="U38" s="276">
        <v>85.0</v>
      </c>
      <c r="V38" s="272">
        <v>80.0</v>
      </c>
      <c r="W38" s="275">
        <v>85.0</v>
      </c>
      <c r="X38" s="275"/>
      <c r="Y38" s="236">
        <f t="shared" si="22"/>
        <v>82.5</v>
      </c>
      <c r="Z38" s="276">
        <v>84.0</v>
      </c>
      <c r="AA38" s="272">
        <v>80.0</v>
      </c>
      <c r="AB38" s="275">
        <v>80.0</v>
      </c>
      <c r="AC38" s="275">
        <v>80.0</v>
      </c>
      <c r="AD38" s="238">
        <f t="shared" si="23"/>
        <v>80</v>
      </c>
      <c r="AE38" s="276">
        <v>80.0</v>
      </c>
      <c r="AF38" s="240">
        <v>89.0</v>
      </c>
      <c r="AG38" s="362">
        <v>90.0</v>
      </c>
      <c r="AH38" s="240">
        <v>90.0</v>
      </c>
      <c r="AI38" s="239">
        <f t="shared" si="24"/>
        <v>89.66666667</v>
      </c>
      <c r="AJ38" s="240">
        <v>90.0</v>
      </c>
      <c r="AK38" s="363">
        <v>75.0</v>
      </c>
      <c r="AL38" s="363">
        <v>75.0</v>
      </c>
      <c r="AM38" s="363">
        <v>75.0</v>
      </c>
      <c r="AN38" s="243">
        <f t="shared" si="25"/>
        <v>75</v>
      </c>
      <c r="AO38" s="364">
        <v>75.0</v>
      </c>
      <c r="AP38" s="272">
        <v>81.0</v>
      </c>
      <c r="AQ38" s="226">
        <f t="shared" ref="AQ38:AR38" si="67">AP38</f>
        <v>81</v>
      </c>
      <c r="AR38" s="226">
        <f t="shared" si="67"/>
        <v>81</v>
      </c>
      <c r="AS38" s="247">
        <f t="shared" si="27"/>
        <v>81</v>
      </c>
      <c r="AT38" s="232">
        <f t="shared" si="28"/>
        <v>81</v>
      </c>
      <c r="AU38" s="248">
        <v>74.0</v>
      </c>
      <c r="AV38" s="248">
        <v>76.0</v>
      </c>
      <c r="AW38" s="248">
        <v>80.0</v>
      </c>
      <c r="AX38" s="249">
        <f t="shared" si="29"/>
        <v>76.66666667</v>
      </c>
      <c r="AY38" s="276">
        <v>76.0</v>
      </c>
      <c r="AZ38" s="225">
        <v>80.0</v>
      </c>
      <c r="BA38" s="225">
        <v>80.0</v>
      </c>
      <c r="BB38" s="275"/>
      <c r="BC38" s="250">
        <f t="shared" si="30"/>
        <v>80</v>
      </c>
      <c r="BD38" s="225">
        <v>80.0</v>
      </c>
      <c r="BE38" s="283">
        <v>80.0</v>
      </c>
      <c r="BF38" s="285">
        <v>79.0</v>
      </c>
      <c r="BG38" s="285">
        <v>79.0</v>
      </c>
      <c r="BH38" s="254">
        <f t="shared" si="31"/>
        <v>79.33333333</v>
      </c>
      <c r="BI38" s="286">
        <v>85.0</v>
      </c>
      <c r="BJ38" s="283">
        <v>84.0</v>
      </c>
      <c r="BK38" s="285">
        <v>80.0</v>
      </c>
      <c r="BL38" s="285">
        <v>80.0</v>
      </c>
      <c r="BM38" s="254">
        <f t="shared" si="32"/>
        <v>81.33333333</v>
      </c>
      <c r="BN38" s="287">
        <v>80.0</v>
      </c>
      <c r="BO38" s="283">
        <v>78.0</v>
      </c>
      <c r="BP38" s="285">
        <v>77.0</v>
      </c>
      <c r="BQ38" s="285">
        <v>76.0</v>
      </c>
      <c r="BR38" s="254">
        <f t="shared" si="33"/>
        <v>77</v>
      </c>
      <c r="BS38" s="286">
        <v>78.0</v>
      </c>
      <c r="BT38" s="272"/>
      <c r="BU38" s="275"/>
      <c r="BV38" s="275"/>
      <c r="BW38" s="266" t="str">
        <f t="shared" si="34"/>
        <v/>
      </c>
      <c r="BX38" s="276"/>
      <c r="BY38" s="272"/>
      <c r="BZ38" s="275"/>
      <c r="CA38" s="275"/>
      <c r="CB38" s="266" t="str">
        <f t="shared" si="35"/>
        <v/>
      </c>
      <c r="CC38" s="276"/>
      <c r="CD38" s="272"/>
      <c r="CE38" s="275"/>
      <c r="CF38" s="275"/>
      <c r="CG38" s="269" t="str">
        <f t="shared" si="36"/>
        <v/>
      </c>
      <c r="CH38" s="276"/>
    </row>
    <row r="39" ht="15.75" customHeight="1">
      <c r="A39" s="115">
        <f>IFERROR(__xludf.DUMMYFUNCTION("""COMPUTED_VALUE"""),35.0)</f>
        <v>35</v>
      </c>
      <c r="B39" s="119" t="str">
        <f>IFERROR(__xludf.DUMMYFUNCTION("""COMPUTED_VALUE"""),"2526100448")</f>
        <v>2526100448</v>
      </c>
      <c r="C39" s="119" t="str">
        <f>IFERROR(__xludf.DUMMYFUNCTION("""COMPUTED_VALUE"""),"0094411174")</f>
        <v>0094411174</v>
      </c>
      <c r="D39" s="122" t="str">
        <f>IFERROR(__xludf.DUMMYFUNCTION("""COMPUTED_VALUE"""),"PANO PAIZAL")</f>
        <v>PANO PAIZAL</v>
      </c>
      <c r="E39" s="119" t="str">
        <f>IFERROR(__xludf.DUMMYFUNCTION("""COMPUTED_VALUE"""),"X TO 4")</f>
        <v>X TO 4</v>
      </c>
      <c r="F39" s="119" t="s">
        <v>220</v>
      </c>
      <c r="G39" s="225">
        <v>80.0</v>
      </c>
      <c r="H39" s="226">
        <v>82.0</v>
      </c>
      <c r="I39" s="226"/>
      <c r="J39" s="230">
        <f t="shared" si="19"/>
        <v>81</v>
      </c>
      <c r="K39" s="232">
        <v>77.0</v>
      </c>
      <c r="L39" s="225">
        <v>85.0</v>
      </c>
      <c r="M39" s="226">
        <v>80.0</v>
      </c>
      <c r="N39" s="226"/>
      <c r="O39" s="233">
        <f t="shared" si="20"/>
        <v>82.5</v>
      </c>
      <c r="P39" s="232">
        <v>82.0</v>
      </c>
      <c r="Q39" s="225">
        <v>80.0</v>
      </c>
      <c r="R39" s="226">
        <v>80.0</v>
      </c>
      <c r="S39" s="226">
        <v>80.0</v>
      </c>
      <c r="T39" s="235">
        <f t="shared" si="21"/>
        <v>80</v>
      </c>
      <c r="U39" s="232">
        <v>85.0</v>
      </c>
      <c r="V39" s="225">
        <v>75.0</v>
      </c>
      <c r="W39" s="226">
        <v>96.0</v>
      </c>
      <c r="X39" s="226"/>
      <c r="Y39" s="236">
        <f t="shared" si="22"/>
        <v>85.5</v>
      </c>
      <c r="Z39" s="232">
        <v>88.0</v>
      </c>
      <c r="AA39" s="225">
        <v>82.0</v>
      </c>
      <c r="AB39" s="226">
        <v>80.0</v>
      </c>
      <c r="AC39" s="226">
        <v>81.0</v>
      </c>
      <c r="AD39" s="238">
        <f t="shared" si="23"/>
        <v>81</v>
      </c>
      <c r="AE39" s="232">
        <v>77.0</v>
      </c>
      <c r="AF39" s="240">
        <v>89.0</v>
      </c>
      <c r="AG39" s="362">
        <v>89.0</v>
      </c>
      <c r="AH39" s="240">
        <v>90.0</v>
      </c>
      <c r="AI39" s="239">
        <f t="shared" si="24"/>
        <v>89.33333333</v>
      </c>
      <c r="AJ39" s="240">
        <v>88.0</v>
      </c>
      <c r="AK39" s="245">
        <v>82.0</v>
      </c>
      <c r="AL39" s="245">
        <v>80.0</v>
      </c>
      <c r="AM39" s="245">
        <v>79.0</v>
      </c>
      <c r="AN39" s="243">
        <f t="shared" si="25"/>
        <v>80.33333333</v>
      </c>
      <c r="AO39" s="246">
        <v>74.0</v>
      </c>
      <c r="AP39" s="225">
        <v>75.0</v>
      </c>
      <c r="AQ39" s="226">
        <f t="shared" ref="AQ39:AR39" si="68">AP39</f>
        <v>75</v>
      </c>
      <c r="AR39" s="226">
        <f t="shared" si="68"/>
        <v>75</v>
      </c>
      <c r="AS39" s="247">
        <f t="shared" si="27"/>
        <v>75</v>
      </c>
      <c r="AT39" s="232">
        <f t="shared" si="28"/>
        <v>75</v>
      </c>
      <c r="AU39" s="248">
        <v>72.0</v>
      </c>
      <c r="AV39" s="248">
        <v>73.0</v>
      </c>
      <c r="AW39" s="248">
        <v>73.0</v>
      </c>
      <c r="AX39" s="249">
        <f t="shared" si="29"/>
        <v>72.66666667</v>
      </c>
      <c r="AY39" s="232">
        <v>73.0</v>
      </c>
      <c r="AZ39" s="272">
        <v>80.0</v>
      </c>
      <c r="BA39" s="272">
        <v>80.0</v>
      </c>
      <c r="BB39" s="226"/>
      <c r="BC39" s="250">
        <f t="shared" si="30"/>
        <v>80</v>
      </c>
      <c r="BD39" s="272">
        <v>80.0</v>
      </c>
      <c r="BE39" s="251">
        <v>80.0</v>
      </c>
      <c r="BF39" s="252">
        <v>0.0</v>
      </c>
      <c r="BG39" s="252">
        <v>0.0</v>
      </c>
      <c r="BH39" s="254">
        <f t="shared" si="31"/>
        <v>26.66666667</v>
      </c>
      <c r="BI39" s="258">
        <v>80.0</v>
      </c>
      <c r="BJ39" s="251">
        <v>83.0</v>
      </c>
      <c r="BK39" s="252">
        <v>80.0</v>
      </c>
      <c r="BL39" s="252">
        <v>80.0</v>
      </c>
      <c r="BM39" s="254">
        <f t="shared" si="32"/>
        <v>81</v>
      </c>
      <c r="BN39" s="262">
        <v>80.0</v>
      </c>
      <c r="BO39" s="251">
        <v>78.0</v>
      </c>
      <c r="BP39" s="252">
        <v>77.0</v>
      </c>
      <c r="BQ39" s="252">
        <v>78.0</v>
      </c>
      <c r="BR39" s="254">
        <f t="shared" si="33"/>
        <v>77.66666667</v>
      </c>
      <c r="BS39" s="258">
        <v>78.0</v>
      </c>
      <c r="BT39" s="225"/>
      <c r="BU39" s="226"/>
      <c r="BV39" s="226"/>
      <c r="BW39" s="266" t="str">
        <f t="shared" si="34"/>
        <v/>
      </c>
      <c r="BX39" s="232"/>
      <c r="BY39" s="225"/>
      <c r="BZ39" s="226"/>
      <c r="CA39" s="226"/>
      <c r="CB39" s="266" t="str">
        <f t="shared" si="35"/>
        <v/>
      </c>
      <c r="CC39" s="232"/>
      <c r="CD39" s="225"/>
      <c r="CE39" s="226"/>
      <c r="CF39" s="226"/>
      <c r="CG39" s="269" t="str">
        <f t="shared" si="36"/>
        <v/>
      </c>
      <c r="CH39" s="232"/>
    </row>
    <row r="40" ht="15.75" customHeight="1">
      <c r="A40" s="189">
        <f>IFERROR(__xludf.DUMMYFUNCTION("""COMPUTED_VALUE"""),36.0)</f>
        <v>36</v>
      </c>
      <c r="B40" s="193" t="str">
        <f>IFERROR(__xludf.DUMMYFUNCTION("""COMPUTED_VALUE"""),"2526100449")</f>
        <v>2526100449</v>
      </c>
      <c r="C40" s="193" t="str">
        <f>IFERROR(__xludf.DUMMYFUNCTION("""COMPUTED_VALUE"""),"3104749923")</f>
        <v>3104749923</v>
      </c>
      <c r="D40" s="195" t="str">
        <f>IFERROR(__xludf.DUMMYFUNCTION("""COMPUTED_VALUE"""),"PIRMAN ADRIYANI PUTRA")</f>
        <v>PIRMAN ADRIYANI PUTRA</v>
      </c>
      <c r="E40" s="193" t="str">
        <f>IFERROR(__xludf.DUMMYFUNCTION("""COMPUTED_VALUE"""),"X TO 4")</f>
        <v>X TO 4</v>
      </c>
      <c r="F40" s="193" t="s">
        <v>220</v>
      </c>
      <c r="G40" s="272">
        <v>80.0</v>
      </c>
      <c r="H40" s="275">
        <v>80.0</v>
      </c>
      <c r="I40" s="275"/>
      <c r="J40" s="230">
        <f t="shared" si="19"/>
        <v>80</v>
      </c>
      <c r="K40" s="276">
        <v>77.0</v>
      </c>
      <c r="L40" s="272">
        <v>85.0</v>
      </c>
      <c r="M40" s="275">
        <v>80.0</v>
      </c>
      <c r="N40" s="275"/>
      <c r="O40" s="233">
        <f t="shared" si="20"/>
        <v>82.5</v>
      </c>
      <c r="P40" s="276">
        <v>73.0</v>
      </c>
      <c r="Q40" s="272">
        <v>78.0</v>
      </c>
      <c r="R40" s="275">
        <v>80.0</v>
      </c>
      <c r="S40" s="275">
        <v>80.0</v>
      </c>
      <c r="T40" s="235">
        <f t="shared" si="21"/>
        <v>79.33333333</v>
      </c>
      <c r="U40" s="276">
        <v>85.0</v>
      </c>
      <c r="V40" s="272">
        <v>75.0</v>
      </c>
      <c r="W40" s="275">
        <v>89.0</v>
      </c>
      <c r="X40" s="275"/>
      <c r="Y40" s="236">
        <f t="shared" si="22"/>
        <v>82</v>
      </c>
      <c r="Z40" s="276">
        <v>84.0</v>
      </c>
      <c r="AA40" s="272">
        <v>81.0</v>
      </c>
      <c r="AB40" s="275">
        <v>79.0</v>
      </c>
      <c r="AC40" s="275">
        <v>80.0</v>
      </c>
      <c r="AD40" s="238">
        <f t="shared" si="23"/>
        <v>80</v>
      </c>
      <c r="AE40" s="276">
        <v>76.0</v>
      </c>
      <c r="AF40" s="333">
        <v>89.0</v>
      </c>
      <c r="AG40" s="362">
        <v>90.0</v>
      </c>
      <c r="AH40" s="240">
        <v>90.0</v>
      </c>
      <c r="AI40" s="239">
        <f t="shared" si="24"/>
        <v>89.66666667</v>
      </c>
      <c r="AJ40" s="240">
        <v>89.0</v>
      </c>
      <c r="AK40" s="245">
        <v>81.0</v>
      </c>
      <c r="AL40" s="245">
        <v>80.0</v>
      </c>
      <c r="AM40" s="245">
        <v>79.0</v>
      </c>
      <c r="AN40" s="243">
        <f t="shared" si="25"/>
        <v>80</v>
      </c>
      <c r="AO40" s="246">
        <v>73.0</v>
      </c>
      <c r="AP40" s="272">
        <v>72.0</v>
      </c>
      <c r="AQ40" s="226">
        <f t="shared" ref="AQ40:AR40" si="69">AP40</f>
        <v>72</v>
      </c>
      <c r="AR40" s="226">
        <f t="shared" si="69"/>
        <v>72</v>
      </c>
      <c r="AS40" s="247">
        <f t="shared" si="27"/>
        <v>72</v>
      </c>
      <c r="AT40" s="232">
        <f t="shared" si="28"/>
        <v>72</v>
      </c>
      <c r="AU40" s="248">
        <v>72.0</v>
      </c>
      <c r="AV40" s="248">
        <v>73.0</v>
      </c>
      <c r="AW40" s="248">
        <v>74.0</v>
      </c>
      <c r="AX40" s="249">
        <f t="shared" si="29"/>
        <v>73</v>
      </c>
      <c r="AY40" s="276">
        <v>74.0</v>
      </c>
      <c r="AZ40" s="225">
        <v>80.0</v>
      </c>
      <c r="BA40" s="225">
        <v>80.0</v>
      </c>
      <c r="BB40" s="275"/>
      <c r="BC40" s="250">
        <f t="shared" si="30"/>
        <v>80</v>
      </c>
      <c r="BD40" s="225">
        <v>80.0</v>
      </c>
      <c r="BE40" s="283">
        <v>85.0</v>
      </c>
      <c r="BF40" s="285">
        <v>0.0</v>
      </c>
      <c r="BG40" s="285">
        <v>0.0</v>
      </c>
      <c r="BH40" s="254">
        <f t="shared" si="31"/>
        <v>28.33333333</v>
      </c>
      <c r="BI40" s="286">
        <v>78.0</v>
      </c>
      <c r="BJ40" s="283">
        <v>85.0</v>
      </c>
      <c r="BK40" s="285">
        <v>80.0</v>
      </c>
      <c r="BL40" s="285">
        <v>80.0</v>
      </c>
      <c r="BM40" s="254">
        <f t="shared" si="32"/>
        <v>81.66666667</v>
      </c>
      <c r="BN40" s="287">
        <v>80.0</v>
      </c>
      <c r="BO40" s="283">
        <v>78.0</v>
      </c>
      <c r="BP40" s="285">
        <v>78.0</v>
      </c>
      <c r="BQ40" s="285">
        <v>77.0</v>
      </c>
      <c r="BR40" s="254">
        <f t="shared" si="33"/>
        <v>77.66666667</v>
      </c>
      <c r="BS40" s="286">
        <v>77.0</v>
      </c>
      <c r="BT40" s="272"/>
      <c r="BU40" s="275"/>
      <c r="BV40" s="275"/>
      <c r="BW40" s="266" t="str">
        <f t="shared" si="34"/>
        <v/>
      </c>
      <c r="BX40" s="276"/>
      <c r="BY40" s="272"/>
      <c r="BZ40" s="275"/>
      <c r="CA40" s="275"/>
      <c r="CB40" s="266" t="str">
        <f t="shared" si="35"/>
        <v/>
      </c>
      <c r="CC40" s="276"/>
      <c r="CD40" s="272"/>
      <c r="CE40" s="275"/>
      <c r="CF40" s="275"/>
      <c r="CG40" s="269" t="str">
        <f t="shared" si="36"/>
        <v/>
      </c>
      <c r="CH40" s="276"/>
    </row>
    <row r="41" ht="15.75" customHeight="1">
      <c r="A41" s="115">
        <f>IFERROR(__xludf.DUMMYFUNCTION("""COMPUTED_VALUE"""),37.0)</f>
        <v>37</v>
      </c>
      <c r="B41" s="119" t="str">
        <f>IFERROR(__xludf.DUMMYFUNCTION("""COMPUTED_VALUE"""),"2526100450")</f>
        <v>2526100450</v>
      </c>
      <c r="C41" s="119" t="str">
        <f>IFERROR(__xludf.DUMMYFUNCTION("""COMPUTED_VALUE"""),"0106511353")</f>
        <v>0106511353</v>
      </c>
      <c r="D41" s="122" t="str">
        <f>IFERROR(__xludf.DUMMYFUNCTION("""COMPUTED_VALUE"""),"RAFFA RAMADHAN")</f>
        <v>RAFFA RAMADHAN</v>
      </c>
      <c r="E41" s="119" t="str">
        <f>IFERROR(__xludf.DUMMYFUNCTION("""COMPUTED_VALUE"""),"X TO 4")</f>
        <v>X TO 4</v>
      </c>
      <c r="F41" s="119" t="s">
        <v>220</v>
      </c>
      <c r="G41" s="225">
        <v>80.0</v>
      </c>
      <c r="H41" s="226">
        <v>83.0</v>
      </c>
      <c r="I41" s="226"/>
      <c r="J41" s="230">
        <f t="shared" si="19"/>
        <v>81.5</v>
      </c>
      <c r="K41" s="232">
        <v>80.0</v>
      </c>
      <c r="L41" s="225">
        <v>85.0</v>
      </c>
      <c r="M41" s="226">
        <v>80.0</v>
      </c>
      <c r="N41" s="226"/>
      <c r="O41" s="233">
        <f t="shared" si="20"/>
        <v>82.5</v>
      </c>
      <c r="P41" s="232">
        <v>83.0</v>
      </c>
      <c r="Q41" s="225">
        <v>78.0</v>
      </c>
      <c r="R41" s="226">
        <v>87.0</v>
      </c>
      <c r="S41" s="226">
        <v>85.0</v>
      </c>
      <c r="T41" s="235">
        <f t="shared" si="21"/>
        <v>83.33333333</v>
      </c>
      <c r="U41" s="232">
        <v>86.0</v>
      </c>
      <c r="V41" s="225">
        <v>95.0</v>
      </c>
      <c r="W41" s="226">
        <v>96.0</v>
      </c>
      <c r="X41" s="226"/>
      <c r="Y41" s="236">
        <f t="shared" si="22"/>
        <v>95.5</v>
      </c>
      <c r="Z41" s="232">
        <v>84.0</v>
      </c>
      <c r="AA41" s="225">
        <v>88.0</v>
      </c>
      <c r="AB41" s="226">
        <v>86.0</v>
      </c>
      <c r="AC41" s="226">
        <v>87.0</v>
      </c>
      <c r="AD41" s="238">
        <f t="shared" si="23"/>
        <v>87</v>
      </c>
      <c r="AE41" s="232">
        <v>83.0</v>
      </c>
      <c r="AF41" s="240">
        <v>88.0</v>
      </c>
      <c r="AG41" s="362">
        <v>89.0</v>
      </c>
      <c r="AH41" s="240">
        <v>90.0</v>
      </c>
      <c r="AI41" s="239">
        <f t="shared" si="24"/>
        <v>89</v>
      </c>
      <c r="AJ41" s="362">
        <v>89.0</v>
      </c>
      <c r="AK41" s="245">
        <v>88.0</v>
      </c>
      <c r="AL41" s="245">
        <v>87.0</v>
      </c>
      <c r="AM41" s="245">
        <v>88.0</v>
      </c>
      <c r="AN41" s="243">
        <f t="shared" si="25"/>
        <v>87.66666667</v>
      </c>
      <c r="AO41" s="246">
        <v>88.0</v>
      </c>
      <c r="AP41" s="225">
        <v>80.0</v>
      </c>
      <c r="AQ41" s="226">
        <f t="shared" ref="AQ41:AR41" si="70">AP41</f>
        <v>80</v>
      </c>
      <c r="AR41" s="226">
        <f t="shared" si="70"/>
        <v>80</v>
      </c>
      <c r="AS41" s="247">
        <f t="shared" si="27"/>
        <v>80</v>
      </c>
      <c r="AT41" s="232">
        <f t="shared" si="28"/>
        <v>80</v>
      </c>
      <c r="AU41" s="248">
        <v>82.0</v>
      </c>
      <c r="AV41" s="248">
        <v>82.0</v>
      </c>
      <c r="AW41" s="248">
        <v>82.0</v>
      </c>
      <c r="AX41" s="249">
        <f t="shared" si="29"/>
        <v>82</v>
      </c>
      <c r="AY41" s="232">
        <v>84.0</v>
      </c>
      <c r="AZ41" s="225">
        <v>80.0</v>
      </c>
      <c r="BA41" s="225">
        <v>80.0</v>
      </c>
      <c r="BB41" s="226"/>
      <c r="BC41" s="250">
        <f t="shared" si="30"/>
        <v>80</v>
      </c>
      <c r="BD41" s="225">
        <v>80.0</v>
      </c>
      <c r="BE41" s="251">
        <v>85.0</v>
      </c>
      <c r="BF41" s="252">
        <v>78.0</v>
      </c>
      <c r="BG41" s="252">
        <v>80.0</v>
      </c>
      <c r="BH41" s="254">
        <f t="shared" si="31"/>
        <v>81</v>
      </c>
      <c r="BI41" s="258">
        <v>85.0</v>
      </c>
      <c r="BJ41" s="251">
        <v>85.0</v>
      </c>
      <c r="BK41" s="252">
        <v>80.0</v>
      </c>
      <c r="BL41" s="252">
        <v>80.0</v>
      </c>
      <c r="BM41" s="254">
        <f t="shared" si="32"/>
        <v>81.66666667</v>
      </c>
      <c r="BN41" s="262">
        <v>80.0</v>
      </c>
      <c r="BO41" s="251">
        <v>80.0</v>
      </c>
      <c r="BP41" s="252">
        <v>79.0</v>
      </c>
      <c r="BQ41" s="252">
        <v>79.0</v>
      </c>
      <c r="BR41" s="254">
        <f t="shared" si="33"/>
        <v>79.33333333</v>
      </c>
      <c r="BS41" s="258">
        <v>80.0</v>
      </c>
      <c r="BT41" s="225"/>
      <c r="BU41" s="226"/>
      <c r="BV41" s="226"/>
      <c r="BW41" s="266" t="str">
        <f t="shared" si="34"/>
        <v/>
      </c>
      <c r="BX41" s="232"/>
      <c r="BY41" s="225"/>
      <c r="BZ41" s="226"/>
      <c r="CA41" s="226"/>
      <c r="CB41" s="266" t="str">
        <f t="shared" si="35"/>
        <v/>
      </c>
      <c r="CC41" s="232"/>
      <c r="CD41" s="225"/>
      <c r="CE41" s="226"/>
      <c r="CF41" s="226"/>
      <c r="CG41" s="269" t="str">
        <f t="shared" si="36"/>
        <v/>
      </c>
      <c r="CH41" s="232"/>
    </row>
    <row r="42" ht="15.75" customHeight="1">
      <c r="A42" s="189">
        <f>IFERROR(__xludf.DUMMYFUNCTION("""COMPUTED_VALUE"""),38.0)</f>
        <v>38</v>
      </c>
      <c r="B42" s="193" t="str">
        <f>IFERROR(__xludf.DUMMYFUNCTION("""COMPUTED_VALUE"""),"2526100451")</f>
        <v>2526100451</v>
      </c>
      <c r="C42" s="193" t="str">
        <f>IFERROR(__xludf.DUMMYFUNCTION("""COMPUTED_VALUE"""),"3100673583")</f>
        <v>3100673583</v>
      </c>
      <c r="D42" s="195" t="str">
        <f>IFERROR(__xludf.DUMMYFUNCTION("""COMPUTED_VALUE"""),"RAFQA NUZULUL AKBAR SETIANA")</f>
        <v>RAFQA NUZULUL AKBAR SETIANA</v>
      </c>
      <c r="E42" s="193" t="str">
        <f>IFERROR(__xludf.DUMMYFUNCTION("""COMPUTED_VALUE"""),"X TO 4")</f>
        <v>X TO 4</v>
      </c>
      <c r="F42" s="193" t="s">
        <v>220</v>
      </c>
      <c r="G42" s="272">
        <v>81.0</v>
      </c>
      <c r="H42" s="275">
        <v>83.0</v>
      </c>
      <c r="I42" s="275"/>
      <c r="J42" s="230">
        <f t="shared" si="19"/>
        <v>82</v>
      </c>
      <c r="K42" s="276">
        <v>80.0</v>
      </c>
      <c r="L42" s="272">
        <v>85.0</v>
      </c>
      <c r="M42" s="275">
        <v>80.0</v>
      </c>
      <c r="N42" s="275"/>
      <c r="O42" s="233">
        <f t="shared" si="20"/>
        <v>82.5</v>
      </c>
      <c r="P42" s="276">
        <v>81.0</v>
      </c>
      <c r="Q42" s="272">
        <v>80.0</v>
      </c>
      <c r="R42" s="275">
        <v>87.0</v>
      </c>
      <c r="S42" s="275">
        <v>80.0</v>
      </c>
      <c r="T42" s="235">
        <f t="shared" si="21"/>
        <v>82.33333333</v>
      </c>
      <c r="U42" s="276">
        <v>85.0</v>
      </c>
      <c r="V42" s="272">
        <v>75.0</v>
      </c>
      <c r="W42" s="275">
        <v>90.0</v>
      </c>
      <c r="X42" s="275"/>
      <c r="Y42" s="236">
        <f t="shared" si="22"/>
        <v>82.5</v>
      </c>
      <c r="Z42" s="276">
        <v>90.0</v>
      </c>
      <c r="AA42" s="272">
        <v>86.0</v>
      </c>
      <c r="AB42" s="275">
        <v>84.0</v>
      </c>
      <c r="AC42" s="275">
        <v>85.0</v>
      </c>
      <c r="AD42" s="238">
        <f t="shared" si="23"/>
        <v>85</v>
      </c>
      <c r="AE42" s="276">
        <v>81.0</v>
      </c>
      <c r="AF42" s="240">
        <v>90.0</v>
      </c>
      <c r="AG42" s="240">
        <v>90.0</v>
      </c>
      <c r="AH42" s="240">
        <v>90.0</v>
      </c>
      <c r="AI42" s="239">
        <f t="shared" si="24"/>
        <v>90</v>
      </c>
      <c r="AJ42" s="240">
        <v>90.0</v>
      </c>
      <c r="AK42" s="245">
        <v>86.0</v>
      </c>
      <c r="AL42" s="245">
        <v>86.0</v>
      </c>
      <c r="AM42" s="245">
        <v>85.0</v>
      </c>
      <c r="AN42" s="243">
        <f t="shared" si="25"/>
        <v>85.66666667</v>
      </c>
      <c r="AO42" s="246">
        <v>87.0</v>
      </c>
      <c r="AP42" s="272">
        <v>82.0</v>
      </c>
      <c r="AQ42" s="226">
        <f t="shared" ref="AQ42:AR42" si="71">AP42</f>
        <v>82</v>
      </c>
      <c r="AR42" s="226">
        <f t="shared" si="71"/>
        <v>82</v>
      </c>
      <c r="AS42" s="247">
        <f t="shared" si="27"/>
        <v>82</v>
      </c>
      <c r="AT42" s="232">
        <f t="shared" si="28"/>
        <v>82</v>
      </c>
      <c r="AU42" s="248">
        <v>81.0</v>
      </c>
      <c r="AV42" s="248">
        <v>81.0</v>
      </c>
      <c r="AW42" s="248">
        <v>82.0</v>
      </c>
      <c r="AX42" s="249">
        <f t="shared" si="29"/>
        <v>81.33333333</v>
      </c>
      <c r="AY42" s="276">
        <v>82.0</v>
      </c>
      <c r="AZ42" s="272">
        <v>80.0</v>
      </c>
      <c r="BA42" s="272">
        <v>80.0</v>
      </c>
      <c r="BB42" s="275"/>
      <c r="BC42" s="250">
        <f t="shared" si="30"/>
        <v>80</v>
      </c>
      <c r="BD42" s="272">
        <v>80.0</v>
      </c>
      <c r="BE42" s="283">
        <v>88.0</v>
      </c>
      <c r="BF42" s="285">
        <v>85.0</v>
      </c>
      <c r="BG42" s="285">
        <v>80.0</v>
      </c>
      <c r="BH42" s="254">
        <f t="shared" si="31"/>
        <v>84.33333333</v>
      </c>
      <c r="BI42" s="286">
        <v>85.0</v>
      </c>
      <c r="BJ42" s="283">
        <v>85.0</v>
      </c>
      <c r="BK42" s="285">
        <v>85.0</v>
      </c>
      <c r="BL42" s="285">
        <v>85.0</v>
      </c>
      <c r="BM42" s="254">
        <f t="shared" si="32"/>
        <v>85</v>
      </c>
      <c r="BN42" s="287">
        <v>85.0</v>
      </c>
      <c r="BO42" s="283">
        <v>80.0</v>
      </c>
      <c r="BP42" s="285">
        <v>80.0</v>
      </c>
      <c r="BQ42" s="285">
        <v>79.0</v>
      </c>
      <c r="BR42" s="254">
        <f t="shared" si="33"/>
        <v>79.66666667</v>
      </c>
      <c r="BS42" s="286">
        <v>80.0</v>
      </c>
      <c r="BT42" s="272"/>
      <c r="BU42" s="275"/>
      <c r="BV42" s="275"/>
      <c r="BW42" s="266" t="str">
        <f t="shared" si="34"/>
        <v/>
      </c>
      <c r="BX42" s="276"/>
      <c r="BY42" s="272"/>
      <c r="BZ42" s="275"/>
      <c r="CA42" s="275"/>
      <c r="CB42" s="266" t="str">
        <f t="shared" si="35"/>
        <v/>
      </c>
      <c r="CC42" s="276"/>
      <c r="CD42" s="272"/>
      <c r="CE42" s="275"/>
      <c r="CF42" s="275"/>
      <c r="CG42" s="269" t="str">
        <f t="shared" si="36"/>
        <v/>
      </c>
      <c r="CH42" s="276"/>
    </row>
    <row r="43" ht="15.75" customHeight="1">
      <c r="A43" s="115">
        <f>IFERROR(__xludf.DUMMYFUNCTION("""COMPUTED_VALUE"""),39.0)</f>
        <v>39</v>
      </c>
      <c r="B43" s="119" t="str">
        <f>IFERROR(__xludf.DUMMYFUNCTION("""COMPUTED_VALUE"""),"2526100452")</f>
        <v>2526100452</v>
      </c>
      <c r="C43" s="119" t="str">
        <f>IFERROR(__xludf.DUMMYFUNCTION("""COMPUTED_VALUE"""),"0098144365")</f>
        <v>0098144365</v>
      </c>
      <c r="D43" s="122" t="str">
        <f>IFERROR(__xludf.DUMMYFUNCTION("""COMPUTED_VALUE"""),"RIDO MUHAMAD NUR FADILAH")</f>
        <v>RIDO MUHAMAD NUR FADILAH</v>
      </c>
      <c r="E43" s="119" t="str">
        <f>IFERROR(__xludf.DUMMYFUNCTION("""COMPUTED_VALUE"""),"X TO 4")</f>
        <v>X TO 4</v>
      </c>
      <c r="F43" s="119" t="s">
        <v>220</v>
      </c>
      <c r="G43" s="225">
        <v>80.0</v>
      </c>
      <c r="H43" s="226">
        <v>82.0</v>
      </c>
      <c r="I43" s="226"/>
      <c r="J43" s="230">
        <f t="shared" si="19"/>
        <v>81</v>
      </c>
      <c r="K43" s="232">
        <v>77.0</v>
      </c>
      <c r="L43" s="225">
        <v>85.0</v>
      </c>
      <c r="M43" s="226">
        <v>80.0</v>
      </c>
      <c r="N43" s="226"/>
      <c r="O43" s="233">
        <f t="shared" si="20"/>
        <v>82.5</v>
      </c>
      <c r="P43" s="232">
        <v>79.0</v>
      </c>
      <c r="Q43" s="225">
        <v>78.0</v>
      </c>
      <c r="R43" s="226">
        <v>80.0</v>
      </c>
      <c r="S43" s="226">
        <v>80.0</v>
      </c>
      <c r="T43" s="235">
        <f t="shared" si="21"/>
        <v>79.33333333</v>
      </c>
      <c r="U43" s="232">
        <v>80.0</v>
      </c>
      <c r="V43" s="225">
        <v>95.0</v>
      </c>
      <c r="W43" s="226">
        <v>95.0</v>
      </c>
      <c r="X43" s="226"/>
      <c r="Y43" s="236">
        <f t="shared" si="22"/>
        <v>95</v>
      </c>
      <c r="Z43" s="232">
        <v>90.0</v>
      </c>
      <c r="AA43" s="225">
        <v>40.0</v>
      </c>
      <c r="AB43" s="226">
        <v>38.0</v>
      </c>
      <c r="AC43" s="226">
        <v>39.0</v>
      </c>
      <c r="AD43" s="238">
        <f t="shared" si="23"/>
        <v>39</v>
      </c>
      <c r="AE43" s="232">
        <v>35.0</v>
      </c>
      <c r="AF43" s="240">
        <v>90.0</v>
      </c>
      <c r="AG43" s="240">
        <v>90.0</v>
      </c>
      <c r="AH43" s="362">
        <v>90.0</v>
      </c>
      <c r="AI43" s="239">
        <f t="shared" si="24"/>
        <v>90</v>
      </c>
      <c r="AJ43" s="240">
        <v>90.0</v>
      </c>
      <c r="AK43" s="290">
        <v>40.0</v>
      </c>
      <c r="AL43" s="290">
        <v>0.0</v>
      </c>
      <c r="AM43" s="290">
        <v>0.0</v>
      </c>
      <c r="AN43" s="243">
        <f t="shared" si="25"/>
        <v>13.33333333</v>
      </c>
      <c r="AO43" s="291">
        <v>25.0</v>
      </c>
      <c r="AP43" s="225">
        <v>78.0</v>
      </c>
      <c r="AQ43" s="226">
        <f t="shared" ref="AQ43:AR43" si="72">AP43</f>
        <v>78</v>
      </c>
      <c r="AR43" s="226">
        <f t="shared" si="72"/>
        <v>78</v>
      </c>
      <c r="AS43" s="247">
        <f t="shared" si="27"/>
        <v>78</v>
      </c>
      <c r="AT43" s="232">
        <f t="shared" si="28"/>
        <v>78</v>
      </c>
      <c r="AU43" s="248">
        <v>72.0</v>
      </c>
      <c r="AV43" s="248">
        <v>73.0</v>
      </c>
      <c r="AW43" s="248">
        <v>73.0</v>
      </c>
      <c r="AX43" s="249">
        <f t="shared" si="29"/>
        <v>72.66666667</v>
      </c>
      <c r="AY43" s="232">
        <v>74.0</v>
      </c>
      <c r="AZ43" s="225">
        <v>80.0</v>
      </c>
      <c r="BA43" s="225">
        <v>80.0</v>
      </c>
      <c r="BB43" s="226"/>
      <c r="BC43" s="250">
        <f t="shared" si="30"/>
        <v>80</v>
      </c>
      <c r="BD43" s="225">
        <v>80.0</v>
      </c>
      <c r="BE43" s="251">
        <v>83.0</v>
      </c>
      <c r="BF43" s="252">
        <v>0.0</v>
      </c>
      <c r="BG43" s="252">
        <v>0.0</v>
      </c>
      <c r="BH43" s="254">
        <f t="shared" si="31"/>
        <v>27.66666667</v>
      </c>
      <c r="BI43" s="258">
        <v>83.0</v>
      </c>
      <c r="BJ43" s="251">
        <v>83.0</v>
      </c>
      <c r="BK43" s="252">
        <v>80.0</v>
      </c>
      <c r="BL43" s="252">
        <v>80.0</v>
      </c>
      <c r="BM43" s="254">
        <f t="shared" si="32"/>
        <v>81</v>
      </c>
      <c r="BN43" s="262">
        <v>80.0</v>
      </c>
      <c r="BO43" s="251">
        <v>78.0</v>
      </c>
      <c r="BP43" s="252">
        <v>79.0</v>
      </c>
      <c r="BQ43" s="252">
        <v>78.0</v>
      </c>
      <c r="BR43" s="254">
        <f t="shared" si="33"/>
        <v>78.33333333</v>
      </c>
      <c r="BS43" s="258">
        <v>78.0</v>
      </c>
      <c r="BT43" s="225"/>
      <c r="BU43" s="226"/>
      <c r="BV43" s="226"/>
      <c r="BW43" s="266" t="str">
        <f t="shared" si="34"/>
        <v/>
      </c>
      <c r="BX43" s="232"/>
      <c r="BY43" s="225"/>
      <c r="BZ43" s="226"/>
      <c r="CA43" s="226"/>
      <c r="CB43" s="266" t="str">
        <f t="shared" si="35"/>
        <v/>
      </c>
      <c r="CC43" s="232"/>
      <c r="CD43" s="225"/>
      <c r="CE43" s="226"/>
      <c r="CF43" s="226"/>
      <c r="CG43" s="269" t="str">
        <f t="shared" si="36"/>
        <v/>
      </c>
      <c r="CH43" s="232"/>
    </row>
    <row r="44" ht="15.75" customHeight="1">
      <c r="A44" s="189">
        <f>IFERROR(__xludf.DUMMYFUNCTION("""COMPUTED_VALUE"""),40.0)</f>
        <v>40</v>
      </c>
      <c r="B44" s="193" t="str">
        <f>IFERROR(__xludf.DUMMYFUNCTION("""COMPUTED_VALUE"""),"2526100453")</f>
        <v>2526100453</v>
      </c>
      <c r="C44" s="193" t="str">
        <f>IFERROR(__xludf.DUMMYFUNCTION("""COMPUTED_VALUE"""),"0101384399")</f>
        <v>0101384399</v>
      </c>
      <c r="D44" s="195" t="str">
        <f>IFERROR(__xludf.DUMMYFUNCTION("""COMPUTED_VALUE"""),"RIFAL KAMILUL AJHAR")</f>
        <v>RIFAL KAMILUL AJHAR</v>
      </c>
      <c r="E44" s="193" t="str">
        <f>IFERROR(__xludf.DUMMYFUNCTION("""COMPUTED_VALUE"""),"X TO 4")</f>
        <v>X TO 4</v>
      </c>
      <c r="F44" s="193" t="s">
        <v>220</v>
      </c>
      <c r="G44" s="272">
        <v>80.0</v>
      </c>
      <c r="H44" s="275">
        <v>81.0</v>
      </c>
      <c r="I44" s="275"/>
      <c r="J44" s="230">
        <f t="shared" si="19"/>
        <v>80.5</v>
      </c>
      <c r="K44" s="276">
        <v>80.0</v>
      </c>
      <c r="L44" s="272">
        <v>85.0</v>
      </c>
      <c r="M44" s="275">
        <v>80.0</v>
      </c>
      <c r="N44" s="275"/>
      <c r="O44" s="233">
        <f t="shared" si="20"/>
        <v>82.5</v>
      </c>
      <c r="P44" s="276">
        <v>82.0</v>
      </c>
      <c r="Q44" s="272">
        <v>78.0</v>
      </c>
      <c r="R44" s="275">
        <v>80.0</v>
      </c>
      <c r="S44" s="275">
        <v>80.0</v>
      </c>
      <c r="T44" s="235">
        <f t="shared" si="21"/>
        <v>79.33333333</v>
      </c>
      <c r="U44" s="276">
        <v>80.0</v>
      </c>
      <c r="V44" s="272">
        <v>98.0</v>
      </c>
      <c r="W44" s="275">
        <v>91.0</v>
      </c>
      <c r="X44" s="275"/>
      <c r="Y44" s="236">
        <f t="shared" si="22"/>
        <v>94.5</v>
      </c>
      <c r="Z44" s="276">
        <v>90.0</v>
      </c>
      <c r="AA44" s="272">
        <v>86.0</v>
      </c>
      <c r="AB44" s="275">
        <v>84.0</v>
      </c>
      <c r="AC44" s="275">
        <v>85.0</v>
      </c>
      <c r="AD44" s="238">
        <f t="shared" si="23"/>
        <v>85</v>
      </c>
      <c r="AE44" s="276">
        <v>81.0</v>
      </c>
      <c r="AF44" s="240">
        <v>90.0</v>
      </c>
      <c r="AG44" s="240">
        <v>90.0</v>
      </c>
      <c r="AH44" s="362">
        <v>89.0</v>
      </c>
      <c r="AI44" s="239">
        <f t="shared" si="24"/>
        <v>89.66666667</v>
      </c>
      <c r="AJ44" s="240">
        <v>90.0</v>
      </c>
      <c r="AK44" s="245">
        <v>86.0</v>
      </c>
      <c r="AL44" s="245">
        <v>86.0</v>
      </c>
      <c r="AM44" s="245">
        <v>85.0</v>
      </c>
      <c r="AN44" s="243">
        <f t="shared" si="25"/>
        <v>85.66666667</v>
      </c>
      <c r="AO44" s="246">
        <v>87.0</v>
      </c>
      <c r="AP44" s="272">
        <v>78.0</v>
      </c>
      <c r="AQ44" s="226">
        <f t="shared" ref="AQ44:AR44" si="73">AP44</f>
        <v>78</v>
      </c>
      <c r="AR44" s="226">
        <f t="shared" si="73"/>
        <v>78</v>
      </c>
      <c r="AS44" s="247">
        <f t="shared" si="27"/>
        <v>78</v>
      </c>
      <c r="AT44" s="232">
        <f t="shared" si="28"/>
        <v>78</v>
      </c>
      <c r="AU44" s="248">
        <v>73.0</v>
      </c>
      <c r="AV44" s="248">
        <v>72.0</v>
      </c>
      <c r="AW44" s="248">
        <v>73.0</v>
      </c>
      <c r="AX44" s="249">
        <f t="shared" si="29"/>
        <v>72.66666667</v>
      </c>
      <c r="AY44" s="276">
        <v>74.0</v>
      </c>
      <c r="AZ44" s="225">
        <v>80.0</v>
      </c>
      <c r="BA44" s="225">
        <v>80.0</v>
      </c>
      <c r="BB44" s="275"/>
      <c r="BC44" s="250">
        <f t="shared" si="30"/>
        <v>80</v>
      </c>
      <c r="BD44" s="225">
        <v>80.0</v>
      </c>
      <c r="BE44" s="283">
        <v>83.0</v>
      </c>
      <c r="BF44" s="285">
        <v>0.0</v>
      </c>
      <c r="BG44" s="285">
        <v>0.0</v>
      </c>
      <c r="BH44" s="254">
        <f t="shared" si="31"/>
        <v>27.66666667</v>
      </c>
      <c r="BI44" s="286">
        <v>78.0</v>
      </c>
      <c r="BJ44" s="283">
        <v>85.0</v>
      </c>
      <c r="BK44" s="285">
        <v>80.0</v>
      </c>
      <c r="BL44" s="285">
        <v>80.0</v>
      </c>
      <c r="BM44" s="254">
        <f t="shared" si="32"/>
        <v>81.66666667</v>
      </c>
      <c r="BN44" s="287">
        <v>80.0</v>
      </c>
      <c r="BO44" s="283">
        <v>79.0</v>
      </c>
      <c r="BP44" s="285">
        <v>78.0</v>
      </c>
      <c r="BQ44" s="285">
        <v>79.0</v>
      </c>
      <c r="BR44" s="254">
        <f t="shared" si="33"/>
        <v>78.66666667</v>
      </c>
      <c r="BS44" s="286">
        <v>79.0</v>
      </c>
      <c r="BT44" s="272"/>
      <c r="BU44" s="275"/>
      <c r="BV44" s="275"/>
      <c r="BW44" s="266" t="str">
        <f t="shared" si="34"/>
        <v/>
      </c>
      <c r="BX44" s="276"/>
      <c r="BY44" s="272"/>
      <c r="BZ44" s="275"/>
      <c r="CA44" s="275"/>
      <c r="CB44" s="266" t="str">
        <f t="shared" si="35"/>
        <v/>
      </c>
      <c r="CC44" s="276"/>
      <c r="CD44" s="272"/>
      <c r="CE44" s="275"/>
      <c r="CF44" s="275"/>
      <c r="CG44" s="269" t="str">
        <f t="shared" si="36"/>
        <v/>
      </c>
      <c r="CH44" s="276"/>
    </row>
    <row r="45" ht="15.75" customHeight="1">
      <c r="A45" s="115">
        <f>IFERROR(__xludf.DUMMYFUNCTION("""COMPUTED_VALUE"""),41.0)</f>
        <v>41</v>
      </c>
      <c r="B45" s="119" t="str">
        <f>IFERROR(__xludf.DUMMYFUNCTION("""COMPUTED_VALUE"""),"2526100454")</f>
        <v>2526100454</v>
      </c>
      <c r="C45" s="119" t="str">
        <f>IFERROR(__xludf.DUMMYFUNCTION("""COMPUTED_VALUE"""),"0095007656")</f>
        <v>0095007656</v>
      </c>
      <c r="D45" s="122" t="str">
        <f>IFERROR(__xludf.DUMMYFUNCTION("""COMPUTED_VALUE"""),"RIVALDI MAULANA")</f>
        <v>RIVALDI MAULANA</v>
      </c>
      <c r="E45" s="119" t="str">
        <f>IFERROR(__xludf.DUMMYFUNCTION("""COMPUTED_VALUE"""),"X TO 4")</f>
        <v>X TO 4</v>
      </c>
      <c r="F45" s="119" t="s">
        <v>220</v>
      </c>
      <c r="G45" s="225"/>
      <c r="H45" s="226"/>
      <c r="I45" s="226"/>
      <c r="J45" s="230" t="str">
        <f t="shared" si="19"/>
        <v/>
      </c>
      <c r="K45" s="232"/>
      <c r="L45" s="225"/>
      <c r="M45" s="226"/>
      <c r="N45" s="226"/>
      <c r="O45" s="233" t="str">
        <f t="shared" si="20"/>
        <v/>
      </c>
      <c r="P45" s="232"/>
      <c r="Q45" s="225">
        <v>76.0</v>
      </c>
      <c r="R45" s="226">
        <v>65.0</v>
      </c>
      <c r="S45" s="226">
        <v>65.0</v>
      </c>
      <c r="T45" s="235">
        <f t="shared" si="21"/>
        <v>68.66666667</v>
      </c>
      <c r="U45" s="232">
        <v>0.0</v>
      </c>
      <c r="V45" s="225">
        <v>75.0</v>
      </c>
      <c r="W45" s="226">
        <v>75.0</v>
      </c>
      <c r="X45" s="226"/>
      <c r="Y45" s="236">
        <f t="shared" si="22"/>
        <v>75</v>
      </c>
      <c r="Z45" s="232">
        <v>80.0</v>
      </c>
      <c r="AA45" s="225">
        <v>70.0</v>
      </c>
      <c r="AB45" s="226">
        <v>68.0</v>
      </c>
      <c r="AC45" s="226">
        <v>69.0</v>
      </c>
      <c r="AD45" s="238">
        <f t="shared" si="23"/>
        <v>69</v>
      </c>
      <c r="AE45" s="232">
        <v>65.0</v>
      </c>
      <c r="AF45" s="240">
        <v>90.0</v>
      </c>
      <c r="AG45" s="402">
        <v>89.0</v>
      </c>
      <c r="AH45" s="362">
        <v>89.0</v>
      </c>
      <c r="AI45" s="239">
        <f t="shared" si="24"/>
        <v>89.33333333</v>
      </c>
      <c r="AJ45" s="402">
        <v>89.0</v>
      </c>
      <c r="AK45" s="290">
        <v>70.0</v>
      </c>
      <c r="AL45" s="290">
        <v>0.0</v>
      </c>
      <c r="AM45" s="290">
        <v>0.0</v>
      </c>
      <c r="AN45" s="243">
        <f t="shared" si="25"/>
        <v>23.33333333</v>
      </c>
      <c r="AO45" s="291">
        <v>0.0</v>
      </c>
      <c r="AP45" s="225">
        <v>72.0</v>
      </c>
      <c r="AQ45" s="226">
        <f t="shared" ref="AQ45:AR45" si="74">AP45</f>
        <v>72</v>
      </c>
      <c r="AR45" s="226">
        <f t="shared" si="74"/>
        <v>72</v>
      </c>
      <c r="AS45" s="247">
        <f t="shared" si="27"/>
        <v>72</v>
      </c>
      <c r="AT45" s="232">
        <f t="shared" si="28"/>
        <v>72</v>
      </c>
      <c r="AU45" s="248">
        <v>73.0</v>
      </c>
      <c r="AV45" s="248">
        <v>72.0</v>
      </c>
      <c r="AW45" s="248">
        <v>72.0</v>
      </c>
      <c r="AX45" s="249">
        <f t="shared" si="29"/>
        <v>72.33333333</v>
      </c>
      <c r="AY45" s="232">
        <v>72.0</v>
      </c>
      <c r="AZ45" s="272">
        <v>80.0</v>
      </c>
      <c r="BA45" s="272">
        <v>80.0</v>
      </c>
      <c r="BB45" s="226"/>
      <c r="BC45" s="250">
        <f t="shared" si="30"/>
        <v>80</v>
      </c>
      <c r="BD45" s="272">
        <v>80.0</v>
      </c>
      <c r="BE45" s="251">
        <v>0.0</v>
      </c>
      <c r="BF45" s="252">
        <v>0.0</v>
      </c>
      <c r="BG45" s="252">
        <v>0.0</v>
      </c>
      <c r="BH45" s="254">
        <f t="shared" si="31"/>
        <v>0</v>
      </c>
      <c r="BI45" s="258">
        <v>0.0</v>
      </c>
      <c r="BJ45" s="251">
        <v>50.0</v>
      </c>
      <c r="BK45" s="252">
        <v>50.0</v>
      </c>
      <c r="BL45" s="252">
        <v>50.0</v>
      </c>
      <c r="BM45" s="254">
        <f t="shared" si="32"/>
        <v>50</v>
      </c>
      <c r="BN45" s="262">
        <v>50.0</v>
      </c>
      <c r="BO45" s="251">
        <v>45.0</v>
      </c>
      <c r="BP45" s="252">
        <v>50.0</v>
      </c>
      <c r="BQ45" s="252">
        <v>45.0</v>
      </c>
      <c r="BR45" s="254">
        <f t="shared" si="33"/>
        <v>46.66666667</v>
      </c>
      <c r="BS45" s="258">
        <v>0.0</v>
      </c>
      <c r="BT45" s="225"/>
      <c r="BU45" s="226"/>
      <c r="BV45" s="226"/>
      <c r="BW45" s="266" t="str">
        <f t="shared" si="34"/>
        <v/>
      </c>
      <c r="BX45" s="232"/>
      <c r="BY45" s="225"/>
      <c r="BZ45" s="226"/>
      <c r="CA45" s="226"/>
      <c r="CB45" s="266" t="str">
        <f t="shared" si="35"/>
        <v/>
      </c>
      <c r="CC45" s="232"/>
      <c r="CD45" s="225"/>
      <c r="CE45" s="226"/>
      <c r="CF45" s="226"/>
      <c r="CG45" s="269" t="str">
        <f t="shared" si="36"/>
        <v/>
      </c>
      <c r="CH45" s="232"/>
    </row>
    <row r="46" ht="15.75" customHeight="1">
      <c r="A46" s="189">
        <f>IFERROR(__xludf.DUMMYFUNCTION("""COMPUTED_VALUE"""),42.0)</f>
        <v>42</v>
      </c>
      <c r="B46" s="193" t="str">
        <f>IFERROR(__xludf.DUMMYFUNCTION("""COMPUTED_VALUE"""),"2526100455")</f>
        <v>2526100455</v>
      </c>
      <c r="C46" s="193" t="str">
        <f>IFERROR(__xludf.DUMMYFUNCTION("""COMPUTED_VALUE"""),"3095900062")</f>
        <v>3095900062</v>
      </c>
      <c r="D46" s="195" t="str">
        <f>IFERROR(__xludf.DUMMYFUNCTION("""COMPUTED_VALUE"""),"RIZAL RISMAYANDI")</f>
        <v>RIZAL RISMAYANDI</v>
      </c>
      <c r="E46" s="193" t="str">
        <f>IFERROR(__xludf.DUMMYFUNCTION("""COMPUTED_VALUE"""),"X TO 4")</f>
        <v>X TO 4</v>
      </c>
      <c r="F46" s="193" t="s">
        <v>220</v>
      </c>
      <c r="G46" s="272">
        <v>79.0</v>
      </c>
      <c r="H46" s="275">
        <v>80.0</v>
      </c>
      <c r="I46" s="275"/>
      <c r="J46" s="230">
        <f t="shared" si="19"/>
        <v>79.5</v>
      </c>
      <c r="K46" s="276">
        <v>77.0</v>
      </c>
      <c r="L46" s="272">
        <v>85.0</v>
      </c>
      <c r="M46" s="275">
        <v>80.0</v>
      </c>
      <c r="N46" s="275"/>
      <c r="O46" s="233">
        <f t="shared" si="20"/>
        <v>82.5</v>
      </c>
      <c r="P46" s="276">
        <v>81.0</v>
      </c>
      <c r="Q46" s="272">
        <v>78.0</v>
      </c>
      <c r="R46" s="275">
        <v>80.0</v>
      </c>
      <c r="S46" s="275">
        <v>78.0</v>
      </c>
      <c r="T46" s="235">
        <f t="shared" si="21"/>
        <v>78.66666667</v>
      </c>
      <c r="U46" s="276">
        <v>80.0</v>
      </c>
      <c r="V46" s="272">
        <v>75.0</v>
      </c>
      <c r="W46" s="275">
        <v>85.0</v>
      </c>
      <c r="X46" s="275"/>
      <c r="Y46" s="236">
        <f t="shared" si="22"/>
        <v>80</v>
      </c>
      <c r="Z46" s="276">
        <v>90.0</v>
      </c>
      <c r="AA46" s="272">
        <v>70.0</v>
      </c>
      <c r="AB46" s="275">
        <v>68.0</v>
      </c>
      <c r="AC46" s="275">
        <v>69.0</v>
      </c>
      <c r="AD46" s="238">
        <f t="shared" si="23"/>
        <v>69</v>
      </c>
      <c r="AE46" s="276">
        <v>65.0</v>
      </c>
      <c r="AF46" s="240">
        <v>90.0</v>
      </c>
      <c r="AG46" s="402">
        <v>89.0</v>
      </c>
      <c r="AH46" s="362">
        <v>89.0</v>
      </c>
      <c r="AI46" s="239">
        <f t="shared" si="24"/>
        <v>89.33333333</v>
      </c>
      <c r="AJ46" s="240">
        <v>90.0</v>
      </c>
      <c r="AK46" s="290">
        <v>70.0</v>
      </c>
      <c r="AL46" s="290">
        <v>0.0</v>
      </c>
      <c r="AM46" s="290">
        <v>0.0</v>
      </c>
      <c r="AN46" s="243">
        <f t="shared" si="25"/>
        <v>23.33333333</v>
      </c>
      <c r="AO46" s="291">
        <v>20.0</v>
      </c>
      <c r="AP46" s="272">
        <v>72.0</v>
      </c>
      <c r="AQ46" s="226">
        <f t="shared" ref="AQ46:AR46" si="75">AP46</f>
        <v>72</v>
      </c>
      <c r="AR46" s="226">
        <f t="shared" si="75"/>
        <v>72</v>
      </c>
      <c r="AS46" s="247">
        <f t="shared" si="27"/>
        <v>72</v>
      </c>
      <c r="AT46" s="232">
        <f t="shared" si="28"/>
        <v>72</v>
      </c>
      <c r="AU46" s="248">
        <v>73.0</v>
      </c>
      <c r="AV46" s="248">
        <v>73.0</v>
      </c>
      <c r="AW46" s="248">
        <v>73.0</v>
      </c>
      <c r="AX46" s="249">
        <f t="shared" si="29"/>
        <v>73</v>
      </c>
      <c r="AY46" s="276">
        <v>73.0</v>
      </c>
      <c r="AZ46" s="225">
        <v>80.0</v>
      </c>
      <c r="BA46" s="225">
        <v>80.0</v>
      </c>
      <c r="BB46" s="275"/>
      <c r="BC46" s="250">
        <f t="shared" si="30"/>
        <v>80</v>
      </c>
      <c r="BD46" s="225">
        <v>80.0</v>
      </c>
      <c r="BE46" s="283">
        <v>85.0</v>
      </c>
      <c r="BF46" s="285">
        <v>0.0</v>
      </c>
      <c r="BG46" s="285">
        <v>0.0</v>
      </c>
      <c r="BH46" s="254">
        <f t="shared" si="31"/>
        <v>28.33333333</v>
      </c>
      <c r="BI46" s="286">
        <v>76.0</v>
      </c>
      <c r="BJ46" s="283">
        <v>78.0</v>
      </c>
      <c r="BK46" s="285">
        <v>80.0</v>
      </c>
      <c r="BL46" s="285">
        <v>80.0</v>
      </c>
      <c r="BM46" s="254">
        <f t="shared" si="32"/>
        <v>79.33333333</v>
      </c>
      <c r="BN46" s="287">
        <v>80.0</v>
      </c>
      <c r="BO46" s="283">
        <v>79.0</v>
      </c>
      <c r="BP46" s="285">
        <v>78.0</v>
      </c>
      <c r="BQ46" s="285">
        <v>79.0</v>
      </c>
      <c r="BR46" s="254">
        <f t="shared" si="33"/>
        <v>78.66666667</v>
      </c>
      <c r="BS46" s="286">
        <v>80.0</v>
      </c>
      <c r="BT46" s="272"/>
      <c r="BU46" s="275"/>
      <c r="BV46" s="275"/>
      <c r="BW46" s="266" t="str">
        <f t="shared" si="34"/>
        <v/>
      </c>
      <c r="BX46" s="276"/>
      <c r="BY46" s="272"/>
      <c r="BZ46" s="275"/>
      <c r="CA46" s="275"/>
      <c r="CB46" s="266" t="str">
        <f t="shared" si="35"/>
        <v/>
      </c>
      <c r="CC46" s="276"/>
      <c r="CD46" s="272"/>
      <c r="CE46" s="275"/>
      <c r="CF46" s="275"/>
      <c r="CG46" s="269" t="str">
        <f t="shared" si="36"/>
        <v/>
      </c>
      <c r="CH46" s="276"/>
    </row>
    <row r="47" ht="15.75" customHeight="1">
      <c r="A47" s="115">
        <f>IFERROR(__xludf.DUMMYFUNCTION("""COMPUTED_VALUE"""),43.0)</f>
        <v>43</v>
      </c>
      <c r="B47" s="119" t="str">
        <f>IFERROR(__xludf.DUMMYFUNCTION("""COMPUTED_VALUE"""),"2526100456")</f>
        <v>2526100456</v>
      </c>
      <c r="C47" s="119" t="str">
        <f>IFERROR(__xludf.DUMMYFUNCTION("""COMPUTED_VALUE"""),"0097206975")</f>
        <v>0097206975</v>
      </c>
      <c r="D47" s="122" t="str">
        <f>IFERROR(__xludf.DUMMYFUNCTION("""COMPUTED_VALUE"""),"RIZKI ADITIA PRATAMA")</f>
        <v>RIZKI ADITIA PRATAMA</v>
      </c>
      <c r="E47" s="119" t="str">
        <f>IFERROR(__xludf.DUMMYFUNCTION("""COMPUTED_VALUE"""),"X TO 4")</f>
        <v>X TO 4</v>
      </c>
      <c r="F47" s="119" t="s">
        <v>220</v>
      </c>
      <c r="G47" s="225">
        <v>80.0</v>
      </c>
      <c r="H47" s="226">
        <v>81.0</v>
      </c>
      <c r="I47" s="226"/>
      <c r="J47" s="230">
        <f t="shared" si="19"/>
        <v>80.5</v>
      </c>
      <c r="K47" s="232">
        <v>77.0</v>
      </c>
      <c r="L47" s="225">
        <v>85.0</v>
      </c>
      <c r="M47" s="226">
        <v>80.0</v>
      </c>
      <c r="N47" s="226"/>
      <c r="O47" s="233">
        <f t="shared" si="20"/>
        <v>82.5</v>
      </c>
      <c r="P47" s="232">
        <v>84.0</v>
      </c>
      <c r="Q47" s="225">
        <v>80.0</v>
      </c>
      <c r="R47" s="226">
        <v>80.0</v>
      </c>
      <c r="S47" s="226">
        <v>60.0</v>
      </c>
      <c r="T47" s="235">
        <f t="shared" si="21"/>
        <v>73.33333333</v>
      </c>
      <c r="U47" s="232">
        <v>78.0</v>
      </c>
      <c r="V47" s="225">
        <v>95.0</v>
      </c>
      <c r="W47" s="226">
        <v>95.0</v>
      </c>
      <c r="X47" s="226"/>
      <c r="Y47" s="236">
        <f t="shared" si="22"/>
        <v>95</v>
      </c>
      <c r="Z47" s="232">
        <v>86.0</v>
      </c>
      <c r="AA47" s="225">
        <v>81.0</v>
      </c>
      <c r="AB47" s="226">
        <v>79.0</v>
      </c>
      <c r="AC47" s="226">
        <v>80.0</v>
      </c>
      <c r="AD47" s="238">
        <f t="shared" si="23"/>
        <v>80</v>
      </c>
      <c r="AE47" s="232">
        <v>76.0</v>
      </c>
      <c r="AF47" s="240">
        <v>90.0</v>
      </c>
      <c r="AG47" s="402">
        <v>90.0</v>
      </c>
      <c r="AH47" s="362">
        <v>90.0</v>
      </c>
      <c r="AI47" s="239">
        <f t="shared" si="24"/>
        <v>90</v>
      </c>
      <c r="AJ47" s="362">
        <v>90.0</v>
      </c>
      <c r="AK47" s="245">
        <v>81.0</v>
      </c>
      <c r="AL47" s="245">
        <v>82.0</v>
      </c>
      <c r="AM47" s="245">
        <v>82.0</v>
      </c>
      <c r="AN47" s="243">
        <f t="shared" si="25"/>
        <v>81.66666667</v>
      </c>
      <c r="AO47" s="246">
        <v>75.0</v>
      </c>
      <c r="AP47" s="225">
        <v>72.0</v>
      </c>
      <c r="AQ47" s="226">
        <f t="shared" ref="AQ47:AR47" si="76">AP47</f>
        <v>72</v>
      </c>
      <c r="AR47" s="226">
        <f t="shared" si="76"/>
        <v>72</v>
      </c>
      <c r="AS47" s="247">
        <f t="shared" si="27"/>
        <v>72</v>
      </c>
      <c r="AT47" s="232">
        <f t="shared" si="28"/>
        <v>72</v>
      </c>
      <c r="AU47" s="248">
        <v>73.0</v>
      </c>
      <c r="AV47" s="248">
        <v>73.0</v>
      </c>
      <c r="AW47" s="248">
        <v>73.0</v>
      </c>
      <c r="AX47" s="249">
        <f t="shared" si="29"/>
        <v>73</v>
      </c>
      <c r="AY47" s="232">
        <v>73.0</v>
      </c>
      <c r="AZ47" s="225">
        <v>80.0</v>
      </c>
      <c r="BA47" s="225">
        <v>80.0</v>
      </c>
      <c r="BB47" s="226"/>
      <c r="BC47" s="250">
        <f t="shared" si="30"/>
        <v>80</v>
      </c>
      <c r="BD47" s="225">
        <v>80.0</v>
      </c>
      <c r="BE47" s="251">
        <v>80.0</v>
      </c>
      <c r="BF47" s="252">
        <v>0.0</v>
      </c>
      <c r="BG47" s="252">
        <v>0.0</v>
      </c>
      <c r="BH47" s="254">
        <f t="shared" si="31"/>
        <v>26.66666667</v>
      </c>
      <c r="BI47" s="258">
        <v>78.0</v>
      </c>
      <c r="BJ47" s="251">
        <v>80.0</v>
      </c>
      <c r="BK47" s="252">
        <v>80.0</v>
      </c>
      <c r="BL47" s="252">
        <v>80.0</v>
      </c>
      <c r="BM47" s="254">
        <f t="shared" si="32"/>
        <v>80</v>
      </c>
      <c r="BN47" s="262">
        <v>80.0</v>
      </c>
      <c r="BO47" s="251">
        <v>79.0</v>
      </c>
      <c r="BP47" s="252">
        <v>77.0</v>
      </c>
      <c r="BQ47" s="252">
        <v>78.0</v>
      </c>
      <c r="BR47" s="254">
        <f t="shared" si="33"/>
        <v>78</v>
      </c>
      <c r="BS47" s="258">
        <v>79.0</v>
      </c>
      <c r="BT47" s="225"/>
      <c r="BU47" s="226"/>
      <c r="BV47" s="226"/>
      <c r="BW47" s="266" t="str">
        <f t="shared" si="34"/>
        <v/>
      </c>
      <c r="BX47" s="232"/>
      <c r="BY47" s="225"/>
      <c r="BZ47" s="226"/>
      <c r="CA47" s="226"/>
      <c r="CB47" s="266" t="str">
        <f t="shared" si="35"/>
        <v/>
      </c>
      <c r="CC47" s="232"/>
      <c r="CD47" s="225"/>
      <c r="CE47" s="226"/>
      <c r="CF47" s="226"/>
      <c r="CG47" s="269" t="str">
        <f t="shared" si="36"/>
        <v/>
      </c>
      <c r="CH47" s="232"/>
    </row>
    <row r="48" ht="15.75" customHeight="1">
      <c r="A48" s="189">
        <f>IFERROR(__xludf.DUMMYFUNCTION("""COMPUTED_VALUE"""),44.0)</f>
        <v>44</v>
      </c>
      <c r="B48" s="193" t="str">
        <f>IFERROR(__xludf.DUMMYFUNCTION("""COMPUTED_VALUE"""),"2526100457")</f>
        <v>2526100457</v>
      </c>
      <c r="C48" s="193" t="str">
        <f>IFERROR(__xludf.DUMMYFUNCTION("""COMPUTED_VALUE"""),"0099911084")</f>
        <v>0099911084</v>
      </c>
      <c r="D48" s="195" t="str">
        <f>IFERROR(__xludf.DUMMYFUNCTION("""COMPUTED_VALUE"""),"SURYA BAGJA JUNIOR")</f>
        <v>SURYA BAGJA JUNIOR</v>
      </c>
      <c r="E48" s="193" t="str">
        <f>IFERROR(__xludf.DUMMYFUNCTION("""COMPUTED_VALUE"""),"X TO 4")</f>
        <v>X TO 4</v>
      </c>
      <c r="F48" s="193" t="s">
        <v>220</v>
      </c>
      <c r="G48" s="272">
        <v>80.0</v>
      </c>
      <c r="H48" s="275">
        <v>79.0</v>
      </c>
      <c r="I48" s="275"/>
      <c r="J48" s="230">
        <f t="shared" si="19"/>
        <v>79.5</v>
      </c>
      <c r="K48" s="276">
        <v>77.0</v>
      </c>
      <c r="L48" s="272">
        <v>85.0</v>
      </c>
      <c r="M48" s="275">
        <v>80.0</v>
      </c>
      <c r="N48" s="275"/>
      <c r="O48" s="233">
        <f t="shared" si="20"/>
        <v>82.5</v>
      </c>
      <c r="P48" s="276">
        <v>83.0</v>
      </c>
      <c r="Q48" s="272">
        <v>76.0</v>
      </c>
      <c r="R48" s="275">
        <v>78.0</v>
      </c>
      <c r="S48" s="275">
        <v>60.0</v>
      </c>
      <c r="T48" s="235">
        <f t="shared" si="21"/>
        <v>71.33333333</v>
      </c>
      <c r="U48" s="276">
        <v>76.0</v>
      </c>
      <c r="V48" s="272">
        <v>75.0</v>
      </c>
      <c r="W48" s="275">
        <v>91.0</v>
      </c>
      <c r="X48" s="275"/>
      <c r="Y48" s="236">
        <f t="shared" si="22"/>
        <v>83</v>
      </c>
      <c r="Z48" s="276">
        <v>86.0</v>
      </c>
      <c r="AA48" s="272">
        <v>81.0</v>
      </c>
      <c r="AB48" s="275">
        <v>79.0</v>
      </c>
      <c r="AC48" s="275">
        <v>80.0</v>
      </c>
      <c r="AD48" s="238">
        <f t="shared" si="23"/>
        <v>80</v>
      </c>
      <c r="AE48" s="276">
        <v>76.0</v>
      </c>
      <c r="AF48" s="362">
        <v>89.0</v>
      </c>
      <c r="AG48" s="240">
        <v>90.0</v>
      </c>
      <c r="AH48" s="362">
        <v>90.0</v>
      </c>
      <c r="AI48" s="239">
        <f t="shared" si="24"/>
        <v>89.66666667</v>
      </c>
      <c r="AJ48" s="362">
        <v>89.0</v>
      </c>
      <c r="AK48" s="245">
        <v>81.0</v>
      </c>
      <c r="AL48" s="245">
        <v>81.0</v>
      </c>
      <c r="AM48" s="245">
        <v>82.0</v>
      </c>
      <c r="AN48" s="243">
        <f t="shared" si="25"/>
        <v>81.33333333</v>
      </c>
      <c r="AO48" s="246">
        <v>75.0</v>
      </c>
      <c r="AP48" s="272">
        <v>72.0</v>
      </c>
      <c r="AQ48" s="226">
        <f t="shared" ref="AQ48:AR48" si="77">AP48</f>
        <v>72</v>
      </c>
      <c r="AR48" s="226">
        <f t="shared" si="77"/>
        <v>72</v>
      </c>
      <c r="AS48" s="247">
        <f t="shared" si="27"/>
        <v>72</v>
      </c>
      <c r="AT48" s="232">
        <f t="shared" si="28"/>
        <v>72</v>
      </c>
      <c r="AU48" s="248">
        <v>72.0</v>
      </c>
      <c r="AV48" s="248">
        <v>72.0</v>
      </c>
      <c r="AW48" s="248">
        <v>72.0</v>
      </c>
      <c r="AX48" s="249">
        <f t="shared" si="29"/>
        <v>72</v>
      </c>
      <c r="AY48" s="276">
        <v>72.0</v>
      </c>
      <c r="AZ48" s="272">
        <v>80.0</v>
      </c>
      <c r="BA48" s="272">
        <v>80.0</v>
      </c>
      <c r="BB48" s="275"/>
      <c r="BC48" s="250">
        <f t="shared" si="30"/>
        <v>80</v>
      </c>
      <c r="BD48" s="272">
        <v>80.0</v>
      </c>
      <c r="BE48" s="283">
        <v>80.0</v>
      </c>
      <c r="BF48" s="285">
        <v>0.0</v>
      </c>
      <c r="BG48" s="285">
        <v>0.0</v>
      </c>
      <c r="BH48" s="254">
        <f t="shared" si="31"/>
        <v>26.66666667</v>
      </c>
      <c r="BI48" s="286">
        <v>78.0</v>
      </c>
      <c r="BJ48" s="283">
        <v>79.0</v>
      </c>
      <c r="BK48" s="285">
        <v>80.0</v>
      </c>
      <c r="BL48" s="285">
        <v>80.0</v>
      </c>
      <c r="BM48" s="254">
        <f t="shared" si="32"/>
        <v>79.66666667</v>
      </c>
      <c r="BN48" s="287">
        <v>80.0</v>
      </c>
      <c r="BO48" s="283">
        <v>79.0</v>
      </c>
      <c r="BP48" s="285">
        <v>77.0</v>
      </c>
      <c r="BQ48" s="285">
        <v>78.0</v>
      </c>
      <c r="BR48" s="254">
        <f t="shared" si="33"/>
        <v>78</v>
      </c>
      <c r="BS48" s="286">
        <v>78.0</v>
      </c>
      <c r="BT48" s="272"/>
      <c r="BU48" s="275"/>
      <c r="BV48" s="275"/>
      <c r="BW48" s="266" t="str">
        <f t="shared" si="34"/>
        <v/>
      </c>
      <c r="BX48" s="276"/>
      <c r="BY48" s="272"/>
      <c r="BZ48" s="275"/>
      <c r="CA48" s="275"/>
      <c r="CB48" s="266" t="str">
        <f t="shared" si="35"/>
        <v/>
      </c>
      <c r="CC48" s="276"/>
      <c r="CD48" s="272"/>
      <c r="CE48" s="275"/>
      <c r="CF48" s="275"/>
      <c r="CG48" s="269" t="str">
        <f t="shared" si="36"/>
        <v/>
      </c>
      <c r="CH48" s="276"/>
    </row>
    <row r="49" ht="15.75" customHeight="1">
      <c r="A49" s="115">
        <f>IFERROR(__xludf.DUMMYFUNCTION("""COMPUTED_VALUE"""),45.0)</f>
        <v>45</v>
      </c>
      <c r="B49" s="119" t="str">
        <f>IFERROR(__xludf.DUMMYFUNCTION("""COMPUTED_VALUE"""),"2526100458")</f>
        <v>2526100458</v>
      </c>
      <c r="C49" s="119" t="str">
        <f>IFERROR(__xludf.DUMMYFUNCTION("""COMPUTED_VALUE"""),"3096786504")</f>
        <v>3096786504</v>
      </c>
      <c r="D49" s="122" t="str">
        <f>IFERROR(__xludf.DUMMYFUNCTION("""COMPUTED_VALUE"""),"WILDAN RIPAI")</f>
        <v>WILDAN RIPAI</v>
      </c>
      <c r="E49" s="119" t="str">
        <f>IFERROR(__xludf.DUMMYFUNCTION("""COMPUTED_VALUE"""),"X TO 4")</f>
        <v>X TO 4</v>
      </c>
      <c r="F49" s="119" t="s">
        <v>220</v>
      </c>
      <c r="G49" s="225">
        <v>80.0</v>
      </c>
      <c r="H49" s="226">
        <v>83.0</v>
      </c>
      <c r="I49" s="226"/>
      <c r="J49" s="230">
        <f t="shared" si="19"/>
        <v>81.5</v>
      </c>
      <c r="K49" s="232">
        <v>80.0</v>
      </c>
      <c r="L49" s="225">
        <v>85.0</v>
      </c>
      <c r="M49" s="226">
        <v>80.0</v>
      </c>
      <c r="N49" s="226"/>
      <c r="O49" s="233">
        <f t="shared" si="20"/>
        <v>82.5</v>
      </c>
      <c r="P49" s="232">
        <v>81.0</v>
      </c>
      <c r="Q49" s="225">
        <v>78.0</v>
      </c>
      <c r="R49" s="226">
        <v>80.0</v>
      </c>
      <c r="S49" s="226">
        <v>85.0</v>
      </c>
      <c r="T49" s="235">
        <f t="shared" si="21"/>
        <v>81</v>
      </c>
      <c r="U49" s="232">
        <v>85.0</v>
      </c>
      <c r="V49" s="225">
        <v>75.0</v>
      </c>
      <c r="W49" s="226">
        <v>88.0</v>
      </c>
      <c r="X49" s="226"/>
      <c r="Y49" s="236">
        <f t="shared" si="22"/>
        <v>81.5</v>
      </c>
      <c r="Z49" s="232">
        <v>82.0</v>
      </c>
      <c r="AA49" s="225">
        <v>88.0</v>
      </c>
      <c r="AB49" s="226">
        <v>86.0</v>
      </c>
      <c r="AC49" s="226">
        <v>87.0</v>
      </c>
      <c r="AD49" s="238">
        <f t="shared" si="23"/>
        <v>87</v>
      </c>
      <c r="AE49" s="232">
        <v>83.0</v>
      </c>
      <c r="AF49" s="362">
        <v>89.0</v>
      </c>
      <c r="AG49" s="240">
        <v>90.0</v>
      </c>
      <c r="AH49" s="362">
        <v>89.0</v>
      </c>
      <c r="AI49" s="239">
        <f t="shared" si="24"/>
        <v>89.33333333</v>
      </c>
      <c r="AJ49" s="362">
        <v>89.0</v>
      </c>
      <c r="AK49" s="245">
        <v>88.0</v>
      </c>
      <c r="AL49" s="245">
        <v>87.0</v>
      </c>
      <c r="AM49" s="245">
        <v>88.0</v>
      </c>
      <c r="AN49" s="243">
        <f t="shared" si="25"/>
        <v>87.66666667</v>
      </c>
      <c r="AO49" s="246">
        <v>88.0</v>
      </c>
      <c r="AP49" s="225">
        <v>83.0</v>
      </c>
      <c r="AQ49" s="226">
        <f t="shared" ref="AQ49:AR49" si="78">AP49</f>
        <v>83</v>
      </c>
      <c r="AR49" s="226">
        <f t="shared" si="78"/>
        <v>83</v>
      </c>
      <c r="AS49" s="247">
        <f t="shared" si="27"/>
        <v>83</v>
      </c>
      <c r="AT49" s="232">
        <f t="shared" si="28"/>
        <v>83</v>
      </c>
      <c r="AU49" s="248">
        <v>76.0</v>
      </c>
      <c r="AV49" s="248">
        <v>78.0</v>
      </c>
      <c r="AW49" s="248">
        <v>80.0</v>
      </c>
      <c r="AX49" s="249">
        <f t="shared" si="29"/>
        <v>78</v>
      </c>
      <c r="AY49" s="232">
        <v>80.0</v>
      </c>
      <c r="AZ49" s="225">
        <v>80.0</v>
      </c>
      <c r="BA49" s="225">
        <v>80.0</v>
      </c>
      <c r="BB49" s="226"/>
      <c r="BC49" s="250">
        <f t="shared" si="30"/>
        <v>80</v>
      </c>
      <c r="BD49" s="225">
        <v>80.0</v>
      </c>
      <c r="BE49" s="251">
        <v>87.0</v>
      </c>
      <c r="BF49" s="252">
        <v>78.0</v>
      </c>
      <c r="BG49" s="252">
        <v>79.0</v>
      </c>
      <c r="BH49" s="254">
        <f t="shared" si="31"/>
        <v>81.33333333</v>
      </c>
      <c r="BI49" s="258">
        <v>83.0</v>
      </c>
      <c r="BJ49" s="251">
        <v>80.0</v>
      </c>
      <c r="BK49" s="252">
        <v>80.0</v>
      </c>
      <c r="BL49" s="252">
        <v>80.0</v>
      </c>
      <c r="BM49" s="254">
        <f t="shared" si="32"/>
        <v>80</v>
      </c>
      <c r="BN49" s="262">
        <v>80.0</v>
      </c>
      <c r="BO49" s="251">
        <v>81.0</v>
      </c>
      <c r="BP49" s="252">
        <v>81.0</v>
      </c>
      <c r="BQ49" s="252">
        <v>80.0</v>
      </c>
      <c r="BR49" s="254">
        <f t="shared" si="33"/>
        <v>80.66666667</v>
      </c>
      <c r="BS49" s="258">
        <v>80.0</v>
      </c>
      <c r="BT49" s="225"/>
      <c r="BU49" s="226"/>
      <c r="BV49" s="226"/>
      <c r="BW49" s="266" t="str">
        <f t="shared" si="34"/>
        <v/>
      </c>
      <c r="BX49" s="232"/>
      <c r="BY49" s="225"/>
      <c r="BZ49" s="226"/>
      <c r="CA49" s="226"/>
      <c r="CB49" s="266" t="str">
        <f t="shared" si="35"/>
        <v/>
      </c>
      <c r="CC49" s="232"/>
      <c r="CD49" s="225"/>
      <c r="CE49" s="226"/>
      <c r="CF49" s="226"/>
      <c r="CG49" s="269" t="str">
        <f t="shared" si="36"/>
        <v/>
      </c>
      <c r="CH49" s="232"/>
    </row>
    <row r="50" ht="15.75" customHeight="1">
      <c r="A50" s="189">
        <f>IFERROR(__xludf.DUMMYFUNCTION("""COMPUTED_VALUE"""),46.0)</f>
        <v>46</v>
      </c>
      <c r="B50" s="193" t="str">
        <f>IFERROR(__xludf.DUMMYFUNCTION("""COMPUTED_VALUE"""),"2526100459")</f>
        <v>2526100459</v>
      </c>
      <c r="C50" s="193" t="str">
        <f>IFERROR(__xludf.DUMMYFUNCTION("""COMPUTED_VALUE"""),"3100392230")</f>
        <v>3100392230</v>
      </c>
      <c r="D50" s="195" t="str">
        <f>IFERROR(__xludf.DUMMYFUNCTION("""COMPUTED_VALUE"""),"YUDHA PRASETYO")</f>
        <v>YUDHA PRASETYO</v>
      </c>
      <c r="E50" s="193" t="str">
        <f>IFERROR(__xludf.DUMMYFUNCTION("""COMPUTED_VALUE"""),"X TO 4")</f>
        <v>X TO 4</v>
      </c>
      <c r="F50" s="193" t="s">
        <v>220</v>
      </c>
      <c r="G50" s="272">
        <v>79.0</v>
      </c>
      <c r="H50" s="275">
        <v>80.0</v>
      </c>
      <c r="I50" s="275"/>
      <c r="J50" s="230">
        <f t="shared" si="19"/>
        <v>79.5</v>
      </c>
      <c r="K50" s="276">
        <v>77.0</v>
      </c>
      <c r="L50" s="272">
        <v>85.0</v>
      </c>
      <c r="M50" s="275">
        <v>80.0</v>
      </c>
      <c r="N50" s="275"/>
      <c r="O50" s="233">
        <f t="shared" si="20"/>
        <v>82.5</v>
      </c>
      <c r="P50" s="276">
        <v>78.0</v>
      </c>
      <c r="Q50" s="272">
        <v>78.0</v>
      </c>
      <c r="R50" s="275">
        <v>78.0</v>
      </c>
      <c r="S50" s="275">
        <v>60.0</v>
      </c>
      <c r="T50" s="235">
        <f t="shared" si="21"/>
        <v>72</v>
      </c>
      <c r="U50" s="276">
        <v>75.0</v>
      </c>
      <c r="V50" s="272">
        <v>75.0</v>
      </c>
      <c r="W50" s="275">
        <v>85.0</v>
      </c>
      <c r="X50" s="275"/>
      <c r="Y50" s="236">
        <f t="shared" si="22"/>
        <v>80</v>
      </c>
      <c r="Z50" s="276">
        <v>82.0</v>
      </c>
      <c r="AA50" s="272">
        <v>81.0</v>
      </c>
      <c r="AB50" s="275">
        <v>79.0</v>
      </c>
      <c r="AC50" s="275">
        <v>80.0</v>
      </c>
      <c r="AD50" s="238">
        <f t="shared" si="23"/>
        <v>80</v>
      </c>
      <c r="AE50" s="276">
        <v>76.0</v>
      </c>
      <c r="AF50" s="362">
        <v>90.0</v>
      </c>
      <c r="AG50" s="362">
        <v>89.0</v>
      </c>
      <c r="AH50" s="362">
        <v>90.0</v>
      </c>
      <c r="AI50" s="239">
        <f t="shared" si="24"/>
        <v>89.66666667</v>
      </c>
      <c r="AJ50" s="362">
        <v>89.0</v>
      </c>
      <c r="AK50" s="245">
        <v>81.0</v>
      </c>
      <c r="AL50" s="245">
        <v>81.0</v>
      </c>
      <c r="AM50" s="245">
        <v>82.0</v>
      </c>
      <c r="AN50" s="243">
        <f t="shared" si="25"/>
        <v>81.33333333</v>
      </c>
      <c r="AO50" s="246">
        <v>75.0</v>
      </c>
      <c r="AP50" s="272">
        <v>72.0</v>
      </c>
      <c r="AQ50" s="226">
        <f t="shared" ref="AQ50:AR50" si="79">AP50</f>
        <v>72</v>
      </c>
      <c r="AR50" s="226">
        <f t="shared" si="79"/>
        <v>72</v>
      </c>
      <c r="AS50" s="247">
        <f t="shared" si="27"/>
        <v>72</v>
      </c>
      <c r="AT50" s="232">
        <f t="shared" si="28"/>
        <v>72</v>
      </c>
      <c r="AU50" s="248">
        <v>72.0</v>
      </c>
      <c r="AV50" s="248">
        <v>72.0</v>
      </c>
      <c r="AW50" s="248">
        <v>72.0</v>
      </c>
      <c r="AX50" s="249">
        <f t="shared" si="29"/>
        <v>72</v>
      </c>
      <c r="AY50" s="276">
        <v>72.0</v>
      </c>
      <c r="AZ50" s="225">
        <v>80.0</v>
      </c>
      <c r="BA50" s="225">
        <v>80.0</v>
      </c>
      <c r="BB50" s="275"/>
      <c r="BC50" s="250">
        <f t="shared" si="30"/>
        <v>80</v>
      </c>
      <c r="BD50" s="225">
        <v>80.0</v>
      </c>
      <c r="BE50" s="283">
        <v>85.0</v>
      </c>
      <c r="BF50" s="285">
        <v>0.0</v>
      </c>
      <c r="BG50" s="285">
        <v>0.0</v>
      </c>
      <c r="BH50" s="254">
        <f t="shared" si="31"/>
        <v>28.33333333</v>
      </c>
      <c r="BI50" s="286">
        <v>76.0</v>
      </c>
      <c r="BJ50" s="283">
        <v>80.0</v>
      </c>
      <c r="BK50" s="285">
        <v>80.0</v>
      </c>
      <c r="BL50" s="285">
        <v>80.0</v>
      </c>
      <c r="BM50" s="254">
        <f t="shared" si="32"/>
        <v>80</v>
      </c>
      <c r="BN50" s="287">
        <v>80.0</v>
      </c>
      <c r="BO50" s="283">
        <v>79.0</v>
      </c>
      <c r="BP50" s="285">
        <v>80.0</v>
      </c>
      <c r="BQ50" s="285">
        <v>79.0</v>
      </c>
      <c r="BR50" s="254">
        <f t="shared" si="33"/>
        <v>79.33333333</v>
      </c>
      <c r="BS50" s="286">
        <v>77.0</v>
      </c>
      <c r="BT50" s="272"/>
      <c r="BU50" s="275"/>
      <c r="BV50" s="275"/>
      <c r="BW50" s="266" t="str">
        <f t="shared" si="34"/>
        <v/>
      </c>
      <c r="BX50" s="276"/>
      <c r="BY50" s="272"/>
      <c r="BZ50" s="275"/>
      <c r="CA50" s="275"/>
      <c r="CB50" s="266" t="str">
        <f t="shared" si="35"/>
        <v/>
      </c>
      <c r="CC50" s="276"/>
      <c r="CD50" s="272"/>
      <c r="CE50" s="275"/>
      <c r="CF50" s="275"/>
      <c r="CG50" s="269" t="str">
        <f t="shared" si="36"/>
        <v/>
      </c>
      <c r="CH50" s="276"/>
    </row>
    <row r="51" ht="15.75" customHeight="1">
      <c r="A51" s="115"/>
      <c r="B51" s="119"/>
      <c r="C51" s="119"/>
      <c r="D51" s="122"/>
      <c r="E51" s="119"/>
      <c r="F51" s="119" t="s">
        <v>244</v>
      </c>
      <c r="G51" s="241"/>
      <c r="H51" s="234"/>
      <c r="I51" s="234"/>
      <c r="J51" s="230" t="str">
        <f t="shared" si="19"/>
        <v/>
      </c>
      <c r="K51" s="232"/>
      <c r="L51" s="241"/>
      <c r="M51" s="234"/>
      <c r="N51" s="234"/>
      <c r="O51" s="233" t="str">
        <f t="shared" si="20"/>
        <v/>
      </c>
      <c r="P51" s="232"/>
      <c r="Q51" s="241"/>
      <c r="R51" s="234"/>
      <c r="S51" s="234"/>
      <c r="T51" s="235" t="str">
        <f t="shared" si="21"/>
        <v/>
      </c>
      <c r="U51" s="232"/>
      <c r="V51" s="241"/>
      <c r="W51" s="234"/>
      <c r="X51" s="234"/>
      <c r="Y51" s="236" t="str">
        <f t="shared" si="22"/>
        <v/>
      </c>
      <c r="Z51" s="232"/>
      <c r="AA51" s="241"/>
      <c r="AB51" s="234"/>
      <c r="AC51" s="234"/>
      <c r="AD51" s="238" t="str">
        <f t="shared" si="23"/>
        <v/>
      </c>
      <c r="AE51" s="232"/>
      <c r="AF51" s="241"/>
      <c r="AG51" s="234"/>
      <c r="AH51" s="234"/>
      <c r="AI51" s="239" t="str">
        <f t="shared" si="24"/>
        <v/>
      </c>
      <c r="AJ51" s="232"/>
      <c r="AK51" s="241"/>
      <c r="AL51" s="234"/>
      <c r="AM51" s="234"/>
      <c r="AN51" s="243" t="str">
        <f t="shared" si="25"/>
        <v/>
      </c>
      <c r="AO51" s="232"/>
      <c r="AP51" s="241"/>
      <c r="AQ51" s="234"/>
      <c r="AR51" s="234"/>
      <c r="AS51" s="247" t="str">
        <f t="shared" si="27"/>
        <v/>
      </c>
      <c r="AT51" s="232"/>
      <c r="AU51" s="241"/>
      <c r="AV51" s="234"/>
      <c r="AW51" s="234"/>
      <c r="AX51" s="249" t="str">
        <f t="shared" si="29"/>
        <v/>
      </c>
      <c r="AY51" s="232"/>
      <c r="AZ51" s="241"/>
      <c r="BA51" s="234"/>
      <c r="BB51" s="234"/>
      <c r="BC51" s="250" t="str">
        <f t="shared" si="30"/>
        <v/>
      </c>
      <c r="BD51" s="232"/>
      <c r="BE51" s="256"/>
      <c r="BF51" s="257"/>
      <c r="BG51" s="257"/>
      <c r="BH51" s="254" t="str">
        <f t="shared" si="31"/>
        <v/>
      </c>
      <c r="BI51" s="258"/>
      <c r="BJ51" s="256"/>
      <c r="BK51" s="257"/>
      <c r="BL51" s="257"/>
      <c r="BM51" s="254" t="str">
        <f t="shared" si="32"/>
        <v/>
      </c>
      <c r="BN51" s="258"/>
      <c r="BO51" s="256"/>
      <c r="BP51" s="257"/>
      <c r="BQ51" s="257"/>
      <c r="BR51" s="254" t="str">
        <f t="shared" si="33"/>
        <v/>
      </c>
      <c r="BS51" s="258"/>
      <c r="BT51" s="241"/>
      <c r="BU51" s="234"/>
      <c r="BV51" s="234"/>
      <c r="BW51" s="266" t="str">
        <f t="shared" si="34"/>
        <v/>
      </c>
      <c r="BX51" s="232"/>
      <c r="BY51" s="241"/>
      <c r="BZ51" s="234"/>
      <c r="CA51" s="234"/>
      <c r="CB51" s="266" t="str">
        <f t="shared" si="35"/>
        <v/>
      </c>
      <c r="CC51" s="232"/>
      <c r="CD51" s="241"/>
      <c r="CE51" s="234"/>
      <c r="CF51" s="234"/>
      <c r="CG51" s="269" t="str">
        <f t="shared" si="36"/>
        <v/>
      </c>
      <c r="CH51" s="232"/>
    </row>
    <row r="52" ht="15.75" customHeight="1">
      <c r="A52" s="189"/>
      <c r="B52" s="193"/>
      <c r="C52" s="193"/>
      <c r="D52" s="195"/>
      <c r="E52" s="193"/>
      <c r="F52" s="193" t="s">
        <v>244</v>
      </c>
      <c r="G52" s="278"/>
      <c r="H52" s="273"/>
      <c r="I52" s="273"/>
      <c r="J52" s="230" t="str">
        <f t="shared" si="19"/>
        <v/>
      </c>
      <c r="K52" s="276"/>
      <c r="L52" s="278"/>
      <c r="M52" s="273"/>
      <c r="N52" s="273"/>
      <c r="O52" s="233" t="str">
        <f t="shared" si="20"/>
        <v/>
      </c>
      <c r="P52" s="276"/>
      <c r="Q52" s="278"/>
      <c r="R52" s="273"/>
      <c r="S52" s="273"/>
      <c r="T52" s="235" t="str">
        <f t="shared" si="21"/>
        <v/>
      </c>
      <c r="U52" s="276"/>
      <c r="V52" s="278"/>
      <c r="W52" s="273"/>
      <c r="X52" s="273"/>
      <c r="Y52" s="236" t="str">
        <f t="shared" si="22"/>
        <v/>
      </c>
      <c r="Z52" s="276"/>
      <c r="AA52" s="278"/>
      <c r="AB52" s="273"/>
      <c r="AC52" s="273"/>
      <c r="AD52" s="238" t="str">
        <f t="shared" si="23"/>
        <v/>
      </c>
      <c r="AE52" s="276"/>
      <c r="AF52" s="278"/>
      <c r="AG52" s="273"/>
      <c r="AH52" s="273"/>
      <c r="AI52" s="239" t="str">
        <f t="shared" si="24"/>
        <v/>
      </c>
      <c r="AJ52" s="276"/>
      <c r="AK52" s="278"/>
      <c r="AL52" s="273"/>
      <c r="AM52" s="273"/>
      <c r="AN52" s="243" t="str">
        <f t="shared" si="25"/>
        <v/>
      </c>
      <c r="AO52" s="276"/>
      <c r="AP52" s="278"/>
      <c r="AQ52" s="273"/>
      <c r="AR52" s="273"/>
      <c r="AS52" s="247" t="str">
        <f t="shared" si="27"/>
        <v/>
      </c>
      <c r="AT52" s="276"/>
      <c r="AU52" s="278"/>
      <c r="AV52" s="273"/>
      <c r="AW52" s="273"/>
      <c r="AX52" s="249" t="str">
        <f t="shared" si="29"/>
        <v/>
      </c>
      <c r="AY52" s="276"/>
      <c r="AZ52" s="278"/>
      <c r="BA52" s="273"/>
      <c r="BB52" s="273"/>
      <c r="BC52" s="250" t="str">
        <f t="shared" si="30"/>
        <v/>
      </c>
      <c r="BD52" s="276"/>
      <c r="BE52" s="281"/>
      <c r="BF52" s="282"/>
      <c r="BG52" s="282"/>
      <c r="BH52" s="254" t="str">
        <f t="shared" si="31"/>
        <v/>
      </c>
      <c r="BI52" s="286"/>
      <c r="BJ52" s="281"/>
      <c r="BK52" s="282"/>
      <c r="BL52" s="282"/>
      <c r="BM52" s="254" t="str">
        <f t="shared" si="32"/>
        <v/>
      </c>
      <c r="BN52" s="286"/>
      <c r="BO52" s="281"/>
      <c r="BP52" s="282"/>
      <c r="BQ52" s="282"/>
      <c r="BR52" s="254" t="str">
        <f t="shared" si="33"/>
        <v/>
      </c>
      <c r="BS52" s="286"/>
      <c r="BT52" s="278"/>
      <c r="BU52" s="273"/>
      <c r="BV52" s="273"/>
      <c r="BW52" s="266" t="str">
        <f t="shared" si="34"/>
        <v/>
      </c>
      <c r="BX52" s="276"/>
      <c r="BY52" s="278"/>
      <c r="BZ52" s="273"/>
      <c r="CA52" s="273"/>
      <c r="CB52" s="266" t="str">
        <f t="shared" si="35"/>
        <v/>
      </c>
      <c r="CC52" s="276"/>
      <c r="CD52" s="278"/>
      <c r="CE52" s="273"/>
      <c r="CF52" s="273"/>
      <c r="CG52" s="269" t="str">
        <f t="shared" si="36"/>
        <v/>
      </c>
      <c r="CH52" s="276"/>
    </row>
    <row r="53" ht="15.75" customHeight="1">
      <c r="A53" s="115"/>
      <c r="B53" s="119"/>
      <c r="C53" s="119"/>
      <c r="D53" s="122"/>
      <c r="E53" s="119"/>
      <c r="F53" s="119" t="s">
        <v>244</v>
      </c>
      <c r="G53" s="241"/>
      <c r="H53" s="234"/>
      <c r="I53" s="234"/>
      <c r="J53" s="230" t="str">
        <f t="shared" si="19"/>
        <v/>
      </c>
      <c r="K53" s="232"/>
      <c r="L53" s="241"/>
      <c r="M53" s="234"/>
      <c r="N53" s="234"/>
      <c r="O53" s="233" t="str">
        <f t="shared" si="20"/>
        <v/>
      </c>
      <c r="P53" s="232"/>
      <c r="Q53" s="241"/>
      <c r="R53" s="234"/>
      <c r="S53" s="234"/>
      <c r="T53" s="235" t="str">
        <f t="shared" si="21"/>
        <v/>
      </c>
      <c r="U53" s="232"/>
      <c r="V53" s="241"/>
      <c r="W53" s="234"/>
      <c r="X53" s="234"/>
      <c r="Y53" s="236" t="str">
        <f t="shared" si="22"/>
        <v/>
      </c>
      <c r="Z53" s="232"/>
      <c r="AA53" s="241"/>
      <c r="AB53" s="234"/>
      <c r="AC53" s="234"/>
      <c r="AD53" s="238" t="str">
        <f t="shared" si="23"/>
        <v/>
      </c>
      <c r="AE53" s="232"/>
      <c r="AF53" s="241"/>
      <c r="AG53" s="234"/>
      <c r="AH53" s="234"/>
      <c r="AI53" s="239" t="str">
        <f t="shared" si="24"/>
        <v/>
      </c>
      <c r="AJ53" s="232"/>
      <c r="AK53" s="241"/>
      <c r="AL53" s="234"/>
      <c r="AM53" s="234"/>
      <c r="AN53" s="243" t="str">
        <f t="shared" si="25"/>
        <v/>
      </c>
      <c r="AO53" s="232"/>
      <c r="AP53" s="241"/>
      <c r="AQ53" s="234"/>
      <c r="AR53" s="234"/>
      <c r="AS53" s="247" t="str">
        <f t="shared" si="27"/>
        <v/>
      </c>
      <c r="AT53" s="232"/>
      <c r="AU53" s="241"/>
      <c r="AV53" s="234"/>
      <c r="AW53" s="234"/>
      <c r="AX53" s="249" t="str">
        <f t="shared" si="29"/>
        <v/>
      </c>
      <c r="AY53" s="232"/>
      <c r="AZ53" s="241"/>
      <c r="BA53" s="234"/>
      <c r="BB53" s="234"/>
      <c r="BC53" s="250" t="str">
        <f t="shared" si="30"/>
        <v/>
      </c>
      <c r="BD53" s="232"/>
      <c r="BE53" s="256"/>
      <c r="BF53" s="257"/>
      <c r="BG53" s="257"/>
      <c r="BH53" s="254" t="str">
        <f t="shared" si="31"/>
        <v/>
      </c>
      <c r="BI53" s="258"/>
      <c r="BJ53" s="256"/>
      <c r="BK53" s="257"/>
      <c r="BL53" s="257"/>
      <c r="BM53" s="254" t="str">
        <f t="shared" si="32"/>
        <v/>
      </c>
      <c r="BN53" s="258"/>
      <c r="BO53" s="256"/>
      <c r="BP53" s="257"/>
      <c r="BQ53" s="257"/>
      <c r="BR53" s="254" t="str">
        <f t="shared" si="33"/>
        <v/>
      </c>
      <c r="BS53" s="258"/>
      <c r="BT53" s="241"/>
      <c r="BU53" s="234"/>
      <c r="BV53" s="234"/>
      <c r="BW53" s="266" t="str">
        <f t="shared" si="34"/>
        <v/>
      </c>
      <c r="BX53" s="232"/>
      <c r="BY53" s="241"/>
      <c r="BZ53" s="234"/>
      <c r="CA53" s="234"/>
      <c r="CB53" s="266" t="str">
        <f t="shared" si="35"/>
        <v/>
      </c>
      <c r="CC53" s="232"/>
      <c r="CD53" s="241"/>
      <c r="CE53" s="234"/>
      <c r="CF53" s="234"/>
      <c r="CG53" s="269" t="str">
        <f t="shared" si="36"/>
        <v/>
      </c>
      <c r="CH53" s="232"/>
    </row>
    <row r="54" ht="15.75" customHeight="1">
      <c r="A54" s="369"/>
      <c r="B54" s="371"/>
      <c r="C54" s="371"/>
      <c r="D54" s="372"/>
      <c r="E54" s="371"/>
      <c r="F54" s="371" t="s">
        <v>244</v>
      </c>
      <c r="G54" s="374"/>
      <c r="H54" s="375"/>
      <c r="I54" s="375"/>
      <c r="J54" s="376"/>
      <c r="K54" s="377"/>
      <c r="L54" s="374"/>
      <c r="M54" s="375"/>
      <c r="N54" s="375"/>
      <c r="O54" s="379"/>
      <c r="P54" s="377"/>
      <c r="Q54" s="374"/>
      <c r="R54" s="375"/>
      <c r="S54" s="375"/>
      <c r="T54" s="381"/>
      <c r="U54" s="377"/>
      <c r="V54" s="374"/>
      <c r="W54" s="375"/>
      <c r="X54" s="375"/>
      <c r="Y54" s="383" t="str">
        <f t="shared" si="22"/>
        <v/>
      </c>
      <c r="Z54" s="377"/>
      <c r="AA54" s="374"/>
      <c r="AB54" s="375"/>
      <c r="AC54" s="375"/>
      <c r="AD54" s="384" t="str">
        <f t="shared" si="23"/>
        <v/>
      </c>
      <c r="AE54" s="377"/>
      <c r="AF54" s="374"/>
      <c r="AG54" s="375"/>
      <c r="AH54" s="375"/>
      <c r="AI54" s="385"/>
      <c r="AJ54" s="377"/>
      <c r="AK54" s="374"/>
      <c r="AL54" s="375"/>
      <c r="AM54" s="375"/>
      <c r="AN54" s="386"/>
      <c r="AO54" s="377"/>
      <c r="AP54" s="374"/>
      <c r="AQ54" s="375"/>
      <c r="AR54" s="375"/>
      <c r="AS54" s="387"/>
      <c r="AT54" s="377"/>
      <c r="AU54" s="374"/>
      <c r="AV54" s="375"/>
      <c r="AW54" s="375"/>
      <c r="AX54" s="388"/>
      <c r="AY54" s="377"/>
      <c r="AZ54" s="374"/>
      <c r="BA54" s="375"/>
      <c r="BB54" s="375"/>
      <c r="BC54" s="390"/>
      <c r="BD54" s="377"/>
      <c r="BE54" s="391"/>
      <c r="BF54" s="392"/>
      <c r="BG54" s="392"/>
      <c r="BH54" s="394"/>
      <c r="BI54" s="473"/>
      <c r="BJ54" s="391"/>
      <c r="BK54" s="392"/>
      <c r="BL54" s="392"/>
      <c r="BM54" s="394"/>
      <c r="BN54" s="473"/>
      <c r="BO54" s="391"/>
      <c r="BP54" s="392"/>
      <c r="BQ54" s="392"/>
      <c r="BR54" s="394"/>
      <c r="BS54" s="473"/>
      <c r="BT54" s="374"/>
      <c r="BU54" s="375"/>
      <c r="BV54" s="375"/>
      <c r="BW54" s="266" t="str">
        <f t="shared" si="34"/>
        <v/>
      </c>
      <c r="BX54" s="377"/>
      <c r="BY54" s="374"/>
      <c r="BZ54" s="375"/>
      <c r="CA54" s="375"/>
      <c r="CB54" s="398"/>
      <c r="CC54" s="377"/>
      <c r="CD54" s="374"/>
      <c r="CE54" s="375"/>
      <c r="CF54" s="375"/>
      <c r="CG54" s="399"/>
      <c r="CH54" s="377"/>
    </row>
  </sheetData>
  <customSheetViews>
    <customSheetView guid="{79EE3C4A-0945-4681-9057-27B392D1B277}" filter="1" showAutoFilter="1">
      <autoFilter ref="$A$3:$A$5"/>
    </customSheetView>
  </customSheetViews>
  <mergeCells count="18">
    <mergeCell ref="A3:A4"/>
    <mergeCell ref="B3:B4"/>
    <mergeCell ref="C3:C4"/>
    <mergeCell ref="D3:D4"/>
    <mergeCell ref="E3:E4"/>
    <mergeCell ref="F3:F4"/>
    <mergeCell ref="R3:T3"/>
    <mergeCell ref="BK3:BM3"/>
    <mergeCell ref="BP3:BR3"/>
    <mergeCell ref="BU3:BW3"/>
    <mergeCell ref="CE3:CG3"/>
    <mergeCell ref="AB3:AD3"/>
    <mergeCell ref="AG3:AI3"/>
    <mergeCell ref="AL3:AN3"/>
    <mergeCell ref="AQ3:AS3"/>
    <mergeCell ref="AV3:AX3"/>
    <mergeCell ref="BA3:BC3"/>
    <mergeCell ref="BF3:BH3"/>
  </mergeCells>
  <conditionalFormatting sqref="G5:I54 K5:N54 P5:S54 U5:X54 Z5:AC54 AE5:AH54 AJ5:AM54 AO5:AR54 AT5:AW54 AY5:BB54 BD5:BG54 BI5:BL54 BN5:BV54 BX5:CA54 CC5:CF54 CH5:CH54">
    <cfRule type="cellIs" dxfId="1" priority="1" operator="lessThan">
      <formula>72</formula>
    </cfRule>
  </conditionalFormatting>
  <printOptions/>
  <pageMargins bottom="0.0" footer="0.0" header="0.0" left="0.5118110236220472" right="0.0" top="0.2362204724409449"/>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1" t="s">
        <v>29</v>
      </c>
      <c r="C1" s="1" t="s">
        <v>1</v>
      </c>
      <c r="D1" s="1" t="s">
        <v>2</v>
      </c>
      <c r="E1" s="1" t="s">
        <v>35</v>
      </c>
      <c r="F1" s="1" t="s">
        <v>4</v>
      </c>
      <c r="G1" s="1" t="s">
        <v>5</v>
      </c>
      <c r="H1" s="1" t="s">
        <v>39</v>
      </c>
      <c r="I1" s="3" t="s">
        <v>41</v>
      </c>
      <c r="J1" s="3" t="s">
        <v>51</v>
      </c>
      <c r="K1" s="3" t="s">
        <v>6</v>
      </c>
      <c r="L1" s="3" t="s">
        <v>7</v>
      </c>
      <c r="M1" s="3" t="s">
        <v>55</v>
      </c>
      <c r="N1" s="3" t="s">
        <v>58</v>
      </c>
      <c r="O1" s="3" t="s">
        <v>60</v>
      </c>
      <c r="P1" s="3" t="s">
        <v>8</v>
      </c>
      <c r="Q1" s="3" t="s">
        <v>9</v>
      </c>
      <c r="R1" s="3" t="s">
        <v>65</v>
      </c>
      <c r="S1" s="3" t="s">
        <v>67</v>
      </c>
      <c r="T1" s="3" t="s">
        <v>69</v>
      </c>
      <c r="U1" s="3" t="s">
        <v>10</v>
      </c>
      <c r="V1" s="3" t="s">
        <v>11</v>
      </c>
      <c r="W1" s="3" t="s">
        <v>74</v>
      </c>
      <c r="X1" s="3" t="s">
        <v>78</v>
      </c>
      <c r="Y1" s="3" t="s">
        <v>80</v>
      </c>
      <c r="Z1" s="3" t="s">
        <v>12</v>
      </c>
      <c r="AA1" s="3" t="s">
        <v>13</v>
      </c>
      <c r="AB1" s="3" t="s">
        <v>85</v>
      </c>
      <c r="AC1" s="3" t="s">
        <v>87</v>
      </c>
      <c r="AD1" s="3" t="s">
        <v>89</v>
      </c>
      <c r="AE1" s="3" t="s">
        <v>14</v>
      </c>
      <c r="AF1" s="3" t="s">
        <v>15</v>
      </c>
      <c r="AG1" s="3" t="s">
        <v>93</v>
      </c>
      <c r="AH1" s="3" t="s">
        <v>95</v>
      </c>
      <c r="AI1" s="3" t="s">
        <v>97</v>
      </c>
      <c r="AJ1" s="3" t="s">
        <v>16</v>
      </c>
      <c r="AK1" s="3" t="s">
        <v>17</v>
      </c>
      <c r="AL1" s="3" t="s">
        <v>101</v>
      </c>
      <c r="AM1" s="3" t="s">
        <v>102</v>
      </c>
      <c r="AN1" s="3" t="s">
        <v>103</v>
      </c>
      <c r="AO1" s="3" t="s">
        <v>18</v>
      </c>
      <c r="AP1" s="3" t="s">
        <v>19</v>
      </c>
      <c r="AQ1" s="3" t="s">
        <v>104</v>
      </c>
      <c r="AR1" s="3" t="s">
        <v>105</v>
      </c>
      <c r="AS1" s="3" t="s">
        <v>106</v>
      </c>
      <c r="AT1" s="3" t="s">
        <v>20</v>
      </c>
      <c r="AU1" s="3" t="s">
        <v>21</v>
      </c>
      <c r="AV1" s="3" t="s">
        <v>107</v>
      </c>
      <c r="AW1" s="3" t="s">
        <v>108</v>
      </c>
      <c r="AX1" s="3" t="s">
        <v>109</v>
      </c>
      <c r="AY1" s="3" t="s">
        <v>22</v>
      </c>
      <c r="AZ1" s="3" t="s">
        <v>23</v>
      </c>
      <c r="BA1" s="3" t="s">
        <v>110</v>
      </c>
      <c r="BB1" s="3" t="s">
        <v>111</v>
      </c>
      <c r="BC1" s="3" t="s">
        <v>112</v>
      </c>
      <c r="BD1" s="3" t="s">
        <v>24</v>
      </c>
      <c r="BE1" s="2" t="s">
        <v>25</v>
      </c>
      <c r="BF1" s="2" t="s">
        <v>113</v>
      </c>
      <c r="BG1" s="2" t="s">
        <v>114</v>
      </c>
      <c r="BH1" s="2" t="s">
        <v>115</v>
      </c>
      <c r="BI1" s="2" t="s">
        <v>26</v>
      </c>
      <c r="BJ1" s="2" t="s">
        <v>27</v>
      </c>
      <c r="BK1" s="2" t="s">
        <v>116</v>
      </c>
      <c r="BL1" s="2" t="s">
        <v>117</v>
      </c>
      <c r="BM1" s="2" t="s">
        <v>118</v>
      </c>
      <c r="BN1" s="2" t="s">
        <v>28</v>
      </c>
      <c r="BO1" s="2" t="s">
        <v>30</v>
      </c>
      <c r="BP1" s="2" t="s">
        <v>119</v>
      </c>
      <c r="BQ1" s="2" t="s">
        <v>120</v>
      </c>
      <c r="BR1" s="2" t="s">
        <v>121</v>
      </c>
      <c r="BS1" s="2" t="s">
        <v>31</v>
      </c>
      <c r="BT1" s="2" t="s">
        <v>32</v>
      </c>
      <c r="BU1" s="2" t="s">
        <v>122</v>
      </c>
      <c r="BV1" s="2" t="s">
        <v>123</v>
      </c>
      <c r="BW1" s="2" t="s">
        <v>124</v>
      </c>
      <c r="BX1" s="2" t="s">
        <v>33</v>
      </c>
      <c r="BY1" s="2" t="s">
        <v>34</v>
      </c>
      <c r="BZ1" s="2" t="s">
        <v>125</v>
      </c>
      <c r="CA1" s="2" t="s">
        <v>126</v>
      </c>
      <c r="CB1" s="2" t="s">
        <v>127</v>
      </c>
      <c r="CC1" s="2" t="s">
        <v>36</v>
      </c>
      <c r="CD1" s="2" t="s">
        <v>37</v>
      </c>
    </row>
    <row r="2">
      <c r="A2" s="2" t="s">
        <v>0</v>
      </c>
      <c r="B2" s="1" t="s">
        <v>29</v>
      </c>
      <c r="C2" s="1" t="s">
        <v>1</v>
      </c>
      <c r="D2" s="1" t="s">
        <v>2</v>
      </c>
      <c r="E2" s="1" t="s">
        <v>35</v>
      </c>
      <c r="F2" s="1" t="s">
        <v>4</v>
      </c>
      <c r="G2" s="1" t="s">
        <v>5</v>
      </c>
      <c r="H2" s="1" t="s">
        <v>128</v>
      </c>
      <c r="I2" s="1" t="s">
        <v>52</v>
      </c>
      <c r="M2" s="1" t="s">
        <v>129</v>
      </c>
      <c r="N2" s="3" t="s">
        <v>54</v>
      </c>
      <c r="R2" s="3" t="s">
        <v>130</v>
      </c>
      <c r="S2" s="3" t="s">
        <v>57</v>
      </c>
      <c r="W2" s="3" t="s">
        <v>131</v>
      </c>
      <c r="X2" s="3" t="s">
        <v>61</v>
      </c>
      <c r="AB2" s="3" t="s">
        <v>132</v>
      </c>
      <c r="AC2" s="3" t="s">
        <v>63</v>
      </c>
      <c r="AG2" s="3" t="s">
        <v>133</v>
      </c>
      <c r="AH2" s="3" t="s">
        <v>66</v>
      </c>
      <c r="AL2" s="3" t="s">
        <v>134</v>
      </c>
      <c r="AM2" s="3" t="s">
        <v>70</v>
      </c>
      <c r="AQ2" s="3" t="s">
        <v>136</v>
      </c>
      <c r="AR2" s="3" t="s">
        <v>137</v>
      </c>
      <c r="AV2" s="3" t="s">
        <v>138</v>
      </c>
      <c r="AW2" s="3" t="s">
        <v>75</v>
      </c>
      <c r="BA2" s="3" t="s">
        <v>139</v>
      </c>
      <c r="BB2" s="3" t="s">
        <v>77</v>
      </c>
      <c r="BF2" s="3" t="s">
        <v>140</v>
      </c>
      <c r="BG2" s="3" t="s">
        <v>81</v>
      </c>
      <c r="BK2" s="2" t="s">
        <v>141</v>
      </c>
      <c r="BL2" s="2" t="s">
        <v>83</v>
      </c>
      <c r="BP2" s="2" t="s">
        <v>142</v>
      </c>
      <c r="BQ2" s="2" t="s">
        <v>86</v>
      </c>
      <c r="BU2" s="2" t="s">
        <v>144</v>
      </c>
      <c r="BV2" s="2" t="s">
        <v>90</v>
      </c>
      <c r="BZ2" s="2" t="s">
        <v>147</v>
      </c>
      <c r="CA2" s="2" t="s">
        <v>92</v>
      </c>
    </row>
    <row r="3">
      <c r="H3" s="1" t="s">
        <v>148</v>
      </c>
      <c r="I3" s="3" t="s">
        <v>149</v>
      </c>
      <c r="J3" s="3" t="s">
        <v>151</v>
      </c>
      <c r="K3" s="3" t="s">
        <v>152</v>
      </c>
      <c r="L3" s="3" t="s">
        <v>153</v>
      </c>
      <c r="M3" s="3" t="s">
        <v>148</v>
      </c>
      <c r="N3" s="3" t="s">
        <v>149</v>
      </c>
      <c r="O3" s="3" t="s">
        <v>151</v>
      </c>
      <c r="P3" s="3" t="s">
        <v>152</v>
      </c>
      <c r="Q3" s="3" t="s">
        <v>153</v>
      </c>
      <c r="R3" s="3" t="s">
        <v>148</v>
      </c>
      <c r="S3" s="3" t="s">
        <v>149</v>
      </c>
      <c r="T3" s="3" t="s">
        <v>151</v>
      </c>
      <c r="U3" s="3" t="s">
        <v>152</v>
      </c>
      <c r="V3" s="3" t="s">
        <v>153</v>
      </c>
      <c r="W3" s="3" t="s">
        <v>148</v>
      </c>
      <c r="X3" s="3" t="s">
        <v>149</v>
      </c>
      <c r="Y3" s="3" t="s">
        <v>151</v>
      </c>
      <c r="Z3" s="3" t="s">
        <v>152</v>
      </c>
      <c r="AA3" s="3" t="s">
        <v>153</v>
      </c>
      <c r="AB3" s="3" t="s">
        <v>148</v>
      </c>
      <c r="AC3" s="3" t="s">
        <v>149</v>
      </c>
      <c r="AD3" s="3" t="s">
        <v>151</v>
      </c>
      <c r="AE3" s="3" t="s">
        <v>152</v>
      </c>
      <c r="AF3" s="3" t="s">
        <v>153</v>
      </c>
      <c r="AG3" s="3" t="s">
        <v>148</v>
      </c>
      <c r="AH3" s="3" t="s">
        <v>149</v>
      </c>
      <c r="AI3" s="3" t="s">
        <v>151</v>
      </c>
      <c r="AJ3" s="3" t="s">
        <v>152</v>
      </c>
      <c r="AK3" s="3" t="s">
        <v>153</v>
      </c>
      <c r="AL3" s="3" t="s">
        <v>148</v>
      </c>
      <c r="AM3" s="3" t="s">
        <v>149</v>
      </c>
      <c r="AN3" s="3" t="s">
        <v>151</v>
      </c>
      <c r="AO3" s="3" t="s">
        <v>152</v>
      </c>
      <c r="AP3" s="3" t="s">
        <v>153</v>
      </c>
      <c r="AQ3" s="3" t="s">
        <v>148</v>
      </c>
      <c r="AR3" s="3" t="s">
        <v>149</v>
      </c>
      <c r="AS3" s="3" t="s">
        <v>151</v>
      </c>
      <c r="AT3" s="3" t="s">
        <v>152</v>
      </c>
      <c r="AU3" s="3" t="s">
        <v>153</v>
      </c>
      <c r="AV3" s="3" t="s">
        <v>148</v>
      </c>
      <c r="AW3" s="3" t="s">
        <v>149</v>
      </c>
      <c r="AX3" s="3" t="s">
        <v>151</v>
      </c>
      <c r="AY3" s="3" t="s">
        <v>152</v>
      </c>
      <c r="AZ3" s="3" t="s">
        <v>153</v>
      </c>
      <c r="BA3" s="3" t="s">
        <v>148</v>
      </c>
      <c r="BB3" s="3" t="s">
        <v>149</v>
      </c>
      <c r="BC3" s="3" t="s">
        <v>151</v>
      </c>
      <c r="BD3" s="3" t="s">
        <v>152</v>
      </c>
      <c r="BE3" s="2" t="s">
        <v>153</v>
      </c>
      <c r="BF3" s="2" t="s">
        <v>148</v>
      </c>
      <c r="BG3" s="2" t="s">
        <v>149</v>
      </c>
      <c r="BH3" s="2" t="s">
        <v>151</v>
      </c>
      <c r="BI3" s="2" t="s">
        <v>152</v>
      </c>
      <c r="BJ3" s="2" t="s">
        <v>153</v>
      </c>
      <c r="BK3" s="2" t="s">
        <v>148</v>
      </c>
      <c r="BL3" s="2" t="s">
        <v>149</v>
      </c>
      <c r="BM3" s="2" t="s">
        <v>151</v>
      </c>
      <c r="BN3" s="2" t="s">
        <v>152</v>
      </c>
      <c r="BO3" s="2" t="s">
        <v>153</v>
      </c>
      <c r="BP3" s="2" t="s">
        <v>148</v>
      </c>
      <c r="BQ3" s="2" t="s">
        <v>149</v>
      </c>
      <c r="BR3" s="2" t="s">
        <v>151</v>
      </c>
      <c r="BS3" s="2" t="s">
        <v>152</v>
      </c>
      <c r="BT3" s="2" t="s">
        <v>153</v>
      </c>
      <c r="BU3" s="2" t="s">
        <v>148</v>
      </c>
      <c r="BV3" s="2" t="s">
        <v>149</v>
      </c>
      <c r="BW3" s="2" t="s">
        <v>151</v>
      </c>
      <c r="BX3" s="2" t="s">
        <v>152</v>
      </c>
      <c r="BY3" s="2" t="s">
        <v>153</v>
      </c>
      <c r="BZ3" s="2" t="s">
        <v>148</v>
      </c>
      <c r="CA3" s="2" t="s">
        <v>149</v>
      </c>
      <c r="CB3" s="2" t="s">
        <v>151</v>
      </c>
      <c r="CC3" s="2" t="s">
        <v>152</v>
      </c>
      <c r="CD3" s="2" t="s">
        <v>153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30</v>
      </c>
      <c r="AE1" s="1" t="s">
        <v>31</v>
      </c>
      <c r="AF1" s="1" t="s">
        <v>32</v>
      </c>
      <c r="AG1" s="1" t="s">
        <v>33</v>
      </c>
      <c r="AH1" s="1" t="s">
        <v>34</v>
      </c>
      <c r="AI1" s="1" t="s">
        <v>36</v>
      </c>
      <c r="AJ1" s="1" t="s">
        <v>37</v>
      </c>
      <c r="AO1" s="2" t="s">
        <v>38</v>
      </c>
      <c r="AP1" s="2" t="s">
        <v>40</v>
      </c>
      <c r="AQ1" s="2" t="s">
        <v>42</v>
      </c>
      <c r="AR1" s="2" t="s">
        <v>43</v>
      </c>
      <c r="AS1" s="2" t="s">
        <v>44</v>
      </c>
      <c r="AT1" s="2" t="s">
        <v>45</v>
      </c>
      <c r="AU1" s="2" t="s">
        <v>46</v>
      </c>
      <c r="AV1" s="2" t="s">
        <v>47</v>
      </c>
      <c r="AW1" s="2" t="s">
        <v>48</v>
      </c>
      <c r="AX1" s="2" t="s">
        <v>49</v>
      </c>
      <c r="AY1" s="2" t="s">
        <v>50</v>
      </c>
    </row>
    <row r="2">
      <c r="A2" s="1" t="s">
        <v>0</v>
      </c>
      <c r="B2" s="1" t="s">
        <v>1</v>
      </c>
      <c r="C2" s="1" t="s">
        <v>2</v>
      </c>
      <c r="D2" s="1" t="s">
        <v>3</v>
      </c>
      <c r="E2" s="1" t="s">
        <v>4</v>
      </c>
      <c r="F2" s="1" t="s">
        <v>5</v>
      </c>
      <c r="G2" s="2" t="s">
        <v>52</v>
      </c>
      <c r="H2" s="2" t="s">
        <v>53</v>
      </c>
      <c r="I2" s="2" t="s">
        <v>54</v>
      </c>
      <c r="J2" s="2" t="s">
        <v>56</v>
      </c>
      <c r="K2" s="2" t="s">
        <v>57</v>
      </c>
      <c r="L2" s="2" t="s">
        <v>59</v>
      </c>
      <c r="M2" s="2" t="s">
        <v>61</v>
      </c>
      <c r="N2" s="2" t="s">
        <v>62</v>
      </c>
      <c r="O2" s="2" t="s">
        <v>63</v>
      </c>
      <c r="P2" s="2" t="s">
        <v>64</v>
      </c>
      <c r="Q2" s="2" t="s">
        <v>66</v>
      </c>
      <c r="R2" s="2" t="s">
        <v>68</v>
      </c>
      <c r="S2" s="2" t="s">
        <v>70</v>
      </c>
      <c r="T2" s="2" t="s">
        <v>71</v>
      </c>
      <c r="U2" s="2" t="s">
        <v>72</v>
      </c>
      <c r="V2" s="2" t="s">
        <v>73</v>
      </c>
      <c r="W2" s="2" t="s">
        <v>75</v>
      </c>
      <c r="X2" s="2" t="s">
        <v>76</v>
      </c>
      <c r="Y2" s="2" t="s">
        <v>77</v>
      </c>
      <c r="Z2" s="2" t="s">
        <v>79</v>
      </c>
      <c r="AA2" s="2" t="s">
        <v>81</v>
      </c>
      <c r="AB2" s="2" t="s">
        <v>82</v>
      </c>
      <c r="AC2" s="2" t="s">
        <v>83</v>
      </c>
      <c r="AD2" s="2" t="s">
        <v>84</v>
      </c>
      <c r="AE2" s="2" t="s">
        <v>86</v>
      </c>
      <c r="AF2" s="2" t="s">
        <v>88</v>
      </c>
      <c r="AG2" s="2" t="s">
        <v>90</v>
      </c>
      <c r="AH2" s="2" t="s">
        <v>91</v>
      </c>
      <c r="AI2" s="2" t="s">
        <v>92</v>
      </c>
      <c r="AJ2" s="2" t="s">
        <v>94</v>
      </c>
      <c r="AK2" s="2" t="s">
        <v>96</v>
      </c>
      <c r="AL2" s="2" t="s">
        <v>98</v>
      </c>
      <c r="AM2" s="2" t="s">
        <v>99</v>
      </c>
      <c r="AN2" s="2" t="s">
        <v>100</v>
      </c>
      <c r="AO2" s="2" t="s">
        <v>38</v>
      </c>
      <c r="AP2" s="2" t="s">
        <v>40</v>
      </c>
      <c r="AQ2" s="2" t="s">
        <v>42</v>
      </c>
      <c r="AR2" s="2" t="s">
        <v>43</v>
      </c>
      <c r="AS2" s="2" t="s">
        <v>44</v>
      </c>
      <c r="AT2" s="2" t="s">
        <v>45</v>
      </c>
      <c r="AU2" s="2" t="s">
        <v>46</v>
      </c>
      <c r="AV2" s="2" t="s">
        <v>47</v>
      </c>
      <c r="AW2" s="2" t="s">
        <v>48</v>
      </c>
      <c r="AX2" s="2" t="s">
        <v>49</v>
      </c>
      <c r="AY2" s="2" t="s">
        <v>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4.43" defaultRowHeight="15.0"/>
  <cols>
    <col customWidth="1" min="1" max="1" width="4.43"/>
    <col customWidth="1" hidden="1" min="2" max="2" width="16.86"/>
    <col customWidth="1" hidden="1" min="3" max="3" width="15.14"/>
    <col customWidth="1" min="4" max="4" width="36.57"/>
    <col customWidth="1" min="5" max="5" width="11.29"/>
    <col customWidth="1" hidden="1" min="6" max="6" width="17.43"/>
    <col customWidth="1" min="7" max="86" width="8.71"/>
  </cols>
  <sheetData>
    <row r="1" ht="12.75" hidden="1" customHeight="1">
      <c r="A1" s="4">
        <v>1.0</v>
      </c>
      <c r="B1" s="5">
        <v>2.0</v>
      </c>
      <c r="C1" s="4">
        <v>3.0</v>
      </c>
      <c r="D1" s="5">
        <v>4.0</v>
      </c>
      <c r="E1" s="4">
        <v>5.0</v>
      </c>
      <c r="F1" s="5">
        <v>6.0</v>
      </c>
      <c r="G1" s="4">
        <v>7.0</v>
      </c>
      <c r="H1" s="4">
        <v>9.0</v>
      </c>
      <c r="I1" s="4"/>
      <c r="J1" s="6">
        <v>10.0</v>
      </c>
      <c r="K1" s="4">
        <v>11.0</v>
      </c>
      <c r="L1" s="5">
        <v>12.0</v>
      </c>
      <c r="M1" s="4">
        <v>13.0</v>
      </c>
      <c r="N1" s="5">
        <v>14.0</v>
      </c>
      <c r="O1" s="4">
        <v>15.0</v>
      </c>
      <c r="P1" s="5">
        <v>16.0</v>
      </c>
      <c r="Q1" s="4">
        <v>17.0</v>
      </c>
      <c r="R1" s="5">
        <v>18.0</v>
      </c>
      <c r="S1" s="4">
        <v>19.0</v>
      </c>
      <c r="T1" s="5">
        <v>20.0</v>
      </c>
      <c r="U1" s="4">
        <v>21.0</v>
      </c>
      <c r="V1" s="5">
        <v>22.0</v>
      </c>
      <c r="W1" s="4">
        <v>23.0</v>
      </c>
      <c r="X1" s="5">
        <v>24.0</v>
      </c>
      <c r="Y1" s="4">
        <v>25.0</v>
      </c>
      <c r="Z1" s="5">
        <v>26.0</v>
      </c>
      <c r="AA1" s="4">
        <v>27.0</v>
      </c>
      <c r="AB1" s="5">
        <v>28.0</v>
      </c>
      <c r="AC1" s="4">
        <v>29.0</v>
      </c>
      <c r="AD1" s="5">
        <v>30.0</v>
      </c>
      <c r="AE1" s="4">
        <v>31.0</v>
      </c>
      <c r="AF1" s="5">
        <v>32.0</v>
      </c>
      <c r="AG1" s="4">
        <v>33.0</v>
      </c>
      <c r="AH1" s="5">
        <v>34.0</v>
      </c>
      <c r="AI1" s="4">
        <v>35.0</v>
      </c>
      <c r="AJ1" s="5">
        <v>36.0</v>
      </c>
      <c r="AK1" s="4">
        <v>37.0</v>
      </c>
      <c r="AL1" s="5">
        <v>38.0</v>
      </c>
      <c r="AM1" s="4">
        <v>39.0</v>
      </c>
      <c r="AN1" s="5">
        <v>40.0</v>
      </c>
      <c r="AO1" s="4">
        <v>41.0</v>
      </c>
      <c r="AP1" s="5">
        <v>42.0</v>
      </c>
      <c r="AQ1" s="4">
        <v>43.0</v>
      </c>
      <c r="AR1" s="5">
        <v>44.0</v>
      </c>
      <c r="AS1" s="4">
        <v>45.0</v>
      </c>
      <c r="AT1" s="5">
        <v>46.0</v>
      </c>
      <c r="AU1" s="4">
        <v>47.0</v>
      </c>
      <c r="AV1" s="5">
        <v>48.0</v>
      </c>
      <c r="AW1" s="4">
        <v>49.0</v>
      </c>
      <c r="AX1" s="5">
        <v>50.0</v>
      </c>
      <c r="AY1" s="4">
        <v>51.0</v>
      </c>
      <c r="AZ1" s="5">
        <v>52.0</v>
      </c>
      <c r="BA1" s="4">
        <v>53.0</v>
      </c>
      <c r="BB1" s="5">
        <v>54.0</v>
      </c>
      <c r="BC1" s="4">
        <v>55.0</v>
      </c>
      <c r="BD1" s="5">
        <v>56.0</v>
      </c>
      <c r="BE1" s="4">
        <v>57.0</v>
      </c>
      <c r="BF1" s="5">
        <v>58.0</v>
      </c>
      <c r="BG1" s="4">
        <v>59.0</v>
      </c>
      <c r="BH1" s="5">
        <v>60.0</v>
      </c>
      <c r="BI1" s="4">
        <v>61.0</v>
      </c>
      <c r="BJ1" s="5">
        <v>62.0</v>
      </c>
      <c r="BK1" s="4">
        <v>63.0</v>
      </c>
      <c r="BL1" s="5">
        <v>64.0</v>
      </c>
      <c r="BM1" s="4">
        <v>65.0</v>
      </c>
      <c r="BN1" s="5">
        <v>66.0</v>
      </c>
      <c r="BO1" s="5">
        <v>62.0</v>
      </c>
      <c r="BP1" s="4">
        <v>63.0</v>
      </c>
      <c r="BQ1" s="5">
        <v>64.0</v>
      </c>
      <c r="BR1" s="4">
        <v>65.0</v>
      </c>
      <c r="BS1" s="5">
        <v>66.0</v>
      </c>
      <c r="BT1" s="4">
        <v>67.0</v>
      </c>
      <c r="BU1" s="5">
        <v>68.0</v>
      </c>
      <c r="BV1" s="4">
        <v>69.0</v>
      </c>
      <c r="BW1" s="5">
        <v>70.0</v>
      </c>
      <c r="BX1" s="4">
        <v>71.0</v>
      </c>
      <c r="BY1" s="5">
        <v>72.0</v>
      </c>
      <c r="BZ1" s="4">
        <v>73.0</v>
      </c>
      <c r="CA1" s="5">
        <v>74.0</v>
      </c>
      <c r="CB1" s="4">
        <v>75.0</v>
      </c>
      <c r="CC1" s="5">
        <v>76.0</v>
      </c>
      <c r="CD1" s="4">
        <v>77.0</v>
      </c>
      <c r="CE1" s="5">
        <v>78.0</v>
      </c>
      <c r="CF1" s="4">
        <v>79.0</v>
      </c>
      <c r="CG1" s="5">
        <v>80.0</v>
      </c>
      <c r="CH1" s="4">
        <v>81.0</v>
      </c>
    </row>
    <row r="2" ht="27.75" hidden="1" customHeight="1">
      <c r="A2" s="9" t="str">
        <f t="shared" ref="A2:F2" si="1">A3</f>
        <v>NO</v>
      </c>
      <c r="B2" s="10" t="str">
        <f t="shared" si="1"/>
        <v>NIS</v>
      </c>
      <c r="C2" s="10" t="str">
        <f t="shared" si="1"/>
        <v>NISN</v>
      </c>
      <c r="D2" s="11" t="str">
        <f t="shared" si="1"/>
        <v>NAMA</v>
      </c>
      <c r="E2" s="10" t="str">
        <f t="shared" si="1"/>
        <v>KELAS</v>
      </c>
      <c r="F2" s="10" t="str">
        <f t="shared" si="1"/>
        <v>SEMESTER</v>
      </c>
      <c r="G2" s="9" t="str">
        <f t="shared" ref="G2:K2" si="2">$H3&amp;" "&amp;G4</f>
        <v>PAI Penugasan</v>
      </c>
      <c r="H2" s="9" t="str">
        <f t="shared" si="2"/>
        <v>PAI Tes Tertulis</v>
      </c>
      <c r="I2" s="9" t="str">
        <f t="shared" si="2"/>
        <v>PAI Praktik</v>
      </c>
      <c r="J2" s="9" t="str">
        <f t="shared" si="2"/>
        <v>PAI -</v>
      </c>
      <c r="K2" s="9" t="str">
        <f t="shared" si="2"/>
        <v>PAI -</v>
      </c>
      <c r="L2" s="9" t="str">
        <f t="shared" ref="L2:P2" si="3">$M3&amp;" "&amp;L4</f>
        <v>PKN Penugasan</v>
      </c>
      <c r="M2" s="9" t="str">
        <f t="shared" si="3"/>
        <v>PKN Tes Tertulis</v>
      </c>
      <c r="N2" s="9" t="str">
        <f t="shared" si="3"/>
        <v>PKN Praktik</v>
      </c>
      <c r="O2" s="9" t="str">
        <f t="shared" si="3"/>
        <v>PKN -</v>
      </c>
      <c r="P2" s="9" t="str">
        <f t="shared" si="3"/>
        <v>PKN -</v>
      </c>
      <c r="Q2" s="9" t="str">
        <f t="shared" ref="Q2:U2" si="4">$R3&amp;" "&amp;Q4</f>
        <v>B. INDONESIA Penugasan</v>
      </c>
      <c r="R2" s="9" t="str">
        <f t="shared" si="4"/>
        <v>B. INDONESIA Tes Tertulis</v>
      </c>
      <c r="S2" s="9" t="str">
        <f t="shared" si="4"/>
        <v>B. INDONESIA Praktik</v>
      </c>
      <c r="T2" s="9" t="str">
        <f t="shared" si="4"/>
        <v>B. INDONESIA -</v>
      </c>
      <c r="U2" s="9" t="str">
        <f t="shared" si="4"/>
        <v>B. INDONESIA -</v>
      </c>
      <c r="V2" s="9" t="str">
        <f t="shared" ref="V2:Z2" si="5">$W3&amp;" "&amp;V4</f>
        <v>PJOK Penugasan</v>
      </c>
      <c r="W2" s="9" t="str">
        <f t="shared" si="5"/>
        <v>PJOK Tes Tertulis</v>
      </c>
      <c r="X2" s="9" t="str">
        <f t="shared" si="5"/>
        <v>PJOK Praktik</v>
      </c>
      <c r="Y2" s="9" t="str">
        <f t="shared" si="5"/>
        <v>PJOK -</v>
      </c>
      <c r="Z2" s="9" t="str">
        <f t="shared" si="5"/>
        <v>PJOK -</v>
      </c>
      <c r="AA2" s="9" t="str">
        <f t="shared" ref="AA2:AE2" si="6">$AB3&amp;" "&amp;AA4</f>
        <v>SEJARAH Penugasan</v>
      </c>
      <c r="AB2" s="9" t="str">
        <f t="shared" si="6"/>
        <v>SEJARAH Tes Tertulis</v>
      </c>
      <c r="AC2" s="9" t="str">
        <f t="shared" si="6"/>
        <v>SEJARAH Praktik</v>
      </c>
      <c r="AD2" s="9" t="str">
        <f t="shared" si="6"/>
        <v>SEJARAH -</v>
      </c>
      <c r="AE2" s="9" t="str">
        <f t="shared" si="6"/>
        <v>SEJARAH -</v>
      </c>
      <c r="AF2" s="9" t="str">
        <f t="shared" ref="AF2:AJ2" si="7">$AG3&amp;" "&amp;AF4</f>
        <v>SENI BUDAYA Penugasan</v>
      </c>
      <c r="AG2" s="9" t="str">
        <f t="shared" si="7"/>
        <v>SENI BUDAYA Tes Tertulis</v>
      </c>
      <c r="AH2" s="9" t="str">
        <f t="shared" si="7"/>
        <v>SENI BUDAYA Praktik</v>
      </c>
      <c r="AI2" s="9" t="str">
        <f t="shared" si="7"/>
        <v>SENI BUDAYA -</v>
      </c>
      <c r="AJ2" s="9" t="str">
        <f t="shared" si="7"/>
        <v>SENI BUDAYA -</v>
      </c>
      <c r="AK2" s="9" t="str">
        <f t="shared" ref="AK2:AO2" si="8">$AL3&amp;" "&amp;AK4</f>
        <v>B. SUNDA Penugasan</v>
      </c>
      <c r="AL2" s="9" t="str">
        <f t="shared" si="8"/>
        <v>B. SUNDA Tes Tertulis</v>
      </c>
      <c r="AM2" s="9" t="str">
        <f t="shared" si="8"/>
        <v>B. SUNDA Praktik</v>
      </c>
      <c r="AN2" s="9" t="str">
        <f t="shared" si="8"/>
        <v>B. SUNDA -</v>
      </c>
      <c r="AO2" s="9" t="str">
        <f t="shared" si="8"/>
        <v>B. SUNDA -</v>
      </c>
      <c r="AP2" s="9" t="str">
        <f t="shared" ref="AP2:AT2" si="9">$AQ3&amp;" "&amp;AP4</f>
        <v>MATEMATIKA Penugasan</v>
      </c>
      <c r="AQ2" s="9" t="str">
        <f t="shared" si="9"/>
        <v>MATEMATIKA Tes Tertulis</v>
      </c>
      <c r="AR2" s="9" t="str">
        <f t="shared" si="9"/>
        <v>MATEMATIKA Praktik</v>
      </c>
      <c r="AS2" s="9" t="str">
        <f t="shared" si="9"/>
        <v>MATEMATIKA -</v>
      </c>
      <c r="AT2" s="9" t="str">
        <f t="shared" si="9"/>
        <v>MATEMATIKA -</v>
      </c>
      <c r="AU2" s="9" t="str">
        <f t="shared" ref="AU2:AY2" si="10">$AV3&amp;" "&amp;AU4</f>
        <v>B. INGGRIS Penugasan</v>
      </c>
      <c r="AV2" s="9" t="str">
        <f t="shared" si="10"/>
        <v>B. INGGRIS Tes Tertulis</v>
      </c>
      <c r="AW2" s="9" t="str">
        <f t="shared" si="10"/>
        <v>B. INGGRIS Praktik</v>
      </c>
      <c r="AX2" s="9" t="str">
        <f t="shared" si="10"/>
        <v>B. INGGRIS -</v>
      </c>
      <c r="AY2" s="9" t="str">
        <f t="shared" si="10"/>
        <v>B. INGGRIS -</v>
      </c>
      <c r="AZ2" s="9" t="str">
        <f t="shared" ref="AZ2:BD2" si="11">$BA3&amp;" "&amp;AZ4</f>
        <v>INFORMATIKA Penugasan</v>
      </c>
      <c r="BA2" s="9" t="str">
        <f t="shared" si="11"/>
        <v>INFORMATIKA Tes Tertulis</v>
      </c>
      <c r="BB2" s="9" t="str">
        <f t="shared" si="11"/>
        <v>INFORMATIKA Praktik</v>
      </c>
      <c r="BC2" s="9" t="str">
        <f t="shared" si="11"/>
        <v>INFORMATIKA -</v>
      </c>
      <c r="BD2" s="9" t="str">
        <f t="shared" si="11"/>
        <v>INFORMATIKA -</v>
      </c>
      <c r="BE2" s="9" t="str">
        <f t="shared" ref="BE2:BI2" si="12">$BF3&amp;" "&amp;BE4</f>
        <v>PROJEK IPAS Penugasan</v>
      </c>
      <c r="BF2" s="9" t="str">
        <f t="shared" si="12"/>
        <v>PROJEK IPAS Tes Tertulis</v>
      </c>
      <c r="BG2" s="9" t="str">
        <f t="shared" si="12"/>
        <v>PROJEK IPAS Praktik</v>
      </c>
      <c r="BH2" s="9" t="str">
        <f t="shared" si="12"/>
        <v>PROJEK IPAS -</v>
      </c>
      <c r="BI2" s="9" t="str">
        <f t="shared" si="12"/>
        <v>PROJEK IPAS -</v>
      </c>
      <c r="BJ2" s="9" t="str">
        <f t="shared" ref="BJ2:BN2" si="13">$BK3&amp;" "&amp;BJ4</f>
        <v>DDPK Penugasan</v>
      </c>
      <c r="BK2" s="9" t="str">
        <f t="shared" si="13"/>
        <v>DDPK Tes Tertulis</v>
      </c>
      <c r="BL2" s="9" t="str">
        <f t="shared" si="13"/>
        <v>DDPK Praktik</v>
      </c>
      <c r="BM2" s="9" t="str">
        <f t="shared" si="13"/>
        <v>DDPK -</v>
      </c>
      <c r="BN2" s="9" t="str">
        <f t="shared" si="13"/>
        <v>DDPK -</v>
      </c>
      <c r="BO2" s="9" t="str">
        <f t="shared" ref="BO2:BS2" si="14">$BP3&amp;" "&amp;BO4</f>
        <v>KODING Penugasan</v>
      </c>
      <c r="BP2" s="9" t="str">
        <f t="shared" si="14"/>
        <v>KODING Tes Tertulis</v>
      </c>
      <c r="BQ2" s="9" t="str">
        <f t="shared" si="14"/>
        <v>KODING Praktik</v>
      </c>
      <c r="BR2" s="9" t="str">
        <f t="shared" si="14"/>
        <v>KODING -</v>
      </c>
      <c r="BS2" s="9" t="str">
        <f t="shared" si="14"/>
        <v>KODING -</v>
      </c>
      <c r="BT2" s="9" t="str">
        <f t="shared" ref="BT2:BX2" si="15">$BU3&amp;" "&amp;BT4</f>
        <v>KONSENTRASI KEAHLIAN Penugasan</v>
      </c>
      <c r="BU2" s="9" t="str">
        <f t="shared" si="15"/>
        <v>KONSENTRASI KEAHLIAN Tes Tertulis</v>
      </c>
      <c r="BV2" s="9" t="str">
        <f t="shared" si="15"/>
        <v>KONSENTRASI KEAHLIAN Praktik</v>
      </c>
      <c r="BW2" s="9" t="str">
        <f t="shared" si="15"/>
        <v>KONSENTRASI KEAHLIAN -</v>
      </c>
      <c r="BX2" s="9" t="str">
        <f t="shared" si="15"/>
        <v>KONSENTRASI KEAHLIAN -</v>
      </c>
      <c r="BY2" s="9" t="str">
        <f t="shared" ref="BY2:CC2" si="16">$BZ3&amp;" "&amp;BY4</f>
        <v>PKK Penugasan</v>
      </c>
      <c r="BZ2" s="9" t="str">
        <f t="shared" si="16"/>
        <v>PKK Tes Tertulis</v>
      </c>
      <c r="CA2" s="9" t="str">
        <f t="shared" si="16"/>
        <v>PKK Praktik</v>
      </c>
      <c r="CB2" s="9" t="str">
        <f t="shared" si="16"/>
        <v>PKK -</v>
      </c>
      <c r="CC2" s="9" t="str">
        <f t="shared" si="16"/>
        <v>PKK -</v>
      </c>
      <c r="CD2" s="9" t="str">
        <f t="shared" ref="CD2:CH2" si="17">$CE3&amp;" "&amp;CD4</f>
        <v>MAPEL PILIHAN Penugasan</v>
      </c>
      <c r="CE2" s="9" t="str">
        <f t="shared" si="17"/>
        <v>MAPEL PILIHAN Tes Tertulis</v>
      </c>
      <c r="CF2" s="9" t="str">
        <f t="shared" si="17"/>
        <v>MAPEL PILIHAN Praktik</v>
      </c>
      <c r="CG2" s="9" t="str">
        <f t="shared" si="17"/>
        <v>MAPEL PILIHAN -</v>
      </c>
      <c r="CH2" s="9" t="str">
        <f t="shared" si="17"/>
        <v>MAPEL PILIHAN -</v>
      </c>
    </row>
    <row r="3" ht="27.75" customHeight="1">
      <c r="A3" s="23" t="s">
        <v>0</v>
      </c>
      <c r="B3" s="26" t="s">
        <v>1</v>
      </c>
      <c r="C3" s="26" t="s">
        <v>2</v>
      </c>
      <c r="D3" s="26" t="s">
        <v>3</v>
      </c>
      <c r="E3" s="26" t="s">
        <v>4</v>
      </c>
      <c r="F3" s="26" t="s">
        <v>5</v>
      </c>
      <c r="G3" s="30" t="s">
        <v>128</v>
      </c>
      <c r="H3" s="36" t="s">
        <v>52</v>
      </c>
      <c r="I3" s="40"/>
      <c r="J3" s="40"/>
      <c r="K3" s="45"/>
      <c r="L3" s="50" t="s">
        <v>129</v>
      </c>
      <c r="M3" s="46" t="s">
        <v>54</v>
      </c>
      <c r="N3" s="40"/>
      <c r="O3" s="40"/>
      <c r="P3" s="45"/>
      <c r="Q3" s="56" t="s">
        <v>130</v>
      </c>
      <c r="R3" s="58" t="s">
        <v>57</v>
      </c>
      <c r="S3" s="40"/>
      <c r="T3" s="40"/>
      <c r="U3" s="45"/>
      <c r="V3" s="60" t="s">
        <v>131</v>
      </c>
      <c r="W3" s="62" t="s">
        <v>61</v>
      </c>
      <c r="X3" s="40"/>
      <c r="Y3" s="40"/>
      <c r="Z3" s="45"/>
      <c r="AA3" s="64" t="s">
        <v>132</v>
      </c>
      <c r="AB3" s="68" t="s">
        <v>63</v>
      </c>
      <c r="AC3" s="40"/>
      <c r="AD3" s="40"/>
      <c r="AE3" s="45"/>
      <c r="AF3" s="72" t="s">
        <v>133</v>
      </c>
      <c r="AG3" s="76" t="s">
        <v>66</v>
      </c>
      <c r="AH3" s="40"/>
      <c r="AI3" s="40"/>
      <c r="AJ3" s="45"/>
      <c r="AK3" s="82" t="s">
        <v>134</v>
      </c>
      <c r="AL3" s="87" t="s">
        <v>70</v>
      </c>
      <c r="AM3" s="40"/>
      <c r="AN3" s="40"/>
      <c r="AO3" s="45"/>
      <c r="AP3" s="93" t="s">
        <v>136</v>
      </c>
      <c r="AQ3" s="96" t="s">
        <v>137</v>
      </c>
      <c r="AR3" s="40"/>
      <c r="AS3" s="40"/>
      <c r="AT3" s="45"/>
      <c r="AU3" s="100" t="s">
        <v>138</v>
      </c>
      <c r="AV3" s="36" t="s">
        <v>75</v>
      </c>
      <c r="AW3" s="40"/>
      <c r="AX3" s="40"/>
      <c r="AY3" s="45"/>
      <c r="AZ3" s="105" t="s">
        <v>139</v>
      </c>
      <c r="BA3" s="110" t="s">
        <v>77</v>
      </c>
      <c r="BB3" s="40"/>
      <c r="BC3" s="40"/>
      <c r="BD3" s="45"/>
      <c r="BE3" s="105" t="s">
        <v>140</v>
      </c>
      <c r="BF3" s="113" t="s">
        <v>81</v>
      </c>
      <c r="BG3" s="40"/>
      <c r="BH3" s="40"/>
      <c r="BI3" s="45"/>
      <c r="BJ3" s="105" t="s">
        <v>141</v>
      </c>
      <c r="BK3" s="118" t="s">
        <v>83</v>
      </c>
      <c r="BL3" s="40"/>
      <c r="BM3" s="40"/>
      <c r="BN3" s="45"/>
      <c r="BO3" s="105" t="s">
        <v>207</v>
      </c>
      <c r="BP3" s="118" t="s">
        <v>205</v>
      </c>
      <c r="BQ3" s="40"/>
      <c r="BR3" s="40"/>
      <c r="BS3" s="45"/>
      <c r="BT3" s="120" t="s">
        <v>142</v>
      </c>
      <c r="BU3" s="124" t="s">
        <v>208</v>
      </c>
      <c r="BV3" s="40"/>
      <c r="BW3" s="40"/>
      <c r="BX3" s="45"/>
      <c r="BY3" s="120" t="s">
        <v>144</v>
      </c>
      <c r="BZ3" s="126" t="s">
        <v>90</v>
      </c>
      <c r="CA3" s="40"/>
      <c r="CB3" s="40"/>
      <c r="CC3" s="45"/>
      <c r="CD3" s="128" t="s">
        <v>147</v>
      </c>
      <c r="CE3" s="46" t="s">
        <v>92</v>
      </c>
      <c r="CF3" s="40"/>
      <c r="CG3" s="40"/>
      <c r="CH3" s="45"/>
    </row>
    <row r="4" ht="33.75" customHeight="1">
      <c r="A4" s="131"/>
      <c r="B4" s="131"/>
      <c r="C4" s="131"/>
      <c r="D4" s="131"/>
      <c r="E4" s="131"/>
      <c r="F4" s="131"/>
      <c r="G4" s="133" t="s">
        <v>209</v>
      </c>
      <c r="H4" s="139" t="s">
        <v>210</v>
      </c>
      <c r="I4" s="139" t="s">
        <v>212</v>
      </c>
      <c r="J4" s="141" t="s">
        <v>213</v>
      </c>
      <c r="K4" s="145" t="s">
        <v>213</v>
      </c>
      <c r="L4" s="142" t="s">
        <v>209</v>
      </c>
      <c r="M4" s="146" t="s">
        <v>210</v>
      </c>
      <c r="N4" s="146" t="s">
        <v>212</v>
      </c>
      <c r="O4" s="146" t="s">
        <v>213</v>
      </c>
      <c r="P4" s="150" t="s">
        <v>213</v>
      </c>
      <c r="Q4" s="148" t="s">
        <v>209</v>
      </c>
      <c r="R4" s="152" t="s">
        <v>210</v>
      </c>
      <c r="S4" s="152" t="s">
        <v>212</v>
      </c>
      <c r="T4" s="152" t="s">
        <v>213</v>
      </c>
      <c r="U4" s="155" t="s">
        <v>213</v>
      </c>
      <c r="V4" s="156" t="s">
        <v>209</v>
      </c>
      <c r="W4" s="157" t="s">
        <v>210</v>
      </c>
      <c r="X4" s="157" t="s">
        <v>212</v>
      </c>
      <c r="Y4" s="157" t="s">
        <v>213</v>
      </c>
      <c r="Z4" s="160" t="s">
        <v>213</v>
      </c>
      <c r="AA4" s="161" t="s">
        <v>209</v>
      </c>
      <c r="AB4" s="162" t="s">
        <v>210</v>
      </c>
      <c r="AC4" s="162" t="s">
        <v>212</v>
      </c>
      <c r="AD4" s="166" t="s">
        <v>213</v>
      </c>
      <c r="AE4" s="168" t="s">
        <v>213</v>
      </c>
      <c r="AF4" s="169" t="s">
        <v>209</v>
      </c>
      <c r="AG4" s="170" t="s">
        <v>210</v>
      </c>
      <c r="AH4" s="170" t="s">
        <v>212</v>
      </c>
      <c r="AI4" s="170" t="s">
        <v>213</v>
      </c>
      <c r="AJ4" s="171" t="s">
        <v>213</v>
      </c>
      <c r="AK4" s="173" t="s">
        <v>209</v>
      </c>
      <c r="AL4" s="174" t="s">
        <v>210</v>
      </c>
      <c r="AM4" s="174" t="s">
        <v>212</v>
      </c>
      <c r="AN4" s="178" t="s">
        <v>213</v>
      </c>
      <c r="AO4" s="182" t="s">
        <v>213</v>
      </c>
      <c r="AP4" s="183" t="s">
        <v>209</v>
      </c>
      <c r="AQ4" s="185" t="s">
        <v>210</v>
      </c>
      <c r="AR4" s="185" t="s">
        <v>212</v>
      </c>
      <c r="AS4" s="188" t="s">
        <v>213</v>
      </c>
      <c r="AT4" s="191" t="s">
        <v>213</v>
      </c>
      <c r="AU4" s="190" t="s">
        <v>209</v>
      </c>
      <c r="AV4" s="194" t="s">
        <v>210</v>
      </c>
      <c r="AW4" s="194" t="s">
        <v>212</v>
      </c>
      <c r="AX4" s="197" t="s">
        <v>213</v>
      </c>
      <c r="AY4" s="198" t="s">
        <v>213</v>
      </c>
      <c r="AZ4" s="199" t="s">
        <v>209</v>
      </c>
      <c r="BA4" s="202" t="s">
        <v>210</v>
      </c>
      <c r="BB4" s="202" t="s">
        <v>212</v>
      </c>
      <c r="BC4" s="204" t="s">
        <v>213</v>
      </c>
      <c r="BD4" s="208" t="s">
        <v>213</v>
      </c>
      <c r="BE4" s="211" t="s">
        <v>209</v>
      </c>
      <c r="BF4" s="204" t="s">
        <v>210</v>
      </c>
      <c r="BG4" s="204" t="s">
        <v>212</v>
      </c>
      <c r="BH4" s="204" t="s">
        <v>213</v>
      </c>
      <c r="BI4" s="214" t="s">
        <v>213</v>
      </c>
      <c r="BJ4" s="211" t="s">
        <v>209</v>
      </c>
      <c r="BK4" s="204" t="s">
        <v>210</v>
      </c>
      <c r="BL4" s="204" t="s">
        <v>212</v>
      </c>
      <c r="BM4" s="204" t="s">
        <v>213</v>
      </c>
      <c r="BN4" s="214" t="s">
        <v>213</v>
      </c>
      <c r="BO4" s="211" t="s">
        <v>209</v>
      </c>
      <c r="BP4" s="204" t="s">
        <v>210</v>
      </c>
      <c r="BQ4" s="204" t="s">
        <v>212</v>
      </c>
      <c r="BR4" s="204" t="s">
        <v>213</v>
      </c>
      <c r="BS4" s="214" t="s">
        <v>213</v>
      </c>
      <c r="BT4" s="212" t="s">
        <v>209</v>
      </c>
      <c r="BU4" s="213" t="s">
        <v>210</v>
      </c>
      <c r="BV4" s="213" t="s">
        <v>212</v>
      </c>
      <c r="BW4" s="216" t="s">
        <v>213</v>
      </c>
      <c r="BX4" s="217" t="s">
        <v>213</v>
      </c>
      <c r="BY4" s="212" t="s">
        <v>209</v>
      </c>
      <c r="BZ4" s="213" t="s">
        <v>210</v>
      </c>
      <c r="CA4" s="213" t="s">
        <v>212</v>
      </c>
      <c r="CB4" s="216" t="s">
        <v>213</v>
      </c>
      <c r="CC4" s="217" t="s">
        <v>213</v>
      </c>
      <c r="CD4" s="218" t="s">
        <v>209</v>
      </c>
      <c r="CE4" s="219" t="s">
        <v>210</v>
      </c>
      <c r="CF4" s="219" t="s">
        <v>212</v>
      </c>
      <c r="CG4" s="220" t="s">
        <v>213</v>
      </c>
      <c r="CH4" s="223" t="s">
        <v>213</v>
      </c>
    </row>
    <row r="5" ht="15.75" customHeight="1">
      <c r="A5" s="115">
        <f>IFERROR(__xludf.DUMMYFUNCTION("QUERY(SETTING!$E$3:$I$56, ""SELECT * WHERE Col1 IS NOT NULL"")
"),1.0)</f>
        <v>1</v>
      </c>
      <c r="B5" s="119" t="str">
        <f>IFERROR(__xludf.DUMMYFUNCTION("""COMPUTED_VALUE"""),"2526100414")</f>
        <v>2526100414</v>
      </c>
      <c r="C5" s="119" t="str">
        <f>IFERROR(__xludf.DUMMYFUNCTION("""COMPUTED_VALUE"""),"0098742051")</f>
        <v>0098742051</v>
      </c>
      <c r="D5" s="122" t="str">
        <f>IFERROR(__xludf.DUMMYFUNCTION("""COMPUTED_VALUE"""),"AHMAD FAUZI")</f>
        <v>AHMAD FAUZI</v>
      </c>
      <c r="E5" s="119" t="str">
        <f>IFERROR(__xludf.DUMMYFUNCTION("""COMPUTED_VALUE"""),"X TO 4")</f>
        <v>X TO 4</v>
      </c>
      <c r="F5" s="119" t="str">
        <f t="array" ref="F5:F54">IF(D5:D54&lt;&gt;"",SETTING!$C$3,"")</f>
        <v>Ganjil</v>
      </c>
      <c r="G5" s="229"/>
      <c r="H5" s="231"/>
      <c r="I5" s="231"/>
      <c r="J5" s="230" t="str">
        <f t="shared" ref="J5:J35" si="18">IFERROR(AVERAGE(G5:H5),"")</f>
        <v/>
      </c>
      <c r="K5" s="232"/>
      <c r="L5" s="229"/>
      <c r="M5" s="231"/>
      <c r="N5" s="231"/>
      <c r="O5" s="233" t="str">
        <f t="shared" ref="O5:O35" si="19">IFERROR(AVERAGE(L5:N5),"")</f>
        <v/>
      </c>
      <c r="P5" s="232"/>
      <c r="Q5" s="229"/>
      <c r="R5" s="234"/>
      <c r="S5" s="231"/>
      <c r="T5" s="235" t="str">
        <f t="shared" ref="T5:T35" si="20">IFERROR(AVERAGE(Q5:S5),"")</f>
        <v/>
      </c>
      <c r="U5" s="232"/>
      <c r="V5" s="229"/>
      <c r="W5" s="234"/>
      <c r="X5" s="234"/>
      <c r="Y5" s="236" t="str">
        <f t="shared" ref="Y5:Y35" si="21">IFERROR(AVERAGE(V5:X5),"")</f>
        <v/>
      </c>
      <c r="Z5" s="232"/>
      <c r="AA5" s="229"/>
      <c r="AB5" s="234"/>
      <c r="AC5" s="234"/>
      <c r="AD5" s="238" t="str">
        <f t="shared" ref="AD5:AD35" si="22">IFERROR(AVERAGE(AA5:AC5),"")</f>
        <v/>
      </c>
      <c r="AE5" s="232"/>
      <c r="AF5" s="229"/>
      <c r="AG5" s="234"/>
      <c r="AH5" s="234"/>
      <c r="AI5" s="239" t="str">
        <f t="shared" ref="AI5:AI35" si="23">IFERROR(AVERAGE(AF5:AH5),"")</f>
        <v/>
      </c>
      <c r="AJ5" s="232"/>
      <c r="AK5" s="241"/>
      <c r="AL5" s="234"/>
      <c r="AM5" s="234"/>
      <c r="AN5" s="243" t="str">
        <f t="shared" ref="AN5:AN35" si="24">IFERROR(AVERAGE(AK5:AM5),"")</f>
        <v/>
      </c>
      <c r="AO5" s="232"/>
      <c r="AP5" s="241"/>
      <c r="AQ5" s="234"/>
      <c r="AR5" s="234"/>
      <c r="AS5" s="247" t="str">
        <f t="shared" ref="AS5:AS35" si="25">IFERROR(AVERAGE(AP5:AR5),"")</f>
        <v/>
      </c>
      <c r="AT5" s="232"/>
      <c r="AU5" s="241"/>
      <c r="AV5" s="234"/>
      <c r="AW5" s="234"/>
      <c r="AX5" s="249" t="str">
        <f t="shared" ref="AX5:AX35" si="26">IFERROR(AVERAGE(AU5:AW5),"")</f>
        <v/>
      </c>
      <c r="AY5" s="232"/>
      <c r="AZ5" s="241"/>
      <c r="BA5" s="234"/>
      <c r="BB5" s="234"/>
      <c r="BC5" s="250" t="str">
        <f t="shared" ref="BC5:BC35" si="27">IFERROR(AVERAGE(AZ5:BB5),"")</f>
        <v/>
      </c>
      <c r="BD5" s="232"/>
      <c r="BE5" s="256"/>
      <c r="BF5" s="257"/>
      <c r="BG5" s="257"/>
      <c r="BH5" s="254" t="str">
        <f t="shared" ref="BH5:BH35" si="28">IFERROR(AVERAGE(BE5:BG5),"")</f>
        <v/>
      </c>
      <c r="BI5" s="259"/>
      <c r="BJ5" s="256"/>
      <c r="BK5" s="257"/>
      <c r="BL5" s="257"/>
      <c r="BM5" s="254" t="str">
        <f t="shared" ref="BM5:BM35" si="29">IFERROR(AVERAGE(BJ5:BL5),"")</f>
        <v/>
      </c>
      <c r="BN5" s="259"/>
      <c r="BO5" s="261"/>
      <c r="BP5" s="264"/>
      <c r="BQ5" s="264"/>
      <c r="BR5" s="254" t="str">
        <f t="shared" ref="BR5:BR35" si="30">IFERROR(AVERAGE(BO5:BQ5),"")</f>
        <v/>
      </c>
      <c r="BS5" s="259"/>
      <c r="BT5" s="241"/>
      <c r="BU5" s="234"/>
      <c r="BV5" s="234"/>
      <c r="BW5" s="266" t="str">
        <f t="shared" ref="BW5:BW35" si="31">IFERROR(AVERAGE(BT5:BV5),"")</f>
        <v/>
      </c>
      <c r="BX5" s="232"/>
      <c r="BY5" s="241"/>
      <c r="BZ5" s="234"/>
      <c r="CA5" s="234"/>
      <c r="CB5" s="266" t="str">
        <f t="shared" ref="CB5:CB35" si="32">IFERROR(AVERAGE(BY5:CA5),"")</f>
        <v/>
      </c>
      <c r="CC5" s="232"/>
      <c r="CD5" s="241"/>
      <c r="CE5" s="234"/>
      <c r="CF5" s="234"/>
      <c r="CG5" s="269" t="str">
        <f t="shared" ref="CG5:CG35" si="33">IFERROR(AVERAGE(CD5:CF5),"")</f>
        <v/>
      </c>
      <c r="CH5" s="232"/>
    </row>
    <row r="6" ht="15.75" customHeight="1">
      <c r="A6" s="189">
        <f>IFERROR(__xludf.DUMMYFUNCTION("""COMPUTED_VALUE"""),2.0)</f>
        <v>2</v>
      </c>
      <c r="B6" s="193" t="str">
        <f>IFERROR(__xludf.DUMMYFUNCTION("""COMPUTED_VALUE"""),"2526100415")</f>
        <v>2526100415</v>
      </c>
      <c r="C6" s="193" t="str">
        <f>IFERROR(__xludf.DUMMYFUNCTION("""COMPUTED_VALUE"""),"0094541761")</f>
        <v>0094541761</v>
      </c>
      <c r="D6" s="195" t="str">
        <f>IFERROR(__xludf.DUMMYFUNCTION("""COMPUTED_VALUE"""),"AHMAD YOPI JUMAEDI")</f>
        <v>AHMAD YOPI JUMAEDI</v>
      </c>
      <c r="E6" s="193" t="str">
        <f>IFERROR(__xludf.DUMMYFUNCTION("""COMPUTED_VALUE"""),"X TO 4")</f>
        <v>X TO 4</v>
      </c>
      <c r="F6" s="193" t="s">
        <v>220</v>
      </c>
      <c r="G6" s="271"/>
      <c r="H6" s="273"/>
      <c r="I6" s="273"/>
      <c r="J6" s="230" t="str">
        <f t="shared" si="18"/>
        <v/>
      </c>
      <c r="K6" s="276"/>
      <c r="L6" s="278"/>
      <c r="M6" s="273"/>
      <c r="N6" s="273"/>
      <c r="O6" s="233" t="str">
        <f t="shared" si="19"/>
        <v/>
      </c>
      <c r="P6" s="276"/>
      <c r="Q6" s="271"/>
      <c r="R6" s="273"/>
      <c r="S6" s="279"/>
      <c r="T6" s="235" t="str">
        <f t="shared" si="20"/>
        <v/>
      </c>
      <c r="U6" s="276"/>
      <c r="V6" s="278"/>
      <c r="W6" s="273"/>
      <c r="X6" s="273"/>
      <c r="Y6" s="236" t="str">
        <f t="shared" si="21"/>
        <v/>
      </c>
      <c r="Z6" s="276"/>
      <c r="AA6" s="278"/>
      <c r="AB6" s="273"/>
      <c r="AC6" s="273"/>
      <c r="AD6" s="238" t="str">
        <f t="shared" si="22"/>
        <v/>
      </c>
      <c r="AE6" s="276"/>
      <c r="AF6" s="278"/>
      <c r="AG6" s="273"/>
      <c r="AH6" s="273"/>
      <c r="AI6" s="239" t="str">
        <f t="shared" si="23"/>
        <v/>
      </c>
      <c r="AJ6" s="276"/>
      <c r="AK6" s="278"/>
      <c r="AL6" s="273"/>
      <c r="AM6" s="273"/>
      <c r="AN6" s="243" t="str">
        <f t="shared" si="24"/>
        <v/>
      </c>
      <c r="AO6" s="276"/>
      <c r="AP6" s="278"/>
      <c r="AQ6" s="273"/>
      <c r="AR6" s="273"/>
      <c r="AS6" s="247" t="str">
        <f t="shared" si="25"/>
        <v/>
      </c>
      <c r="AT6" s="276"/>
      <c r="AU6" s="278"/>
      <c r="AV6" s="273"/>
      <c r="AW6" s="273"/>
      <c r="AX6" s="249" t="str">
        <f t="shared" si="26"/>
        <v/>
      </c>
      <c r="AY6" s="276"/>
      <c r="AZ6" s="278"/>
      <c r="BA6" s="273"/>
      <c r="BB6" s="273"/>
      <c r="BC6" s="250" t="str">
        <f t="shared" si="27"/>
        <v/>
      </c>
      <c r="BD6" s="276"/>
      <c r="BE6" s="281"/>
      <c r="BF6" s="282"/>
      <c r="BG6" s="282"/>
      <c r="BH6" s="254" t="str">
        <f t="shared" si="28"/>
        <v/>
      </c>
      <c r="BI6" s="284"/>
      <c r="BJ6" s="281"/>
      <c r="BK6" s="282"/>
      <c r="BL6" s="282"/>
      <c r="BM6" s="254" t="str">
        <f t="shared" si="29"/>
        <v/>
      </c>
      <c r="BN6" s="284"/>
      <c r="BO6" s="281"/>
      <c r="BP6" s="282"/>
      <c r="BQ6" s="282"/>
      <c r="BR6" s="254" t="str">
        <f t="shared" si="30"/>
        <v/>
      </c>
      <c r="BS6" s="284"/>
      <c r="BT6" s="278"/>
      <c r="BU6" s="273"/>
      <c r="BV6" s="273"/>
      <c r="BW6" s="266" t="str">
        <f t="shared" si="31"/>
        <v/>
      </c>
      <c r="BX6" s="276"/>
      <c r="BY6" s="278"/>
      <c r="BZ6" s="273"/>
      <c r="CA6" s="273"/>
      <c r="CB6" s="266" t="str">
        <f t="shared" si="32"/>
        <v/>
      </c>
      <c r="CC6" s="276"/>
      <c r="CD6" s="278"/>
      <c r="CE6" s="273"/>
      <c r="CF6" s="273"/>
      <c r="CG6" s="269" t="str">
        <f t="shared" si="33"/>
        <v/>
      </c>
      <c r="CH6" s="276"/>
    </row>
    <row r="7" ht="15.75" customHeight="1">
      <c r="A7" s="115">
        <f>IFERROR(__xludf.DUMMYFUNCTION("""COMPUTED_VALUE"""),3.0)</f>
        <v>3</v>
      </c>
      <c r="B7" s="119" t="str">
        <f>IFERROR(__xludf.DUMMYFUNCTION("""COMPUTED_VALUE"""),"2526100416")</f>
        <v>2526100416</v>
      </c>
      <c r="C7" s="119" t="str">
        <f>IFERROR(__xludf.DUMMYFUNCTION("""COMPUTED_VALUE"""),"0095885037")</f>
        <v>0095885037</v>
      </c>
      <c r="D7" s="122" t="str">
        <f>IFERROR(__xludf.DUMMYFUNCTION("""COMPUTED_VALUE"""),"ALGI FALGIAN")</f>
        <v>ALGI FALGIAN</v>
      </c>
      <c r="E7" s="119" t="str">
        <f>IFERROR(__xludf.DUMMYFUNCTION("""COMPUTED_VALUE"""),"X TO 4")</f>
        <v>X TO 4</v>
      </c>
      <c r="F7" s="119" t="s">
        <v>220</v>
      </c>
      <c r="G7" s="229"/>
      <c r="H7" s="234"/>
      <c r="I7" s="234"/>
      <c r="J7" s="230" t="str">
        <f t="shared" si="18"/>
        <v/>
      </c>
      <c r="K7" s="232"/>
      <c r="L7" s="241"/>
      <c r="M7" s="234"/>
      <c r="N7" s="234"/>
      <c r="O7" s="233" t="str">
        <f t="shared" si="19"/>
        <v/>
      </c>
      <c r="P7" s="232"/>
      <c r="Q7" s="229"/>
      <c r="R7" s="234"/>
      <c r="S7" s="231"/>
      <c r="T7" s="235" t="str">
        <f t="shared" si="20"/>
        <v/>
      </c>
      <c r="U7" s="232"/>
      <c r="V7" s="241"/>
      <c r="W7" s="234"/>
      <c r="X7" s="234"/>
      <c r="Y7" s="236" t="str">
        <f t="shared" si="21"/>
        <v/>
      </c>
      <c r="Z7" s="232"/>
      <c r="AA7" s="241"/>
      <c r="AB7" s="234"/>
      <c r="AC7" s="234"/>
      <c r="AD7" s="238" t="str">
        <f t="shared" si="22"/>
        <v/>
      </c>
      <c r="AE7" s="232"/>
      <c r="AF7" s="241"/>
      <c r="AG7" s="234"/>
      <c r="AH7" s="234"/>
      <c r="AI7" s="239" t="str">
        <f t="shared" si="23"/>
        <v/>
      </c>
      <c r="AJ7" s="232"/>
      <c r="AK7" s="241"/>
      <c r="AL7" s="234"/>
      <c r="AM7" s="234"/>
      <c r="AN7" s="243" t="str">
        <f t="shared" si="24"/>
        <v/>
      </c>
      <c r="AO7" s="232"/>
      <c r="AP7" s="241"/>
      <c r="AQ7" s="234"/>
      <c r="AR7" s="234"/>
      <c r="AS7" s="247" t="str">
        <f t="shared" si="25"/>
        <v/>
      </c>
      <c r="AT7" s="232"/>
      <c r="AU7" s="241"/>
      <c r="AV7" s="234"/>
      <c r="AW7" s="234"/>
      <c r="AX7" s="249" t="str">
        <f t="shared" si="26"/>
        <v/>
      </c>
      <c r="AY7" s="232"/>
      <c r="AZ7" s="241"/>
      <c r="BA7" s="234"/>
      <c r="BB7" s="234"/>
      <c r="BC7" s="250" t="str">
        <f t="shared" si="27"/>
        <v/>
      </c>
      <c r="BD7" s="232"/>
      <c r="BE7" s="256"/>
      <c r="BF7" s="257"/>
      <c r="BG7" s="257"/>
      <c r="BH7" s="254" t="str">
        <f t="shared" si="28"/>
        <v/>
      </c>
      <c r="BI7" s="259"/>
      <c r="BJ7" s="256"/>
      <c r="BK7" s="257"/>
      <c r="BL7" s="257"/>
      <c r="BM7" s="254" t="str">
        <f t="shared" si="29"/>
        <v/>
      </c>
      <c r="BN7" s="259"/>
      <c r="BO7" s="256"/>
      <c r="BP7" s="257"/>
      <c r="BQ7" s="257"/>
      <c r="BR7" s="254" t="str">
        <f t="shared" si="30"/>
        <v/>
      </c>
      <c r="BS7" s="259"/>
      <c r="BT7" s="241"/>
      <c r="BU7" s="234"/>
      <c r="BV7" s="234"/>
      <c r="BW7" s="266" t="str">
        <f t="shared" si="31"/>
        <v/>
      </c>
      <c r="BX7" s="232"/>
      <c r="BY7" s="241"/>
      <c r="BZ7" s="234"/>
      <c r="CA7" s="234"/>
      <c r="CB7" s="266" t="str">
        <f t="shared" si="32"/>
        <v/>
      </c>
      <c r="CC7" s="232"/>
      <c r="CD7" s="241"/>
      <c r="CE7" s="234"/>
      <c r="CF7" s="234"/>
      <c r="CG7" s="269" t="str">
        <f t="shared" si="33"/>
        <v/>
      </c>
      <c r="CH7" s="232"/>
    </row>
    <row r="8" ht="15.75" customHeight="1">
      <c r="A8" s="189">
        <f>IFERROR(__xludf.DUMMYFUNCTION("""COMPUTED_VALUE"""),4.0)</f>
        <v>4</v>
      </c>
      <c r="B8" s="193" t="str">
        <f>IFERROR(__xludf.DUMMYFUNCTION("""COMPUTED_VALUE"""),"2526100417")</f>
        <v>2526100417</v>
      </c>
      <c r="C8" s="193" t="str">
        <f>IFERROR(__xludf.DUMMYFUNCTION("""COMPUTED_VALUE"""),"0095141993")</f>
        <v>0095141993</v>
      </c>
      <c r="D8" s="195" t="str">
        <f>IFERROR(__xludf.DUMMYFUNCTION("""COMPUTED_VALUE"""),"ALI PERMANA")</f>
        <v>ALI PERMANA</v>
      </c>
      <c r="E8" s="193" t="str">
        <f>IFERROR(__xludf.DUMMYFUNCTION("""COMPUTED_VALUE"""),"X TO 4")</f>
        <v>X TO 4</v>
      </c>
      <c r="F8" s="193" t="s">
        <v>220</v>
      </c>
      <c r="G8" s="271"/>
      <c r="H8" s="273"/>
      <c r="I8" s="273"/>
      <c r="J8" s="230" t="str">
        <f t="shared" si="18"/>
        <v/>
      </c>
      <c r="K8" s="276"/>
      <c r="L8" s="278"/>
      <c r="M8" s="273"/>
      <c r="N8" s="273"/>
      <c r="O8" s="233" t="str">
        <f t="shared" si="19"/>
        <v/>
      </c>
      <c r="P8" s="276"/>
      <c r="Q8" s="271"/>
      <c r="R8" s="273"/>
      <c r="S8" s="279"/>
      <c r="T8" s="235" t="str">
        <f t="shared" si="20"/>
        <v/>
      </c>
      <c r="U8" s="276"/>
      <c r="V8" s="278"/>
      <c r="W8" s="273"/>
      <c r="X8" s="273"/>
      <c r="Y8" s="236" t="str">
        <f t="shared" si="21"/>
        <v/>
      </c>
      <c r="Z8" s="276"/>
      <c r="AA8" s="278"/>
      <c r="AB8" s="273"/>
      <c r="AC8" s="273"/>
      <c r="AD8" s="238" t="str">
        <f t="shared" si="22"/>
        <v/>
      </c>
      <c r="AE8" s="276"/>
      <c r="AF8" s="278"/>
      <c r="AG8" s="273"/>
      <c r="AH8" s="273"/>
      <c r="AI8" s="239" t="str">
        <f t="shared" si="23"/>
        <v/>
      </c>
      <c r="AJ8" s="276"/>
      <c r="AK8" s="278"/>
      <c r="AL8" s="273"/>
      <c r="AM8" s="273"/>
      <c r="AN8" s="243" t="str">
        <f t="shared" si="24"/>
        <v/>
      </c>
      <c r="AO8" s="276"/>
      <c r="AP8" s="278"/>
      <c r="AQ8" s="273"/>
      <c r="AR8" s="273"/>
      <c r="AS8" s="247" t="str">
        <f t="shared" si="25"/>
        <v/>
      </c>
      <c r="AT8" s="276"/>
      <c r="AU8" s="278"/>
      <c r="AV8" s="273"/>
      <c r="AW8" s="273"/>
      <c r="AX8" s="249" t="str">
        <f t="shared" si="26"/>
        <v/>
      </c>
      <c r="AY8" s="276"/>
      <c r="AZ8" s="278"/>
      <c r="BA8" s="273"/>
      <c r="BB8" s="273"/>
      <c r="BC8" s="250" t="str">
        <f t="shared" si="27"/>
        <v/>
      </c>
      <c r="BD8" s="276"/>
      <c r="BE8" s="281"/>
      <c r="BF8" s="282"/>
      <c r="BG8" s="282"/>
      <c r="BH8" s="254" t="str">
        <f t="shared" si="28"/>
        <v/>
      </c>
      <c r="BI8" s="284"/>
      <c r="BJ8" s="281"/>
      <c r="BK8" s="282"/>
      <c r="BL8" s="282"/>
      <c r="BM8" s="254" t="str">
        <f t="shared" si="29"/>
        <v/>
      </c>
      <c r="BN8" s="284"/>
      <c r="BO8" s="281"/>
      <c r="BP8" s="282"/>
      <c r="BQ8" s="282"/>
      <c r="BR8" s="254" t="str">
        <f t="shared" si="30"/>
        <v/>
      </c>
      <c r="BS8" s="284"/>
      <c r="BT8" s="278"/>
      <c r="BU8" s="273"/>
      <c r="BV8" s="273"/>
      <c r="BW8" s="266" t="str">
        <f t="shared" si="31"/>
        <v/>
      </c>
      <c r="BX8" s="276"/>
      <c r="BY8" s="278"/>
      <c r="BZ8" s="273"/>
      <c r="CA8" s="273"/>
      <c r="CB8" s="266" t="str">
        <f t="shared" si="32"/>
        <v/>
      </c>
      <c r="CC8" s="276"/>
      <c r="CD8" s="278"/>
      <c r="CE8" s="273"/>
      <c r="CF8" s="273"/>
      <c r="CG8" s="269" t="str">
        <f t="shared" si="33"/>
        <v/>
      </c>
      <c r="CH8" s="276"/>
    </row>
    <row r="9" ht="15.75" customHeight="1">
      <c r="A9" s="115">
        <f>IFERROR(__xludf.DUMMYFUNCTION("""COMPUTED_VALUE"""),5.0)</f>
        <v>5</v>
      </c>
      <c r="B9" s="119" t="str">
        <f>IFERROR(__xludf.DUMMYFUNCTION("""COMPUTED_VALUE"""),"2526100418")</f>
        <v>2526100418</v>
      </c>
      <c r="C9" s="119" t="str">
        <f>IFERROR(__xludf.DUMMYFUNCTION("""COMPUTED_VALUE"""),"0107198266")</f>
        <v>0107198266</v>
      </c>
      <c r="D9" s="122" t="str">
        <f>IFERROR(__xludf.DUMMYFUNCTION("""COMPUTED_VALUE"""),"AZRIL EKA NUGRAHA")</f>
        <v>AZRIL EKA NUGRAHA</v>
      </c>
      <c r="E9" s="119" t="str">
        <f>IFERROR(__xludf.DUMMYFUNCTION("""COMPUTED_VALUE"""),"X TO 4")</f>
        <v>X TO 4</v>
      </c>
      <c r="F9" s="119" t="s">
        <v>220</v>
      </c>
      <c r="G9" s="241"/>
      <c r="H9" s="234"/>
      <c r="I9" s="234"/>
      <c r="J9" s="230" t="str">
        <f t="shared" si="18"/>
        <v/>
      </c>
      <c r="K9" s="232"/>
      <c r="L9" s="241"/>
      <c r="M9" s="234"/>
      <c r="N9" s="234"/>
      <c r="O9" s="233" t="str">
        <f t="shared" si="19"/>
        <v/>
      </c>
      <c r="P9" s="232"/>
      <c r="Q9" s="229"/>
      <c r="R9" s="234"/>
      <c r="S9" s="231"/>
      <c r="T9" s="235" t="str">
        <f t="shared" si="20"/>
        <v/>
      </c>
      <c r="U9" s="232"/>
      <c r="V9" s="241"/>
      <c r="W9" s="234"/>
      <c r="X9" s="234"/>
      <c r="Y9" s="236" t="str">
        <f t="shared" si="21"/>
        <v/>
      </c>
      <c r="Z9" s="232"/>
      <c r="AA9" s="241"/>
      <c r="AB9" s="234"/>
      <c r="AC9" s="234"/>
      <c r="AD9" s="238" t="str">
        <f t="shared" si="22"/>
        <v/>
      </c>
      <c r="AE9" s="232"/>
      <c r="AF9" s="241"/>
      <c r="AG9" s="234"/>
      <c r="AH9" s="234"/>
      <c r="AI9" s="239" t="str">
        <f t="shared" si="23"/>
        <v/>
      </c>
      <c r="AJ9" s="232"/>
      <c r="AK9" s="241"/>
      <c r="AL9" s="234"/>
      <c r="AM9" s="234"/>
      <c r="AN9" s="243" t="str">
        <f t="shared" si="24"/>
        <v/>
      </c>
      <c r="AO9" s="232"/>
      <c r="AP9" s="241"/>
      <c r="AQ9" s="234"/>
      <c r="AR9" s="234"/>
      <c r="AS9" s="247" t="str">
        <f t="shared" si="25"/>
        <v/>
      </c>
      <c r="AT9" s="232"/>
      <c r="AU9" s="241"/>
      <c r="AV9" s="234"/>
      <c r="AW9" s="234"/>
      <c r="AX9" s="249" t="str">
        <f t="shared" si="26"/>
        <v/>
      </c>
      <c r="AY9" s="232"/>
      <c r="AZ9" s="241"/>
      <c r="BA9" s="234"/>
      <c r="BB9" s="234"/>
      <c r="BC9" s="250" t="str">
        <f t="shared" si="27"/>
        <v/>
      </c>
      <c r="BD9" s="232"/>
      <c r="BE9" s="256"/>
      <c r="BF9" s="257"/>
      <c r="BG9" s="257"/>
      <c r="BH9" s="254" t="str">
        <f t="shared" si="28"/>
        <v/>
      </c>
      <c r="BI9" s="259"/>
      <c r="BJ9" s="256"/>
      <c r="BK9" s="257"/>
      <c r="BL9" s="257"/>
      <c r="BM9" s="254" t="str">
        <f t="shared" si="29"/>
        <v/>
      </c>
      <c r="BN9" s="259"/>
      <c r="BO9" s="256"/>
      <c r="BP9" s="257"/>
      <c r="BQ9" s="257"/>
      <c r="BR9" s="254" t="str">
        <f t="shared" si="30"/>
        <v/>
      </c>
      <c r="BS9" s="259"/>
      <c r="BT9" s="241"/>
      <c r="BU9" s="234"/>
      <c r="BV9" s="234"/>
      <c r="BW9" s="266" t="str">
        <f t="shared" si="31"/>
        <v/>
      </c>
      <c r="BX9" s="232"/>
      <c r="BY9" s="241"/>
      <c r="BZ9" s="234"/>
      <c r="CA9" s="234"/>
      <c r="CB9" s="266" t="str">
        <f t="shared" si="32"/>
        <v/>
      </c>
      <c r="CC9" s="232"/>
      <c r="CD9" s="241"/>
      <c r="CE9" s="234"/>
      <c r="CF9" s="234"/>
      <c r="CG9" s="269" t="str">
        <f t="shared" si="33"/>
        <v/>
      </c>
      <c r="CH9" s="232"/>
    </row>
    <row r="10" ht="15.75" customHeight="1">
      <c r="A10" s="189">
        <f>IFERROR(__xludf.DUMMYFUNCTION("""COMPUTED_VALUE"""),6.0)</f>
        <v>6</v>
      </c>
      <c r="B10" s="193" t="str">
        <f>IFERROR(__xludf.DUMMYFUNCTION("""COMPUTED_VALUE"""),"2526100419")</f>
        <v>2526100419</v>
      </c>
      <c r="C10" s="193" t="str">
        <f>IFERROR(__xludf.DUMMYFUNCTION("""COMPUTED_VALUE"""),"0096198310")</f>
        <v>0096198310</v>
      </c>
      <c r="D10" s="195" t="str">
        <f>IFERROR(__xludf.DUMMYFUNCTION("""COMPUTED_VALUE"""),"DIKA MUSTIKA SAPUTRA")</f>
        <v>DIKA MUSTIKA SAPUTRA</v>
      </c>
      <c r="E10" s="193" t="str">
        <f>IFERROR(__xludf.DUMMYFUNCTION("""COMPUTED_VALUE"""),"X TO 4")</f>
        <v>X TO 4</v>
      </c>
      <c r="F10" s="193" t="s">
        <v>220</v>
      </c>
      <c r="G10" s="278"/>
      <c r="H10" s="273"/>
      <c r="I10" s="273"/>
      <c r="J10" s="230" t="str">
        <f t="shared" si="18"/>
        <v/>
      </c>
      <c r="K10" s="276"/>
      <c r="L10" s="278"/>
      <c r="M10" s="273"/>
      <c r="N10" s="273"/>
      <c r="O10" s="233" t="str">
        <f t="shared" si="19"/>
        <v/>
      </c>
      <c r="P10" s="276"/>
      <c r="Q10" s="271"/>
      <c r="R10" s="279"/>
      <c r="S10" s="279"/>
      <c r="T10" s="235" t="str">
        <f t="shared" si="20"/>
        <v/>
      </c>
      <c r="U10" s="276"/>
      <c r="V10" s="278"/>
      <c r="W10" s="273"/>
      <c r="X10" s="273"/>
      <c r="Y10" s="236" t="str">
        <f t="shared" si="21"/>
        <v/>
      </c>
      <c r="Z10" s="276"/>
      <c r="AA10" s="278"/>
      <c r="AB10" s="273"/>
      <c r="AC10" s="273"/>
      <c r="AD10" s="238" t="str">
        <f t="shared" si="22"/>
        <v/>
      </c>
      <c r="AE10" s="276"/>
      <c r="AF10" s="278"/>
      <c r="AG10" s="273"/>
      <c r="AH10" s="273"/>
      <c r="AI10" s="239" t="str">
        <f t="shared" si="23"/>
        <v/>
      </c>
      <c r="AJ10" s="276"/>
      <c r="AK10" s="278"/>
      <c r="AL10" s="273"/>
      <c r="AM10" s="273"/>
      <c r="AN10" s="243" t="str">
        <f t="shared" si="24"/>
        <v/>
      </c>
      <c r="AO10" s="276"/>
      <c r="AP10" s="278"/>
      <c r="AQ10" s="273"/>
      <c r="AR10" s="273"/>
      <c r="AS10" s="247" t="str">
        <f t="shared" si="25"/>
        <v/>
      </c>
      <c r="AT10" s="276"/>
      <c r="AU10" s="278"/>
      <c r="AV10" s="273"/>
      <c r="AW10" s="273"/>
      <c r="AX10" s="249" t="str">
        <f t="shared" si="26"/>
        <v/>
      </c>
      <c r="AY10" s="276"/>
      <c r="AZ10" s="278"/>
      <c r="BA10" s="273"/>
      <c r="BB10" s="273"/>
      <c r="BC10" s="250" t="str">
        <f t="shared" si="27"/>
        <v/>
      </c>
      <c r="BD10" s="276"/>
      <c r="BE10" s="281"/>
      <c r="BF10" s="282"/>
      <c r="BG10" s="282"/>
      <c r="BH10" s="254" t="str">
        <f t="shared" si="28"/>
        <v/>
      </c>
      <c r="BI10" s="284"/>
      <c r="BJ10" s="281"/>
      <c r="BK10" s="282"/>
      <c r="BL10" s="282"/>
      <c r="BM10" s="254" t="str">
        <f t="shared" si="29"/>
        <v/>
      </c>
      <c r="BN10" s="284"/>
      <c r="BO10" s="281"/>
      <c r="BP10" s="282"/>
      <c r="BQ10" s="282"/>
      <c r="BR10" s="254" t="str">
        <f t="shared" si="30"/>
        <v/>
      </c>
      <c r="BS10" s="284"/>
      <c r="BT10" s="278"/>
      <c r="BU10" s="273"/>
      <c r="BV10" s="273"/>
      <c r="BW10" s="266" t="str">
        <f t="shared" si="31"/>
        <v/>
      </c>
      <c r="BX10" s="276"/>
      <c r="BY10" s="278"/>
      <c r="BZ10" s="273"/>
      <c r="CA10" s="273"/>
      <c r="CB10" s="266" t="str">
        <f t="shared" si="32"/>
        <v/>
      </c>
      <c r="CC10" s="276"/>
      <c r="CD10" s="278"/>
      <c r="CE10" s="273"/>
      <c r="CF10" s="273"/>
      <c r="CG10" s="269" t="str">
        <f t="shared" si="33"/>
        <v/>
      </c>
      <c r="CH10" s="276"/>
    </row>
    <row r="11" ht="15.75" customHeight="1">
      <c r="A11" s="115">
        <f>IFERROR(__xludf.DUMMYFUNCTION("""COMPUTED_VALUE"""),7.0)</f>
        <v>7</v>
      </c>
      <c r="B11" s="119" t="str">
        <f>IFERROR(__xludf.DUMMYFUNCTION("""COMPUTED_VALUE"""),"2526100420")</f>
        <v>2526100420</v>
      </c>
      <c r="C11" s="119" t="str">
        <f>IFERROR(__xludf.DUMMYFUNCTION("""COMPUTED_VALUE"""),"0092542662")</f>
        <v>0092542662</v>
      </c>
      <c r="D11" s="122" t="str">
        <f>IFERROR(__xludf.DUMMYFUNCTION("""COMPUTED_VALUE"""),"FAWAZ NAUPAL ALFATIR")</f>
        <v>FAWAZ NAUPAL ALFATIR</v>
      </c>
      <c r="E11" s="119" t="str">
        <f>IFERROR(__xludf.DUMMYFUNCTION("""COMPUTED_VALUE"""),"X TO 4")</f>
        <v>X TO 4</v>
      </c>
      <c r="F11" s="119" t="s">
        <v>220</v>
      </c>
      <c r="G11" s="241"/>
      <c r="H11" s="234"/>
      <c r="I11" s="234"/>
      <c r="J11" s="230" t="str">
        <f t="shared" si="18"/>
        <v/>
      </c>
      <c r="K11" s="232"/>
      <c r="L11" s="241"/>
      <c r="M11" s="234"/>
      <c r="N11" s="234"/>
      <c r="O11" s="233" t="str">
        <f t="shared" si="19"/>
        <v/>
      </c>
      <c r="P11" s="232"/>
      <c r="Q11" s="229"/>
      <c r="R11" s="234"/>
      <c r="S11" s="231"/>
      <c r="T11" s="235" t="str">
        <f t="shared" si="20"/>
        <v/>
      </c>
      <c r="U11" s="232"/>
      <c r="V11" s="241"/>
      <c r="W11" s="234"/>
      <c r="X11" s="234"/>
      <c r="Y11" s="236" t="str">
        <f t="shared" si="21"/>
        <v/>
      </c>
      <c r="Z11" s="232"/>
      <c r="AA11" s="241"/>
      <c r="AB11" s="234"/>
      <c r="AC11" s="234"/>
      <c r="AD11" s="238" t="str">
        <f t="shared" si="22"/>
        <v/>
      </c>
      <c r="AE11" s="232"/>
      <c r="AF11" s="241"/>
      <c r="AG11" s="234"/>
      <c r="AH11" s="234"/>
      <c r="AI11" s="239" t="str">
        <f t="shared" si="23"/>
        <v/>
      </c>
      <c r="AJ11" s="232"/>
      <c r="AK11" s="241"/>
      <c r="AL11" s="234"/>
      <c r="AM11" s="234"/>
      <c r="AN11" s="243" t="str">
        <f t="shared" si="24"/>
        <v/>
      </c>
      <c r="AO11" s="232"/>
      <c r="AP11" s="241"/>
      <c r="AQ11" s="234"/>
      <c r="AR11" s="234"/>
      <c r="AS11" s="247" t="str">
        <f t="shared" si="25"/>
        <v/>
      </c>
      <c r="AT11" s="232"/>
      <c r="AU11" s="241"/>
      <c r="AV11" s="234"/>
      <c r="AW11" s="234"/>
      <c r="AX11" s="249" t="str">
        <f t="shared" si="26"/>
        <v/>
      </c>
      <c r="AY11" s="232"/>
      <c r="AZ11" s="241"/>
      <c r="BA11" s="234"/>
      <c r="BB11" s="234"/>
      <c r="BC11" s="250" t="str">
        <f t="shared" si="27"/>
        <v/>
      </c>
      <c r="BD11" s="232"/>
      <c r="BE11" s="256"/>
      <c r="BF11" s="257"/>
      <c r="BG11" s="257"/>
      <c r="BH11" s="254" t="str">
        <f t="shared" si="28"/>
        <v/>
      </c>
      <c r="BI11" s="259"/>
      <c r="BJ11" s="256"/>
      <c r="BK11" s="257"/>
      <c r="BL11" s="257"/>
      <c r="BM11" s="254" t="str">
        <f t="shared" si="29"/>
        <v/>
      </c>
      <c r="BN11" s="259"/>
      <c r="BO11" s="256"/>
      <c r="BP11" s="257"/>
      <c r="BQ11" s="257"/>
      <c r="BR11" s="254" t="str">
        <f t="shared" si="30"/>
        <v/>
      </c>
      <c r="BS11" s="259"/>
      <c r="BT11" s="241"/>
      <c r="BU11" s="234"/>
      <c r="BV11" s="234"/>
      <c r="BW11" s="266" t="str">
        <f t="shared" si="31"/>
        <v/>
      </c>
      <c r="BX11" s="232"/>
      <c r="BY11" s="241"/>
      <c r="BZ11" s="234"/>
      <c r="CA11" s="234"/>
      <c r="CB11" s="266" t="str">
        <f t="shared" si="32"/>
        <v/>
      </c>
      <c r="CC11" s="232"/>
      <c r="CD11" s="241"/>
      <c r="CE11" s="234"/>
      <c r="CF11" s="234"/>
      <c r="CG11" s="269" t="str">
        <f t="shared" si="33"/>
        <v/>
      </c>
      <c r="CH11" s="232"/>
    </row>
    <row r="12" ht="15.75" customHeight="1">
      <c r="A12" s="189">
        <f>IFERROR(__xludf.DUMMYFUNCTION("""COMPUTED_VALUE"""),8.0)</f>
        <v>8</v>
      </c>
      <c r="B12" s="193" t="str">
        <f>IFERROR(__xludf.DUMMYFUNCTION("""COMPUTED_VALUE"""),"2526100421")</f>
        <v>2526100421</v>
      </c>
      <c r="C12" s="193" t="str">
        <f>IFERROR(__xludf.DUMMYFUNCTION("""COMPUTED_VALUE"""),"0107343620")</f>
        <v>0107343620</v>
      </c>
      <c r="D12" s="195" t="str">
        <f>IFERROR(__xludf.DUMMYFUNCTION("""COMPUTED_VALUE"""),"FIKRI AHMAD NAWAWI")</f>
        <v>FIKRI AHMAD NAWAWI</v>
      </c>
      <c r="E12" s="193" t="str">
        <f>IFERROR(__xludf.DUMMYFUNCTION("""COMPUTED_VALUE"""),"X TO 4")</f>
        <v>X TO 4</v>
      </c>
      <c r="F12" s="193" t="s">
        <v>220</v>
      </c>
      <c r="G12" s="278"/>
      <c r="H12" s="273"/>
      <c r="I12" s="273"/>
      <c r="J12" s="230" t="str">
        <f t="shared" si="18"/>
        <v/>
      </c>
      <c r="K12" s="276"/>
      <c r="L12" s="278"/>
      <c r="M12" s="273"/>
      <c r="N12" s="273"/>
      <c r="O12" s="233" t="str">
        <f t="shared" si="19"/>
        <v/>
      </c>
      <c r="P12" s="276"/>
      <c r="Q12" s="271"/>
      <c r="R12" s="273"/>
      <c r="S12" s="279"/>
      <c r="T12" s="235" t="str">
        <f t="shared" si="20"/>
        <v/>
      </c>
      <c r="U12" s="276"/>
      <c r="V12" s="278"/>
      <c r="W12" s="273"/>
      <c r="X12" s="273"/>
      <c r="Y12" s="236" t="str">
        <f t="shared" si="21"/>
        <v/>
      </c>
      <c r="Z12" s="276"/>
      <c r="AA12" s="278"/>
      <c r="AB12" s="273"/>
      <c r="AC12" s="273"/>
      <c r="AD12" s="238" t="str">
        <f t="shared" si="22"/>
        <v/>
      </c>
      <c r="AE12" s="276"/>
      <c r="AF12" s="278"/>
      <c r="AG12" s="273"/>
      <c r="AH12" s="273"/>
      <c r="AI12" s="239" t="str">
        <f t="shared" si="23"/>
        <v/>
      </c>
      <c r="AJ12" s="276"/>
      <c r="AK12" s="278"/>
      <c r="AL12" s="273"/>
      <c r="AM12" s="273"/>
      <c r="AN12" s="243" t="str">
        <f t="shared" si="24"/>
        <v/>
      </c>
      <c r="AO12" s="276"/>
      <c r="AP12" s="278"/>
      <c r="AQ12" s="273"/>
      <c r="AR12" s="273"/>
      <c r="AS12" s="247" t="str">
        <f t="shared" si="25"/>
        <v/>
      </c>
      <c r="AT12" s="276"/>
      <c r="AU12" s="278"/>
      <c r="AV12" s="273"/>
      <c r="AW12" s="273"/>
      <c r="AX12" s="249" t="str">
        <f t="shared" si="26"/>
        <v/>
      </c>
      <c r="AY12" s="276"/>
      <c r="AZ12" s="278"/>
      <c r="BA12" s="273"/>
      <c r="BB12" s="273"/>
      <c r="BC12" s="250" t="str">
        <f t="shared" si="27"/>
        <v/>
      </c>
      <c r="BD12" s="276"/>
      <c r="BE12" s="281"/>
      <c r="BF12" s="282"/>
      <c r="BG12" s="282"/>
      <c r="BH12" s="254" t="str">
        <f t="shared" si="28"/>
        <v/>
      </c>
      <c r="BI12" s="284"/>
      <c r="BJ12" s="281"/>
      <c r="BK12" s="282"/>
      <c r="BL12" s="282"/>
      <c r="BM12" s="254" t="str">
        <f t="shared" si="29"/>
        <v/>
      </c>
      <c r="BN12" s="284"/>
      <c r="BO12" s="281"/>
      <c r="BP12" s="282"/>
      <c r="BQ12" s="282"/>
      <c r="BR12" s="254" t="str">
        <f t="shared" si="30"/>
        <v/>
      </c>
      <c r="BS12" s="284"/>
      <c r="BT12" s="278"/>
      <c r="BU12" s="273"/>
      <c r="BV12" s="273"/>
      <c r="BW12" s="266" t="str">
        <f t="shared" si="31"/>
        <v/>
      </c>
      <c r="BX12" s="276"/>
      <c r="BY12" s="278"/>
      <c r="BZ12" s="273"/>
      <c r="CA12" s="273"/>
      <c r="CB12" s="266" t="str">
        <f t="shared" si="32"/>
        <v/>
      </c>
      <c r="CC12" s="276"/>
      <c r="CD12" s="278"/>
      <c r="CE12" s="273"/>
      <c r="CF12" s="273"/>
      <c r="CG12" s="269" t="str">
        <f t="shared" si="33"/>
        <v/>
      </c>
      <c r="CH12" s="276"/>
    </row>
    <row r="13" ht="15.75" customHeight="1">
      <c r="A13" s="115">
        <f>IFERROR(__xludf.DUMMYFUNCTION("""COMPUTED_VALUE"""),9.0)</f>
        <v>9</v>
      </c>
      <c r="B13" s="119" t="str">
        <f>IFERROR(__xludf.DUMMYFUNCTION("""COMPUTED_VALUE"""),"2526100422")</f>
        <v>2526100422</v>
      </c>
      <c r="C13" s="119" t="str">
        <f>IFERROR(__xludf.DUMMYFUNCTION("""COMPUTED_VALUE"""),"0076614788")</f>
        <v>0076614788</v>
      </c>
      <c r="D13" s="122" t="str">
        <f>IFERROR(__xludf.DUMMYFUNCTION("""COMPUTED_VALUE"""),"HADI NURYADI")</f>
        <v>HADI NURYADI</v>
      </c>
      <c r="E13" s="119" t="str">
        <f>IFERROR(__xludf.DUMMYFUNCTION("""COMPUTED_VALUE"""),"X TO 4")</f>
        <v>X TO 4</v>
      </c>
      <c r="F13" s="119" t="s">
        <v>220</v>
      </c>
      <c r="G13" s="241"/>
      <c r="H13" s="234"/>
      <c r="I13" s="234"/>
      <c r="J13" s="230" t="str">
        <f t="shared" si="18"/>
        <v/>
      </c>
      <c r="K13" s="232"/>
      <c r="L13" s="241"/>
      <c r="M13" s="234"/>
      <c r="N13" s="234"/>
      <c r="O13" s="233" t="str">
        <f t="shared" si="19"/>
        <v/>
      </c>
      <c r="P13" s="232"/>
      <c r="Q13" s="229"/>
      <c r="R13" s="234"/>
      <c r="S13" s="231"/>
      <c r="T13" s="235" t="str">
        <f t="shared" si="20"/>
        <v/>
      </c>
      <c r="U13" s="232"/>
      <c r="V13" s="241"/>
      <c r="W13" s="234"/>
      <c r="X13" s="234"/>
      <c r="Y13" s="236" t="str">
        <f t="shared" si="21"/>
        <v/>
      </c>
      <c r="Z13" s="232"/>
      <c r="AA13" s="241"/>
      <c r="AB13" s="234"/>
      <c r="AC13" s="234"/>
      <c r="AD13" s="238" t="str">
        <f t="shared" si="22"/>
        <v/>
      </c>
      <c r="AE13" s="232"/>
      <c r="AF13" s="241"/>
      <c r="AG13" s="234"/>
      <c r="AH13" s="234"/>
      <c r="AI13" s="239" t="str">
        <f t="shared" si="23"/>
        <v/>
      </c>
      <c r="AJ13" s="232"/>
      <c r="AK13" s="241"/>
      <c r="AL13" s="234"/>
      <c r="AM13" s="234"/>
      <c r="AN13" s="243" t="str">
        <f t="shared" si="24"/>
        <v/>
      </c>
      <c r="AO13" s="232"/>
      <c r="AP13" s="241"/>
      <c r="AQ13" s="234"/>
      <c r="AR13" s="234"/>
      <c r="AS13" s="247" t="str">
        <f t="shared" si="25"/>
        <v/>
      </c>
      <c r="AT13" s="232"/>
      <c r="AU13" s="241"/>
      <c r="AV13" s="234"/>
      <c r="AW13" s="234"/>
      <c r="AX13" s="249" t="str">
        <f t="shared" si="26"/>
        <v/>
      </c>
      <c r="AY13" s="232"/>
      <c r="AZ13" s="241"/>
      <c r="BA13" s="234"/>
      <c r="BB13" s="234"/>
      <c r="BC13" s="250" t="str">
        <f t="shared" si="27"/>
        <v/>
      </c>
      <c r="BD13" s="232"/>
      <c r="BE13" s="256"/>
      <c r="BF13" s="257"/>
      <c r="BG13" s="257"/>
      <c r="BH13" s="254" t="str">
        <f t="shared" si="28"/>
        <v/>
      </c>
      <c r="BI13" s="259"/>
      <c r="BJ13" s="256"/>
      <c r="BK13" s="257"/>
      <c r="BL13" s="257"/>
      <c r="BM13" s="254" t="str">
        <f t="shared" si="29"/>
        <v/>
      </c>
      <c r="BN13" s="259"/>
      <c r="BO13" s="256"/>
      <c r="BP13" s="257"/>
      <c r="BQ13" s="257"/>
      <c r="BR13" s="254" t="str">
        <f t="shared" si="30"/>
        <v/>
      </c>
      <c r="BS13" s="259"/>
      <c r="BT13" s="241"/>
      <c r="BU13" s="234"/>
      <c r="BV13" s="234"/>
      <c r="BW13" s="266" t="str">
        <f t="shared" si="31"/>
        <v/>
      </c>
      <c r="BX13" s="232"/>
      <c r="BY13" s="241"/>
      <c r="BZ13" s="234"/>
      <c r="CA13" s="234"/>
      <c r="CB13" s="266" t="str">
        <f t="shared" si="32"/>
        <v/>
      </c>
      <c r="CC13" s="232"/>
      <c r="CD13" s="241"/>
      <c r="CE13" s="234"/>
      <c r="CF13" s="234"/>
      <c r="CG13" s="269" t="str">
        <f t="shared" si="33"/>
        <v/>
      </c>
      <c r="CH13" s="232"/>
    </row>
    <row r="14" ht="15.75" customHeight="1">
      <c r="A14" s="189">
        <f>IFERROR(__xludf.DUMMYFUNCTION("""COMPUTED_VALUE"""),10.0)</f>
        <v>10</v>
      </c>
      <c r="B14" s="193" t="str">
        <f>IFERROR(__xludf.DUMMYFUNCTION("""COMPUTED_VALUE"""),"2526100423")</f>
        <v>2526100423</v>
      </c>
      <c r="C14" s="193" t="str">
        <f>IFERROR(__xludf.DUMMYFUNCTION("""COMPUTED_VALUE"""),"0093759169")</f>
        <v>0093759169</v>
      </c>
      <c r="D14" s="195" t="str">
        <f>IFERROR(__xludf.DUMMYFUNCTION("""COMPUTED_VALUE"""),"IBNU WANALI")</f>
        <v>IBNU WANALI</v>
      </c>
      <c r="E14" s="193" t="str">
        <f>IFERROR(__xludf.DUMMYFUNCTION("""COMPUTED_VALUE"""),"X TO 4")</f>
        <v>X TO 4</v>
      </c>
      <c r="F14" s="193" t="s">
        <v>220</v>
      </c>
      <c r="G14" s="278"/>
      <c r="H14" s="273"/>
      <c r="I14" s="273"/>
      <c r="J14" s="230" t="str">
        <f t="shared" si="18"/>
        <v/>
      </c>
      <c r="K14" s="276"/>
      <c r="L14" s="278"/>
      <c r="M14" s="273"/>
      <c r="N14" s="273"/>
      <c r="O14" s="233" t="str">
        <f t="shared" si="19"/>
        <v/>
      </c>
      <c r="P14" s="276"/>
      <c r="Q14" s="271"/>
      <c r="R14" s="273"/>
      <c r="S14" s="279"/>
      <c r="T14" s="235" t="str">
        <f t="shared" si="20"/>
        <v/>
      </c>
      <c r="U14" s="276"/>
      <c r="V14" s="278"/>
      <c r="W14" s="273"/>
      <c r="X14" s="273"/>
      <c r="Y14" s="236" t="str">
        <f t="shared" si="21"/>
        <v/>
      </c>
      <c r="Z14" s="276"/>
      <c r="AA14" s="278"/>
      <c r="AB14" s="273"/>
      <c r="AC14" s="273"/>
      <c r="AD14" s="238" t="str">
        <f t="shared" si="22"/>
        <v/>
      </c>
      <c r="AE14" s="276"/>
      <c r="AF14" s="278"/>
      <c r="AG14" s="273"/>
      <c r="AH14" s="273"/>
      <c r="AI14" s="239" t="str">
        <f t="shared" si="23"/>
        <v/>
      </c>
      <c r="AJ14" s="276"/>
      <c r="AK14" s="278"/>
      <c r="AL14" s="273"/>
      <c r="AM14" s="273"/>
      <c r="AN14" s="243" t="str">
        <f t="shared" si="24"/>
        <v/>
      </c>
      <c r="AO14" s="276"/>
      <c r="AP14" s="278"/>
      <c r="AQ14" s="273"/>
      <c r="AR14" s="273"/>
      <c r="AS14" s="247" t="str">
        <f t="shared" si="25"/>
        <v/>
      </c>
      <c r="AT14" s="276"/>
      <c r="AU14" s="278"/>
      <c r="AV14" s="273"/>
      <c r="AW14" s="273"/>
      <c r="AX14" s="249" t="str">
        <f t="shared" si="26"/>
        <v/>
      </c>
      <c r="AY14" s="276"/>
      <c r="AZ14" s="278"/>
      <c r="BA14" s="273"/>
      <c r="BB14" s="273"/>
      <c r="BC14" s="250" t="str">
        <f t="shared" si="27"/>
        <v/>
      </c>
      <c r="BD14" s="276"/>
      <c r="BE14" s="281"/>
      <c r="BF14" s="282"/>
      <c r="BG14" s="282"/>
      <c r="BH14" s="254" t="str">
        <f t="shared" si="28"/>
        <v/>
      </c>
      <c r="BI14" s="284"/>
      <c r="BJ14" s="281"/>
      <c r="BK14" s="282"/>
      <c r="BL14" s="282"/>
      <c r="BM14" s="254" t="str">
        <f t="shared" si="29"/>
        <v/>
      </c>
      <c r="BN14" s="284"/>
      <c r="BO14" s="281"/>
      <c r="BP14" s="282"/>
      <c r="BQ14" s="282"/>
      <c r="BR14" s="254" t="str">
        <f t="shared" si="30"/>
        <v/>
      </c>
      <c r="BS14" s="284"/>
      <c r="BT14" s="278"/>
      <c r="BU14" s="273"/>
      <c r="BV14" s="273"/>
      <c r="BW14" s="266" t="str">
        <f t="shared" si="31"/>
        <v/>
      </c>
      <c r="BX14" s="276"/>
      <c r="BY14" s="278"/>
      <c r="BZ14" s="273"/>
      <c r="CA14" s="273"/>
      <c r="CB14" s="266" t="str">
        <f t="shared" si="32"/>
        <v/>
      </c>
      <c r="CC14" s="276"/>
      <c r="CD14" s="278"/>
      <c r="CE14" s="273"/>
      <c r="CF14" s="273"/>
      <c r="CG14" s="269" t="str">
        <f t="shared" si="33"/>
        <v/>
      </c>
      <c r="CH14" s="276"/>
    </row>
    <row r="15" ht="15.75" customHeight="1">
      <c r="A15" s="115">
        <f>IFERROR(__xludf.DUMMYFUNCTION("""COMPUTED_VALUE"""),11.0)</f>
        <v>11</v>
      </c>
      <c r="B15" s="119" t="str">
        <f>IFERROR(__xludf.DUMMYFUNCTION("""COMPUTED_VALUE"""),"2526100424")</f>
        <v>2526100424</v>
      </c>
      <c r="C15" s="119" t="str">
        <f>IFERROR(__xludf.DUMMYFUNCTION("""COMPUTED_VALUE"""),"0095752965")</f>
        <v>0095752965</v>
      </c>
      <c r="D15" s="122" t="str">
        <f>IFERROR(__xludf.DUMMYFUNCTION("""COMPUTED_VALUE"""),"IHSAN ABDULOH ")</f>
        <v>IHSAN ABDULOH </v>
      </c>
      <c r="E15" s="119" t="str">
        <f>IFERROR(__xludf.DUMMYFUNCTION("""COMPUTED_VALUE"""),"X TO 4")</f>
        <v>X TO 4</v>
      </c>
      <c r="F15" s="119" t="s">
        <v>220</v>
      </c>
      <c r="G15" s="241"/>
      <c r="H15" s="234"/>
      <c r="I15" s="234"/>
      <c r="J15" s="230" t="str">
        <f t="shared" si="18"/>
        <v/>
      </c>
      <c r="K15" s="232"/>
      <c r="L15" s="241"/>
      <c r="M15" s="234"/>
      <c r="N15" s="234"/>
      <c r="O15" s="233" t="str">
        <f t="shared" si="19"/>
        <v/>
      </c>
      <c r="P15" s="232"/>
      <c r="Q15" s="229"/>
      <c r="R15" s="234"/>
      <c r="S15" s="231"/>
      <c r="T15" s="235" t="str">
        <f t="shared" si="20"/>
        <v/>
      </c>
      <c r="U15" s="232"/>
      <c r="V15" s="241"/>
      <c r="W15" s="234"/>
      <c r="X15" s="234"/>
      <c r="Y15" s="236" t="str">
        <f t="shared" si="21"/>
        <v/>
      </c>
      <c r="Z15" s="232"/>
      <c r="AA15" s="241"/>
      <c r="AB15" s="234"/>
      <c r="AC15" s="234"/>
      <c r="AD15" s="238" t="str">
        <f t="shared" si="22"/>
        <v/>
      </c>
      <c r="AE15" s="232"/>
      <c r="AF15" s="241"/>
      <c r="AG15" s="234"/>
      <c r="AH15" s="234"/>
      <c r="AI15" s="239" t="str">
        <f t="shared" si="23"/>
        <v/>
      </c>
      <c r="AJ15" s="232"/>
      <c r="AK15" s="241"/>
      <c r="AL15" s="234"/>
      <c r="AM15" s="234"/>
      <c r="AN15" s="243" t="str">
        <f t="shared" si="24"/>
        <v/>
      </c>
      <c r="AO15" s="232"/>
      <c r="AP15" s="241"/>
      <c r="AQ15" s="234"/>
      <c r="AR15" s="234"/>
      <c r="AS15" s="247" t="str">
        <f t="shared" si="25"/>
        <v/>
      </c>
      <c r="AT15" s="232"/>
      <c r="AU15" s="241"/>
      <c r="AV15" s="234"/>
      <c r="AW15" s="234"/>
      <c r="AX15" s="249" t="str">
        <f t="shared" si="26"/>
        <v/>
      </c>
      <c r="AY15" s="232"/>
      <c r="AZ15" s="241"/>
      <c r="BA15" s="234"/>
      <c r="BB15" s="234"/>
      <c r="BC15" s="250" t="str">
        <f t="shared" si="27"/>
        <v/>
      </c>
      <c r="BD15" s="232"/>
      <c r="BE15" s="256"/>
      <c r="BF15" s="257"/>
      <c r="BG15" s="257"/>
      <c r="BH15" s="254" t="str">
        <f t="shared" si="28"/>
        <v/>
      </c>
      <c r="BI15" s="259"/>
      <c r="BJ15" s="256"/>
      <c r="BK15" s="257"/>
      <c r="BL15" s="257"/>
      <c r="BM15" s="254" t="str">
        <f t="shared" si="29"/>
        <v/>
      </c>
      <c r="BN15" s="259"/>
      <c r="BO15" s="256"/>
      <c r="BP15" s="257"/>
      <c r="BQ15" s="257"/>
      <c r="BR15" s="254" t="str">
        <f t="shared" si="30"/>
        <v/>
      </c>
      <c r="BS15" s="259"/>
      <c r="BT15" s="241"/>
      <c r="BU15" s="234"/>
      <c r="BV15" s="234"/>
      <c r="BW15" s="266" t="str">
        <f t="shared" si="31"/>
        <v/>
      </c>
      <c r="BX15" s="232"/>
      <c r="BY15" s="241"/>
      <c r="BZ15" s="234"/>
      <c r="CA15" s="234"/>
      <c r="CB15" s="266" t="str">
        <f t="shared" si="32"/>
        <v/>
      </c>
      <c r="CC15" s="232"/>
      <c r="CD15" s="241"/>
      <c r="CE15" s="234"/>
      <c r="CF15" s="234"/>
      <c r="CG15" s="269" t="str">
        <f t="shared" si="33"/>
        <v/>
      </c>
      <c r="CH15" s="232"/>
    </row>
    <row r="16" ht="15.75" customHeight="1">
      <c r="A16" s="189">
        <f>IFERROR(__xludf.DUMMYFUNCTION("""COMPUTED_VALUE"""),12.0)</f>
        <v>12</v>
      </c>
      <c r="B16" s="193" t="str">
        <f>IFERROR(__xludf.DUMMYFUNCTION("""COMPUTED_VALUE"""),"2526100425")</f>
        <v>2526100425</v>
      </c>
      <c r="C16" s="193" t="str">
        <f>IFERROR(__xludf.DUMMYFUNCTION("""COMPUTED_VALUE"""),"0095318140")</f>
        <v>0095318140</v>
      </c>
      <c r="D16" s="195" t="str">
        <f>IFERROR(__xludf.DUMMYFUNCTION("""COMPUTED_VALUE"""),"INDRA NURMAN")</f>
        <v>INDRA NURMAN</v>
      </c>
      <c r="E16" s="193" t="str">
        <f>IFERROR(__xludf.DUMMYFUNCTION("""COMPUTED_VALUE"""),"X TO 4")</f>
        <v>X TO 4</v>
      </c>
      <c r="F16" s="193" t="s">
        <v>220</v>
      </c>
      <c r="G16" s="278"/>
      <c r="H16" s="273"/>
      <c r="I16" s="273"/>
      <c r="J16" s="230" t="str">
        <f t="shared" si="18"/>
        <v/>
      </c>
      <c r="K16" s="276"/>
      <c r="L16" s="278"/>
      <c r="M16" s="273"/>
      <c r="N16" s="273"/>
      <c r="O16" s="233" t="str">
        <f t="shared" si="19"/>
        <v/>
      </c>
      <c r="P16" s="276"/>
      <c r="Q16" s="271"/>
      <c r="R16" s="273"/>
      <c r="S16" s="279"/>
      <c r="T16" s="235" t="str">
        <f t="shared" si="20"/>
        <v/>
      </c>
      <c r="U16" s="276"/>
      <c r="V16" s="278"/>
      <c r="W16" s="273"/>
      <c r="X16" s="273"/>
      <c r="Y16" s="236" t="str">
        <f t="shared" si="21"/>
        <v/>
      </c>
      <c r="Z16" s="276"/>
      <c r="AA16" s="278"/>
      <c r="AB16" s="273"/>
      <c r="AC16" s="273"/>
      <c r="AD16" s="238" t="str">
        <f t="shared" si="22"/>
        <v/>
      </c>
      <c r="AE16" s="276"/>
      <c r="AF16" s="278"/>
      <c r="AG16" s="273"/>
      <c r="AH16" s="273"/>
      <c r="AI16" s="239" t="str">
        <f t="shared" si="23"/>
        <v/>
      </c>
      <c r="AJ16" s="276"/>
      <c r="AK16" s="278"/>
      <c r="AL16" s="273"/>
      <c r="AM16" s="273"/>
      <c r="AN16" s="243" t="str">
        <f t="shared" si="24"/>
        <v/>
      </c>
      <c r="AO16" s="276"/>
      <c r="AP16" s="278"/>
      <c r="AQ16" s="273"/>
      <c r="AR16" s="273"/>
      <c r="AS16" s="247" t="str">
        <f t="shared" si="25"/>
        <v/>
      </c>
      <c r="AT16" s="276"/>
      <c r="AU16" s="278"/>
      <c r="AV16" s="273"/>
      <c r="AW16" s="273"/>
      <c r="AX16" s="249" t="str">
        <f t="shared" si="26"/>
        <v/>
      </c>
      <c r="AY16" s="276"/>
      <c r="AZ16" s="278"/>
      <c r="BA16" s="273"/>
      <c r="BB16" s="273"/>
      <c r="BC16" s="250" t="str">
        <f t="shared" si="27"/>
        <v/>
      </c>
      <c r="BD16" s="276"/>
      <c r="BE16" s="281"/>
      <c r="BF16" s="282"/>
      <c r="BG16" s="282"/>
      <c r="BH16" s="254" t="str">
        <f t="shared" si="28"/>
        <v/>
      </c>
      <c r="BI16" s="284"/>
      <c r="BJ16" s="281"/>
      <c r="BK16" s="282"/>
      <c r="BL16" s="282"/>
      <c r="BM16" s="254" t="str">
        <f t="shared" si="29"/>
        <v/>
      </c>
      <c r="BN16" s="284"/>
      <c r="BO16" s="281"/>
      <c r="BP16" s="282"/>
      <c r="BQ16" s="282"/>
      <c r="BR16" s="254" t="str">
        <f t="shared" si="30"/>
        <v/>
      </c>
      <c r="BS16" s="284"/>
      <c r="BT16" s="278"/>
      <c r="BU16" s="273"/>
      <c r="BV16" s="273"/>
      <c r="BW16" s="266" t="str">
        <f t="shared" si="31"/>
        <v/>
      </c>
      <c r="BX16" s="276"/>
      <c r="BY16" s="278"/>
      <c r="BZ16" s="273"/>
      <c r="CA16" s="273"/>
      <c r="CB16" s="266" t="str">
        <f t="shared" si="32"/>
        <v/>
      </c>
      <c r="CC16" s="276"/>
      <c r="CD16" s="278"/>
      <c r="CE16" s="273"/>
      <c r="CF16" s="273"/>
      <c r="CG16" s="269" t="str">
        <f t="shared" si="33"/>
        <v/>
      </c>
      <c r="CH16" s="276"/>
    </row>
    <row r="17" ht="15.75" customHeight="1">
      <c r="A17" s="115">
        <f>IFERROR(__xludf.DUMMYFUNCTION("""COMPUTED_VALUE"""),13.0)</f>
        <v>13</v>
      </c>
      <c r="B17" s="119" t="str">
        <f>IFERROR(__xludf.DUMMYFUNCTION("""COMPUTED_VALUE"""),"2526100426")</f>
        <v>2526100426</v>
      </c>
      <c r="C17" s="119" t="str">
        <f>IFERROR(__xludf.DUMMYFUNCTION("""COMPUTED_VALUE"""),"3109448408")</f>
        <v>3109448408</v>
      </c>
      <c r="D17" s="122" t="str">
        <f>IFERROR(__xludf.DUMMYFUNCTION("""COMPUTED_VALUE"""),"IWAN SOPYAN")</f>
        <v>IWAN SOPYAN</v>
      </c>
      <c r="E17" s="119" t="str">
        <f>IFERROR(__xludf.DUMMYFUNCTION("""COMPUTED_VALUE"""),"X TO 4")</f>
        <v>X TO 4</v>
      </c>
      <c r="F17" s="119" t="s">
        <v>220</v>
      </c>
      <c r="G17" s="241"/>
      <c r="H17" s="234"/>
      <c r="I17" s="234"/>
      <c r="J17" s="230" t="str">
        <f t="shared" si="18"/>
        <v/>
      </c>
      <c r="K17" s="232"/>
      <c r="L17" s="241"/>
      <c r="M17" s="234"/>
      <c r="N17" s="234"/>
      <c r="O17" s="233" t="str">
        <f t="shared" si="19"/>
        <v/>
      </c>
      <c r="P17" s="232"/>
      <c r="Q17" s="229"/>
      <c r="R17" s="234"/>
      <c r="S17" s="231"/>
      <c r="T17" s="235" t="str">
        <f t="shared" si="20"/>
        <v/>
      </c>
      <c r="U17" s="232"/>
      <c r="V17" s="241"/>
      <c r="W17" s="234"/>
      <c r="X17" s="234"/>
      <c r="Y17" s="236" t="str">
        <f t="shared" si="21"/>
        <v/>
      </c>
      <c r="Z17" s="232"/>
      <c r="AA17" s="241"/>
      <c r="AB17" s="234"/>
      <c r="AC17" s="234"/>
      <c r="AD17" s="238" t="str">
        <f t="shared" si="22"/>
        <v/>
      </c>
      <c r="AE17" s="232"/>
      <c r="AF17" s="241"/>
      <c r="AG17" s="234"/>
      <c r="AH17" s="234"/>
      <c r="AI17" s="239" t="str">
        <f t="shared" si="23"/>
        <v/>
      </c>
      <c r="AJ17" s="232"/>
      <c r="AK17" s="241"/>
      <c r="AL17" s="234"/>
      <c r="AM17" s="234"/>
      <c r="AN17" s="243" t="str">
        <f t="shared" si="24"/>
        <v/>
      </c>
      <c r="AO17" s="232"/>
      <c r="AP17" s="241"/>
      <c r="AQ17" s="234"/>
      <c r="AR17" s="234"/>
      <c r="AS17" s="247" t="str">
        <f t="shared" si="25"/>
        <v/>
      </c>
      <c r="AT17" s="232"/>
      <c r="AU17" s="241"/>
      <c r="AV17" s="234"/>
      <c r="AW17" s="234"/>
      <c r="AX17" s="249" t="str">
        <f t="shared" si="26"/>
        <v/>
      </c>
      <c r="AY17" s="232"/>
      <c r="AZ17" s="241"/>
      <c r="BA17" s="234"/>
      <c r="BB17" s="234"/>
      <c r="BC17" s="250" t="str">
        <f t="shared" si="27"/>
        <v/>
      </c>
      <c r="BD17" s="232"/>
      <c r="BE17" s="256"/>
      <c r="BF17" s="257"/>
      <c r="BG17" s="257"/>
      <c r="BH17" s="254" t="str">
        <f t="shared" si="28"/>
        <v/>
      </c>
      <c r="BI17" s="259"/>
      <c r="BJ17" s="256"/>
      <c r="BK17" s="257"/>
      <c r="BL17" s="257"/>
      <c r="BM17" s="254" t="str">
        <f t="shared" si="29"/>
        <v/>
      </c>
      <c r="BN17" s="259"/>
      <c r="BO17" s="256"/>
      <c r="BP17" s="257"/>
      <c r="BQ17" s="257"/>
      <c r="BR17" s="254" t="str">
        <f t="shared" si="30"/>
        <v/>
      </c>
      <c r="BS17" s="259"/>
      <c r="BT17" s="241"/>
      <c r="BU17" s="234"/>
      <c r="BV17" s="234"/>
      <c r="BW17" s="266" t="str">
        <f t="shared" si="31"/>
        <v/>
      </c>
      <c r="BX17" s="232"/>
      <c r="BY17" s="241"/>
      <c r="BZ17" s="234"/>
      <c r="CA17" s="234"/>
      <c r="CB17" s="266" t="str">
        <f t="shared" si="32"/>
        <v/>
      </c>
      <c r="CC17" s="232"/>
      <c r="CD17" s="241"/>
      <c r="CE17" s="234"/>
      <c r="CF17" s="234"/>
      <c r="CG17" s="269" t="str">
        <f t="shared" si="33"/>
        <v/>
      </c>
      <c r="CH17" s="232"/>
    </row>
    <row r="18" ht="15.75" customHeight="1">
      <c r="A18" s="189">
        <f>IFERROR(__xludf.DUMMYFUNCTION("""COMPUTED_VALUE"""),14.0)</f>
        <v>14</v>
      </c>
      <c r="B18" s="193" t="str">
        <f>IFERROR(__xludf.DUMMYFUNCTION("""COMPUTED_VALUE"""),"2526100427")</f>
        <v>2526100427</v>
      </c>
      <c r="C18" s="193" t="str">
        <f>IFERROR(__xludf.DUMMYFUNCTION("""COMPUTED_VALUE"""),"0097319943")</f>
        <v>0097319943</v>
      </c>
      <c r="D18" s="195" t="str">
        <f>IFERROR(__xludf.DUMMYFUNCTION("""COMPUTED_VALUE"""),"JEJEN JAENI")</f>
        <v>JEJEN JAENI</v>
      </c>
      <c r="E18" s="193" t="str">
        <f>IFERROR(__xludf.DUMMYFUNCTION("""COMPUTED_VALUE"""),"X TO 4")</f>
        <v>X TO 4</v>
      </c>
      <c r="F18" s="193" t="s">
        <v>220</v>
      </c>
      <c r="G18" s="278"/>
      <c r="H18" s="273"/>
      <c r="I18" s="273"/>
      <c r="J18" s="230" t="str">
        <f t="shared" si="18"/>
        <v/>
      </c>
      <c r="K18" s="276"/>
      <c r="L18" s="278"/>
      <c r="M18" s="273"/>
      <c r="N18" s="273"/>
      <c r="O18" s="233" t="str">
        <f t="shared" si="19"/>
        <v/>
      </c>
      <c r="P18" s="276"/>
      <c r="Q18" s="271"/>
      <c r="R18" s="273"/>
      <c r="S18" s="279"/>
      <c r="T18" s="235" t="str">
        <f t="shared" si="20"/>
        <v/>
      </c>
      <c r="U18" s="276"/>
      <c r="V18" s="278"/>
      <c r="W18" s="273"/>
      <c r="X18" s="273"/>
      <c r="Y18" s="236" t="str">
        <f t="shared" si="21"/>
        <v/>
      </c>
      <c r="Z18" s="276"/>
      <c r="AA18" s="278"/>
      <c r="AB18" s="273"/>
      <c r="AC18" s="273"/>
      <c r="AD18" s="238" t="str">
        <f t="shared" si="22"/>
        <v/>
      </c>
      <c r="AE18" s="276"/>
      <c r="AF18" s="278"/>
      <c r="AG18" s="273"/>
      <c r="AH18" s="273"/>
      <c r="AI18" s="239" t="str">
        <f t="shared" si="23"/>
        <v/>
      </c>
      <c r="AJ18" s="276"/>
      <c r="AK18" s="278"/>
      <c r="AL18" s="273"/>
      <c r="AM18" s="273"/>
      <c r="AN18" s="243" t="str">
        <f t="shared" si="24"/>
        <v/>
      </c>
      <c r="AO18" s="276"/>
      <c r="AP18" s="278"/>
      <c r="AQ18" s="273"/>
      <c r="AR18" s="273"/>
      <c r="AS18" s="247" t="str">
        <f t="shared" si="25"/>
        <v/>
      </c>
      <c r="AT18" s="276"/>
      <c r="AU18" s="278"/>
      <c r="AV18" s="273"/>
      <c r="AW18" s="273"/>
      <c r="AX18" s="249" t="str">
        <f t="shared" si="26"/>
        <v/>
      </c>
      <c r="AY18" s="276"/>
      <c r="AZ18" s="278"/>
      <c r="BA18" s="273"/>
      <c r="BB18" s="273"/>
      <c r="BC18" s="250" t="str">
        <f t="shared" si="27"/>
        <v/>
      </c>
      <c r="BD18" s="276"/>
      <c r="BE18" s="281"/>
      <c r="BF18" s="282"/>
      <c r="BG18" s="282"/>
      <c r="BH18" s="254" t="str">
        <f t="shared" si="28"/>
        <v/>
      </c>
      <c r="BI18" s="284"/>
      <c r="BJ18" s="281"/>
      <c r="BK18" s="282"/>
      <c r="BL18" s="282"/>
      <c r="BM18" s="254" t="str">
        <f t="shared" si="29"/>
        <v/>
      </c>
      <c r="BN18" s="284"/>
      <c r="BO18" s="281"/>
      <c r="BP18" s="282"/>
      <c r="BQ18" s="282"/>
      <c r="BR18" s="254" t="str">
        <f t="shared" si="30"/>
        <v/>
      </c>
      <c r="BS18" s="284"/>
      <c r="BT18" s="278"/>
      <c r="BU18" s="273"/>
      <c r="BV18" s="273"/>
      <c r="BW18" s="266" t="str">
        <f t="shared" si="31"/>
        <v/>
      </c>
      <c r="BX18" s="276"/>
      <c r="BY18" s="278"/>
      <c r="BZ18" s="273"/>
      <c r="CA18" s="273"/>
      <c r="CB18" s="266" t="str">
        <f t="shared" si="32"/>
        <v/>
      </c>
      <c r="CC18" s="276"/>
      <c r="CD18" s="278"/>
      <c r="CE18" s="273"/>
      <c r="CF18" s="273"/>
      <c r="CG18" s="269" t="str">
        <f t="shared" si="33"/>
        <v/>
      </c>
      <c r="CH18" s="276"/>
    </row>
    <row r="19" ht="15.75" customHeight="1">
      <c r="A19" s="115">
        <f>IFERROR(__xludf.DUMMYFUNCTION("""COMPUTED_VALUE"""),15.0)</f>
        <v>15</v>
      </c>
      <c r="B19" s="119" t="str">
        <f>IFERROR(__xludf.DUMMYFUNCTION("""COMPUTED_VALUE"""),"2526100428")</f>
        <v>2526100428</v>
      </c>
      <c r="C19" s="119" t="str">
        <f>IFERROR(__xludf.DUMMYFUNCTION("""COMPUTED_VALUE"""),"0093753099")</f>
        <v>0093753099</v>
      </c>
      <c r="D19" s="122" t="str">
        <f>IFERROR(__xludf.DUMMYFUNCTION("""COMPUTED_VALUE"""),"M.HASAN ASARI")</f>
        <v>M.HASAN ASARI</v>
      </c>
      <c r="E19" s="119" t="str">
        <f>IFERROR(__xludf.DUMMYFUNCTION("""COMPUTED_VALUE"""),"X TO 4")</f>
        <v>X TO 4</v>
      </c>
      <c r="F19" s="119" t="s">
        <v>220</v>
      </c>
      <c r="G19" s="241"/>
      <c r="H19" s="234"/>
      <c r="I19" s="234"/>
      <c r="J19" s="230" t="str">
        <f t="shared" si="18"/>
        <v/>
      </c>
      <c r="K19" s="232"/>
      <c r="L19" s="241"/>
      <c r="M19" s="234"/>
      <c r="N19" s="234"/>
      <c r="O19" s="233" t="str">
        <f t="shared" si="19"/>
        <v/>
      </c>
      <c r="P19" s="232"/>
      <c r="Q19" s="229"/>
      <c r="R19" s="234"/>
      <c r="S19" s="231"/>
      <c r="T19" s="235" t="str">
        <f t="shared" si="20"/>
        <v/>
      </c>
      <c r="U19" s="232"/>
      <c r="V19" s="241"/>
      <c r="W19" s="234"/>
      <c r="X19" s="234"/>
      <c r="Y19" s="236" t="str">
        <f t="shared" si="21"/>
        <v/>
      </c>
      <c r="Z19" s="232"/>
      <c r="AA19" s="241"/>
      <c r="AB19" s="234"/>
      <c r="AC19" s="234"/>
      <c r="AD19" s="238" t="str">
        <f t="shared" si="22"/>
        <v/>
      </c>
      <c r="AE19" s="232"/>
      <c r="AF19" s="241"/>
      <c r="AG19" s="234"/>
      <c r="AH19" s="234"/>
      <c r="AI19" s="239" t="str">
        <f t="shared" si="23"/>
        <v/>
      </c>
      <c r="AJ19" s="232"/>
      <c r="AK19" s="241"/>
      <c r="AL19" s="234"/>
      <c r="AM19" s="234"/>
      <c r="AN19" s="243" t="str">
        <f t="shared" si="24"/>
        <v/>
      </c>
      <c r="AO19" s="232"/>
      <c r="AP19" s="241"/>
      <c r="AQ19" s="234"/>
      <c r="AR19" s="234"/>
      <c r="AS19" s="247" t="str">
        <f t="shared" si="25"/>
        <v/>
      </c>
      <c r="AT19" s="232"/>
      <c r="AU19" s="241"/>
      <c r="AV19" s="234"/>
      <c r="AW19" s="234"/>
      <c r="AX19" s="249" t="str">
        <f t="shared" si="26"/>
        <v/>
      </c>
      <c r="AY19" s="232"/>
      <c r="AZ19" s="241"/>
      <c r="BA19" s="234"/>
      <c r="BB19" s="234"/>
      <c r="BC19" s="250" t="str">
        <f t="shared" si="27"/>
        <v/>
      </c>
      <c r="BD19" s="232"/>
      <c r="BE19" s="256"/>
      <c r="BF19" s="257"/>
      <c r="BG19" s="257"/>
      <c r="BH19" s="254" t="str">
        <f t="shared" si="28"/>
        <v/>
      </c>
      <c r="BI19" s="259"/>
      <c r="BJ19" s="256"/>
      <c r="BK19" s="257"/>
      <c r="BL19" s="257"/>
      <c r="BM19" s="254" t="str">
        <f t="shared" si="29"/>
        <v/>
      </c>
      <c r="BN19" s="259"/>
      <c r="BO19" s="256"/>
      <c r="BP19" s="257"/>
      <c r="BQ19" s="257"/>
      <c r="BR19" s="254" t="str">
        <f t="shared" si="30"/>
        <v/>
      </c>
      <c r="BS19" s="259"/>
      <c r="BT19" s="241"/>
      <c r="BU19" s="234"/>
      <c r="BV19" s="234"/>
      <c r="BW19" s="266" t="str">
        <f t="shared" si="31"/>
        <v/>
      </c>
      <c r="BX19" s="232"/>
      <c r="BY19" s="241"/>
      <c r="BZ19" s="234"/>
      <c r="CA19" s="234"/>
      <c r="CB19" s="266" t="str">
        <f t="shared" si="32"/>
        <v/>
      </c>
      <c r="CC19" s="232"/>
      <c r="CD19" s="241"/>
      <c r="CE19" s="234"/>
      <c r="CF19" s="234"/>
      <c r="CG19" s="269" t="str">
        <f t="shared" si="33"/>
        <v/>
      </c>
      <c r="CH19" s="232"/>
    </row>
    <row r="20" ht="15.75" customHeight="1">
      <c r="A20" s="189">
        <f>IFERROR(__xludf.DUMMYFUNCTION("""COMPUTED_VALUE"""),16.0)</f>
        <v>16</v>
      </c>
      <c r="B20" s="193" t="str">
        <f>IFERROR(__xludf.DUMMYFUNCTION("""COMPUTED_VALUE"""),"2526100429")</f>
        <v>2526100429</v>
      </c>
      <c r="C20" s="193" t="str">
        <f>IFERROR(__xludf.DUMMYFUNCTION("""COMPUTED_VALUE"""),"0105910447")</f>
        <v>0105910447</v>
      </c>
      <c r="D20" s="195" t="str">
        <f>IFERROR(__xludf.DUMMYFUNCTION("""COMPUTED_VALUE"""),"MUHAMAD ABIB RIZAL")</f>
        <v>MUHAMAD ABIB RIZAL</v>
      </c>
      <c r="E20" s="193" t="str">
        <f>IFERROR(__xludf.DUMMYFUNCTION("""COMPUTED_VALUE"""),"X TO 4")</f>
        <v>X TO 4</v>
      </c>
      <c r="F20" s="193" t="s">
        <v>220</v>
      </c>
      <c r="G20" s="278"/>
      <c r="H20" s="273"/>
      <c r="I20" s="273"/>
      <c r="J20" s="230" t="str">
        <f t="shared" si="18"/>
        <v/>
      </c>
      <c r="K20" s="276"/>
      <c r="L20" s="278"/>
      <c r="M20" s="273"/>
      <c r="N20" s="273"/>
      <c r="O20" s="233" t="str">
        <f t="shared" si="19"/>
        <v/>
      </c>
      <c r="P20" s="276"/>
      <c r="Q20" s="271"/>
      <c r="R20" s="273"/>
      <c r="S20" s="279"/>
      <c r="T20" s="235" t="str">
        <f t="shared" si="20"/>
        <v/>
      </c>
      <c r="U20" s="276"/>
      <c r="V20" s="278"/>
      <c r="W20" s="273"/>
      <c r="X20" s="273"/>
      <c r="Y20" s="236" t="str">
        <f t="shared" si="21"/>
        <v/>
      </c>
      <c r="Z20" s="276"/>
      <c r="AA20" s="278"/>
      <c r="AB20" s="273"/>
      <c r="AC20" s="273"/>
      <c r="AD20" s="238" t="str">
        <f t="shared" si="22"/>
        <v/>
      </c>
      <c r="AE20" s="276"/>
      <c r="AF20" s="278"/>
      <c r="AG20" s="273"/>
      <c r="AH20" s="273"/>
      <c r="AI20" s="239" t="str">
        <f t="shared" si="23"/>
        <v/>
      </c>
      <c r="AJ20" s="276"/>
      <c r="AK20" s="278"/>
      <c r="AL20" s="273"/>
      <c r="AM20" s="273"/>
      <c r="AN20" s="243" t="str">
        <f t="shared" si="24"/>
        <v/>
      </c>
      <c r="AO20" s="276"/>
      <c r="AP20" s="278"/>
      <c r="AQ20" s="273"/>
      <c r="AR20" s="273"/>
      <c r="AS20" s="247" t="str">
        <f t="shared" si="25"/>
        <v/>
      </c>
      <c r="AT20" s="276"/>
      <c r="AU20" s="278"/>
      <c r="AV20" s="273"/>
      <c r="AW20" s="273"/>
      <c r="AX20" s="249" t="str">
        <f t="shared" si="26"/>
        <v/>
      </c>
      <c r="AY20" s="276"/>
      <c r="AZ20" s="278"/>
      <c r="BA20" s="273"/>
      <c r="BB20" s="273"/>
      <c r="BC20" s="250" t="str">
        <f t="shared" si="27"/>
        <v/>
      </c>
      <c r="BD20" s="276"/>
      <c r="BE20" s="281"/>
      <c r="BF20" s="282"/>
      <c r="BG20" s="282"/>
      <c r="BH20" s="254" t="str">
        <f t="shared" si="28"/>
        <v/>
      </c>
      <c r="BI20" s="284"/>
      <c r="BJ20" s="281"/>
      <c r="BK20" s="282"/>
      <c r="BL20" s="282"/>
      <c r="BM20" s="254" t="str">
        <f t="shared" si="29"/>
        <v/>
      </c>
      <c r="BN20" s="284"/>
      <c r="BO20" s="281"/>
      <c r="BP20" s="282"/>
      <c r="BQ20" s="282"/>
      <c r="BR20" s="254" t="str">
        <f t="shared" si="30"/>
        <v/>
      </c>
      <c r="BS20" s="284"/>
      <c r="BT20" s="278"/>
      <c r="BU20" s="273"/>
      <c r="BV20" s="273"/>
      <c r="BW20" s="266" t="str">
        <f t="shared" si="31"/>
        <v/>
      </c>
      <c r="BX20" s="276"/>
      <c r="BY20" s="278"/>
      <c r="BZ20" s="273"/>
      <c r="CA20" s="273"/>
      <c r="CB20" s="266" t="str">
        <f t="shared" si="32"/>
        <v/>
      </c>
      <c r="CC20" s="276"/>
      <c r="CD20" s="278"/>
      <c r="CE20" s="273"/>
      <c r="CF20" s="273"/>
      <c r="CG20" s="269" t="str">
        <f t="shared" si="33"/>
        <v/>
      </c>
      <c r="CH20" s="276"/>
    </row>
    <row r="21" ht="15.75" customHeight="1">
      <c r="A21" s="115">
        <f>IFERROR(__xludf.DUMMYFUNCTION("""COMPUTED_VALUE"""),17.0)</f>
        <v>17</v>
      </c>
      <c r="B21" s="119" t="str">
        <f>IFERROR(__xludf.DUMMYFUNCTION("""COMPUTED_VALUE"""),"2526100430")</f>
        <v>2526100430</v>
      </c>
      <c r="C21" s="119" t="str">
        <f>IFERROR(__xludf.DUMMYFUNCTION("""COMPUTED_VALUE"""),"0099084784")</f>
        <v>0099084784</v>
      </c>
      <c r="D21" s="122" t="str">
        <f>IFERROR(__xludf.DUMMYFUNCTION("""COMPUTED_VALUE"""),"MUHAMAD AL FARIZ")</f>
        <v>MUHAMAD AL FARIZ</v>
      </c>
      <c r="E21" s="119" t="str">
        <f>IFERROR(__xludf.DUMMYFUNCTION("""COMPUTED_VALUE"""),"X TO 4")</f>
        <v>X TO 4</v>
      </c>
      <c r="F21" s="119" t="s">
        <v>220</v>
      </c>
      <c r="G21" s="241"/>
      <c r="H21" s="234"/>
      <c r="I21" s="234"/>
      <c r="J21" s="230" t="str">
        <f t="shared" si="18"/>
        <v/>
      </c>
      <c r="K21" s="232"/>
      <c r="L21" s="241"/>
      <c r="M21" s="234"/>
      <c r="N21" s="234"/>
      <c r="O21" s="233" t="str">
        <f t="shared" si="19"/>
        <v/>
      </c>
      <c r="P21" s="232"/>
      <c r="Q21" s="229"/>
      <c r="R21" s="234"/>
      <c r="S21" s="231"/>
      <c r="T21" s="235" t="str">
        <f t="shared" si="20"/>
        <v/>
      </c>
      <c r="U21" s="232"/>
      <c r="V21" s="241"/>
      <c r="W21" s="234"/>
      <c r="X21" s="234"/>
      <c r="Y21" s="236" t="str">
        <f t="shared" si="21"/>
        <v/>
      </c>
      <c r="Z21" s="232"/>
      <c r="AA21" s="241"/>
      <c r="AB21" s="234"/>
      <c r="AC21" s="234"/>
      <c r="AD21" s="238" t="str">
        <f t="shared" si="22"/>
        <v/>
      </c>
      <c r="AE21" s="232"/>
      <c r="AF21" s="241"/>
      <c r="AG21" s="234"/>
      <c r="AH21" s="234"/>
      <c r="AI21" s="239" t="str">
        <f t="shared" si="23"/>
        <v/>
      </c>
      <c r="AJ21" s="232"/>
      <c r="AK21" s="241"/>
      <c r="AL21" s="234"/>
      <c r="AM21" s="234"/>
      <c r="AN21" s="243" t="str">
        <f t="shared" si="24"/>
        <v/>
      </c>
      <c r="AO21" s="232"/>
      <c r="AP21" s="241"/>
      <c r="AQ21" s="234"/>
      <c r="AR21" s="234"/>
      <c r="AS21" s="247" t="str">
        <f t="shared" si="25"/>
        <v/>
      </c>
      <c r="AT21" s="232"/>
      <c r="AU21" s="241"/>
      <c r="AV21" s="234"/>
      <c r="AW21" s="234"/>
      <c r="AX21" s="249" t="str">
        <f t="shared" si="26"/>
        <v/>
      </c>
      <c r="AY21" s="232"/>
      <c r="AZ21" s="241"/>
      <c r="BA21" s="234"/>
      <c r="BB21" s="234"/>
      <c r="BC21" s="250" t="str">
        <f t="shared" si="27"/>
        <v/>
      </c>
      <c r="BD21" s="232"/>
      <c r="BE21" s="256"/>
      <c r="BF21" s="257"/>
      <c r="BG21" s="257"/>
      <c r="BH21" s="254" t="str">
        <f t="shared" si="28"/>
        <v/>
      </c>
      <c r="BI21" s="259"/>
      <c r="BJ21" s="256"/>
      <c r="BK21" s="257"/>
      <c r="BL21" s="257"/>
      <c r="BM21" s="254" t="str">
        <f t="shared" si="29"/>
        <v/>
      </c>
      <c r="BN21" s="259"/>
      <c r="BO21" s="256"/>
      <c r="BP21" s="257"/>
      <c r="BQ21" s="257"/>
      <c r="BR21" s="254" t="str">
        <f t="shared" si="30"/>
        <v/>
      </c>
      <c r="BS21" s="259"/>
      <c r="BT21" s="241"/>
      <c r="BU21" s="234"/>
      <c r="BV21" s="234"/>
      <c r="BW21" s="266" t="str">
        <f t="shared" si="31"/>
        <v/>
      </c>
      <c r="BX21" s="232"/>
      <c r="BY21" s="241"/>
      <c r="BZ21" s="234"/>
      <c r="CA21" s="234"/>
      <c r="CB21" s="266" t="str">
        <f t="shared" si="32"/>
        <v/>
      </c>
      <c r="CC21" s="232"/>
      <c r="CD21" s="241"/>
      <c r="CE21" s="234"/>
      <c r="CF21" s="234"/>
      <c r="CG21" s="269" t="str">
        <f t="shared" si="33"/>
        <v/>
      </c>
      <c r="CH21" s="232"/>
    </row>
    <row r="22" ht="15.75" customHeight="1">
      <c r="A22" s="189">
        <f>IFERROR(__xludf.DUMMYFUNCTION("""COMPUTED_VALUE"""),18.0)</f>
        <v>18</v>
      </c>
      <c r="B22" s="193" t="str">
        <f>IFERROR(__xludf.DUMMYFUNCTION("""COMPUTED_VALUE"""),"2526100431")</f>
        <v>2526100431</v>
      </c>
      <c r="C22" s="193" t="str">
        <f>IFERROR(__xludf.DUMMYFUNCTION("""COMPUTED_VALUE"""),"0092469837")</f>
        <v>0092469837</v>
      </c>
      <c r="D22" s="195" t="str">
        <f>IFERROR(__xludf.DUMMYFUNCTION("""COMPUTED_VALUE"""),"MUHAMAD ASRUL")</f>
        <v>MUHAMAD ASRUL</v>
      </c>
      <c r="E22" s="193" t="str">
        <f>IFERROR(__xludf.DUMMYFUNCTION("""COMPUTED_VALUE"""),"X TO 4")</f>
        <v>X TO 4</v>
      </c>
      <c r="F22" s="193" t="s">
        <v>220</v>
      </c>
      <c r="G22" s="278"/>
      <c r="H22" s="273"/>
      <c r="I22" s="273"/>
      <c r="J22" s="230" t="str">
        <f t="shared" si="18"/>
        <v/>
      </c>
      <c r="K22" s="276"/>
      <c r="L22" s="278"/>
      <c r="M22" s="273"/>
      <c r="N22" s="273"/>
      <c r="O22" s="233" t="str">
        <f t="shared" si="19"/>
        <v/>
      </c>
      <c r="P22" s="276"/>
      <c r="Q22" s="271"/>
      <c r="R22" s="273"/>
      <c r="S22" s="279"/>
      <c r="T22" s="235" t="str">
        <f t="shared" si="20"/>
        <v/>
      </c>
      <c r="U22" s="276"/>
      <c r="V22" s="278"/>
      <c r="W22" s="273"/>
      <c r="X22" s="273"/>
      <c r="Y22" s="236" t="str">
        <f t="shared" si="21"/>
        <v/>
      </c>
      <c r="Z22" s="276"/>
      <c r="AA22" s="278"/>
      <c r="AB22" s="273"/>
      <c r="AC22" s="273"/>
      <c r="AD22" s="238" t="str">
        <f t="shared" si="22"/>
        <v/>
      </c>
      <c r="AE22" s="276"/>
      <c r="AF22" s="278"/>
      <c r="AG22" s="273"/>
      <c r="AH22" s="273"/>
      <c r="AI22" s="239" t="str">
        <f t="shared" si="23"/>
        <v/>
      </c>
      <c r="AJ22" s="276"/>
      <c r="AK22" s="278"/>
      <c r="AL22" s="273"/>
      <c r="AM22" s="273"/>
      <c r="AN22" s="243" t="str">
        <f t="shared" si="24"/>
        <v/>
      </c>
      <c r="AO22" s="276"/>
      <c r="AP22" s="278"/>
      <c r="AQ22" s="273"/>
      <c r="AR22" s="273"/>
      <c r="AS22" s="247" t="str">
        <f t="shared" si="25"/>
        <v/>
      </c>
      <c r="AT22" s="276"/>
      <c r="AU22" s="278"/>
      <c r="AV22" s="273"/>
      <c r="AW22" s="273"/>
      <c r="AX22" s="249" t="str">
        <f t="shared" si="26"/>
        <v/>
      </c>
      <c r="AY22" s="276"/>
      <c r="AZ22" s="278"/>
      <c r="BA22" s="273"/>
      <c r="BB22" s="273"/>
      <c r="BC22" s="250" t="str">
        <f t="shared" si="27"/>
        <v/>
      </c>
      <c r="BD22" s="276"/>
      <c r="BE22" s="281"/>
      <c r="BF22" s="282"/>
      <c r="BG22" s="282"/>
      <c r="BH22" s="254" t="str">
        <f t="shared" si="28"/>
        <v/>
      </c>
      <c r="BI22" s="284"/>
      <c r="BJ22" s="281"/>
      <c r="BK22" s="282"/>
      <c r="BL22" s="282"/>
      <c r="BM22" s="254" t="str">
        <f t="shared" si="29"/>
        <v/>
      </c>
      <c r="BN22" s="284"/>
      <c r="BO22" s="281"/>
      <c r="BP22" s="282"/>
      <c r="BQ22" s="282"/>
      <c r="BR22" s="254" t="str">
        <f t="shared" si="30"/>
        <v/>
      </c>
      <c r="BS22" s="284"/>
      <c r="BT22" s="278"/>
      <c r="BU22" s="273"/>
      <c r="BV22" s="273"/>
      <c r="BW22" s="266" t="str">
        <f t="shared" si="31"/>
        <v/>
      </c>
      <c r="BX22" s="276"/>
      <c r="BY22" s="278"/>
      <c r="BZ22" s="273"/>
      <c r="CA22" s="273"/>
      <c r="CB22" s="266" t="str">
        <f t="shared" si="32"/>
        <v/>
      </c>
      <c r="CC22" s="276"/>
      <c r="CD22" s="278"/>
      <c r="CE22" s="273"/>
      <c r="CF22" s="273"/>
      <c r="CG22" s="269" t="str">
        <f t="shared" si="33"/>
        <v/>
      </c>
      <c r="CH22" s="276"/>
    </row>
    <row r="23" ht="15.75" customHeight="1">
      <c r="A23" s="115">
        <f>IFERROR(__xludf.DUMMYFUNCTION("""COMPUTED_VALUE"""),19.0)</f>
        <v>19</v>
      </c>
      <c r="B23" s="119" t="str">
        <f>IFERROR(__xludf.DUMMYFUNCTION("""COMPUTED_VALUE"""),"2526100432")</f>
        <v>2526100432</v>
      </c>
      <c r="C23" s="119" t="str">
        <f>IFERROR(__xludf.DUMMYFUNCTION("""COMPUTED_VALUE"""),"0099940282")</f>
        <v>0099940282</v>
      </c>
      <c r="D23" s="122" t="str">
        <f>IFERROR(__xludf.DUMMYFUNCTION("""COMPUTED_VALUE"""),"MUHAMAD FARHAN")</f>
        <v>MUHAMAD FARHAN</v>
      </c>
      <c r="E23" s="119" t="str">
        <f>IFERROR(__xludf.DUMMYFUNCTION("""COMPUTED_VALUE"""),"X TO 4")</f>
        <v>X TO 4</v>
      </c>
      <c r="F23" s="119" t="s">
        <v>220</v>
      </c>
      <c r="G23" s="241"/>
      <c r="H23" s="234"/>
      <c r="I23" s="234"/>
      <c r="J23" s="230" t="str">
        <f t="shared" si="18"/>
        <v/>
      </c>
      <c r="K23" s="232"/>
      <c r="L23" s="241"/>
      <c r="M23" s="234"/>
      <c r="N23" s="234"/>
      <c r="O23" s="233" t="str">
        <f t="shared" si="19"/>
        <v/>
      </c>
      <c r="P23" s="232"/>
      <c r="Q23" s="229"/>
      <c r="R23" s="234"/>
      <c r="S23" s="231"/>
      <c r="T23" s="235" t="str">
        <f t="shared" si="20"/>
        <v/>
      </c>
      <c r="U23" s="232"/>
      <c r="V23" s="241"/>
      <c r="W23" s="234"/>
      <c r="X23" s="234"/>
      <c r="Y23" s="236" t="str">
        <f t="shared" si="21"/>
        <v/>
      </c>
      <c r="Z23" s="232"/>
      <c r="AA23" s="241"/>
      <c r="AB23" s="234"/>
      <c r="AC23" s="234"/>
      <c r="AD23" s="238" t="str">
        <f t="shared" si="22"/>
        <v/>
      </c>
      <c r="AE23" s="232"/>
      <c r="AF23" s="241"/>
      <c r="AG23" s="234"/>
      <c r="AH23" s="234"/>
      <c r="AI23" s="239" t="str">
        <f t="shared" si="23"/>
        <v/>
      </c>
      <c r="AJ23" s="232"/>
      <c r="AK23" s="241"/>
      <c r="AL23" s="234"/>
      <c r="AM23" s="234"/>
      <c r="AN23" s="243" t="str">
        <f t="shared" si="24"/>
        <v/>
      </c>
      <c r="AO23" s="232"/>
      <c r="AP23" s="241"/>
      <c r="AQ23" s="234"/>
      <c r="AR23" s="234"/>
      <c r="AS23" s="247" t="str">
        <f t="shared" si="25"/>
        <v/>
      </c>
      <c r="AT23" s="232"/>
      <c r="AU23" s="241"/>
      <c r="AV23" s="234"/>
      <c r="AW23" s="234"/>
      <c r="AX23" s="249" t="str">
        <f t="shared" si="26"/>
        <v/>
      </c>
      <c r="AY23" s="232"/>
      <c r="AZ23" s="241"/>
      <c r="BA23" s="234"/>
      <c r="BB23" s="234"/>
      <c r="BC23" s="250" t="str">
        <f t="shared" si="27"/>
        <v/>
      </c>
      <c r="BD23" s="232"/>
      <c r="BE23" s="256"/>
      <c r="BF23" s="257"/>
      <c r="BG23" s="257"/>
      <c r="BH23" s="254" t="str">
        <f t="shared" si="28"/>
        <v/>
      </c>
      <c r="BI23" s="259"/>
      <c r="BJ23" s="256"/>
      <c r="BK23" s="257"/>
      <c r="BL23" s="257"/>
      <c r="BM23" s="254" t="str">
        <f t="shared" si="29"/>
        <v/>
      </c>
      <c r="BN23" s="259"/>
      <c r="BO23" s="256"/>
      <c r="BP23" s="257"/>
      <c r="BQ23" s="257"/>
      <c r="BR23" s="254" t="str">
        <f t="shared" si="30"/>
        <v/>
      </c>
      <c r="BS23" s="259"/>
      <c r="BT23" s="241"/>
      <c r="BU23" s="234"/>
      <c r="BV23" s="234"/>
      <c r="BW23" s="266" t="str">
        <f t="shared" si="31"/>
        <v/>
      </c>
      <c r="BX23" s="232"/>
      <c r="BY23" s="241"/>
      <c r="BZ23" s="234"/>
      <c r="CA23" s="234"/>
      <c r="CB23" s="266" t="str">
        <f t="shared" si="32"/>
        <v/>
      </c>
      <c r="CC23" s="232"/>
      <c r="CD23" s="241"/>
      <c r="CE23" s="234"/>
      <c r="CF23" s="234"/>
      <c r="CG23" s="269" t="str">
        <f t="shared" si="33"/>
        <v/>
      </c>
      <c r="CH23" s="232"/>
    </row>
    <row r="24" ht="15.75" customHeight="1">
      <c r="A24" s="189">
        <f>IFERROR(__xludf.DUMMYFUNCTION("""COMPUTED_VALUE"""),20.0)</f>
        <v>20</v>
      </c>
      <c r="B24" s="193" t="str">
        <f>IFERROR(__xludf.DUMMYFUNCTION("""COMPUTED_VALUE"""),"2526100433")</f>
        <v>2526100433</v>
      </c>
      <c r="C24" s="193" t="str">
        <f>IFERROR(__xludf.DUMMYFUNCTION("""COMPUTED_VALUE"""),"0088633294")</f>
        <v>0088633294</v>
      </c>
      <c r="D24" s="195" t="str">
        <f>IFERROR(__xludf.DUMMYFUNCTION("""COMPUTED_VALUE"""),"MUHAMAD MIFTAH NASHIRUDIN")</f>
        <v>MUHAMAD MIFTAH NASHIRUDIN</v>
      </c>
      <c r="E24" s="193" t="str">
        <f>IFERROR(__xludf.DUMMYFUNCTION("""COMPUTED_VALUE"""),"X TO 4")</f>
        <v>X TO 4</v>
      </c>
      <c r="F24" s="193" t="s">
        <v>220</v>
      </c>
      <c r="G24" s="278"/>
      <c r="H24" s="273"/>
      <c r="I24" s="273"/>
      <c r="J24" s="230" t="str">
        <f t="shared" si="18"/>
        <v/>
      </c>
      <c r="K24" s="276"/>
      <c r="L24" s="278"/>
      <c r="M24" s="273"/>
      <c r="N24" s="273"/>
      <c r="O24" s="233" t="str">
        <f t="shared" si="19"/>
        <v/>
      </c>
      <c r="P24" s="276"/>
      <c r="Q24" s="271"/>
      <c r="R24" s="273"/>
      <c r="S24" s="279"/>
      <c r="T24" s="235" t="str">
        <f t="shared" si="20"/>
        <v/>
      </c>
      <c r="U24" s="276"/>
      <c r="V24" s="278"/>
      <c r="W24" s="273"/>
      <c r="X24" s="273"/>
      <c r="Y24" s="236" t="str">
        <f t="shared" si="21"/>
        <v/>
      </c>
      <c r="Z24" s="276"/>
      <c r="AA24" s="278"/>
      <c r="AB24" s="273"/>
      <c r="AC24" s="273"/>
      <c r="AD24" s="238" t="str">
        <f t="shared" si="22"/>
        <v/>
      </c>
      <c r="AE24" s="276"/>
      <c r="AF24" s="278"/>
      <c r="AG24" s="273"/>
      <c r="AH24" s="273"/>
      <c r="AI24" s="239" t="str">
        <f t="shared" si="23"/>
        <v/>
      </c>
      <c r="AJ24" s="276"/>
      <c r="AK24" s="278"/>
      <c r="AL24" s="273"/>
      <c r="AM24" s="273"/>
      <c r="AN24" s="243" t="str">
        <f t="shared" si="24"/>
        <v/>
      </c>
      <c r="AO24" s="276"/>
      <c r="AP24" s="278"/>
      <c r="AQ24" s="273"/>
      <c r="AR24" s="273"/>
      <c r="AS24" s="247" t="str">
        <f t="shared" si="25"/>
        <v/>
      </c>
      <c r="AT24" s="276"/>
      <c r="AU24" s="278"/>
      <c r="AV24" s="273"/>
      <c r="AW24" s="273"/>
      <c r="AX24" s="249" t="str">
        <f t="shared" si="26"/>
        <v/>
      </c>
      <c r="AY24" s="276"/>
      <c r="AZ24" s="278"/>
      <c r="BA24" s="273"/>
      <c r="BB24" s="273"/>
      <c r="BC24" s="250" t="str">
        <f t="shared" si="27"/>
        <v/>
      </c>
      <c r="BD24" s="276"/>
      <c r="BE24" s="281"/>
      <c r="BF24" s="282"/>
      <c r="BG24" s="282"/>
      <c r="BH24" s="254" t="str">
        <f t="shared" si="28"/>
        <v/>
      </c>
      <c r="BI24" s="284"/>
      <c r="BJ24" s="281"/>
      <c r="BK24" s="282"/>
      <c r="BL24" s="282"/>
      <c r="BM24" s="254" t="str">
        <f t="shared" si="29"/>
        <v/>
      </c>
      <c r="BN24" s="284"/>
      <c r="BO24" s="281"/>
      <c r="BP24" s="282"/>
      <c r="BQ24" s="282"/>
      <c r="BR24" s="254" t="str">
        <f t="shared" si="30"/>
        <v/>
      </c>
      <c r="BS24" s="284"/>
      <c r="BT24" s="278"/>
      <c r="BU24" s="273"/>
      <c r="BV24" s="273"/>
      <c r="BW24" s="266" t="str">
        <f t="shared" si="31"/>
        <v/>
      </c>
      <c r="BX24" s="276"/>
      <c r="BY24" s="278"/>
      <c r="BZ24" s="273"/>
      <c r="CA24" s="273"/>
      <c r="CB24" s="266" t="str">
        <f t="shared" si="32"/>
        <v/>
      </c>
      <c r="CC24" s="276"/>
      <c r="CD24" s="278"/>
      <c r="CE24" s="273"/>
      <c r="CF24" s="273"/>
      <c r="CG24" s="269" t="str">
        <f t="shared" si="33"/>
        <v/>
      </c>
      <c r="CH24" s="276"/>
    </row>
    <row r="25" ht="15.75" customHeight="1">
      <c r="A25" s="115">
        <f>IFERROR(__xludf.DUMMYFUNCTION("""COMPUTED_VALUE"""),21.0)</f>
        <v>21</v>
      </c>
      <c r="B25" s="119" t="str">
        <f>IFERROR(__xludf.DUMMYFUNCTION("""COMPUTED_VALUE"""),"2526100434")</f>
        <v>2526100434</v>
      </c>
      <c r="C25" s="119" t="str">
        <f>IFERROR(__xludf.DUMMYFUNCTION("""COMPUTED_VALUE"""),"0094805329")</f>
        <v>0094805329</v>
      </c>
      <c r="D25" s="122" t="str">
        <f>IFERROR(__xludf.DUMMYFUNCTION("""COMPUTED_VALUE"""),"MUHAMAD NUR KHOLIS ROMDONI")</f>
        <v>MUHAMAD NUR KHOLIS ROMDONI</v>
      </c>
      <c r="E25" s="119" t="str">
        <f>IFERROR(__xludf.DUMMYFUNCTION("""COMPUTED_VALUE"""),"X TO 4")</f>
        <v>X TO 4</v>
      </c>
      <c r="F25" s="119" t="s">
        <v>220</v>
      </c>
      <c r="G25" s="241"/>
      <c r="H25" s="234"/>
      <c r="I25" s="234"/>
      <c r="J25" s="230" t="str">
        <f t="shared" si="18"/>
        <v/>
      </c>
      <c r="K25" s="232"/>
      <c r="L25" s="241"/>
      <c r="M25" s="234"/>
      <c r="N25" s="234"/>
      <c r="O25" s="233" t="str">
        <f t="shared" si="19"/>
        <v/>
      </c>
      <c r="P25" s="232"/>
      <c r="Q25" s="229"/>
      <c r="R25" s="234"/>
      <c r="S25" s="231"/>
      <c r="T25" s="235" t="str">
        <f t="shared" si="20"/>
        <v/>
      </c>
      <c r="U25" s="232"/>
      <c r="V25" s="241"/>
      <c r="W25" s="234"/>
      <c r="X25" s="234"/>
      <c r="Y25" s="236" t="str">
        <f t="shared" si="21"/>
        <v/>
      </c>
      <c r="Z25" s="232"/>
      <c r="AA25" s="241"/>
      <c r="AB25" s="234"/>
      <c r="AC25" s="234"/>
      <c r="AD25" s="238" t="str">
        <f t="shared" si="22"/>
        <v/>
      </c>
      <c r="AE25" s="232"/>
      <c r="AF25" s="241"/>
      <c r="AG25" s="234"/>
      <c r="AH25" s="234"/>
      <c r="AI25" s="239" t="str">
        <f t="shared" si="23"/>
        <v/>
      </c>
      <c r="AJ25" s="232"/>
      <c r="AK25" s="241"/>
      <c r="AL25" s="234"/>
      <c r="AM25" s="234"/>
      <c r="AN25" s="243" t="str">
        <f t="shared" si="24"/>
        <v/>
      </c>
      <c r="AO25" s="232"/>
      <c r="AP25" s="241"/>
      <c r="AQ25" s="234"/>
      <c r="AR25" s="234"/>
      <c r="AS25" s="247" t="str">
        <f t="shared" si="25"/>
        <v/>
      </c>
      <c r="AT25" s="232"/>
      <c r="AU25" s="241"/>
      <c r="AV25" s="234"/>
      <c r="AW25" s="234"/>
      <c r="AX25" s="249" t="str">
        <f t="shared" si="26"/>
        <v/>
      </c>
      <c r="AY25" s="232"/>
      <c r="AZ25" s="241"/>
      <c r="BA25" s="234"/>
      <c r="BB25" s="234"/>
      <c r="BC25" s="250" t="str">
        <f t="shared" si="27"/>
        <v/>
      </c>
      <c r="BD25" s="232"/>
      <c r="BE25" s="256"/>
      <c r="BF25" s="257"/>
      <c r="BG25" s="257"/>
      <c r="BH25" s="254" t="str">
        <f t="shared" si="28"/>
        <v/>
      </c>
      <c r="BI25" s="259"/>
      <c r="BJ25" s="256"/>
      <c r="BK25" s="257"/>
      <c r="BL25" s="257"/>
      <c r="BM25" s="254" t="str">
        <f t="shared" si="29"/>
        <v/>
      </c>
      <c r="BN25" s="259"/>
      <c r="BO25" s="256"/>
      <c r="BP25" s="257"/>
      <c r="BQ25" s="257"/>
      <c r="BR25" s="254" t="str">
        <f t="shared" si="30"/>
        <v/>
      </c>
      <c r="BS25" s="259"/>
      <c r="BT25" s="241"/>
      <c r="BU25" s="234"/>
      <c r="BV25" s="234"/>
      <c r="BW25" s="266" t="str">
        <f t="shared" si="31"/>
        <v/>
      </c>
      <c r="BX25" s="232"/>
      <c r="BY25" s="241"/>
      <c r="BZ25" s="234"/>
      <c r="CA25" s="234"/>
      <c r="CB25" s="266" t="str">
        <f t="shared" si="32"/>
        <v/>
      </c>
      <c r="CC25" s="232"/>
      <c r="CD25" s="241"/>
      <c r="CE25" s="234"/>
      <c r="CF25" s="234"/>
      <c r="CG25" s="269" t="str">
        <f t="shared" si="33"/>
        <v/>
      </c>
      <c r="CH25" s="232"/>
    </row>
    <row r="26" ht="15.75" customHeight="1">
      <c r="A26" s="189">
        <f>IFERROR(__xludf.DUMMYFUNCTION("""COMPUTED_VALUE"""),22.0)</f>
        <v>22</v>
      </c>
      <c r="B26" s="193" t="str">
        <f>IFERROR(__xludf.DUMMYFUNCTION("""COMPUTED_VALUE"""),"2526100435")</f>
        <v>2526100435</v>
      </c>
      <c r="C26" s="193" t="str">
        <f>IFERROR(__xludf.DUMMYFUNCTION("""COMPUTED_VALUE"""),"0098562523")</f>
        <v>0098562523</v>
      </c>
      <c r="D26" s="195" t="str">
        <f>IFERROR(__xludf.DUMMYFUNCTION("""COMPUTED_VALUE"""),"MUHAMAD RIDWAN")</f>
        <v>MUHAMAD RIDWAN</v>
      </c>
      <c r="E26" s="193" t="str">
        <f>IFERROR(__xludf.DUMMYFUNCTION("""COMPUTED_VALUE"""),"X TO 4")</f>
        <v>X TO 4</v>
      </c>
      <c r="F26" s="193" t="s">
        <v>220</v>
      </c>
      <c r="G26" s="278"/>
      <c r="H26" s="273"/>
      <c r="I26" s="273"/>
      <c r="J26" s="230" t="str">
        <f t="shared" si="18"/>
        <v/>
      </c>
      <c r="K26" s="276"/>
      <c r="L26" s="278"/>
      <c r="M26" s="273"/>
      <c r="N26" s="273"/>
      <c r="O26" s="233" t="str">
        <f t="shared" si="19"/>
        <v/>
      </c>
      <c r="P26" s="276"/>
      <c r="Q26" s="271"/>
      <c r="R26" s="273"/>
      <c r="S26" s="279"/>
      <c r="T26" s="235" t="str">
        <f t="shared" si="20"/>
        <v/>
      </c>
      <c r="U26" s="276"/>
      <c r="V26" s="278"/>
      <c r="W26" s="273"/>
      <c r="X26" s="273"/>
      <c r="Y26" s="236" t="str">
        <f t="shared" si="21"/>
        <v/>
      </c>
      <c r="Z26" s="276"/>
      <c r="AA26" s="278"/>
      <c r="AB26" s="273"/>
      <c r="AC26" s="273"/>
      <c r="AD26" s="238" t="str">
        <f t="shared" si="22"/>
        <v/>
      </c>
      <c r="AE26" s="276"/>
      <c r="AF26" s="278"/>
      <c r="AG26" s="273"/>
      <c r="AH26" s="273"/>
      <c r="AI26" s="239" t="str">
        <f t="shared" si="23"/>
        <v/>
      </c>
      <c r="AJ26" s="276"/>
      <c r="AK26" s="278"/>
      <c r="AL26" s="273"/>
      <c r="AM26" s="273"/>
      <c r="AN26" s="243" t="str">
        <f t="shared" si="24"/>
        <v/>
      </c>
      <c r="AO26" s="276"/>
      <c r="AP26" s="278"/>
      <c r="AQ26" s="273"/>
      <c r="AR26" s="273"/>
      <c r="AS26" s="247" t="str">
        <f t="shared" si="25"/>
        <v/>
      </c>
      <c r="AT26" s="276"/>
      <c r="AU26" s="278"/>
      <c r="AV26" s="273"/>
      <c r="AW26" s="273"/>
      <c r="AX26" s="249" t="str">
        <f t="shared" si="26"/>
        <v/>
      </c>
      <c r="AY26" s="276"/>
      <c r="AZ26" s="278"/>
      <c r="BA26" s="273"/>
      <c r="BB26" s="273"/>
      <c r="BC26" s="250" t="str">
        <f t="shared" si="27"/>
        <v/>
      </c>
      <c r="BD26" s="276"/>
      <c r="BE26" s="281"/>
      <c r="BF26" s="282"/>
      <c r="BG26" s="282"/>
      <c r="BH26" s="254" t="str">
        <f t="shared" si="28"/>
        <v/>
      </c>
      <c r="BI26" s="284"/>
      <c r="BJ26" s="281"/>
      <c r="BK26" s="282"/>
      <c r="BL26" s="282"/>
      <c r="BM26" s="254" t="str">
        <f t="shared" si="29"/>
        <v/>
      </c>
      <c r="BN26" s="284"/>
      <c r="BO26" s="281"/>
      <c r="BP26" s="282"/>
      <c r="BQ26" s="282"/>
      <c r="BR26" s="254" t="str">
        <f t="shared" si="30"/>
        <v/>
      </c>
      <c r="BS26" s="284"/>
      <c r="BT26" s="278"/>
      <c r="BU26" s="273"/>
      <c r="BV26" s="273"/>
      <c r="BW26" s="266" t="str">
        <f t="shared" si="31"/>
        <v/>
      </c>
      <c r="BX26" s="276"/>
      <c r="BY26" s="278"/>
      <c r="BZ26" s="273"/>
      <c r="CA26" s="273"/>
      <c r="CB26" s="266" t="str">
        <f t="shared" si="32"/>
        <v/>
      </c>
      <c r="CC26" s="276"/>
      <c r="CD26" s="278"/>
      <c r="CE26" s="273"/>
      <c r="CF26" s="273"/>
      <c r="CG26" s="269" t="str">
        <f t="shared" si="33"/>
        <v/>
      </c>
      <c r="CH26" s="276"/>
    </row>
    <row r="27" ht="15.75" customHeight="1">
      <c r="A27" s="115">
        <f>IFERROR(__xludf.DUMMYFUNCTION("""COMPUTED_VALUE"""),23.0)</f>
        <v>23</v>
      </c>
      <c r="B27" s="119" t="str">
        <f>IFERROR(__xludf.DUMMYFUNCTION("""COMPUTED_VALUE"""),"2526100436")</f>
        <v>2526100436</v>
      </c>
      <c r="C27" s="119" t="str">
        <f>IFERROR(__xludf.DUMMYFUNCTION("""COMPUTED_VALUE"""),"0095384573")</f>
        <v>0095384573</v>
      </c>
      <c r="D27" s="122" t="str">
        <f>IFERROR(__xludf.DUMMYFUNCTION("""COMPUTED_VALUE"""),"MUHAMAD RUDI RIVIANSYAH")</f>
        <v>MUHAMAD RUDI RIVIANSYAH</v>
      </c>
      <c r="E27" s="119" t="str">
        <f>IFERROR(__xludf.DUMMYFUNCTION("""COMPUTED_VALUE"""),"X TO 4")</f>
        <v>X TO 4</v>
      </c>
      <c r="F27" s="119" t="s">
        <v>220</v>
      </c>
      <c r="G27" s="241"/>
      <c r="H27" s="234"/>
      <c r="I27" s="234"/>
      <c r="J27" s="230" t="str">
        <f t="shared" si="18"/>
        <v/>
      </c>
      <c r="K27" s="232"/>
      <c r="L27" s="241"/>
      <c r="M27" s="234"/>
      <c r="N27" s="234"/>
      <c r="O27" s="233" t="str">
        <f t="shared" si="19"/>
        <v/>
      </c>
      <c r="P27" s="232"/>
      <c r="Q27" s="229"/>
      <c r="R27" s="234"/>
      <c r="S27" s="231"/>
      <c r="T27" s="235" t="str">
        <f t="shared" si="20"/>
        <v/>
      </c>
      <c r="U27" s="232"/>
      <c r="V27" s="241"/>
      <c r="W27" s="234"/>
      <c r="X27" s="234"/>
      <c r="Y27" s="236" t="str">
        <f t="shared" si="21"/>
        <v/>
      </c>
      <c r="Z27" s="232"/>
      <c r="AA27" s="241"/>
      <c r="AB27" s="234"/>
      <c r="AC27" s="234"/>
      <c r="AD27" s="238" t="str">
        <f t="shared" si="22"/>
        <v/>
      </c>
      <c r="AE27" s="232"/>
      <c r="AF27" s="241"/>
      <c r="AG27" s="234"/>
      <c r="AH27" s="234"/>
      <c r="AI27" s="239" t="str">
        <f t="shared" si="23"/>
        <v/>
      </c>
      <c r="AJ27" s="232"/>
      <c r="AK27" s="241"/>
      <c r="AL27" s="234"/>
      <c r="AM27" s="234"/>
      <c r="AN27" s="243" t="str">
        <f t="shared" si="24"/>
        <v/>
      </c>
      <c r="AO27" s="232"/>
      <c r="AP27" s="241"/>
      <c r="AQ27" s="234"/>
      <c r="AR27" s="234"/>
      <c r="AS27" s="247" t="str">
        <f t="shared" si="25"/>
        <v/>
      </c>
      <c r="AT27" s="232"/>
      <c r="AU27" s="241"/>
      <c r="AV27" s="234"/>
      <c r="AW27" s="234"/>
      <c r="AX27" s="249" t="str">
        <f t="shared" si="26"/>
        <v/>
      </c>
      <c r="AY27" s="232"/>
      <c r="AZ27" s="241"/>
      <c r="BA27" s="234"/>
      <c r="BB27" s="234"/>
      <c r="BC27" s="250" t="str">
        <f t="shared" si="27"/>
        <v/>
      </c>
      <c r="BD27" s="232"/>
      <c r="BE27" s="256"/>
      <c r="BF27" s="257"/>
      <c r="BG27" s="257"/>
      <c r="BH27" s="254" t="str">
        <f t="shared" si="28"/>
        <v/>
      </c>
      <c r="BI27" s="259"/>
      <c r="BJ27" s="256"/>
      <c r="BK27" s="257"/>
      <c r="BL27" s="257"/>
      <c r="BM27" s="254" t="str">
        <f t="shared" si="29"/>
        <v/>
      </c>
      <c r="BN27" s="259"/>
      <c r="BO27" s="256"/>
      <c r="BP27" s="257"/>
      <c r="BQ27" s="257"/>
      <c r="BR27" s="254" t="str">
        <f t="shared" si="30"/>
        <v/>
      </c>
      <c r="BS27" s="259"/>
      <c r="BT27" s="241"/>
      <c r="BU27" s="234"/>
      <c r="BV27" s="234"/>
      <c r="BW27" s="266" t="str">
        <f t="shared" si="31"/>
        <v/>
      </c>
      <c r="BX27" s="232"/>
      <c r="BY27" s="241"/>
      <c r="BZ27" s="234"/>
      <c r="CA27" s="234"/>
      <c r="CB27" s="266" t="str">
        <f t="shared" si="32"/>
        <v/>
      </c>
      <c r="CC27" s="232"/>
      <c r="CD27" s="241"/>
      <c r="CE27" s="234"/>
      <c r="CF27" s="234"/>
      <c r="CG27" s="269" t="str">
        <f t="shared" si="33"/>
        <v/>
      </c>
      <c r="CH27" s="232"/>
    </row>
    <row r="28" ht="15.75" customHeight="1">
      <c r="A28" s="189">
        <f>IFERROR(__xludf.DUMMYFUNCTION("""COMPUTED_VALUE"""),24.0)</f>
        <v>24</v>
      </c>
      <c r="B28" s="193" t="str">
        <f>IFERROR(__xludf.DUMMYFUNCTION("""COMPUTED_VALUE"""),"2526100437")</f>
        <v>2526100437</v>
      </c>
      <c r="C28" s="193" t="str">
        <f>IFERROR(__xludf.DUMMYFUNCTION("""COMPUTED_VALUE"""),"3098503903")</f>
        <v>3098503903</v>
      </c>
      <c r="D28" s="195" t="str">
        <f>IFERROR(__xludf.DUMMYFUNCTION("""COMPUTED_VALUE"""),"MUHAMAD SALMAN")</f>
        <v>MUHAMAD SALMAN</v>
      </c>
      <c r="E28" s="193" t="str">
        <f>IFERROR(__xludf.DUMMYFUNCTION("""COMPUTED_VALUE"""),"X TO 4")</f>
        <v>X TO 4</v>
      </c>
      <c r="F28" s="193" t="s">
        <v>220</v>
      </c>
      <c r="G28" s="278"/>
      <c r="H28" s="273"/>
      <c r="I28" s="273"/>
      <c r="J28" s="230" t="str">
        <f t="shared" si="18"/>
        <v/>
      </c>
      <c r="K28" s="276"/>
      <c r="L28" s="278"/>
      <c r="M28" s="273"/>
      <c r="N28" s="273"/>
      <c r="O28" s="233" t="str">
        <f t="shared" si="19"/>
        <v/>
      </c>
      <c r="P28" s="276"/>
      <c r="Q28" s="271"/>
      <c r="R28" s="273"/>
      <c r="S28" s="279"/>
      <c r="T28" s="235" t="str">
        <f t="shared" si="20"/>
        <v/>
      </c>
      <c r="U28" s="276"/>
      <c r="V28" s="278"/>
      <c r="W28" s="273"/>
      <c r="X28" s="273"/>
      <c r="Y28" s="236" t="str">
        <f t="shared" si="21"/>
        <v/>
      </c>
      <c r="Z28" s="276"/>
      <c r="AA28" s="278"/>
      <c r="AB28" s="273"/>
      <c r="AC28" s="273"/>
      <c r="AD28" s="238" t="str">
        <f t="shared" si="22"/>
        <v/>
      </c>
      <c r="AE28" s="276"/>
      <c r="AF28" s="278"/>
      <c r="AG28" s="273"/>
      <c r="AH28" s="273"/>
      <c r="AI28" s="239" t="str">
        <f t="shared" si="23"/>
        <v/>
      </c>
      <c r="AJ28" s="276"/>
      <c r="AK28" s="278"/>
      <c r="AL28" s="273"/>
      <c r="AM28" s="273"/>
      <c r="AN28" s="243" t="str">
        <f t="shared" si="24"/>
        <v/>
      </c>
      <c r="AO28" s="276"/>
      <c r="AP28" s="278"/>
      <c r="AQ28" s="273"/>
      <c r="AR28" s="273"/>
      <c r="AS28" s="247" t="str">
        <f t="shared" si="25"/>
        <v/>
      </c>
      <c r="AT28" s="276"/>
      <c r="AU28" s="278"/>
      <c r="AV28" s="273"/>
      <c r="AW28" s="273"/>
      <c r="AX28" s="249" t="str">
        <f t="shared" si="26"/>
        <v/>
      </c>
      <c r="AY28" s="276"/>
      <c r="AZ28" s="278"/>
      <c r="BA28" s="273"/>
      <c r="BB28" s="273"/>
      <c r="BC28" s="250" t="str">
        <f t="shared" si="27"/>
        <v/>
      </c>
      <c r="BD28" s="276"/>
      <c r="BE28" s="281"/>
      <c r="BF28" s="282"/>
      <c r="BG28" s="282"/>
      <c r="BH28" s="254" t="str">
        <f t="shared" si="28"/>
        <v/>
      </c>
      <c r="BI28" s="284"/>
      <c r="BJ28" s="281"/>
      <c r="BK28" s="282"/>
      <c r="BL28" s="282"/>
      <c r="BM28" s="254" t="str">
        <f t="shared" si="29"/>
        <v/>
      </c>
      <c r="BN28" s="284"/>
      <c r="BO28" s="281"/>
      <c r="BP28" s="282"/>
      <c r="BQ28" s="282"/>
      <c r="BR28" s="254" t="str">
        <f t="shared" si="30"/>
        <v/>
      </c>
      <c r="BS28" s="284"/>
      <c r="BT28" s="278"/>
      <c r="BU28" s="273"/>
      <c r="BV28" s="273"/>
      <c r="BW28" s="266" t="str">
        <f t="shared" si="31"/>
        <v/>
      </c>
      <c r="BX28" s="276"/>
      <c r="BY28" s="278"/>
      <c r="BZ28" s="273"/>
      <c r="CA28" s="273"/>
      <c r="CB28" s="266" t="str">
        <f t="shared" si="32"/>
        <v/>
      </c>
      <c r="CC28" s="276"/>
      <c r="CD28" s="278"/>
      <c r="CE28" s="273"/>
      <c r="CF28" s="273"/>
      <c r="CG28" s="269" t="str">
        <f t="shared" si="33"/>
        <v/>
      </c>
      <c r="CH28" s="276"/>
    </row>
    <row r="29" ht="15.75" customHeight="1">
      <c r="A29" s="115">
        <f>IFERROR(__xludf.DUMMYFUNCTION("""COMPUTED_VALUE"""),25.0)</f>
        <v>25</v>
      </c>
      <c r="B29" s="119" t="str">
        <f>IFERROR(__xludf.DUMMYFUNCTION("""COMPUTED_VALUE"""),"2526100438")</f>
        <v>2526100438</v>
      </c>
      <c r="C29" s="119" t="str">
        <f>IFERROR(__xludf.DUMMYFUNCTION("""COMPUTED_VALUE"""),"0096750607")</f>
        <v>0096750607</v>
      </c>
      <c r="D29" s="122" t="str">
        <f>IFERROR(__xludf.DUMMYFUNCTION("""COMPUTED_VALUE"""),"MUHAMAD SUTIAWAN ALI")</f>
        <v>MUHAMAD SUTIAWAN ALI</v>
      </c>
      <c r="E29" s="119" t="str">
        <f>IFERROR(__xludf.DUMMYFUNCTION("""COMPUTED_VALUE"""),"X TO 4")</f>
        <v>X TO 4</v>
      </c>
      <c r="F29" s="119" t="s">
        <v>220</v>
      </c>
      <c r="G29" s="241"/>
      <c r="H29" s="234"/>
      <c r="I29" s="234"/>
      <c r="J29" s="230" t="str">
        <f t="shared" si="18"/>
        <v/>
      </c>
      <c r="K29" s="232"/>
      <c r="L29" s="241"/>
      <c r="M29" s="234"/>
      <c r="N29" s="234"/>
      <c r="O29" s="233" t="str">
        <f t="shared" si="19"/>
        <v/>
      </c>
      <c r="P29" s="232"/>
      <c r="Q29" s="229"/>
      <c r="R29" s="234"/>
      <c r="S29" s="231"/>
      <c r="T29" s="235" t="str">
        <f t="shared" si="20"/>
        <v/>
      </c>
      <c r="U29" s="232"/>
      <c r="V29" s="241"/>
      <c r="W29" s="234"/>
      <c r="X29" s="234"/>
      <c r="Y29" s="236" t="str">
        <f t="shared" si="21"/>
        <v/>
      </c>
      <c r="Z29" s="232"/>
      <c r="AA29" s="241"/>
      <c r="AB29" s="234"/>
      <c r="AC29" s="234"/>
      <c r="AD29" s="238" t="str">
        <f t="shared" si="22"/>
        <v/>
      </c>
      <c r="AE29" s="232"/>
      <c r="AF29" s="241"/>
      <c r="AG29" s="234"/>
      <c r="AH29" s="234"/>
      <c r="AI29" s="239" t="str">
        <f t="shared" si="23"/>
        <v/>
      </c>
      <c r="AJ29" s="232"/>
      <c r="AK29" s="241"/>
      <c r="AL29" s="234"/>
      <c r="AM29" s="234"/>
      <c r="AN29" s="243" t="str">
        <f t="shared" si="24"/>
        <v/>
      </c>
      <c r="AO29" s="232"/>
      <c r="AP29" s="241"/>
      <c r="AQ29" s="234"/>
      <c r="AR29" s="234"/>
      <c r="AS29" s="247" t="str">
        <f t="shared" si="25"/>
        <v/>
      </c>
      <c r="AT29" s="232"/>
      <c r="AU29" s="241"/>
      <c r="AV29" s="234"/>
      <c r="AW29" s="234"/>
      <c r="AX29" s="249" t="str">
        <f t="shared" si="26"/>
        <v/>
      </c>
      <c r="AY29" s="232"/>
      <c r="AZ29" s="241"/>
      <c r="BA29" s="234"/>
      <c r="BB29" s="234"/>
      <c r="BC29" s="250" t="str">
        <f t="shared" si="27"/>
        <v/>
      </c>
      <c r="BD29" s="232"/>
      <c r="BE29" s="256"/>
      <c r="BF29" s="257"/>
      <c r="BG29" s="257"/>
      <c r="BH29" s="254" t="str">
        <f t="shared" si="28"/>
        <v/>
      </c>
      <c r="BI29" s="259"/>
      <c r="BJ29" s="256"/>
      <c r="BK29" s="257"/>
      <c r="BL29" s="257"/>
      <c r="BM29" s="254" t="str">
        <f t="shared" si="29"/>
        <v/>
      </c>
      <c r="BN29" s="259"/>
      <c r="BO29" s="256"/>
      <c r="BP29" s="257"/>
      <c r="BQ29" s="257"/>
      <c r="BR29" s="254" t="str">
        <f t="shared" si="30"/>
        <v/>
      </c>
      <c r="BS29" s="259"/>
      <c r="BT29" s="241"/>
      <c r="BU29" s="234"/>
      <c r="BV29" s="234"/>
      <c r="BW29" s="266" t="str">
        <f t="shared" si="31"/>
        <v/>
      </c>
      <c r="BX29" s="232"/>
      <c r="BY29" s="241"/>
      <c r="BZ29" s="234"/>
      <c r="CA29" s="234"/>
      <c r="CB29" s="266" t="str">
        <f t="shared" si="32"/>
        <v/>
      </c>
      <c r="CC29" s="232"/>
      <c r="CD29" s="241"/>
      <c r="CE29" s="234"/>
      <c r="CF29" s="234"/>
      <c r="CG29" s="269" t="str">
        <f t="shared" si="33"/>
        <v/>
      </c>
      <c r="CH29" s="232"/>
    </row>
    <row r="30" ht="15.75" customHeight="1">
      <c r="A30" s="189">
        <f>IFERROR(__xludf.DUMMYFUNCTION("""COMPUTED_VALUE"""),26.0)</f>
        <v>26</v>
      </c>
      <c r="B30" s="193" t="str">
        <f>IFERROR(__xludf.DUMMYFUNCTION("""COMPUTED_VALUE"""),"2526100439")</f>
        <v>2526100439</v>
      </c>
      <c r="C30" s="193" t="str">
        <f>IFERROR(__xludf.DUMMYFUNCTION("""COMPUTED_VALUE"""),"0094990767")</f>
        <v>0094990767</v>
      </c>
      <c r="D30" s="195" t="str">
        <f>IFERROR(__xludf.DUMMYFUNCTION("""COMPUTED_VALUE"""),"MUHAMMAD FAHRI MAULANA")</f>
        <v>MUHAMMAD FAHRI MAULANA</v>
      </c>
      <c r="E30" s="193" t="str">
        <f>IFERROR(__xludf.DUMMYFUNCTION("""COMPUTED_VALUE"""),"X TO 4")</f>
        <v>X TO 4</v>
      </c>
      <c r="F30" s="193" t="s">
        <v>220</v>
      </c>
      <c r="G30" s="278"/>
      <c r="H30" s="273"/>
      <c r="I30" s="273"/>
      <c r="J30" s="230" t="str">
        <f t="shared" si="18"/>
        <v/>
      </c>
      <c r="K30" s="276"/>
      <c r="L30" s="278"/>
      <c r="M30" s="273"/>
      <c r="N30" s="273"/>
      <c r="O30" s="233" t="str">
        <f t="shared" si="19"/>
        <v/>
      </c>
      <c r="P30" s="276"/>
      <c r="Q30" s="271"/>
      <c r="R30" s="273"/>
      <c r="S30" s="279"/>
      <c r="T30" s="235" t="str">
        <f t="shared" si="20"/>
        <v/>
      </c>
      <c r="U30" s="276"/>
      <c r="V30" s="278"/>
      <c r="W30" s="273"/>
      <c r="X30" s="273"/>
      <c r="Y30" s="236" t="str">
        <f t="shared" si="21"/>
        <v/>
      </c>
      <c r="Z30" s="276"/>
      <c r="AA30" s="278"/>
      <c r="AB30" s="273"/>
      <c r="AC30" s="273"/>
      <c r="AD30" s="238" t="str">
        <f t="shared" si="22"/>
        <v/>
      </c>
      <c r="AE30" s="276"/>
      <c r="AF30" s="278"/>
      <c r="AG30" s="273"/>
      <c r="AH30" s="273"/>
      <c r="AI30" s="239" t="str">
        <f t="shared" si="23"/>
        <v/>
      </c>
      <c r="AJ30" s="276"/>
      <c r="AK30" s="278"/>
      <c r="AL30" s="273"/>
      <c r="AM30" s="273"/>
      <c r="AN30" s="243" t="str">
        <f t="shared" si="24"/>
        <v/>
      </c>
      <c r="AO30" s="276"/>
      <c r="AP30" s="278"/>
      <c r="AQ30" s="273"/>
      <c r="AR30" s="273"/>
      <c r="AS30" s="247" t="str">
        <f t="shared" si="25"/>
        <v/>
      </c>
      <c r="AT30" s="276"/>
      <c r="AU30" s="278"/>
      <c r="AV30" s="273"/>
      <c r="AW30" s="273"/>
      <c r="AX30" s="249" t="str">
        <f t="shared" si="26"/>
        <v/>
      </c>
      <c r="AY30" s="276"/>
      <c r="AZ30" s="278"/>
      <c r="BA30" s="273"/>
      <c r="BB30" s="273"/>
      <c r="BC30" s="250" t="str">
        <f t="shared" si="27"/>
        <v/>
      </c>
      <c r="BD30" s="276"/>
      <c r="BE30" s="281"/>
      <c r="BF30" s="282"/>
      <c r="BG30" s="282"/>
      <c r="BH30" s="254" t="str">
        <f t="shared" si="28"/>
        <v/>
      </c>
      <c r="BI30" s="284"/>
      <c r="BJ30" s="281"/>
      <c r="BK30" s="282"/>
      <c r="BL30" s="282"/>
      <c r="BM30" s="254" t="str">
        <f t="shared" si="29"/>
        <v/>
      </c>
      <c r="BN30" s="284"/>
      <c r="BO30" s="281"/>
      <c r="BP30" s="282"/>
      <c r="BQ30" s="282"/>
      <c r="BR30" s="254" t="str">
        <f t="shared" si="30"/>
        <v/>
      </c>
      <c r="BS30" s="284"/>
      <c r="BT30" s="278"/>
      <c r="BU30" s="273"/>
      <c r="BV30" s="273"/>
      <c r="BW30" s="266" t="str">
        <f t="shared" si="31"/>
        <v/>
      </c>
      <c r="BX30" s="276"/>
      <c r="BY30" s="278"/>
      <c r="BZ30" s="273"/>
      <c r="CA30" s="273"/>
      <c r="CB30" s="266" t="str">
        <f t="shared" si="32"/>
        <v/>
      </c>
      <c r="CC30" s="276"/>
      <c r="CD30" s="278"/>
      <c r="CE30" s="273"/>
      <c r="CF30" s="273"/>
      <c r="CG30" s="269" t="str">
        <f t="shared" si="33"/>
        <v/>
      </c>
      <c r="CH30" s="276"/>
    </row>
    <row r="31" ht="15.75" customHeight="1">
      <c r="A31" s="115">
        <f>IFERROR(__xludf.DUMMYFUNCTION("""COMPUTED_VALUE"""),27.0)</f>
        <v>27</v>
      </c>
      <c r="B31" s="119" t="str">
        <f>IFERROR(__xludf.DUMMYFUNCTION("""COMPUTED_VALUE"""),"2526100440")</f>
        <v>2526100440</v>
      </c>
      <c r="C31" s="119" t="str">
        <f>IFERROR(__xludf.DUMMYFUNCTION("""COMPUTED_VALUE"""),"0105005356")</f>
        <v>0105005356</v>
      </c>
      <c r="D31" s="122" t="str">
        <f>IFERROR(__xludf.DUMMYFUNCTION("""COMPUTED_VALUE"""),"MUHAMMAD GALANG GUNAWAN")</f>
        <v>MUHAMMAD GALANG GUNAWAN</v>
      </c>
      <c r="E31" s="119" t="str">
        <f>IFERROR(__xludf.DUMMYFUNCTION("""COMPUTED_VALUE"""),"X TO 4")</f>
        <v>X TO 4</v>
      </c>
      <c r="F31" s="119" t="s">
        <v>220</v>
      </c>
      <c r="G31" s="229"/>
      <c r="H31" s="234"/>
      <c r="I31" s="234"/>
      <c r="J31" s="230" t="str">
        <f t="shared" si="18"/>
        <v/>
      </c>
      <c r="K31" s="232"/>
      <c r="L31" s="241"/>
      <c r="M31" s="234"/>
      <c r="N31" s="234"/>
      <c r="O31" s="233" t="str">
        <f t="shared" si="19"/>
        <v/>
      </c>
      <c r="P31" s="232"/>
      <c r="Q31" s="229"/>
      <c r="R31" s="234"/>
      <c r="S31" s="231"/>
      <c r="T31" s="235" t="str">
        <f t="shared" si="20"/>
        <v/>
      </c>
      <c r="U31" s="232"/>
      <c r="V31" s="241"/>
      <c r="W31" s="234"/>
      <c r="X31" s="234"/>
      <c r="Y31" s="236" t="str">
        <f t="shared" si="21"/>
        <v/>
      </c>
      <c r="Z31" s="232"/>
      <c r="AA31" s="241"/>
      <c r="AB31" s="234"/>
      <c r="AC31" s="234"/>
      <c r="AD31" s="238" t="str">
        <f t="shared" si="22"/>
        <v/>
      </c>
      <c r="AE31" s="232"/>
      <c r="AF31" s="241"/>
      <c r="AG31" s="234"/>
      <c r="AH31" s="234"/>
      <c r="AI31" s="239" t="str">
        <f t="shared" si="23"/>
        <v/>
      </c>
      <c r="AJ31" s="232"/>
      <c r="AK31" s="241"/>
      <c r="AL31" s="234"/>
      <c r="AM31" s="234"/>
      <c r="AN31" s="243" t="str">
        <f t="shared" si="24"/>
        <v/>
      </c>
      <c r="AO31" s="232"/>
      <c r="AP31" s="241"/>
      <c r="AQ31" s="234"/>
      <c r="AR31" s="234"/>
      <c r="AS31" s="247" t="str">
        <f t="shared" si="25"/>
        <v/>
      </c>
      <c r="AT31" s="232"/>
      <c r="AU31" s="241"/>
      <c r="AV31" s="234"/>
      <c r="AW31" s="234"/>
      <c r="AX31" s="249" t="str">
        <f t="shared" si="26"/>
        <v/>
      </c>
      <c r="AY31" s="232"/>
      <c r="AZ31" s="241"/>
      <c r="BA31" s="234"/>
      <c r="BB31" s="234"/>
      <c r="BC31" s="250" t="str">
        <f t="shared" si="27"/>
        <v/>
      </c>
      <c r="BD31" s="232"/>
      <c r="BE31" s="256"/>
      <c r="BF31" s="257"/>
      <c r="BG31" s="257"/>
      <c r="BH31" s="254" t="str">
        <f t="shared" si="28"/>
        <v/>
      </c>
      <c r="BI31" s="259"/>
      <c r="BJ31" s="256"/>
      <c r="BK31" s="257"/>
      <c r="BL31" s="257"/>
      <c r="BM31" s="254" t="str">
        <f t="shared" si="29"/>
        <v/>
      </c>
      <c r="BN31" s="259"/>
      <c r="BO31" s="256"/>
      <c r="BP31" s="257"/>
      <c r="BQ31" s="257"/>
      <c r="BR31" s="254" t="str">
        <f t="shared" si="30"/>
        <v/>
      </c>
      <c r="BS31" s="259"/>
      <c r="BT31" s="241"/>
      <c r="BU31" s="234"/>
      <c r="BV31" s="234"/>
      <c r="BW31" s="266" t="str">
        <f t="shared" si="31"/>
        <v/>
      </c>
      <c r="BX31" s="232"/>
      <c r="BY31" s="241"/>
      <c r="BZ31" s="234"/>
      <c r="CA31" s="234"/>
      <c r="CB31" s="266" t="str">
        <f t="shared" si="32"/>
        <v/>
      </c>
      <c r="CC31" s="232"/>
      <c r="CD31" s="241"/>
      <c r="CE31" s="234"/>
      <c r="CF31" s="234"/>
      <c r="CG31" s="269" t="str">
        <f t="shared" si="33"/>
        <v/>
      </c>
      <c r="CH31" s="232"/>
    </row>
    <row r="32" ht="15.75" customHeight="1">
      <c r="A32" s="189">
        <f>IFERROR(__xludf.DUMMYFUNCTION("""COMPUTED_VALUE"""),28.0)</f>
        <v>28</v>
      </c>
      <c r="B32" s="193" t="str">
        <f>IFERROR(__xludf.DUMMYFUNCTION("""COMPUTED_VALUE"""),"2526100441")</f>
        <v>2526100441</v>
      </c>
      <c r="C32" s="193" t="str">
        <f>IFERROR(__xludf.DUMMYFUNCTION("""COMPUTED_VALUE"""),"0089904752")</f>
        <v>0089904752</v>
      </c>
      <c r="D32" s="195" t="str">
        <f>IFERROR(__xludf.DUMMYFUNCTION("""COMPUTED_VALUE"""),"MUHAMMAD GOZALI")</f>
        <v>MUHAMMAD GOZALI</v>
      </c>
      <c r="E32" s="193" t="str">
        <f>IFERROR(__xludf.DUMMYFUNCTION("""COMPUTED_VALUE"""),"X TO 4")</f>
        <v>X TO 4</v>
      </c>
      <c r="F32" s="193" t="s">
        <v>220</v>
      </c>
      <c r="G32" s="278"/>
      <c r="H32" s="273"/>
      <c r="I32" s="273"/>
      <c r="J32" s="230" t="str">
        <f t="shared" si="18"/>
        <v/>
      </c>
      <c r="K32" s="276"/>
      <c r="L32" s="271"/>
      <c r="M32" s="273"/>
      <c r="N32" s="273"/>
      <c r="O32" s="233" t="str">
        <f t="shared" si="19"/>
        <v/>
      </c>
      <c r="P32" s="276"/>
      <c r="Q32" s="271"/>
      <c r="R32" s="273"/>
      <c r="S32" s="279"/>
      <c r="T32" s="235" t="str">
        <f t="shared" si="20"/>
        <v/>
      </c>
      <c r="U32" s="276"/>
      <c r="V32" s="278"/>
      <c r="W32" s="273"/>
      <c r="X32" s="273"/>
      <c r="Y32" s="236" t="str">
        <f t="shared" si="21"/>
        <v/>
      </c>
      <c r="Z32" s="276"/>
      <c r="AA32" s="278"/>
      <c r="AB32" s="273"/>
      <c r="AC32" s="273"/>
      <c r="AD32" s="238" t="str">
        <f t="shared" si="22"/>
        <v/>
      </c>
      <c r="AE32" s="276"/>
      <c r="AF32" s="278"/>
      <c r="AG32" s="273"/>
      <c r="AH32" s="273"/>
      <c r="AI32" s="239" t="str">
        <f t="shared" si="23"/>
        <v/>
      </c>
      <c r="AJ32" s="276"/>
      <c r="AK32" s="278"/>
      <c r="AL32" s="273"/>
      <c r="AM32" s="273"/>
      <c r="AN32" s="243" t="str">
        <f t="shared" si="24"/>
        <v/>
      </c>
      <c r="AO32" s="276"/>
      <c r="AP32" s="278"/>
      <c r="AQ32" s="273"/>
      <c r="AR32" s="273"/>
      <c r="AS32" s="247" t="str">
        <f t="shared" si="25"/>
        <v/>
      </c>
      <c r="AT32" s="276"/>
      <c r="AU32" s="278"/>
      <c r="AV32" s="273"/>
      <c r="AW32" s="273"/>
      <c r="AX32" s="249" t="str">
        <f t="shared" si="26"/>
        <v/>
      </c>
      <c r="AY32" s="276"/>
      <c r="AZ32" s="278"/>
      <c r="BA32" s="273"/>
      <c r="BB32" s="273"/>
      <c r="BC32" s="250" t="str">
        <f t="shared" si="27"/>
        <v/>
      </c>
      <c r="BD32" s="276"/>
      <c r="BE32" s="281"/>
      <c r="BF32" s="282"/>
      <c r="BG32" s="282"/>
      <c r="BH32" s="254" t="str">
        <f t="shared" si="28"/>
        <v/>
      </c>
      <c r="BI32" s="284"/>
      <c r="BJ32" s="281"/>
      <c r="BK32" s="282"/>
      <c r="BL32" s="282"/>
      <c r="BM32" s="254" t="str">
        <f t="shared" si="29"/>
        <v/>
      </c>
      <c r="BN32" s="284"/>
      <c r="BO32" s="281"/>
      <c r="BP32" s="282"/>
      <c r="BQ32" s="282"/>
      <c r="BR32" s="254" t="str">
        <f t="shared" si="30"/>
        <v/>
      </c>
      <c r="BS32" s="284"/>
      <c r="BT32" s="278"/>
      <c r="BU32" s="273"/>
      <c r="BV32" s="273"/>
      <c r="BW32" s="266" t="str">
        <f t="shared" si="31"/>
        <v/>
      </c>
      <c r="BX32" s="276"/>
      <c r="BY32" s="278"/>
      <c r="BZ32" s="273"/>
      <c r="CA32" s="273"/>
      <c r="CB32" s="266" t="str">
        <f t="shared" si="32"/>
        <v/>
      </c>
      <c r="CC32" s="276"/>
      <c r="CD32" s="278"/>
      <c r="CE32" s="273"/>
      <c r="CF32" s="273"/>
      <c r="CG32" s="269" t="str">
        <f t="shared" si="33"/>
        <v/>
      </c>
      <c r="CH32" s="276"/>
    </row>
    <row r="33" ht="15.75" customHeight="1">
      <c r="A33" s="115">
        <f>IFERROR(__xludf.DUMMYFUNCTION("""COMPUTED_VALUE"""),29.0)</f>
        <v>29</v>
      </c>
      <c r="B33" s="119" t="str">
        <f>IFERROR(__xludf.DUMMYFUNCTION("""COMPUTED_VALUE"""),"2526100442")</f>
        <v>2526100442</v>
      </c>
      <c r="C33" s="119" t="str">
        <f>IFERROR(__xludf.DUMMYFUNCTION("""COMPUTED_VALUE"""),"0093764470")</f>
        <v>0093764470</v>
      </c>
      <c r="D33" s="122" t="str">
        <f>IFERROR(__xludf.DUMMYFUNCTION("""COMPUTED_VALUE"""),"MUHAMMAD HADAD AT'TOILLAH")</f>
        <v>MUHAMMAD HADAD AT'TOILLAH</v>
      </c>
      <c r="E33" s="119" t="str">
        <f>IFERROR(__xludf.DUMMYFUNCTION("""COMPUTED_VALUE"""),"X TO 4")</f>
        <v>X TO 4</v>
      </c>
      <c r="F33" s="119" t="s">
        <v>220</v>
      </c>
      <c r="G33" s="241"/>
      <c r="H33" s="234"/>
      <c r="I33" s="234"/>
      <c r="J33" s="230" t="str">
        <f t="shared" si="18"/>
        <v/>
      </c>
      <c r="K33" s="232"/>
      <c r="L33" s="241"/>
      <c r="M33" s="234"/>
      <c r="N33" s="234"/>
      <c r="O33" s="233" t="str">
        <f t="shared" si="19"/>
        <v/>
      </c>
      <c r="P33" s="232"/>
      <c r="Q33" s="229"/>
      <c r="R33" s="234"/>
      <c r="S33" s="231"/>
      <c r="T33" s="235" t="str">
        <f t="shared" si="20"/>
        <v/>
      </c>
      <c r="U33" s="232"/>
      <c r="V33" s="241"/>
      <c r="W33" s="234"/>
      <c r="X33" s="234"/>
      <c r="Y33" s="236" t="str">
        <f t="shared" si="21"/>
        <v/>
      </c>
      <c r="Z33" s="232"/>
      <c r="AA33" s="229"/>
      <c r="AB33" s="234"/>
      <c r="AC33" s="234"/>
      <c r="AD33" s="238" t="str">
        <f t="shared" si="22"/>
        <v/>
      </c>
      <c r="AE33" s="232"/>
      <c r="AF33" s="241"/>
      <c r="AG33" s="234"/>
      <c r="AH33" s="234"/>
      <c r="AI33" s="239" t="str">
        <f t="shared" si="23"/>
        <v/>
      </c>
      <c r="AJ33" s="232"/>
      <c r="AK33" s="241"/>
      <c r="AL33" s="234"/>
      <c r="AM33" s="234"/>
      <c r="AN33" s="243" t="str">
        <f t="shared" si="24"/>
        <v/>
      </c>
      <c r="AO33" s="232"/>
      <c r="AP33" s="241"/>
      <c r="AQ33" s="234"/>
      <c r="AR33" s="234"/>
      <c r="AS33" s="247" t="str">
        <f t="shared" si="25"/>
        <v/>
      </c>
      <c r="AT33" s="232"/>
      <c r="AU33" s="241"/>
      <c r="AV33" s="234"/>
      <c r="AW33" s="234"/>
      <c r="AX33" s="249" t="str">
        <f t="shared" si="26"/>
        <v/>
      </c>
      <c r="AY33" s="232"/>
      <c r="AZ33" s="241"/>
      <c r="BA33" s="234"/>
      <c r="BB33" s="234"/>
      <c r="BC33" s="250" t="str">
        <f t="shared" si="27"/>
        <v/>
      </c>
      <c r="BD33" s="232"/>
      <c r="BE33" s="256"/>
      <c r="BF33" s="257"/>
      <c r="BG33" s="257"/>
      <c r="BH33" s="254" t="str">
        <f t="shared" si="28"/>
        <v/>
      </c>
      <c r="BI33" s="259"/>
      <c r="BJ33" s="256"/>
      <c r="BK33" s="257"/>
      <c r="BL33" s="257"/>
      <c r="BM33" s="254" t="str">
        <f t="shared" si="29"/>
        <v/>
      </c>
      <c r="BN33" s="259"/>
      <c r="BO33" s="256"/>
      <c r="BP33" s="257"/>
      <c r="BQ33" s="257"/>
      <c r="BR33" s="254" t="str">
        <f t="shared" si="30"/>
        <v/>
      </c>
      <c r="BS33" s="259"/>
      <c r="BT33" s="241"/>
      <c r="BU33" s="234"/>
      <c r="BV33" s="234"/>
      <c r="BW33" s="266" t="str">
        <f t="shared" si="31"/>
        <v/>
      </c>
      <c r="BX33" s="232"/>
      <c r="BY33" s="241"/>
      <c r="BZ33" s="234"/>
      <c r="CA33" s="234"/>
      <c r="CB33" s="266" t="str">
        <f t="shared" si="32"/>
        <v/>
      </c>
      <c r="CC33" s="232"/>
      <c r="CD33" s="241"/>
      <c r="CE33" s="234"/>
      <c r="CF33" s="234"/>
      <c r="CG33" s="269" t="str">
        <f t="shared" si="33"/>
        <v/>
      </c>
      <c r="CH33" s="232"/>
    </row>
    <row r="34" ht="15.75" customHeight="1">
      <c r="A34" s="189">
        <f>IFERROR(__xludf.DUMMYFUNCTION("""COMPUTED_VALUE"""),30.0)</f>
        <v>30</v>
      </c>
      <c r="B34" s="193" t="str">
        <f>IFERROR(__xludf.DUMMYFUNCTION("""COMPUTED_VALUE"""),"2526100443")</f>
        <v>2526100443</v>
      </c>
      <c r="C34" s="193" t="str">
        <f>IFERROR(__xludf.DUMMYFUNCTION("""COMPUTED_VALUE"""),"0092995954")</f>
        <v>0092995954</v>
      </c>
      <c r="D34" s="195" t="str">
        <f>IFERROR(__xludf.DUMMYFUNCTION("""COMPUTED_VALUE"""),"MUHAMMAD ILHAM")</f>
        <v>MUHAMMAD ILHAM</v>
      </c>
      <c r="E34" s="193" t="str">
        <f>IFERROR(__xludf.DUMMYFUNCTION("""COMPUTED_VALUE"""),"X TO 4")</f>
        <v>X TO 4</v>
      </c>
      <c r="F34" s="193" t="s">
        <v>220</v>
      </c>
      <c r="G34" s="278"/>
      <c r="H34" s="273"/>
      <c r="I34" s="273"/>
      <c r="J34" s="230" t="str">
        <f t="shared" si="18"/>
        <v/>
      </c>
      <c r="K34" s="276"/>
      <c r="L34" s="271"/>
      <c r="M34" s="273"/>
      <c r="N34" s="273"/>
      <c r="O34" s="233" t="str">
        <f t="shared" si="19"/>
        <v/>
      </c>
      <c r="P34" s="276"/>
      <c r="Q34" s="271"/>
      <c r="R34" s="273"/>
      <c r="S34" s="279"/>
      <c r="T34" s="235" t="str">
        <f t="shared" si="20"/>
        <v/>
      </c>
      <c r="U34" s="276"/>
      <c r="V34" s="278"/>
      <c r="W34" s="273"/>
      <c r="X34" s="273"/>
      <c r="Y34" s="236" t="str">
        <f t="shared" si="21"/>
        <v/>
      </c>
      <c r="Z34" s="276"/>
      <c r="AA34" s="278"/>
      <c r="AB34" s="273"/>
      <c r="AC34" s="273"/>
      <c r="AD34" s="238" t="str">
        <f t="shared" si="22"/>
        <v/>
      </c>
      <c r="AE34" s="276"/>
      <c r="AF34" s="278"/>
      <c r="AG34" s="273"/>
      <c r="AH34" s="273"/>
      <c r="AI34" s="239" t="str">
        <f t="shared" si="23"/>
        <v/>
      </c>
      <c r="AJ34" s="276"/>
      <c r="AK34" s="278"/>
      <c r="AL34" s="273"/>
      <c r="AM34" s="273"/>
      <c r="AN34" s="243" t="str">
        <f t="shared" si="24"/>
        <v/>
      </c>
      <c r="AO34" s="276"/>
      <c r="AP34" s="278"/>
      <c r="AQ34" s="273"/>
      <c r="AR34" s="273"/>
      <c r="AS34" s="247" t="str">
        <f t="shared" si="25"/>
        <v/>
      </c>
      <c r="AT34" s="276"/>
      <c r="AU34" s="278"/>
      <c r="AV34" s="273"/>
      <c r="AW34" s="273"/>
      <c r="AX34" s="249" t="str">
        <f t="shared" si="26"/>
        <v/>
      </c>
      <c r="AY34" s="276"/>
      <c r="AZ34" s="278"/>
      <c r="BA34" s="273"/>
      <c r="BB34" s="273"/>
      <c r="BC34" s="250" t="str">
        <f t="shared" si="27"/>
        <v/>
      </c>
      <c r="BD34" s="276"/>
      <c r="BE34" s="281"/>
      <c r="BF34" s="282"/>
      <c r="BG34" s="282"/>
      <c r="BH34" s="254" t="str">
        <f t="shared" si="28"/>
        <v/>
      </c>
      <c r="BI34" s="284"/>
      <c r="BJ34" s="281"/>
      <c r="BK34" s="282"/>
      <c r="BL34" s="282"/>
      <c r="BM34" s="254" t="str">
        <f t="shared" si="29"/>
        <v/>
      </c>
      <c r="BN34" s="284"/>
      <c r="BO34" s="281"/>
      <c r="BP34" s="282"/>
      <c r="BQ34" s="282"/>
      <c r="BR34" s="254" t="str">
        <f t="shared" si="30"/>
        <v/>
      </c>
      <c r="BS34" s="284"/>
      <c r="BT34" s="278"/>
      <c r="BU34" s="273"/>
      <c r="BV34" s="273"/>
      <c r="BW34" s="266" t="str">
        <f t="shared" si="31"/>
        <v/>
      </c>
      <c r="BX34" s="276"/>
      <c r="BY34" s="278"/>
      <c r="BZ34" s="273"/>
      <c r="CA34" s="273"/>
      <c r="CB34" s="266" t="str">
        <f t="shared" si="32"/>
        <v/>
      </c>
      <c r="CC34" s="276"/>
      <c r="CD34" s="278"/>
      <c r="CE34" s="273"/>
      <c r="CF34" s="273"/>
      <c r="CG34" s="269" t="str">
        <f t="shared" si="33"/>
        <v/>
      </c>
      <c r="CH34" s="276"/>
    </row>
    <row r="35" ht="15.75" customHeight="1">
      <c r="A35" s="115">
        <f>IFERROR(__xludf.DUMMYFUNCTION("""COMPUTED_VALUE"""),31.0)</f>
        <v>31</v>
      </c>
      <c r="B35" s="119" t="str">
        <f>IFERROR(__xludf.DUMMYFUNCTION("""COMPUTED_VALUE"""),"2526100444")</f>
        <v>2526100444</v>
      </c>
      <c r="C35" s="119" t="str">
        <f>IFERROR(__xludf.DUMMYFUNCTION("""COMPUTED_VALUE"""),"0091433917")</f>
        <v>0091433917</v>
      </c>
      <c r="D35" s="122" t="str">
        <f>IFERROR(__xludf.DUMMYFUNCTION("""COMPUTED_VALUE"""),"M. IRPAN SAEPUL IBRAHIM ")</f>
        <v>M. IRPAN SAEPUL IBRAHIM </v>
      </c>
      <c r="E35" s="119" t="str">
        <f>IFERROR(__xludf.DUMMYFUNCTION("""COMPUTED_VALUE"""),"X TO 4")</f>
        <v>X TO 4</v>
      </c>
      <c r="F35" s="119" t="s">
        <v>220</v>
      </c>
      <c r="G35" s="241"/>
      <c r="H35" s="234"/>
      <c r="I35" s="234"/>
      <c r="J35" s="230" t="str">
        <f t="shared" si="18"/>
        <v/>
      </c>
      <c r="K35" s="232"/>
      <c r="L35" s="241"/>
      <c r="M35" s="234"/>
      <c r="N35" s="234"/>
      <c r="O35" s="233" t="str">
        <f t="shared" si="19"/>
        <v/>
      </c>
      <c r="P35" s="232"/>
      <c r="Q35" s="229"/>
      <c r="R35" s="234"/>
      <c r="S35" s="231"/>
      <c r="T35" s="235" t="str">
        <f t="shared" si="20"/>
        <v/>
      </c>
      <c r="U35" s="232"/>
      <c r="V35" s="241"/>
      <c r="W35" s="234"/>
      <c r="X35" s="234"/>
      <c r="Y35" s="236" t="str">
        <f t="shared" si="21"/>
        <v/>
      </c>
      <c r="Z35" s="232"/>
      <c r="AA35" s="229"/>
      <c r="AB35" s="234"/>
      <c r="AC35" s="234"/>
      <c r="AD35" s="238" t="str">
        <f t="shared" si="22"/>
        <v/>
      </c>
      <c r="AE35" s="232"/>
      <c r="AF35" s="241"/>
      <c r="AG35" s="234"/>
      <c r="AH35" s="234"/>
      <c r="AI35" s="239" t="str">
        <f t="shared" si="23"/>
        <v/>
      </c>
      <c r="AJ35" s="232"/>
      <c r="AK35" s="241"/>
      <c r="AL35" s="234"/>
      <c r="AM35" s="234"/>
      <c r="AN35" s="243" t="str">
        <f t="shared" si="24"/>
        <v/>
      </c>
      <c r="AO35" s="232"/>
      <c r="AP35" s="241"/>
      <c r="AQ35" s="234"/>
      <c r="AR35" s="234"/>
      <c r="AS35" s="247" t="str">
        <f t="shared" si="25"/>
        <v/>
      </c>
      <c r="AT35" s="232"/>
      <c r="AU35" s="241"/>
      <c r="AV35" s="234"/>
      <c r="AW35" s="234"/>
      <c r="AX35" s="249" t="str">
        <f t="shared" si="26"/>
        <v/>
      </c>
      <c r="AY35" s="232"/>
      <c r="AZ35" s="241"/>
      <c r="BA35" s="234"/>
      <c r="BB35" s="234"/>
      <c r="BC35" s="250" t="str">
        <f t="shared" si="27"/>
        <v/>
      </c>
      <c r="BD35" s="232"/>
      <c r="BE35" s="256"/>
      <c r="BF35" s="257"/>
      <c r="BG35" s="257"/>
      <c r="BH35" s="254" t="str">
        <f t="shared" si="28"/>
        <v/>
      </c>
      <c r="BI35" s="259"/>
      <c r="BJ35" s="256"/>
      <c r="BK35" s="257"/>
      <c r="BL35" s="257"/>
      <c r="BM35" s="254" t="str">
        <f t="shared" si="29"/>
        <v/>
      </c>
      <c r="BN35" s="259"/>
      <c r="BO35" s="256"/>
      <c r="BP35" s="257"/>
      <c r="BQ35" s="257"/>
      <c r="BR35" s="254" t="str">
        <f t="shared" si="30"/>
        <v/>
      </c>
      <c r="BS35" s="259"/>
      <c r="BT35" s="241"/>
      <c r="BU35" s="234"/>
      <c r="BV35" s="234"/>
      <c r="BW35" s="266" t="str">
        <f t="shared" si="31"/>
        <v/>
      </c>
      <c r="BX35" s="232"/>
      <c r="BY35" s="241"/>
      <c r="BZ35" s="234"/>
      <c r="CA35" s="234"/>
      <c r="CB35" s="266" t="str">
        <f t="shared" si="32"/>
        <v/>
      </c>
      <c r="CC35" s="232"/>
      <c r="CD35" s="241"/>
      <c r="CE35" s="234"/>
      <c r="CF35" s="234"/>
      <c r="CG35" s="269" t="str">
        <f t="shared" si="33"/>
        <v/>
      </c>
      <c r="CH35" s="232"/>
    </row>
    <row r="36" ht="15.75" customHeight="1">
      <c r="A36" s="189">
        <f>IFERROR(__xludf.DUMMYFUNCTION("""COMPUTED_VALUE"""),32.0)</f>
        <v>32</v>
      </c>
      <c r="B36" s="193" t="str">
        <f>IFERROR(__xludf.DUMMYFUNCTION("""COMPUTED_VALUE"""),"2526100445")</f>
        <v>2526100445</v>
      </c>
      <c r="C36" s="193" t="str">
        <f>IFERROR(__xludf.DUMMYFUNCTION("""COMPUTED_VALUE"""),"0093505472")</f>
        <v>0093505472</v>
      </c>
      <c r="D36" s="195" t="str">
        <f>IFERROR(__xludf.DUMMYFUNCTION("""COMPUTED_VALUE"""),"MUHAMMAD NAZIL SIBTHURRIDHO")</f>
        <v>MUHAMMAD NAZIL SIBTHURRIDHO</v>
      </c>
      <c r="E36" s="193" t="str">
        <f>IFERROR(__xludf.DUMMYFUNCTION("""COMPUTED_VALUE"""),"X TO 4")</f>
        <v>X TO 4</v>
      </c>
      <c r="F36" s="193" t="s">
        <v>220</v>
      </c>
      <c r="G36" s="278"/>
      <c r="H36" s="273"/>
      <c r="I36" s="273"/>
      <c r="J36" s="230"/>
      <c r="K36" s="276"/>
      <c r="L36" s="271"/>
      <c r="M36" s="273"/>
      <c r="N36" s="273"/>
      <c r="O36" s="233"/>
      <c r="P36" s="276"/>
      <c r="Q36" s="271"/>
      <c r="R36" s="273"/>
      <c r="S36" s="279"/>
      <c r="T36" s="235"/>
      <c r="U36" s="276"/>
      <c r="V36" s="278"/>
      <c r="W36" s="273"/>
      <c r="X36" s="273"/>
      <c r="Y36" s="236"/>
      <c r="Z36" s="276"/>
      <c r="AA36" s="278"/>
      <c r="AB36" s="273"/>
      <c r="AC36" s="273"/>
      <c r="AD36" s="238"/>
      <c r="AE36" s="276"/>
      <c r="AF36" s="278"/>
      <c r="AG36" s="273"/>
      <c r="AH36" s="273"/>
      <c r="AI36" s="239"/>
      <c r="AJ36" s="276"/>
      <c r="AK36" s="278"/>
      <c r="AL36" s="273"/>
      <c r="AM36" s="273"/>
      <c r="AN36" s="243"/>
      <c r="AO36" s="276"/>
      <c r="AP36" s="278"/>
      <c r="AQ36" s="273"/>
      <c r="AR36" s="273"/>
      <c r="AS36" s="247"/>
      <c r="AT36" s="276"/>
      <c r="AU36" s="278"/>
      <c r="AV36" s="273"/>
      <c r="AW36" s="273"/>
      <c r="AX36" s="249"/>
      <c r="AY36" s="276"/>
      <c r="AZ36" s="278"/>
      <c r="BA36" s="273"/>
      <c r="BB36" s="273"/>
      <c r="BC36" s="250"/>
      <c r="BD36" s="276"/>
      <c r="BE36" s="281"/>
      <c r="BF36" s="282"/>
      <c r="BG36" s="282"/>
      <c r="BH36" s="254"/>
      <c r="BI36" s="284"/>
      <c r="BJ36" s="281"/>
      <c r="BK36" s="282"/>
      <c r="BL36" s="282"/>
      <c r="BM36" s="254"/>
      <c r="BN36" s="284"/>
      <c r="BO36" s="281"/>
      <c r="BP36" s="282"/>
      <c r="BQ36" s="282"/>
      <c r="BR36" s="254"/>
      <c r="BS36" s="284"/>
      <c r="BT36" s="278"/>
      <c r="BU36" s="273"/>
      <c r="BV36" s="273"/>
      <c r="BW36" s="266"/>
      <c r="BX36" s="276"/>
      <c r="BY36" s="278"/>
      <c r="BZ36" s="273"/>
      <c r="CA36" s="273"/>
      <c r="CB36" s="266"/>
      <c r="CC36" s="276"/>
      <c r="CD36" s="278"/>
      <c r="CE36" s="273"/>
      <c r="CF36" s="273"/>
      <c r="CG36" s="269"/>
      <c r="CH36" s="276"/>
    </row>
    <row r="37" ht="15.75" customHeight="1">
      <c r="A37" s="115">
        <f>IFERROR(__xludf.DUMMYFUNCTION("""COMPUTED_VALUE"""),33.0)</f>
        <v>33</v>
      </c>
      <c r="B37" s="119" t="str">
        <f>IFERROR(__xludf.DUMMYFUNCTION("""COMPUTED_VALUE"""),"2526100446")</f>
        <v>2526100446</v>
      </c>
      <c r="C37" s="119" t="str">
        <f>IFERROR(__xludf.DUMMYFUNCTION("""COMPUTED_VALUE"""),"0078810983")</f>
        <v>0078810983</v>
      </c>
      <c r="D37" s="122" t="str">
        <f>IFERROR(__xludf.DUMMYFUNCTION("""COMPUTED_VALUE"""),"MUHAMMAD RAGIL")</f>
        <v>MUHAMMAD RAGIL</v>
      </c>
      <c r="E37" s="119" t="str">
        <f>IFERROR(__xludf.DUMMYFUNCTION("""COMPUTED_VALUE"""),"X TO 4")</f>
        <v>X TO 4</v>
      </c>
      <c r="F37" s="119" t="s">
        <v>220</v>
      </c>
      <c r="G37" s="241"/>
      <c r="H37" s="234"/>
      <c r="I37" s="234"/>
      <c r="J37" s="230"/>
      <c r="K37" s="232"/>
      <c r="L37" s="241"/>
      <c r="M37" s="234"/>
      <c r="N37" s="234"/>
      <c r="O37" s="233"/>
      <c r="P37" s="232"/>
      <c r="Q37" s="229"/>
      <c r="R37" s="234"/>
      <c r="S37" s="231"/>
      <c r="T37" s="235"/>
      <c r="U37" s="232"/>
      <c r="V37" s="241"/>
      <c r="W37" s="234"/>
      <c r="X37" s="234"/>
      <c r="Y37" s="236"/>
      <c r="Z37" s="232"/>
      <c r="AA37" s="229"/>
      <c r="AB37" s="234"/>
      <c r="AC37" s="234"/>
      <c r="AD37" s="238"/>
      <c r="AE37" s="232"/>
      <c r="AF37" s="241"/>
      <c r="AG37" s="234"/>
      <c r="AH37" s="234"/>
      <c r="AI37" s="239"/>
      <c r="AJ37" s="232"/>
      <c r="AK37" s="241"/>
      <c r="AL37" s="234"/>
      <c r="AM37" s="234"/>
      <c r="AN37" s="243"/>
      <c r="AO37" s="232"/>
      <c r="AP37" s="241"/>
      <c r="AQ37" s="234"/>
      <c r="AR37" s="234"/>
      <c r="AS37" s="247"/>
      <c r="AT37" s="232"/>
      <c r="AU37" s="241"/>
      <c r="AV37" s="234"/>
      <c r="AW37" s="234"/>
      <c r="AX37" s="249"/>
      <c r="AY37" s="232"/>
      <c r="AZ37" s="241"/>
      <c r="BA37" s="234"/>
      <c r="BB37" s="234"/>
      <c r="BC37" s="250"/>
      <c r="BD37" s="232"/>
      <c r="BE37" s="256"/>
      <c r="BF37" s="257"/>
      <c r="BG37" s="257"/>
      <c r="BH37" s="254"/>
      <c r="BI37" s="259"/>
      <c r="BJ37" s="256"/>
      <c r="BK37" s="257"/>
      <c r="BL37" s="257"/>
      <c r="BM37" s="254"/>
      <c r="BN37" s="259"/>
      <c r="BO37" s="256"/>
      <c r="BP37" s="257"/>
      <c r="BQ37" s="257"/>
      <c r="BR37" s="254"/>
      <c r="BS37" s="259"/>
      <c r="BT37" s="241"/>
      <c r="BU37" s="234"/>
      <c r="BV37" s="234"/>
      <c r="BW37" s="266"/>
      <c r="BX37" s="232"/>
      <c r="BY37" s="241"/>
      <c r="BZ37" s="234"/>
      <c r="CA37" s="234"/>
      <c r="CB37" s="266"/>
      <c r="CC37" s="232"/>
      <c r="CD37" s="241"/>
      <c r="CE37" s="234"/>
      <c r="CF37" s="234"/>
      <c r="CG37" s="269"/>
      <c r="CH37" s="232"/>
    </row>
    <row r="38" ht="15.75" customHeight="1">
      <c r="A38" s="189">
        <f>IFERROR(__xludf.DUMMYFUNCTION("""COMPUTED_VALUE"""),34.0)</f>
        <v>34</v>
      </c>
      <c r="B38" s="193" t="str">
        <f>IFERROR(__xludf.DUMMYFUNCTION("""COMPUTED_VALUE"""),"2526100447")</f>
        <v>2526100447</v>
      </c>
      <c r="C38" s="193" t="str">
        <f>IFERROR(__xludf.DUMMYFUNCTION("""COMPUTED_VALUE"""),"0098041660")</f>
        <v>0098041660</v>
      </c>
      <c r="D38" s="195" t="str">
        <f>IFERROR(__xludf.DUMMYFUNCTION("""COMPUTED_VALUE"""),"NAJMI ERIANA")</f>
        <v>NAJMI ERIANA</v>
      </c>
      <c r="E38" s="193" t="str">
        <f>IFERROR(__xludf.DUMMYFUNCTION("""COMPUTED_VALUE"""),"X TO 4")</f>
        <v>X TO 4</v>
      </c>
      <c r="F38" s="193" t="s">
        <v>220</v>
      </c>
      <c r="G38" s="278"/>
      <c r="H38" s="273"/>
      <c r="I38" s="273"/>
      <c r="J38" s="230"/>
      <c r="K38" s="276"/>
      <c r="L38" s="271"/>
      <c r="M38" s="273"/>
      <c r="N38" s="273"/>
      <c r="O38" s="233"/>
      <c r="P38" s="276"/>
      <c r="Q38" s="271"/>
      <c r="R38" s="273"/>
      <c r="S38" s="279"/>
      <c r="T38" s="235"/>
      <c r="U38" s="276"/>
      <c r="V38" s="278"/>
      <c r="W38" s="273"/>
      <c r="X38" s="273"/>
      <c r="Y38" s="236"/>
      <c r="Z38" s="276"/>
      <c r="AA38" s="278"/>
      <c r="AB38" s="273"/>
      <c r="AC38" s="273"/>
      <c r="AD38" s="238"/>
      <c r="AE38" s="276"/>
      <c r="AF38" s="278"/>
      <c r="AG38" s="273"/>
      <c r="AH38" s="273"/>
      <c r="AI38" s="239"/>
      <c r="AJ38" s="276"/>
      <c r="AK38" s="278"/>
      <c r="AL38" s="273"/>
      <c r="AM38" s="273"/>
      <c r="AN38" s="243"/>
      <c r="AO38" s="276"/>
      <c r="AP38" s="278"/>
      <c r="AQ38" s="273"/>
      <c r="AR38" s="273"/>
      <c r="AS38" s="247"/>
      <c r="AT38" s="276"/>
      <c r="AU38" s="278"/>
      <c r="AV38" s="273"/>
      <c r="AW38" s="273"/>
      <c r="AX38" s="249"/>
      <c r="AY38" s="276"/>
      <c r="AZ38" s="278"/>
      <c r="BA38" s="273"/>
      <c r="BB38" s="273"/>
      <c r="BC38" s="250"/>
      <c r="BD38" s="276"/>
      <c r="BE38" s="281"/>
      <c r="BF38" s="282"/>
      <c r="BG38" s="282"/>
      <c r="BH38" s="254"/>
      <c r="BI38" s="284"/>
      <c r="BJ38" s="281"/>
      <c r="BK38" s="282"/>
      <c r="BL38" s="282"/>
      <c r="BM38" s="254"/>
      <c r="BN38" s="284"/>
      <c r="BO38" s="281"/>
      <c r="BP38" s="282"/>
      <c r="BQ38" s="282"/>
      <c r="BR38" s="254"/>
      <c r="BS38" s="284"/>
      <c r="BT38" s="278"/>
      <c r="BU38" s="273"/>
      <c r="BV38" s="273"/>
      <c r="BW38" s="266"/>
      <c r="BX38" s="276"/>
      <c r="BY38" s="278"/>
      <c r="BZ38" s="273"/>
      <c r="CA38" s="273"/>
      <c r="CB38" s="266"/>
      <c r="CC38" s="276"/>
      <c r="CD38" s="278"/>
      <c r="CE38" s="273"/>
      <c r="CF38" s="273"/>
      <c r="CG38" s="269"/>
      <c r="CH38" s="276"/>
    </row>
    <row r="39" ht="15.75" customHeight="1">
      <c r="A39" s="115">
        <f>IFERROR(__xludf.DUMMYFUNCTION("""COMPUTED_VALUE"""),35.0)</f>
        <v>35</v>
      </c>
      <c r="B39" s="119" t="str">
        <f>IFERROR(__xludf.DUMMYFUNCTION("""COMPUTED_VALUE"""),"2526100448")</f>
        <v>2526100448</v>
      </c>
      <c r="C39" s="119" t="str">
        <f>IFERROR(__xludf.DUMMYFUNCTION("""COMPUTED_VALUE"""),"0094411174")</f>
        <v>0094411174</v>
      </c>
      <c r="D39" s="122" t="str">
        <f>IFERROR(__xludf.DUMMYFUNCTION("""COMPUTED_VALUE"""),"PANO PAIZAL")</f>
        <v>PANO PAIZAL</v>
      </c>
      <c r="E39" s="119" t="str">
        <f>IFERROR(__xludf.DUMMYFUNCTION("""COMPUTED_VALUE"""),"X TO 4")</f>
        <v>X TO 4</v>
      </c>
      <c r="F39" s="119" t="s">
        <v>220</v>
      </c>
      <c r="G39" s="241"/>
      <c r="H39" s="234"/>
      <c r="I39" s="234"/>
      <c r="J39" s="230"/>
      <c r="K39" s="232"/>
      <c r="L39" s="241"/>
      <c r="M39" s="234"/>
      <c r="N39" s="234"/>
      <c r="O39" s="233"/>
      <c r="P39" s="232"/>
      <c r="Q39" s="229"/>
      <c r="R39" s="234"/>
      <c r="S39" s="231"/>
      <c r="T39" s="235"/>
      <c r="U39" s="232"/>
      <c r="V39" s="241"/>
      <c r="W39" s="234"/>
      <c r="X39" s="234"/>
      <c r="Y39" s="236"/>
      <c r="Z39" s="232"/>
      <c r="AA39" s="229"/>
      <c r="AB39" s="234"/>
      <c r="AC39" s="234"/>
      <c r="AD39" s="238"/>
      <c r="AE39" s="232"/>
      <c r="AF39" s="241"/>
      <c r="AG39" s="234"/>
      <c r="AH39" s="234"/>
      <c r="AI39" s="239"/>
      <c r="AJ39" s="232"/>
      <c r="AK39" s="241"/>
      <c r="AL39" s="234"/>
      <c r="AM39" s="234"/>
      <c r="AN39" s="243"/>
      <c r="AO39" s="232"/>
      <c r="AP39" s="241"/>
      <c r="AQ39" s="234"/>
      <c r="AR39" s="234"/>
      <c r="AS39" s="247"/>
      <c r="AT39" s="232"/>
      <c r="AU39" s="241"/>
      <c r="AV39" s="234"/>
      <c r="AW39" s="234"/>
      <c r="AX39" s="249"/>
      <c r="AY39" s="232"/>
      <c r="AZ39" s="241"/>
      <c r="BA39" s="234"/>
      <c r="BB39" s="234"/>
      <c r="BC39" s="250"/>
      <c r="BD39" s="232"/>
      <c r="BE39" s="256"/>
      <c r="BF39" s="257"/>
      <c r="BG39" s="257"/>
      <c r="BH39" s="254"/>
      <c r="BI39" s="259"/>
      <c r="BJ39" s="256"/>
      <c r="BK39" s="257"/>
      <c r="BL39" s="257"/>
      <c r="BM39" s="254"/>
      <c r="BN39" s="259"/>
      <c r="BO39" s="256"/>
      <c r="BP39" s="257"/>
      <c r="BQ39" s="257"/>
      <c r="BR39" s="254"/>
      <c r="BS39" s="259"/>
      <c r="BT39" s="241"/>
      <c r="BU39" s="234"/>
      <c r="BV39" s="234"/>
      <c r="BW39" s="266"/>
      <c r="BX39" s="232"/>
      <c r="BY39" s="241"/>
      <c r="BZ39" s="234"/>
      <c r="CA39" s="234"/>
      <c r="CB39" s="266"/>
      <c r="CC39" s="232"/>
      <c r="CD39" s="241"/>
      <c r="CE39" s="234"/>
      <c r="CF39" s="234"/>
      <c r="CG39" s="269"/>
      <c r="CH39" s="232"/>
    </row>
    <row r="40" ht="15.75" customHeight="1">
      <c r="A40" s="189">
        <f>IFERROR(__xludf.DUMMYFUNCTION("""COMPUTED_VALUE"""),36.0)</f>
        <v>36</v>
      </c>
      <c r="B40" s="193" t="str">
        <f>IFERROR(__xludf.DUMMYFUNCTION("""COMPUTED_VALUE"""),"2526100449")</f>
        <v>2526100449</v>
      </c>
      <c r="C40" s="193" t="str">
        <f>IFERROR(__xludf.DUMMYFUNCTION("""COMPUTED_VALUE"""),"3104749923")</f>
        <v>3104749923</v>
      </c>
      <c r="D40" s="195" t="str">
        <f>IFERROR(__xludf.DUMMYFUNCTION("""COMPUTED_VALUE"""),"PIRMAN ADRIYANI PUTRA")</f>
        <v>PIRMAN ADRIYANI PUTRA</v>
      </c>
      <c r="E40" s="193" t="str">
        <f>IFERROR(__xludf.DUMMYFUNCTION("""COMPUTED_VALUE"""),"X TO 4")</f>
        <v>X TO 4</v>
      </c>
      <c r="F40" s="193" t="s">
        <v>220</v>
      </c>
      <c r="G40" s="278"/>
      <c r="H40" s="273"/>
      <c r="I40" s="273"/>
      <c r="J40" s="230"/>
      <c r="K40" s="276"/>
      <c r="L40" s="271"/>
      <c r="M40" s="273"/>
      <c r="N40" s="273"/>
      <c r="O40" s="233"/>
      <c r="P40" s="276"/>
      <c r="Q40" s="271"/>
      <c r="R40" s="273"/>
      <c r="S40" s="279"/>
      <c r="T40" s="235"/>
      <c r="U40" s="276"/>
      <c r="V40" s="278"/>
      <c r="W40" s="273"/>
      <c r="X40" s="273"/>
      <c r="Y40" s="236"/>
      <c r="Z40" s="276"/>
      <c r="AA40" s="278"/>
      <c r="AB40" s="273"/>
      <c r="AC40" s="273"/>
      <c r="AD40" s="238"/>
      <c r="AE40" s="276"/>
      <c r="AF40" s="278"/>
      <c r="AG40" s="273"/>
      <c r="AH40" s="273"/>
      <c r="AI40" s="239"/>
      <c r="AJ40" s="276"/>
      <c r="AK40" s="278"/>
      <c r="AL40" s="273"/>
      <c r="AM40" s="273"/>
      <c r="AN40" s="243"/>
      <c r="AO40" s="276"/>
      <c r="AP40" s="278"/>
      <c r="AQ40" s="273"/>
      <c r="AR40" s="273"/>
      <c r="AS40" s="247"/>
      <c r="AT40" s="276"/>
      <c r="AU40" s="278"/>
      <c r="AV40" s="273"/>
      <c r="AW40" s="273"/>
      <c r="AX40" s="249"/>
      <c r="AY40" s="276"/>
      <c r="AZ40" s="278"/>
      <c r="BA40" s="273"/>
      <c r="BB40" s="273"/>
      <c r="BC40" s="250"/>
      <c r="BD40" s="276"/>
      <c r="BE40" s="281"/>
      <c r="BF40" s="282"/>
      <c r="BG40" s="282"/>
      <c r="BH40" s="254"/>
      <c r="BI40" s="284"/>
      <c r="BJ40" s="281"/>
      <c r="BK40" s="282"/>
      <c r="BL40" s="282"/>
      <c r="BM40" s="254"/>
      <c r="BN40" s="284"/>
      <c r="BO40" s="281"/>
      <c r="BP40" s="282"/>
      <c r="BQ40" s="282"/>
      <c r="BR40" s="254"/>
      <c r="BS40" s="284"/>
      <c r="BT40" s="278"/>
      <c r="BU40" s="273"/>
      <c r="BV40" s="273"/>
      <c r="BW40" s="266"/>
      <c r="BX40" s="276"/>
      <c r="BY40" s="278"/>
      <c r="BZ40" s="273"/>
      <c r="CA40" s="273"/>
      <c r="CB40" s="266"/>
      <c r="CC40" s="276"/>
      <c r="CD40" s="278"/>
      <c r="CE40" s="273"/>
      <c r="CF40" s="273"/>
      <c r="CG40" s="269"/>
      <c r="CH40" s="276"/>
    </row>
    <row r="41" ht="15.75" customHeight="1">
      <c r="A41" s="115">
        <f>IFERROR(__xludf.DUMMYFUNCTION("""COMPUTED_VALUE"""),37.0)</f>
        <v>37</v>
      </c>
      <c r="B41" s="119" t="str">
        <f>IFERROR(__xludf.DUMMYFUNCTION("""COMPUTED_VALUE"""),"2526100450")</f>
        <v>2526100450</v>
      </c>
      <c r="C41" s="119" t="str">
        <f>IFERROR(__xludf.DUMMYFUNCTION("""COMPUTED_VALUE"""),"0106511353")</f>
        <v>0106511353</v>
      </c>
      <c r="D41" s="122" t="str">
        <f>IFERROR(__xludf.DUMMYFUNCTION("""COMPUTED_VALUE"""),"RAFFA RAMADHAN")</f>
        <v>RAFFA RAMADHAN</v>
      </c>
      <c r="E41" s="119" t="str">
        <f>IFERROR(__xludf.DUMMYFUNCTION("""COMPUTED_VALUE"""),"X TO 4")</f>
        <v>X TO 4</v>
      </c>
      <c r="F41" s="119" t="s">
        <v>220</v>
      </c>
      <c r="G41" s="241"/>
      <c r="H41" s="234"/>
      <c r="I41" s="234"/>
      <c r="J41" s="230"/>
      <c r="K41" s="232"/>
      <c r="L41" s="241"/>
      <c r="M41" s="234"/>
      <c r="N41" s="234"/>
      <c r="O41" s="233"/>
      <c r="P41" s="232"/>
      <c r="Q41" s="229"/>
      <c r="R41" s="234"/>
      <c r="S41" s="231"/>
      <c r="T41" s="235"/>
      <c r="U41" s="232"/>
      <c r="V41" s="241"/>
      <c r="W41" s="234"/>
      <c r="X41" s="234"/>
      <c r="Y41" s="236"/>
      <c r="Z41" s="232"/>
      <c r="AA41" s="229"/>
      <c r="AB41" s="234"/>
      <c r="AC41" s="234"/>
      <c r="AD41" s="238"/>
      <c r="AE41" s="232"/>
      <c r="AF41" s="241"/>
      <c r="AG41" s="234"/>
      <c r="AH41" s="234"/>
      <c r="AI41" s="239"/>
      <c r="AJ41" s="232"/>
      <c r="AK41" s="241"/>
      <c r="AL41" s="234"/>
      <c r="AM41" s="234"/>
      <c r="AN41" s="243"/>
      <c r="AO41" s="232"/>
      <c r="AP41" s="241"/>
      <c r="AQ41" s="234"/>
      <c r="AR41" s="234"/>
      <c r="AS41" s="247"/>
      <c r="AT41" s="232"/>
      <c r="AU41" s="241"/>
      <c r="AV41" s="234"/>
      <c r="AW41" s="234"/>
      <c r="AX41" s="249"/>
      <c r="AY41" s="232"/>
      <c r="AZ41" s="241"/>
      <c r="BA41" s="234"/>
      <c r="BB41" s="234"/>
      <c r="BC41" s="250"/>
      <c r="BD41" s="232"/>
      <c r="BE41" s="256"/>
      <c r="BF41" s="257"/>
      <c r="BG41" s="257"/>
      <c r="BH41" s="254"/>
      <c r="BI41" s="259"/>
      <c r="BJ41" s="256"/>
      <c r="BK41" s="257"/>
      <c r="BL41" s="257"/>
      <c r="BM41" s="254"/>
      <c r="BN41" s="259"/>
      <c r="BO41" s="256"/>
      <c r="BP41" s="257"/>
      <c r="BQ41" s="257"/>
      <c r="BR41" s="254"/>
      <c r="BS41" s="259"/>
      <c r="BT41" s="241"/>
      <c r="BU41" s="234"/>
      <c r="BV41" s="234"/>
      <c r="BW41" s="266"/>
      <c r="BX41" s="232"/>
      <c r="BY41" s="241"/>
      <c r="BZ41" s="234"/>
      <c r="CA41" s="234"/>
      <c r="CB41" s="266"/>
      <c r="CC41" s="232"/>
      <c r="CD41" s="241"/>
      <c r="CE41" s="234"/>
      <c r="CF41" s="234"/>
      <c r="CG41" s="269"/>
      <c r="CH41" s="232"/>
    </row>
    <row r="42" ht="15.75" customHeight="1">
      <c r="A42" s="189">
        <f>IFERROR(__xludf.DUMMYFUNCTION("""COMPUTED_VALUE"""),38.0)</f>
        <v>38</v>
      </c>
      <c r="B42" s="193" t="str">
        <f>IFERROR(__xludf.DUMMYFUNCTION("""COMPUTED_VALUE"""),"2526100451")</f>
        <v>2526100451</v>
      </c>
      <c r="C42" s="193" t="str">
        <f>IFERROR(__xludf.DUMMYFUNCTION("""COMPUTED_VALUE"""),"3100673583")</f>
        <v>3100673583</v>
      </c>
      <c r="D42" s="195" t="str">
        <f>IFERROR(__xludf.DUMMYFUNCTION("""COMPUTED_VALUE"""),"RAFQA NUZULUL AKBAR SETIANA")</f>
        <v>RAFQA NUZULUL AKBAR SETIANA</v>
      </c>
      <c r="E42" s="193" t="str">
        <f>IFERROR(__xludf.DUMMYFUNCTION("""COMPUTED_VALUE"""),"X TO 4")</f>
        <v>X TO 4</v>
      </c>
      <c r="F42" s="193" t="s">
        <v>220</v>
      </c>
      <c r="G42" s="278"/>
      <c r="H42" s="273"/>
      <c r="I42" s="273"/>
      <c r="J42" s="230"/>
      <c r="K42" s="276"/>
      <c r="L42" s="271"/>
      <c r="M42" s="273"/>
      <c r="N42" s="273"/>
      <c r="O42" s="233"/>
      <c r="P42" s="276"/>
      <c r="Q42" s="271"/>
      <c r="R42" s="273"/>
      <c r="S42" s="279"/>
      <c r="T42" s="235"/>
      <c r="U42" s="276"/>
      <c r="V42" s="278"/>
      <c r="W42" s="273"/>
      <c r="X42" s="273"/>
      <c r="Y42" s="236"/>
      <c r="Z42" s="276"/>
      <c r="AA42" s="278"/>
      <c r="AB42" s="273"/>
      <c r="AC42" s="273"/>
      <c r="AD42" s="238"/>
      <c r="AE42" s="276"/>
      <c r="AF42" s="278"/>
      <c r="AG42" s="273"/>
      <c r="AH42" s="273"/>
      <c r="AI42" s="239"/>
      <c r="AJ42" s="276"/>
      <c r="AK42" s="278"/>
      <c r="AL42" s="273"/>
      <c r="AM42" s="273"/>
      <c r="AN42" s="243"/>
      <c r="AO42" s="276"/>
      <c r="AP42" s="278"/>
      <c r="AQ42" s="273"/>
      <c r="AR42" s="273"/>
      <c r="AS42" s="247"/>
      <c r="AT42" s="276"/>
      <c r="AU42" s="278"/>
      <c r="AV42" s="273"/>
      <c r="AW42" s="273"/>
      <c r="AX42" s="249"/>
      <c r="AY42" s="276"/>
      <c r="AZ42" s="278"/>
      <c r="BA42" s="273"/>
      <c r="BB42" s="273"/>
      <c r="BC42" s="250"/>
      <c r="BD42" s="276"/>
      <c r="BE42" s="281"/>
      <c r="BF42" s="282"/>
      <c r="BG42" s="282"/>
      <c r="BH42" s="254"/>
      <c r="BI42" s="284"/>
      <c r="BJ42" s="281"/>
      <c r="BK42" s="282"/>
      <c r="BL42" s="282"/>
      <c r="BM42" s="254"/>
      <c r="BN42" s="284"/>
      <c r="BO42" s="281"/>
      <c r="BP42" s="282"/>
      <c r="BQ42" s="282"/>
      <c r="BR42" s="254"/>
      <c r="BS42" s="284"/>
      <c r="BT42" s="278"/>
      <c r="BU42" s="273"/>
      <c r="BV42" s="273"/>
      <c r="BW42" s="266"/>
      <c r="BX42" s="276"/>
      <c r="BY42" s="278"/>
      <c r="BZ42" s="273"/>
      <c r="CA42" s="273"/>
      <c r="CB42" s="266"/>
      <c r="CC42" s="276"/>
      <c r="CD42" s="278"/>
      <c r="CE42" s="273"/>
      <c r="CF42" s="273"/>
      <c r="CG42" s="269"/>
      <c r="CH42" s="276"/>
    </row>
    <row r="43" ht="15.75" customHeight="1">
      <c r="A43" s="115">
        <f>IFERROR(__xludf.DUMMYFUNCTION("""COMPUTED_VALUE"""),39.0)</f>
        <v>39</v>
      </c>
      <c r="B43" s="119" t="str">
        <f>IFERROR(__xludf.DUMMYFUNCTION("""COMPUTED_VALUE"""),"2526100452")</f>
        <v>2526100452</v>
      </c>
      <c r="C43" s="119" t="str">
        <f>IFERROR(__xludf.DUMMYFUNCTION("""COMPUTED_VALUE"""),"0098144365")</f>
        <v>0098144365</v>
      </c>
      <c r="D43" s="122" t="str">
        <f>IFERROR(__xludf.DUMMYFUNCTION("""COMPUTED_VALUE"""),"RIDO MUHAMAD NUR FADILAH")</f>
        <v>RIDO MUHAMAD NUR FADILAH</v>
      </c>
      <c r="E43" s="119" t="str">
        <f>IFERROR(__xludf.DUMMYFUNCTION("""COMPUTED_VALUE"""),"X TO 4")</f>
        <v>X TO 4</v>
      </c>
      <c r="F43" s="119" t="s">
        <v>220</v>
      </c>
      <c r="G43" s="241"/>
      <c r="H43" s="234"/>
      <c r="I43" s="234"/>
      <c r="J43" s="230"/>
      <c r="K43" s="232"/>
      <c r="L43" s="241"/>
      <c r="M43" s="234"/>
      <c r="N43" s="234"/>
      <c r="O43" s="233"/>
      <c r="P43" s="232"/>
      <c r="Q43" s="229"/>
      <c r="R43" s="234"/>
      <c r="S43" s="231"/>
      <c r="T43" s="235"/>
      <c r="U43" s="232"/>
      <c r="V43" s="241"/>
      <c r="W43" s="234"/>
      <c r="X43" s="234"/>
      <c r="Y43" s="236"/>
      <c r="Z43" s="232"/>
      <c r="AA43" s="229"/>
      <c r="AB43" s="234"/>
      <c r="AC43" s="234"/>
      <c r="AD43" s="238"/>
      <c r="AE43" s="232"/>
      <c r="AF43" s="241"/>
      <c r="AG43" s="234"/>
      <c r="AH43" s="234"/>
      <c r="AI43" s="239"/>
      <c r="AJ43" s="232"/>
      <c r="AK43" s="241"/>
      <c r="AL43" s="234"/>
      <c r="AM43" s="234"/>
      <c r="AN43" s="243"/>
      <c r="AO43" s="232"/>
      <c r="AP43" s="241"/>
      <c r="AQ43" s="234"/>
      <c r="AR43" s="234"/>
      <c r="AS43" s="247"/>
      <c r="AT43" s="232"/>
      <c r="AU43" s="241"/>
      <c r="AV43" s="234"/>
      <c r="AW43" s="234"/>
      <c r="AX43" s="249"/>
      <c r="AY43" s="232"/>
      <c r="AZ43" s="241"/>
      <c r="BA43" s="234"/>
      <c r="BB43" s="234"/>
      <c r="BC43" s="250"/>
      <c r="BD43" s="232"/>
      <c r="BE43" s="256"/>
      <c r="BF43" s="257"/>
      <c r="BG43" s="257"/>
      <c r="BH43" s="254"/>
      <c r="BI43" s="259"/>
      <c r="BJ43" s="256"/>
      <c r="BK43" s="257"/>
      <c r="BL43" s="257"/>
      <c r="BM43" s="254"/>
      <c r="BN43" s="259"/>
      <c r="BO43" s="256"/>
      <c r="BP43" s="257"/>
      <c r="BQ43" s="257"/>
      <c r="BR43" s="254"/>
      <c r="BS43" s="259"/>
      <c r="BT43" s="241"/>
      <c r="BU43" s="234"/>
      <c r="BV43" s="234"/>
      <c r="BW43" s="266"/>
      <c r="BX43" s="232"/>
      <c r="BY43" s="241"/>
      <c r="BZ43" s="234"/>
      <c r="CA43" s="234"/>
      <c r="CB43" s="266"/>
      <c r="CC43" s="232"/>
      <c r="CD43" s="241"/>
      <c r="CE43" s="234"/>
      <c r="CF43" s="234"/>
      <c r="CG43" s="269"/>
      <c r="CH43" s="232"/>
    </row>
    <row r="44" ht="15.75" customHeight="1">
      <c r="A44" s="189">
        <f>IFERROR(__xludf.DUMMYFUNCTION("""COMPUTED_VALUE"""),40.0)</f>
        <v>40</v>
      </c>
      <c r="B44" s="193" t="str">
        <f>IFERROR(__xludf.DUMMYFUNCTION("""COMPUTED_VALUE"""),"2526100453")</f>
        <v>2526100453</v>
      </c>
      <c r="C44" s="193" t="str">
        <f>IFERROR(__xludf.DUMMYFUNCTION("""COMPUTED_VALUE"""),"0101384399")</f>
        <v>0101384399</v>
      </c>
      <c r="D44" s="195" t="str">
        <f>IFERROR(__xludf.DUMMYFUNCTION("""COMPUTED_VALUE"""),"RIFAL KAMILUL AJHAR")</f>
        <v>RIFAL KAMILUL AJHAR</v>
      </c>
      <c r="E44" s="193" t="str">
        <f>IFERROR(__xludf.DUMMYFUNCTION("""COMPUTED_VALUE"""),"X TO 4")</f>
        <v>X TO 4</v>
      </c>
      <c r="F44" s="193" t="s">
        <v>220</v>
      </c>
      <c r="G44" s="278"/>
      <c r="H44" s="273"/>
      <c r="I44" s="273"/>
      <c r="J44" s="230"/>
      <c r="K44" s="276"/>
      <c r="L44" s="271"/>
      <c r="M44" s="273"/>
      <c r="N44" s="273"/>
      <c r="O44" s="233"/>
      <c r="P44" s="276"/>
      <c r="Q44" s="271"/>
      <c r="R44" s="273"/>
      <c r="S44" s="279"/>
      <c r="T44" s="235"/>
      <c r="U44" s="276"/>
      <c r="V44" s="278"/>
      <c r="W44" s="273"/>
      <c r="X44" s="273"/>
      <c r="Y44" s="236"/>
      <c r="Z44" s="276"/>
      <c r="AA44" s="278"/>
      <c r="AB44" s="273"/>
      <c r="AC44" s="273"/>
      <c r="AD44" s="238"/>
      <c r="AE44" s="276"/>
      <c r="AF44" s="278"/>
      <c r="AG44" s="273"/>
      <c r="AH44" s="273"/>
      <c r="AI44" s="239"/>
      <c r="AJ44" s="276"/>
      <c r="AK44" s="278"/>
      <c r="AL44" s="273"/>
      <c r="AM44" s="273"/>
      <c r="AN44" s="243"/>
      <c r="AO44" s="276"/>
      <c r="AP44" s="278"/>
      <c r="AQ44" s="273"/>
      <c r="AR44" s="273"/>
      <c r="AS44" s="247"/>
      <c r="AT44" s="276"/>
      <c r="AU44" s="278"/>
      <c r="AV44" s="273"/>
      <c r="AW44" s="273"/>
      <c r="AX44" s="249"/>
      <c r="AY44" s="276"/>
      <c r="AZ44" s="278"/>
      <c r="BA44" s="273"/>
      <c r="BB44" s="273"/>
      <c r="BC44" s="250"/>
      <c r="BD44" s="276"/>
      <c r="BE44" s="281"/>
      <c r="BF44" s="282"/>
      <c r="BG44" s="282"/>
      <c r="BH44" s="254"/>
      <c r="BI44" s="284"/>
      <c r="BJ44" s="281"/>
      <c r="BK44" s="282"/>
      <c r="BL44" s="282"/>
      <c r="BM44" s="254"/>
      <c r="BN44" s="284"/>
      <c r="BO44" s="281"/>
      <c r="BP44" s="282"/>
      <c r="BQ44" s="282"/>
      <c r="BR44" s="254"/>
      <c r="BS44" s="284"/>
      <c r="BT44" s="278"/>
      <c r="BU44" s="273"/>
      <c r="BV44" s="273"/>
      <c r="BW44" s="266"/>
      <c r="BX44" s="276"/>
      <c r="BY44" s="278"/>
      <c r="BZ44" s="273"/>
      <c r="CA44" s="273"/>
      <c r="CB44" s="266"/>
      <c r="CC44" s="276"/>
      <c r="CD44" s="278"/>
      <c r="CE44" s="273"/>
      <c r="CF44" s="273"/>
      <c r="CG44" s="269"/>
      <c r="CH44" s="276"/>
    </row>
    <row r="45" ht="15.75" customHeight="1">
      <c r="A45" s="115">
        <f>IFERROR(__xludf.DUMMYFUNCTION("""COMPUTED_VALUE"""),41.0)</f>
        <v>41</v>
      </c>
      <c r="B45" s="119" t="str">
        <f>IFERROR(__xludf.DUMMYFUNCTION("""COMPUTED_VALUE"""),"2526100454")</f>
        <v>2526100454</v>
      </c>
      <c r="C45" s="119" t="str">
        <f>IFERROR(__xludf.DUMMYFUNCTION("""COMPUTED_VALUE"""),"0095007656")</f>
        <v>0095007656</v>
      </c>
      <c r="D45" s="122" t="str">
        <f>IFERROR(__xludf.DUMMYFUNCTION("""COMPUTED_VALUE"""),"RIVALDI MAULANA")</f>
        <v>RIVALDI MAULANA</v>
      </c>
      <c r="E45" s="119" t="str">
        <f>IFERROR(__xludf.DUMMYFUNCTION("""COMPUTED_VALUE"""),"X TO 4")</f>
        <v>X TO 4</v>
      </c>
      <c r="F45" s="119" t="s">
        <v>220</v>
      </c>
      <c r="G45" s="241"/>
      <c r="H45" s="234"/>
      <c r="I45" s="234"/>
      <c r="J45" s="230"/>
      <c r="K45" s="232"/>
      <c r="L45" s="241"/>
      <c r="M45" s="234"/>
      <c r="N45" s="234"/>
      <c r="O45" s="233"/>
      <c r="P45" s="232"/>
      <c r="Q45" s="229"/>
      <c r="R45" s="234"/>
      <c r="S45" s="231"/>
      <c r="T45" s="235"/>
      <c r="U45" s="232"/>
      <c r="V45" s="241"/>
      <c r="W45" s="234"/>
      <c r="X45" s="234"/>
      <c r="Y45" s="236"/>
      <c r="Z45" s="232"/>
      <c r="AA45" s="229"/>
      <c r="AB45" s="234"/>
      <c r="AC45" s="234"/>
      <c r="AD45" s="238"/>
      <c r="AE45" s="232"/>
      <c r="AF45" s="241"/>
      <c r="AG45" s="234"/>
      <c r="AH45" s="234"/>
      <c r="AI45" s="239"/>
      <c r="AJ45" s="232"/>
      <c r="AK45" s="241"/>
      <c r="AL45" s="234"/>
      <c r="AM45" s="234"/>
      <c r="AN45" s="243"/>
      <c r="AO45" s="232"/>
      <c r="AP45" s="241"/>
      <c r="AQ45" s="234"/>
      <c r="AR45" s="234"/>
      <c r="AS45" s="247"/>
      <c r="AT45" s="232"/>
      <c r="AU45" s="241"/>
      <c r="AV45" s="234"/>
      <c r="AW45" s="234"/>
      <c r="AX45" s="249"/>
      <c r="AY45" s="232"/>
      <c r="AZ45" s="241"/>
      <c r="BA45" s="234"/>
      <c r="BB45" s="234"/>
      <c r="BC45" s="250"/>
      <c r="BD45" s="232"/>
      <c r="BE45" s="256"/>
      <c r="BF45" s="257"/>
      <c r="BG45" s="257"/>
      <c r="BH45" s="254"/>
      <c r="BI45" s="259"/>
      <c r="BJ45" s="256"/>
      <c r="BK45" s="257"/>
      <c r="BL45" s="257"/>
      <c r="BM45" s="254"/>
      <c r="BN45" s="259"/>
      <c r="BO45" s="256"/>
      <c r="BP45" s="257"/>
      <c r="BQ45" s="257"/>
      <c r="BR45" s="254"/>
      <c r="BS45" s="259"/>
      <c r="BT45" s="241"/>
      <c r="BU45" s="234"/>
      <c r="BV45" s="234"/>
      <c r="BW45" s="266"/>
      <c r="BX45" s="232"/>
      <c r="BY45" s="241"/>
      <c r="BZ45" s="234"/>
      <c r="CA45" s="234"/>
      <c r="CB45" s="266"/>
      <c r="CC45" s="232"/>
      <c r="CD45" s="241"/>
      <c r="CE45" s="234"/>
      <c r="CF45" s="234"/>
      <c r="CG45" s="269"/>
      <c r="CH45" s="232"/>
    </row>
    <row r="46" ht="15.75" customHeight="1">
      <c r="A46" s="189">
        <f>IFERROR(__xludf.DUMMYFUNCTION("""COMPUTED_VALUE"""),42.0)</f>
        <v>42</v>
      </c>
      <c r="B46" s="193" t="str">
        <f>IFERROR(__xludf.DUMMYFUNCTION("""COMPUTED_VALUE"""),"2526100455")</f>
        <v>2526100455</v>
      </c>
      <c r="C46" s="193" t="str">
        <f>IFERROR(__xludf.DUMMYFUNCTION("""COMPUTED_VALUE"""),"3095900062")</f>
        <v>3095900062</v>
      </c>
      <c r="D46" s="195" t="str">
        <f>IFERROR(__xludf.DUMMYFUNCTION("""COMPUTED_VALUE"""),"RIZAL RISMAYANDI")</f>
        <v>RIZAL RISMAYANDI</v>
      </c>
      <c r="E46" s="193" t="str">
        <f>IFERROR(__xludf.DUMMYFUNCTION("""COMPUTED_VALUE"""),"X TO 4")</f>
        <v>X TO 4</v>
      </c>
      <c r="F46" s="193" t="s">
        <v>220</v>
      </c>
      <c r="G46" s="278"/>
      <c r="H46" s="273"/>
      <c r="I46" s="273"/>
      <c r="J46" s="230"/>
      <c r="K46" s="276"/>
      <c r="L46" s="271"/>
      <c r="M46" s="273"/>
      <c r="N46" s="273"/>
      <c r="O46" s="233"/>
      <c r="P46" s="276"/>
      <c r="Q46" s="271"/>
      <c r="R46" s="273"/>
      <c r="S46" s="279"/>
      <c r="T46" s="235"/>
      <c r="U46" s="276"/>
      <c r="V46" s="278"/>
      <c r="W46" s="273"/>
      <c r="X46" s="273"/>
      <c r="Y46" s="236"/>
      <c r="Z46" s="276"/>
      <c r="AA46" s="278"/>
      <c r="AB46" s="273"/>
      <c r="AC46" s="273"/>
      <c r="AD46" s="238"/>
      <c r="AE46" s="276"/>
      <c r="AF46" s="278"/>
      <c r="AG46" s="273"/>
      <c r="AH46" s="273"/>
      <c r="AI46" s="239"/>
      <c r="AJ46" s="276"/>
      <c r="AK46" s="278"/>
      <c r="AL46" s="273"/>
      <c r="AM46" s="273"/>
      <c r="AN46" s="243"/>
      <c r="AO46" s="276"/>
      <c r="AP46" s="278"/>
      <c r="AQ46" s="273"/>
      <c r="AR46" s="273"/>
      <c r="AS46" s="247"/>
      <c r="AT46" s="276"/>
      <c r="AU46" s="278"/>
      <c r="AV46" s="273"/>
      <c r="AW46" s="273"/>
      <c r="AX46" s="249"/>
      <c r="AY46" s="276"/>
      <c r="AZ46" s="278"/>
      <c r="BA46" s="273"/>
      <c r="BB46" s="273"/>
      <c r="BC46" s="250"/>
      <c r="BD46" s="276"/>
      <c r="BE46" s="281"/>
      <c r="BF46" s="282"/>
      <c r="BG46" s="282"/>
      <c r="BH46" s="254"/>
      <c r="BI46" s="284"/>
      <c r="BJ46" s="281"/>
      <c r="BK46" s="282"/>
      <c r="BL46" s="282"/>
      <c r="BM46" s="254"/>
      <c r="BN46" s="284"/>
      <c r="BO46" s="281"/>
      <c r="BP46" s="282"/>
      <c r="BQ46" s="282"/>
      <c r="BR46" s="254"/>
      <c r="BS46" s="284"/>
      <c r="BT46" s="278"/>
      <c r="BU46" s="273"/>
      <c r="BV46" s="273"/>
      <c r="BW46" s="266"/>
      <c r="BX46" s="276"/>
      <c r="BY46" s="278"/>
      <c r="BZ46" s="273"/>
      <c r="CA46" s="273"/>
      <c r="CB46" s="266"/>
      <c r="CC46" s="276"/>
      <c r="CD46" s="278"/>
      <c r="CE46" s="273"/>
      <c r="CF46" s="273"/>
      <c r="CG46" s="269"/>
      <c r="CH46" s="276"/>
    </row>
    <row r="47" ht="15.75" customHeight="1">
      <c r="A47" s="115">
        <f>IFERROR(__xludf.DUMMYFUNCTION("""COMPUTED_VALUE"""),43.0)</f>
        <v>43</v>
      </c>
      <c r="B47" s="119" t="str">
        <f>IFERROR(__xludf.DUMMYFUNCTION("""COMPUTED_VALUE"""),"2526100456")</f>
        <v>2526100456</v>
      </c>
      <c r="C47" s="119" t="str">
        <f>IFERROR(__xludf.DUMMYFUNCTION("""COMPUTED_VALUE"""),"0097206975")</f>
        <v>0097206975</v>
      </c>
      <c r="D47" s="122" t="str">
        <f>IFERROR(__xludf.DUMMYFUNCTION("""COMPUTED_VALUE"""),"RIZKI ADITIA PRATAMA")</f>
        <v>RIZKI ADITIA PRATAMA</v>
      </c>
      <c r="E47" s="119" t="str">
        <f>IFERROR(__xludf.DUMMYFUNCTION("""COMPUTED_VALUE"""),"X TO 4")</f>
        <v>X TO 4</v>
      </c>
      <c r="F47" s="119" t="s">
        <v>220</v>
      </c>
      <c r="G47" s="241"/>
      <c r="H47" s="234"/>
      <c r="I47" s="234"/>
      <c r="J47" s="230"/>
      <c r="K47" s="232"/>
      <c r="L47" s="241"/>
      <c r="M47" s="234"/>
      <c r="N47" s="234"/>
      <c r="O47" s="233"/>
      <c r="P47" s="232"/>
      <c r="Q47" s="229"/>
      <c r="R47" s="234"/>
      <c r="S47" s="231"/>
      <c r="T47" s="235"/>
      <c r="U47" s="232"/>
      <c r="V47" s="241"/>
      <c r="W47" s="234"/>
      <c r="X47" s="234"/>
      <c r="Y47" s="236"/>
      <c r="Z47" s="232"/>
      <c r="AA47" s="229"/>
      <c r="AB47" s="234"/>
      <c r="AC47" s="234"/>
      <c r="AD47" s="238"/>
      <c r="AE47" s="232"/>
      <c r="AF47" s="241"/>
      <c r="AG47" s="234"/>
      <c r="AH47" s="234"/>
      <c r="AI47" s="239"/>
      <c r="AJ47" s="232"/>
      <c r="AK47" s="241"/>
      <c r="AL47" s="234"/>
      <c r="AM47" s="234"/>
      <c r="AN47" s="243"/>
      <c r="AO47" s="232"/>
      <c r="AP47" s="241"/>
      <c r="AQ47" s="234"/>
      <c r="AR47" s="234"/>
      <c r="AS47" s="247"/>
      <c r="AT47" s="232"/>
      <c r="AU47" s="241"/>
      <c r="AV47" s="234"/>
      <c r="AW47" s="234"/>
      <c r="AX47" s="249"/>
      <c r="AY47" s="232"/>
      <c r="AZ47" s="241"/>
      <c r="BA47" s="234"/>
      <c r="BB47" s="234"/>
      <c r="BC47" s="250"/>
      <c r="BD47" s="232"/>
      <c r="BE47" s="256"/>
      <c r="BF47" s="257"/>
      <c r="BG47" s="257"/>
      <c r="BH47" s="254"/>
      <c r="BI47" s="259"/>
      <c r="BJ47" s="256"/>
      <c r="BK47" s="257"/>
      <c r="BL47" s="257"/>
      <c r="BM47" s="254"/>
      <c r="BN47" s="259"/>
      <c r="BO47" s="256"/>
      <c r="BP47" s="257"/>
      <c r="BQ47" s="257"/>
      <c r="BR47" s="254"/>
      <c r="BS47" s="259"/>
      <c r="BT47" s="241"/>
      <c r="BU47" s="234"/>
      <c r="BV47" s="234"/>
      <c r="BW47" s="266"/>
      <c r="BX47" s="232"/>
      <c r="BY47" s="241"/>
      <c r="BZ47" s="234"/>
      <c r="CA47" s="234"/>
      <c r="CB47" s="266"/>
      <c r="CC47" s="232"/>
      <c r="CD47" s="241"/>
      <c r="CE47" s="234"/>
      <c r="CF47" s="234"/>
      <c r="CG47" s="269"/>
      <c r="CH47" s="232"/>
    </row>
    <row r="48" ht="15.75" customHeight="1">
      <c r="A48" s="189">
        <f>IFERROR(__xludf.DUMMYFUNCTION("""COMPUTED_VALUE"""),44.0)</f>
        <v>44</v>
      </c>
      <c r="B48" s="193" t="str">
        <f>IFERROR(__xludf.DUMMYFUNCTION("""COMPUTED_VALUE"""),"2526100457")</f>
        <v>2526100457</v>
      </c>
      <c r="C48" s="193" t="str">
        <f>IFERROR(__xludf.DUMMYFUNCTION("""COMPUTED_VALUE"""),"0099911084")</f>
        <v>0099911084</v>
      </c>
      <c r="D48" s="195" t="str">
        <f>IFERROR(__xludf.DUMMYFUNCTION("""COMPUTED_VALUE"""),"SURYA BAGJA JUNIOR")</f>
        <v>SURYA BAGJA JUNIOR</v>
      </c>
      <c r="E48" s="193" t="str">
        <f>IFERROR(__xludf.DUMMYFUNCTION("""COMPUTED_VALUE"""),"X TO 4")</f>
        <v>X TO 4</v>
      </c>
      <c r="F48" s="193" t="s">
        <v>220</v>
      </c>
      <c r="G48" s="278"/>
      <c r="H48" s="273"/>
      <c r="I48" s="273"/>
      <c r="J48" s="230" t="str">
        <f t="shared" ref="J48:J51" si="34">IFERROR(AVERAGE(G48:H48),"")</f>
        <v/>
      </c>
      <c r="K48" s="276"/>
      <c r="L48" s="271"/>
      <c r="M48" s="273"/>
      <c r="N48" s="273"/>
      <c r="O48" s="233" t="str">
        <f t="shared" ref="O48:O51" si="35">IFERROR(AVERAGE(L48:N48),"")</f>
        <v/>
      </c>
      <c r="P48" s="276"/>
      <c r="Q48" s="271"/>
      <c r="R48" s="273"/>
      <c r="S48" s="279"/>
      <c r="T48" s="235" t="str">
        <f t="shared" ref="T48:T51" si="36">IFERROR(AVERAGE(Q48:S48),"")</f>
        <v/>
      </c>
      <c r="U48" s="276"/>
      <c r="V48" s="278"/>
      <c r="W48" s="273"/>
      <c r="X48" s="273"/>
      <c r="Y48" s="236" t="str">
        <f t="shared" ref="Y48:Y51" si="37">IFERROR(AVERAGE(V48:X48),"")</f>
        <v/>
      </c>
      <c r="Z48" s="276"/>
      <c r="AA48" s="278"/>
      <c r="AB48" s="273"/>
      <c r="AC48" s="273"/>
      <c r="AD48" s="238" t="str">
        <f t="shared" ref="AD48:AD51" si="38">IFERROR(AVERAGE(AA48:AC48),"")</f>
        <v/>
      </c>
      <c r="AE48" s="276"/>
      <c r="AF48" s="278"/>
      <c r="AG48" s="273"/>
      <c r="AH48" s="273"/>
      <c r="AI48" s="239" t="str">
        <f t="shared" ref="AI48:AI51" si="39">IFERROR(AVERAGE(AF48:AH48),"")</f>
        <v/>
      </c>
      <c r="AJ48" s="276"/>
      <c r="AK48" s="278"/>
      <c r="AL48" s="273"/>
      <c r="AM48" s="273"/>
      <c r="AN48" s="243" t="str">
        <f t="shared" ref="AN48:AN51" si="40">IFERROR(AVERAGE(AK48:AM48),"")</f>
        <v/>
      </c>
      <c r="AO48" s="276"/>
      <c r="AP48" s="278"/>
      <c r="AQ48" s="273"/>
      <c r="AR48" s="273"/>
      <c r="AS48" s="247" t="str">
        <f t="shared" ref="AS48:AS51" si="41">IFERROR(AVERAGE(AP48:AR48),"")</f>
        <v/>
      </c>
      <c r="AT48" s="276"/>
      <c r="AU48" s="278"/>
      <c r="AV48" s="273"/>
      <c r="AW48" s="273"/>
      <c r="AX48" s="249" t="str">
        <f t="shared" ref="AX48:AX51" si="42">IFERROR(AVERAGE(AU48:AW48),"")</f>
        <v/>
      </c>
      <c r="AY48" s="276"/>
      <c r="AZ48" s="278"/>
      <c r="BA48" s="273"/>
      <c r="BB48" s="273"/>
      <c r="BC48" s="250" t="str">
        <f t="shared" ref="BC48:BC51" si="43">IFERROR(AVERAGE(AZ48:BB48),"")</f>
        <v/>
      </c>
      <c r="BD48" s="276"/>
      <c r="BE48" s="281"/>
      <c r="BF48" s="282"/>
      <c r="BG48" s="282"/>
      <c r="BH48" s="254" t="str">
        <f t="shared" ref="BH48:BH51" si="44">IFERROR(AVERAGE(BE48:BG48),"")</f>
        <v/>
      </c>
      <c r="BI48" s="284"/>
      <c r="BJ48" s="281"/>
      <c r="BK48" s="282"/>
      <c r="BL48" s="282"/>
      <c r="BM48" s="254" t="str">
        <f t="shared" ref="BM48:BM51" si="45">IFERROR(AVERAGE(BJ48:BL48),"")</f>
        <v/>
      </c>
      <c r="BN48" s="284"/>
      <c r="BO48" s="281"/>
      <c r="BP48" s="282"/>
      <c r="BQ48" s="282"/>
      <c r="BR48" s="254" t="str">
        <f t="shared" ref="BR48:BR51" si="46">IFERROR(AVERAGE(BO48:BQ48),"")</f>
        <v/>
      </c>
      <c r="BS48" s="284"/>
      <c r="BT48" s="278"/>
      <c r="BU48" s="273"/>
      <c r="BV48" s="273"/>
      <c r="BW48" s="266" t="str">
        <f t="shared" ref="BW48:BW51" si="47">IFERROR(AVERAGE(BT48:BV48),"")</f>
        <v/>
      </c>
      <c r="BX48" s="276"/>
      <c r="BY48" s="278"/>
      <c r="BZ48" s="273"/>
      <c r="CA48" s="273"/>
      <c r="CB48" s="266" t="str">
        <f t="shared" ref="CB48:CB51" si="48">IFERROR(AVERAGE(BY48:CA48),"")</f>
        <v/>
      </c>
      <c r="CC48" s="276"/>
      <c r="CD48" s="278"/>
      <c r="CE48" s="273"/>
      <c r="CF48" s="273"/>
      <c r="CG48" s="269" t="str">
        <f t="shared" ref="CG48:CG51" si="49">IFERROR(AVERAGE(CD48:CF48),"")</f>
        <v/>
      </c>
      <c r="CH48" s="276"/>
    </row>
    <row r="49" ht="15.75" customHeight="1">
      <c r="A49" s="115">
        <f>IFERROR(__xludf.DUMMYFUNCTION("""COMPUTED_VALUE"""),45.0)</f>
        <v>45</v>
      </c>
      <c r="B49" s="119" t="str">
        <f>IFERROR(__xludf.DUMMYFUNCTION("""COMPUTED_VALUE"""),"2526100458")</f>
        <v>2526100458</v>
      </c>
      <c r="C49" s="119" t="str">
        <f>IFERROR(__xludf.DUMMYFUNCTION("""COMPUTED_VALUE"""),"3096786504")</f>
        <v>3096786504</v>
      </c>
      <c r="D49" s="122" t="str">
        <f>IFERROR(__xludf.DUMMYFUNCTION("""COMPUTED_VALUE"""),"WILDAN RIPAI")</f>
        <v>WILDAN RIPAI</v>
      </c>
      <c r="E49" s="119" t="str">
        <f>IFERROR(__xludf.DUMMYFUNCTION("""COMPUTED_VALUE"""),"X TO 4")</f>
        <v>X TO 4</v>
      </c>
      <c r="F49" s="119" t="s">
        <v>220</v>
      </c>
      <c r="G49" s="241"/>
      <c r="H49" s="234"/>
      <c r="I49" s="234"/>
      <c r="J49" s="230" t="str">
        <f t="shared" si="34"/>
        <v/>
      </c>
      <c r="K49" s="232"/>
      <c r="L49" s="241"/>
      <c r="M49" s="234"/>
      <c r="N49" s="234"/>
      <c r="O49" s="233" t="str">
        <f t="shared" si="35"/>
        <v/>
      </c>
      <c r="P49" s="232"/>
      <c r="Q49" s="229"/>
      <c r="R49" s="234"/>
      <c r="S49" s="231"/>
      <c r="T49" s="235" t="str">
        <f t="shared" si="36"/>
        <v/>
      </c>
      <c r="U49" s="232"/>
      <c r="V49" s="241"/>
      <c r="W49" s="234"/>
      <c r="X49" s="234"/>
      <c r="Y49" s="236" t="str">
        <f t="shared" si="37"/>
        <v/>
      </c>
      <c r="Z49" s="232"/>
      <c r="AA49" s="229"/>
      <c r="AB49" s="234"/>
      <c r="AC49" s="234"/>
      <c r="AD49" s="238" t="str">
        <f t="shared" si="38"/>
        <v/>
      </c>
      <c r="AE49" s="232"/>
      <c r="AF49" s="241"/>
      <c r="AG49" s="234"/>
      <c r="AH49" s="234"/>
      <c r="AI49" s="239" t="str">
        <f t="shared" si="39"/>
        <v/>
      </c>
      <c r="AJ49" s="232"/>
      <c r="AK49" s="241"/>
      <c r="AL49" s="234"/>
      <c r="AM49" s="234"/>
      <c r="AN49" s="243" t="str">
        <f t="shared" si="40"/>
        <v/>
      </c>
      <c r="AO49" s="232"/>
      <c r="AP49" s="241"/>
      <c r="AQ49" s="234"/>
      <c r="AR49" s="234"/>
      <c r="AS49" s="247" t="str">
        <f t="shared" si="41"/>
        <v/>
      </c>
      <c r="AT49" s="232"/>
      <c r="AU49" s="241"/>
      <c r="AV49" s="234"/>
      <c r="AW49" s="234"/>
      <c r="AX49" s="249" t="str">
        <f t="shared" si="42"/>
        <v/>
      </c>
      <c r="AY49" s="232"/>
      <c r="AZ49" s="241"/>
      <c r="BA49" s="234"/>
      <c r="BB49" s="234"/>
      <c r="BC49" s="250" t="str">
        <f t="shared" si="43"/>
        <v/>
      </c>
      <c r="BD49" s="232"/>
      <c r="BE49" s="256"/>
      <c r="BF49" s="257"/>
      <c r="BG49" s="257"/>
      <c r="BH49" s="254" t="str">
        <f t="shared" si="44"/>
        <v/>
      </c>
      <c r="BI49" s="259"/>
      <c r="BJ49" s="256"/>
      <c r="BK49" s="257"/>
      <c r="BL49" s="257"/>
      <c r="BM49" s="254" t="str">
        <f t="shared" si="45"/>
        <v/>
      </c>
      <c r="BN49" s="259"/>
      <c r="BO49" s="256"/>
      <c r="BP49" s="257"/>
      <c r="BQ49" s="257"/>
      <c r="BR49" s="254" t="str">
        <f t="shared" si="46"/>
        <v/>
      </c>
      <c r="BS49" s="259"/>
      <c r="BT49" s="241"/>
      <c r="BU49" s="234"/>
      <c r="BV49" s="234"/>
      <c r="BW49" s="266" t="str">
        <f t="shared" si="47"/>
        <v/>
      </c>
      <c r="BX49" s="232"/>
      <c r="BY49" s="241"/>
      <c r="BZ49" s="234"/>
      <c r="CA49" s="234"/>
      <c r="CB49" s="266" t="str">
        <f t="shared" si="48"/>
        <v/>
      </c>
      <c r="CC49" s="232"/>
      <c r="CD49" s="241"/>
      <c r="CE49" s="234"/>
      <c r="CF49" s="234"/>
      <c r="CG49" s="269" t="str">
        <f t="shared" si="49"/>
        <v/>
      </c>
      <c r="CH49" s="232"/>
    </row>
    <row r="50" ht="15.75" customHeight="1">
      <c r="A50" s="189">
        <f>IFERROR(__xludf.DUMMYFUNCTION("""COMPUTED_VALUE"""),46.0)</f>
        <v>46</v>
      </c>
      <c r="B50" s="193" t="str">
        <f>IFERROR(__xludf.DUMMYFUNCTION("""COMPUTED_VALUE"""),"2526100459")</f>
        <v>2526100459</v>
      </c>
      <c r="C50" s="193" t="str">
        <f>IFERROR(__xludf.DUMMYFUNCTION("""COMPUTED_VALUE"""),"3100392230")</f>
        <v>3100392230</v>
      </c>
      <c r="D50" s="195" t="str">
        <f>IFERROR(__xludf.DUMMYFUNCTION("""COMPUTED_VALUE"""),"YUDHA PRASETYO")</f>
        <v>YUDHA PRASETYO</v>
      </c>
      <c r="E50" s="193" t="str">
        <f>IFERROR(__xludf.DUMMYFUNCTION("""COMPUTED_VALUE"""),"X TO 4")</f>
        <v>X TO 4</v>
      </c>
      <c r="F50" s="193" t="s">
        <v>220</v>
      </c>
      <c r="G50" s="278"/>
      <c r="H50" s="273"/>
      <c r="I50" s="273"/>
      <c r="J50" s="230" t="str">
        <f t="shared" si="34"/>
        <v/>
      </c>
      <c r="K50" s="276"/>
      <c r="L50" s="271"/>
      <c r="M50" s="273"/>
      <c r="N50" s="273"/>
      <c r="O50" s="233" t="str">
        <f t="shared" si="35"/>
        <v/>
      </c>
      <c r="P50" s="276"/>
      <c r="Q50" s="271"/>
      <c r="R50" s="273"/>
      <c r="S50" s="279"/>
      <c r="T50" s="235" t="str">
        <f t="shared" si="36"/>
        <v/>
      </c>
      <c r="U50" s="276"/>
      <c r="V50" s="278"/>
      <c r="W50" s="273"/>
      <c r="X50" s="273"/>
      <c r="Y50" s="236" t="str">
        <f t="shared" si="37"/>
        <v/>
      </c>
      <c r="Z50" s="276"/>
      <c r="AA50" s="278"/>
      <c r="AB50" s="273"/>
      <c r="AC50" s="273"/>
      <c r="AD50" s="238" t="str">
        <f t="shared" si="38"/>
        <v/>
      </c>
      <c r="AE50" s="276"/>
      <c r="AF50" s="278"/>
      <c r="AG50" s="273"/>
      <c r="AH50" s="273"/>
      <c r="AI50" s="239" t="str">
        <f t="shared" si="39"/>
        <v/>
      </c>
      <c r="AJ50" s="276"/>
      <c r="AK50" s="278"/>
      <c r="AL50" s="273"/>
      <c r="AM50" s="273"/>
      <c r="AN50" s="243" t="str">
        <f t="shared" si="40"/>
        <v/>
      </c>
      <c r="AO50" s="276"/>
      <c r="AP50" s="278"/>
      <c r="AQ50" s="273"/>
      <c r="AR50" s="273"/>
      <c r="AS50" s="247" t="str">
        <f t="shared" si="41"/>
        <v/>
      </c>
      <c r="AT50" s="276"/>
      <c r="AU50" s="278"/>
      <c r="AV50" s="273"/>
      <c r="AW50" s="273"/>
      <c r="AX50" s="249" t="str">
        <f t="shared" si="42"/>
        <v/>
      </c>
      <c r="AY50" s="276"/>
      <c r="AZ50" s="278"/>
      <c r="BA50" s="273"/>
      <c r="BB50" s="273"/>
      <c r="BC50" s="250" t="str">
        <f t="shared" si="43"/>
        <v/>
      </c>
      <c r="BD50" s="276"/>
      <c r="BE50" s="281"/>
      <c r="BF50" s="282"/>
      <c r="BG50" s="282"/>
      <c r="BH50" s="254" t="str">
        <f t="shared" si="44"/>
        <v/>
      </c>
      <c r="BI50" s="284"/>
      <c r="BJ50" s="281"/>
      <c r="BK50" s="282"/>
      <c r="BL50" s="282"/>
      <c r="BM50" s="254" t="str">
        <f t="shared" si="45"/>
        <v/>
      </c>
      <c r="BN50" s="284"/>
      <c r="BO50" s="281"/>
      <c r="BP50" s="282"/>
      <c r="BQ50" s="282"/>
      <c r="BR50" s="254" t="str">
        <f t="shared" si="46"/>
        <v/>
      </c>
      <c r="BS50" s="284"/>
      <c r="BT50" s="278"/>
      <c r="BU50" s="273"/>
      <c r="BV50" s="273"/>
      <c r="BW50" s="266" t="str">
        <f t="shared" si="47"/>
        <v/>
      </c>
      <c r="BX50" s="276"/>
      <c r="BY50" s="278"/>
      <c r="BZ50" s="273"/>
      <c r="CA50" s="273"/>
      <c r="CB50" s="266" t="str">
        <f t="shared" si="48"/>
        <v/>
      </c>
      <c r="CC50" s="276"/>
      <c r="CD50" s="278"/>
      <c r="CE50" s="273"/>
      <c r="CF50" s="273"/>
      <c r="CG50" s="269" t="str">
        <f t="shared" si="49"/>
        <v/>
      </c>
      <c r="CH50" s="276"/>
    </row>
    <row r="51" ht="15.75" customHeight="1">
      <c r="A51" s="115"/>
      <c r="B51" s="119"/>
      <c r="C51" s="119"/>
      <c r="D51" s="122"/>
      <c r="E51" s="119"/>
      <c r="F51" s="119" t="s">
        <v>244</v>
      </c>
      <c r="G51" s="241"/>
      <c r="H51" s="234"/>
      <c r="I51" s="234"/>
      <c r="J51" s="230" t="str">
        <f t="shared" si="34"/>
        <v/>
      </c>
      <c r="K51" s="232"/>
      <c r="L51" s="241"/>
      <c r="M51" s="234"/>
      <c r="N51" s="234"/>
      <c r="O51" s="233" t="str">
        <f t="shared" si="35"/>
        <v/>
      </c>
      <c r="P51" s="232"/>
      <c r="Q51" s="229"/>
      <c r="R51" s="234"/>
      <c r="S51" s="231"/>
      <c r="T51" s="235" t="str">
        <f t="shared" si="36"/>
        <v/>
      </c>
      <c r="U51" s="232"/>
      <c r="V51" s="241"/>
      <c r="W51" s="234"/>
      <c r="X51" s="234"/>
      <c r="Y51" s="236" t="str">
        <f t="shared" si="37"/>
        <v/>
      </c>
      <c r="Z51" s="232"/>
      <c r="AA51" s="229"/>
      <c r="AB51" s="234"/>
      <c r="AC51" s="234"/>
      <c r="AD51" s="238" t="str">
        <f t="shared" si="38"/>
        <v/>
      </c>
      <c r="AE51" s="232"/>
      <c r="AF51" s="241"/>
      <c r="AG51" s="234"/>
      <c r="AH51" s="234"/>
      <c r="AI51" s="239" t="str">
        <f t="shared" si="39"/>
        <v/>
      </c>
      <c r="AJ51" s="232"/>
      <c r="AK51" s="241"/>
      <c r="AL51" s="234"/>
      <c r="AM51" s="234"/>
      <c r="AN51" s="243" t="str">
        <f t="shared" si="40"/>
        <v/>
      </c>
      <c r="AO51" s="232"/>
      <c r="AP51" s="241"/>
      <c r="AQ51" s="234"/>
      <c r="AR51" s="234"/>
      <c r="AS51" s="247" t="str">
        <f t="shared" si="41"/>
        <v/>
      </c>
      <c r="AT51" s="232"/>
      <c r="AU51" s="241"/>
      <c r="AV51" s="234"/>
      <c r="AW51" s="234"/>
      <c r="AX51" s="249" t="str">
        <f t="shared" si="42"/>
        <v/>
      </c>
      <c r="AY51" s="232"/>
      <c r="AZ51" s="241"/>
      <c r="BA51" s="234"/>
      <c r="BB51" s="234"/>
      <c r="BC51" s="250" t="str">
        <f t="shared" si="43"/>
        <v/>
      </c>
      <c r="BD51" s="232"/>
      <c r="BE51" s="256"/>
      <c r="BF51" s="257"/>
      <c r="BG51" s="257"/>
      <c r="BH51" s="254" t="str">
        <f t="shared" si="44"/>
        <v/>
      </c>
      <c r="BI51" s="259"/>
      <c r="BJ51" s="256"/>
      <c r="BK51" s="257"/>
      <c r="BL51" s="257"/>
      <c r="BM51" s="254" t="str">
        <f t="shared" si="45"/>
        <v/>
      </c>
      <c r="BN51" s="259"/>
      <c r="BO51" s="256"/>
      <c r="BP51" s="257"/>
      <c r="BQ51" s="257"/>
      <c r="BR51" s="254" t="str">
        <f t="shared" si="46"/>
        <v/>
      </c>
      <c r="BS51" s="259"/>
      <c r="BT51" s="241"/>
      <c r="BU51" s="234"/>
      <c r="BV51" s="234"/>
      <c r="BW51" s="266" t="str">
        <f t="shared" si="47"/>
        <v/>
      </c>
      <c r="BX51" s="232"/>
      <c r="BY51" s="241"/>
      <c r="BZ51" s="234"/>
      <c r="CA51" s="234"/>
      <c r="CB51" s="266" t="str">
        <f t="shared" si="48"/>
        <v/>
      </c>
      <c r="CC51" s="232"/>
      <c r="CD51" s="241"/>
      <c r="CE51" s="234"/>
      <c r="CF51" s="234"/>
      <c r="CG51" s="269" t="str">
        <f t="shared" si="49"/>
        <v/>
      </c>
      <c r="CH51" s="232"/>
    </row>
    <row r="52" ht="15.75" customHeight="1">
      <c r="A52" s="189"/>
      <c r="B52" s="193"/>
      <c r="C52" s="193"/>
      <c r="D52" s="195"/>
      <c r="E52" s="193"/>
      <c r="F52" s="193" t="s">
        <v>244</v>
      </c>
      <c r="G52" s="278"/>
      <c r="H52" s="273"/>
      <c r="I52" s="273"/>
      <c r="J52" s="230"/>
      <c r="K52" s="276"/>
      <c r="L52" s="271"/>
      <c r="M52" s="273"/>
      <c r="N52" s="273"/>
      <c r="O52" s="233"/>
      <c r="P52" s="276"/>
      <c r="Q52" s="271"/>
      <c r="R52" s="273"/>
      <c r="S52" s="279"/>
      <c r="T52" s="235"/>
      <c r="U52" s="276"/>
      <c r="V52" s="278"/>
      <c r="W52" s="273"/>
      <c r="X52" s="273"/>
      <c r="Y52" s="236"/>
      <c r="Z52" s="276"/>
      <c r="AA52" s="278"/>
      <c r="AB52" s="273"/>
      <c r="AC52" s="273"/>
      <c r="AD52" s="238"/>
      <c r="AE52" s="276"/>
      <c r="AF52" s="278"/>
      <c r="AG52" s="273"/>
      <c r="AH52" s="273"/>
      <c r="AI52" s="239"/>
      <c r="AJ52" s="276"/>
      <c r="AK52" s="278"/>
      <c r="AL52" s="273"/>
      <c r="AM52" s="273"/>
      <c r="AN52" s="243"/>
      <c r="AO52" s="276"/>
      <c r="AP52" s="278"/>
      <c r="AQ52" s="273"/>
      <c r="AR52" s="273"/>
      <c r="AS52" s="247"/>
      <c r="AT52" s="276"/>
      <c r="AU52" s="278"/>
      <c r="AV52" s="273"/>
      <c r="AW52" s="273"/>
      <c r="AX52" s="249"/>
      <c r="AY52" s="276"/>
      <c r="AZ52" s="278"/>
      <c r="BA52" s="273"/>
      <c r="BB52" s="273"/>
      <c r="BC52" s="250"/>
      <c r="BD52" s="276"/>
      <c r="BE52" s="281"/>
      <c r="BF52" s="282"/>
      <c r="BG52" s="282"/>
      <c r="BH52" s="254"/>
      <c r="BI52" s="284"/>
      <c r="BJ52" s="281"/>
      <c r="BK52" s="282"/>
      <c r="BL52" s="282"/>
      <c r="BM52" s="254"/>
      <c r="BN52" s="284"/>
      <c r="BO52" s="281"/>
      <c r="BP52" s="282"/>
      <c r="BQ52" s="282"/>
      <c r="BR52" s="254"/>
      <c r="BS52" s="284"/>
      <c r="BT52" s="278"/>
      <c r="BU52" s="273"/>
      <c r="BV52" s="273"/>
      <c r="BW52" s="266"/>
      <c r="BX52" s="276"/>
      <c r="BY52" s="278"/>
      <c r="BZ52" s="273"/>
      <c r="CA52" s="273"/>
      <c r="CB52" s="266"/>
      <c r="CC52" s="276"/>
      <c r="CD52" s="278"/>
      <c r="CE52" s="273"/>
      <c r="CF52" s="273"/>
      <c r="CG52" s="269"/>
      <c r="CH52" s="276"/>
    </row>
    <row r="53" ht="15.75" customHeight="1">
      <c r="A53" s="115"/>
      <c r="B53" s="119"/>
      <c r="C53" s="119"/>
      <c r="D53" s="122"/>
      <c r="E53" s="119"/>
      <c r="F53" s="119" t="s">
        <v>244</v>
      </c>
      <c r="G53" s="241"/>
      <c r="H53" s="234"/>
      <c r="I53" s="234"/>
      <c r="J53" s="230" t="str">
        <f t="shared" ref="J53:J54" si="50">IFERROR(AVERAGE(G53:H53),"")</f>
        <v/>
      </c>
      <c r="K53" s="232"/>
      <c r="L53" s="241"/>
      <c r="M53" s="234"/>
      <c r="N53" s="234"/>
      <c r="O53" s="233" t="str">
        <f t="shared" ref="O53:O54" si="51">IFERROR(AVERAGE(L53:N53),"")</f>
        <v/>
      </c>
      <c r="P53" s="232"/>
      <c r="Q53" s="229"/>
      <c r="R53" s="234"/>
      <c r="S53" s="231"/>
      <c r="T53" s="235" t="str">
        <f t="shared" ref="T53:T54" si="52">IFERROR(AVERAGE(Q53:S53),"")</f>
        <v/>
      </c>
      <c r="U53" s="232"/>
      <c r="V53" s="241"/>
      <c r="W53" s="234"/>
      <c r="X53" s="234"/>
      <c r="Y53" s="236" t="str">
        <f t="shared" ref="Y53:Y54" si="53">IFERROR(AVERAGE(V53:X53),"")</f>
        <v/>
      </c>
      <c r="Z53" s="232"/>
      <c r="AA53" s="229"/>
      <c r="AB53" s="234"/>
      <c r="AC53" s="234"/>
      <c r="AD53" s="238" t="str">
        <f t="shared" ref="AD53:AD54" si="54">IFERROR(AVERAGE(AA53:AC53),"")</f>
        <v/>
      </c>
      <c r="AE53" s="232"/>
      <c r="AF53" s="241"/>
      <c r="AG53" s="234"/>
      <c r="AH53" s="234"/>
      <c r="AI53" s="239" t="str">
        <f t="shared" ref="AI53:AI54" si="55">IFERROR(AVERAGE(AF53:AH53),"")</f>
        <v/>
      </c>
      <c r="AJ53" s="232"/>
      <c r="AK53" s="241"/>
      <c r="AL53" s="234"/>
      <c r="AM53" s="234"/>
      <c r="AN53" s="243" t="str">
        <f t="shared" ref="AN53:AN54" si="56">IFERROR(AVERAGE(AK53:AM53),"")</f>
        <v/>
      </c>
      <c r="AO53" s="232"/>
      <c r="AP53" s="241"/>
      <c r="AQ53" s="234"/>
      <c r="AR53" s="234"/>
      <c r="AS53" s="247" t="str">
        <f t="shared" ref="AS53:AS54" si="57">IFERROR(AVERAGE(AP53:AR53),"")</f>
        <v/>
      </c>
      <c r="AT53" s="232"/>
      <c r="AU53" s="241"/>
      <c r="AV53" s="234"/>
      <c r="AW53" s="234"/>
      <c r="AX53" s="249" t="str">
        <f t="shared" ref="AX53:AX54" si="58">IFERROR(AVERAGE(AU53:AW53),"")</f>
        <v/>
      </c>
      <c r="AY53" s="232"/>
      <c r="AZ53" s="241"/>
      <c r="BA53" s="234"/>
      <c r="BB53" s="234"/>
      <c r="BC53" s="250" t="str">
        <f t="shared" ref="BC53:BC54" si="59">IFERROR(AVERAGE(AZ53:BB53),"")</f>
        <v/>
      </c>
      <c r="BD53" s="232"/>
      <c r="BE53" s="256"/>
      <c r="BF53" s="257"/>
      <c r="BG53" s="257"/>
      <c r="BH53" s="254" t="str">
        <f t="shared" ref="BH53:BH54" si="60">IFERROR(AVERAGE(BE53:BG53),"")</f>
        <v/>
      </c>
      <c r="BI53" s="259"/>
      <c r="BJ53" s="256"/>
      <c r="BK53" s="257"/>
      <c r="BL53" s="257"/>
      <c r="BM53" s="254" t="str">
        <f t="shared" ref="BM53:BM54" si="61">IFERROR(AVERAGE(BJ53:BL53),"")</f>
        <v/>
      </c>
      <c r="BN53" s="259"/>
      <c r="BO53" s="256"/>
      <c r="BP53" s="257"/>
      <c r="BQ53" s="257"/>
      <c r="BR53" s="254" t="str">
        <f t="shared" ref="BR53:BR54" si="62">IFERROR(AVERAGE(BO53:BQ53),"")</f>
        <v/>
      </c>
      <c r="BS53" s="259"/>
      <c r="BT53" s="241"/>
      <c r="BU53" s="234"/>
      <c r="BV53" s="234"/>
      <c r="BW53" s="266" t="str">
        <f t="shared" ref="BW53:BW54" si="63">IFERROR(AVERAGE(BT53:BV53),"")</f>
        <v/>
      </c>
      <c r="BX53" s="232"/>
      <c r="BY53" s="241"/>
      <c r="BZ53" s="234"/>
      <c r="CA53" s="234"/>
      <c r="CB53" s="266" t="str">
        <f t="shared" ref="CB53:CB54" si="64">IFERROR(AVERAGE(BY53:CA53),"")</f>
        <v/>
      </c>
      <c r="CC53" s="232"/>
      <c r="CD53" s="241"/>
      <c r="CE53" s="234"/>
      <c r="CF53" s="234"/>
      <c r="CG53" s="269" t="str">
        <f t="shared" ref="CG53:CG54" si="65">IFERROR(AVERAGE(CD53:CF53),"")</f>
        <v/>
      </c>
      <c r="CH53" s="232"/>
    </row>
    <row r="54" ht="15.75" customHeight="1">
      <c r="A54" s="369"/>
      <c r="B54" s="371"/>
      <c r="C54" s="371"/>
      <c r="D54" s="372"/>
      <c r="E54" s="371"/>
      <c r="F54" s="371" t="s">
        <v>244</v>
      </c>
      <c r="G54" s="374"/>
      <c r="H54" s="375"/>
      <c r="I54" s="375"/>
      <c r="J54" s="376" t="str">
        <f t="shared" si="50"/>
        <v/>
      </c>
      <c r="K54" s="377"/>
      <c r="L54" s="378"/>
      <c r="M54" s="375"/>
      <c r="N54" s="375"/>
      <c r="O54" s="379" t="str">
        <f t="shared" si="51"/>
        <v/>
      </c>
      <c r="P54" s="377"/>
      <c r="Q54" s="378"/>
      <c r="R54" s="375"/>
      <c r="S54" s="380"/>
      <c r="T54" s="381" t="str">
        <f t="shared" si="52"/>
        <v/>
      </c>
      <c r="U54" s="377"/>
      <c r="V54" s="374"/>
      <c r="W54" s="375"/>
      <c r="X54" s="375"/>
      <c r="Y54" s="383" t="str">
        <f t="shared" si="53"/>
        <v/>
      </c>
      <c r="Z54" s="377"/>
      <c r="AA54" s="374"/>
      <c r="AB54" s="375"/>
      <c r="AC54" s="375"/>
      <c r="AD54" s="384" t="str">
        <f t="shared" si="54"/>
        <v/>
      </c>
      <c r="AE54" s="377"/>
      <c r="AF54" s="374"/>
      <c r="AG54" s="375"/>
      <c r="AH54" s="375"/>
      <c r="AI54" s="385" t="str">
        <f t="shared" si="55"/>
        <v/>
      </c>
      <c r="AJ54" s="377"/>
      <c r="AK54" s="374"/>
      <c r="AL54" s="375"/>
      <c r="AM54" s="375"/>
      <c r="AN54" s="386" t="str">
        <f t="shared" si="56"/>
        <v/>
      </c>
      <c r="AO54" s="377"/>
      <c r="AP54" s="374"/>
      <c r="AQ54" s="375"/>
      <c r="AR54" s="375"/>
      <c r="AS54" s="387" t="str">
        <f t="shared" si="57"/>
        <v/>
      </c>
      <c r="AT54" s="377"/>
      <c r="AU54" s="374"/>
      <c r="AV54" s="375"/>
      <c r="AW54" s="375"/>
      <c r="AX54" s="388" t="str">
        <f t="shared" si="58"/>
        <v/>
      </c>
      <c r="AY54" s="377"/>
      <c r="AZ54" s="374"/>
      <c r="BA54" s="375"/>
      <c r="BB54" s="375"/>
      <c r="BC54" s="390" t="str">
        <f t="shared" si="59"/>
        <v/>
      </c>
      <c r="BD54" s="377"/>
      <c r="BE54" s="391"/>
      <c r="BF54" s="392"/>
      <c r="BG54" s="392"/>
      <c r="BH54" s="394" t="str">
        <f t="shared" si="60"/>
        <v/>
      </c>
      <c r="BI54" s="395"/>
      <c r="BJ54" s="391"/>
      <c r="BK54" s="392"/>
      <c r="BL54" s="392"/>
      <c r="BM54" s="394" t="str">
        <f t="shared" si="61"/>
        <v/>
      </c>
      <c r="BN54" s="395"/>
      <c r="BO54" s="391"/>
      <c r="BP54" s="392"/>
      <c r="BQ54" s="392"/>
      <c r="BR54" s="394" t="str">
        <f t="shared" si="62"/>
        <v/>
      </c>
      <c r="BS54" s="395"/>
      <c r="BT54" s="374"/>
      <c r="BU54" s="375"/>
      <c r="BV54" s="375"/>
      <c r="BW54" s="398" t="str">
        <f t="shared" si="63"/>
        <v/>
      </c>
      <c r="BX54" s="377"/>
      <c r="BY54" s="374"/>
      <c r="BZ54" s="375"/>
      <c r="CA54" s="375"/>
      <c r="CB54" s="398" t="str">
        <f t="shared" si="64"/>
        <v/>
      </c>
      <c r="CC54" s="377"/>
      <c r="CD54" s="374"/>
      <c r="CE54" s="375"/>
      <c r="CF54" s="375"/>
      <c r="CG54" s="399" t="str">
        <f t="shared" si="65"/>
        <v/>
      </c>
      <c r="CH54" s="377"/>
    </row>
  </sheetData>
  <customSheetViews>
    <customSheetView guid="{79EE3C4A-0945-4681-9057-27B392D1B277}" filter="1" showAutoFilter="1">
      <autoFilter ref="$A$3:$A$4"/>
    </customSheetView>
  </customSheetViews>
  <mergeCells count="22">
    <mergeCell ref="A3:A4"/>
    <mergeCell ref="B3:B4"/>
    <mergeCell ref="C3:C4"/>
    <mergeCell ref="D3:D4"/>
    <mergeCell ref="E3:E4"/>
    <mergeCell ref="F3:F4"/>
    <mergeCell ref="H3:K3"/>
    <mergeCell ref="AV3:AY3"/>
    <mergeCell ref="BA3:BD3"/>
    <mergeCell ref="BF3:BI3"/>
    <mergeCell ref="BK3:BN3"/>
    <mergeCell ref="BP3:BS3"/>
    <mergeCell ref="BU3:BX3"/>
    <mergeCell ref="BZ3:CC3"/>
    <mergeCell ref="CE3:CH3"/>
    <mergeCell ref="M3:P3"/>
    <mergeCell ref="R3:U3"/>
    <mergeCell ref="W3:Z3"/>
    <mergeCell ref="AB3:AE3"/>
    <mergeCell ref="AG3:AJ3"/>
    <mergeCell ref="AL3:AO3"/>
    <mergeCell ref="AQ3:AT3"/>
  </mergeCells>
  <conditionalFormatting sqref="G5:I54 K5:N54 P5:S54 U5:X54 Z5:AC54 AE5:AH54 AJ5:AM54 AO5:AR54 AT5:AW54 AY5:BB54 BD5:BG54 BI5:BL54 BN5:BV54 BX5:CA54 CC5:CF54 CH5:CH54">
    <cfRule type="cellIs" dxfId="1" priority="1" operator="lessThan">
      <formula>72</formula>
    </cfRule>
  </conditionalFormatting>
  <printOptions/>
  <pageMargins bottom="0.0" footer="0.0" header="0.0" left="0.5118110236220472" right="0.0" top="0.2362204724409449"/>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4.43"/>
    <col customWidth="1" min="2" max="2" width="11.71"/>
    <col customWidth="1" min="3" max="3" width="13.86"/>
    <col customWidth="1" min="4" max="4" width="29.71"/>
    <col customWidth="1" min="5" max="6" width="11.29"/>
    <col customWidth="1" min="7" max="7" width="10.43"/>
    <col customWidth="1" min="8" max="8" width="29.86"/>
    <col customWidth="1" min="9" max="9" width="10.43"/>
    <col customWidth="1" min="10" max="10" width="29.86"/>
    <col customWidth="1" min="11" max="11" width="10.43"/>
    <col customWidth="1" min="12" max="12" width="29.86"/>
    <col customWidth="1" min="13" max="13" width="10.43"/>
    <col customWidth="1" min="14" max="14" width="29.86"/>
    <col customWidth="1" min="15" max="15" width="10.43"/>
    <col customWidth="1" min="16" max="16" width="29.86"/>
    <col customWidth="1" min="17" max="17" width="10.43"/>
    <col customWidth="1" min="18" max="18" width="29.86"/>
    <col customWidth="1" min="19" max="19" width="10.43"/>
    <col customWidth="1" min="20" max="20" width="29.86"/>
    <col customWidth="1" min="21" max="21" width="10.43"/>
    <col customWidth="1" min="22" max="22" width="29.86"/>
    <col customWidth="1" min="23" max="23" width="10.43"/>
    <col customWidth="1" min="24" max="24" width="29.86"/>
    <col customWidth="1" min="25" max="25" width="10.43"/>
    <col customWidth="1" min="26" max="26" width="29.86"/>
    <col customWidth="1" min="27" max="27" width="10.43"/>
    <col customWidth="1" min="28" max="28" width="29.86"/>
    <col customWidth="1" min="29" max="29" width="10.43"/>
    <col customWidth="1" min="30" max="30" width="29.86"/>
    <col customWidth="1" min="31" max="31" width="10.43"/>
    <col customWidth="1" min="32" max="32" width="29.86"/>
    <col customWidth="1" hidden="1" min="33" max="33" width="10.43"/>
    <col customWidth="1" hidden="1" min="34" max="34" width="29.86"/>
    <col customWidth="1" hidden="1" min="35" max="35" width="10.43"/>
    <col customWidth="1" hidden="1" min="36" max="36" width="29.86"/>
    <col customWidth="1" hidden="1" min="37" max="37" width="10.43"/>
    <col customWidth="1" hidden="1" min="38" max="38" width="29.86"/>
    <col customWidth="1" min="39" max="39" width="26.14"/>
    <col customWidth="1" hidden="1" min="40" max="41" width="26.14"/>
    <col customWidth="1" hidden="1" min="42" max="43" width="16.43"/>
    <col customWidth="1" min="44" max="45" width="16.43"/>
    <col customWidth="1" min="46" max="47" width="11.14"/>
    <col customWidth="1" min="48" max="49" width="29.57"/>
    <col customWidth="1" min="50" max="51" width="13.86"/>
    <col customWidth="1" min="52" max="52" width="12.43"/>
    <col customWidth="1" min="53" max="53" width="35.86"/>
    <col customWidth="1" hidden="1" min="54" max="54" width="23.43"/>
  </cols>
  <sheetData>
    <row r="1" ht="12.75" hidden="1" customHeight="1">
      <c r="A1" s="7" t="s">
        <v>135</v>
      </c>
      <c r="B1" s="7" t="s">
        <v>143</v>
      </c>
      <c r="C1" s="7" t="s">
        <v>145</v>
      </c>
      <c r="D1" s="8" t="s">
        <v>146</v>
      </c>
      <c r="E1" s="7" t="s">
        <v>150</v>
      </c>
      <c r="F1" s="7"/>
      <c r="G1" s="7" t="s">
        <v>154</v>
      </c>
      <c r="H1" s="7" t="s">
        <v>155</v>
      </c>
      <c r="I1" s="8" t="s">
        <v>156</v>
      </c>
      <c r="J1" s="7" t="s">
        <v>157</v>
      </c>
      <c r="K1" s="7" t="s">
        <v>158</v>
      </c>
      <c r="L1" s="7" t="s">
        <v>159</v>
      </c>
      <c r="M1" s="8" t="s">
        <v>160</v>
      </c>
      <c r="N1" s="7" t="s">
        <v>161</v>
      </c>
      <c r="O1" s="7" t="s">
        <v>162</v>
      </c>
      <c r="P1" s="7" t="s">
        <v>163</v>
      </c>
      <c r="Q1" s="8" t="s">
        <v>164</v>
      </c>
      <c r="R1" s="7" t="s">
        <v>165</v>
      </c>
      <c r="S1" s="7" t="s">
        <v>166</v>
      </c>
      <c r="T1" s="7" t="s">
        <v>167</v>
      </c>
      <c r="U1" s="8" t="s">
        <v>168</v>
      </c>
      <c r="V1" s="7" t="s">
        <v>169</v>
      </c>
      <c r="W1" s="7" t="s">
        <v>170</v>
      </c>
      <c r="X1" s="7" t="s">
        <v>171</v>
      </c>
      <c r="Y1" s="8" t="s">
        <v>172</v>
      </c>
      <c r="Z1" s="7" t="s">
        <v>173</v>
      </c>
      <c r="AA1" s="7" t="s">
        <v>174</v>
      </c>
      <c r="AB1" s="7" t="s">
        <v>175</v>
      </c>
      <c r="AC1" s="7" t="s">
        <v>176</v>
      </c>
      <c r="AD1" s="7" t="s">
        <v>177</v>
      </c>
      <c r="AE1" s="7" t="s">
        <v>176</v>
      </c>
      <c r="AF1" s="7" t="s">
        <v>177</v>
      </c>
      <c r="AG1" s="7" t="s">
        <v>178</v>
      </c>
      <c r="AH1" s="7" t="s">
        <v>179</v>
      </c>
      <c r="AI1" s="8" t="s">
        <v>180</v>
      </c>
      <c r="AJ1" s="7" t="s">
        <v>181</v>
      </c>
      <c r="AK1" s="7" t="s">
        <v>182</v>
      </c>
      <c r="AL1" s="7" t="s">
        <v>183</v>
      </c>
      <c r="AM1" s="8"/>
      <c r="AN1" s="8"/>
      <c r="AO1" s="8"/>
      <c r="AP1" s="8"/>
      <c r="AQ1" s="8"/>
      <c r="AR1" s="8" t="s">
        <v>184</v>
      </c>
      <c r="AS1" s="7" t="s">
        <v>185</v>
      </c>
      <c r="AT1" s="7" t="s">
        <v>186</v>
      </c>
      <c r="AU1" s="7" t="s">
        <v>187</v>
      </c>
      <c r="AV1" s="8" t="s">
        <v>188</v>
      </c>
      <c r="AW1" s="7" t="s">
        <v>189</v>
      </c>
      <c r="AX1" s="7" t="s">
        <v>190</v>
      </c>
      <c r="AY1" s="7" t="s">
        <v>191</v>
      </c>
      <c r="AZ1" s="8" t="s">
        <v>192</v>
      </c>
      <c r="BA1" s="7" t="s">
        <v>193</v>
      </c>
      <c r="BB1" s="12">
        <v>39.0</v>
      </c>
    </row>
    <row r="2" ht="24.75" hidden="1" customHeight="1">
      <c r="A2" s="14" t="str">
        <f>'INPUT SUMATIF'!A2</f>
        <v>NO</v>
      </c>
      <c r="B2" s="14" t="str">
        <f>'INPUT SUMATIF'!B2</f>
        <v>NIS</v>
      </c>
      <c r="C2" s="14" t="str">
        <f>'INPUT SUMATIF'!C2</f>
        <v>NISN</v>
      </c>
      <c r="D2" s="14" t="str">
        <f>'INPUT SUMATIF'!D2</f>
        <v>NAMA</v>
      </c>
      <c r="E2" s="14" t="str">
        <f>'INPUT SUMATIF'!E2</f>
        <v>KELAS</v>
      </c>
      <c r="F2" s="14" t="str">
        <f>'INPUT SUMATIF'!F2</f>
        <v>SEMESTER</v>
      </c>
      <c r="G2" s="14" t="str">
        <f>'INPUT SUMATIF'!$J$2</f>
        <v>PAI RATA-RATA SUMATIF</v>
      </c>
      <c r="H2" s="14" t="str">
        <f>'INPUT SUMATIF'!$K$2</f>
        <v>PAI NILAI SUMATIF AKHIR</v>
      </c>
      <c r="I2" s="14" t="str">
        <f>'INPUT SUMATIF'!$O$2</f>
        <v>PKN RATA-RATA SUMATIF</v>
      </c>
      <c r="J2" s="14" t="str">
        <f>'INPUT SUMATIF'!$P$2</f>
        <v>PKN NILAI SUMATIF AKHIR</v>
      </c>
      <c r="K2" s="14" t="str">
        <f>'INPUT SUMATIF'!$T$2</f>
        <v>B. INDONESIA RATA-RATA SUMATIF</v>
      </c>
      <c r="L2" s="14" t="str">
        <f>'INPUT SUMATIF'!$U$2</f>
        <v>B. INDONESIA NILAI SUMATIF AKHIR</v>
      </c>
      <c r="M2" s="14" t="str">
        <f>'INPUT SUMATIF'!$Y$2</f>
        <v>PJOK RATA-RATA SUMATIF</v>
      </c>
      <c r="N2" s="14" t="str">
        <f>'INPUT SUMATIF'!$Z$2</f>
        <v>PJOK NILAI SUMATIF AKHIR</v>
      </c>
      <c r="O2" s="14" t="str">
        <f>'INPUT SUMATIF'!$AD$2</f>
        <v>SEJARAH RATA-RATA SUMATIF</v>
      </c>
      <c r="P2" s="14" t="str">
        <f>'INPUT SUMATIF'!$AE$2</f>
        <v>SEJARAH NILAI SUMATIF AKHIR</v>
      </c>
      <c r="Q2" s="14" t="str">
        <f>'INPUT SUMATIF'!$AI$2</f>
        <v>SENI BUDAYA RATA-RATA SUMATIF</v>
      </c>
      <c r="R2" s="14" t="str">
        <f>'INPUT SUMATIF'!$AJ$2</f>
        <v>SENI BUDAYA NILAI SUMATIF AKHIR</v>
      </c>
      <c r="S2" s="14" t="str">
        <f>'INPUT SUMATIF'!$AN$2</f>
        <v>B. SUNDA RATA-RATA SUMATIF</v>
      </c>
      <c r="T2" s="14" t="str">
        <f>'INPUT SUMATIF'!$AO$2</f>
        <v>B. SUNDA NILAI SUMATIF AKHIR</v>
      </c>
      <c r="U2" s="14" t="str">
        <f>'INPUT SUMATIF'!$AS$2</f>
        <v>MATEMATIKA RATA-RATA SUMATIF</v>
      </c>
      <c r="V2" s="14" t="str">
        <f>'INPUT SUMATIF'!$AT$2</f>
        <v>MATEMATIKA NILAI SUMATIF AKHIR</v>
      </c>
      <c r="W2" s="14" t="str">
        <f>'INPUT SUMATIF'!$AX$2</f>
        <v>B. INGGRIS RATA-RATA SUMATIF</v>
      </c>
      <c r="X2" s="14" t="str">
        <f>'INPUT SUMATIF'!$AY$2</f>
        <v>B. INGGRIS NILAI SUMATIF AKHIR</v>
      </c>
      <c r="Y2" s="14" t="str">
        <f>'INPUT SUMATIF'!$BC$2</f>
        <v>INFORMATIKA RATA-RATA SUMATIF</v>
      </c>
      <c r="Z2" s="14" t="str">
        <f>'INPUT SUMATIF'!$BD$2</f>
        <v>INFORMATIKA NILAI SUMATIF AKHIR</v>
      </c>
      <c r="AA2" s="14" t="str">
        <f>'INPUT SUMATIF'!$BH$2</f>
        <v>PROJEK IPAS RATA-RATA SUMATIF</v>
      </c>
      <c r="AB2" s="14" t="str">
        <f>'INPUT SUMATIF'!$BI$2</f>
        <v>PROJEK IPAS NILAI SUMATIF AKHIR</v>
      </c>
      <c r="AC2" s="18" t="str">
        <f>'INPUT SUMATIF'!$BM$2</f>
        <v>DDPK RATA-RATA SUMATIF</v>
      </c>
      <c r="AD2" s="14" t="str">
        <f>'INPUT SUMATIF'!$BN$2</f>
        <v>DDPK NILAI SUMATIF AKHIR</v>
      </c>
      <c r="AE2" s="18" t="str">
        <f>'INPUT SUMATIF'!$BR$2</f>
        <v>KODING RATA-RATA SUMATIF</v>
      </c>
      <c r="AF2" s="14" t="str">
        <f>'INPUT SUMATIF'!$BR$2</f>
        <v>KODING RATA-RATA SUMATIF</v>
      </c>
      <c r="AG2" s="14" t="str">
        <f>'INPUT SUMATIF'!$BW$2</f>
        <v>KONS. KEAHLIAN RATA-RATA SUMATIF</v>
      </c>
      <c r="AH2" s="14" t="str">
        <f>'INPUT SUMATIF'!$BX$2</f>
        <v>KONS. KEAHLIAN NILAI SUMATIF AKHIR</v>
      </c>
      <c r="AI2" s="14" t="str">
        <f>'INPUT SUMATIF'!$CB$2</f>
        <v>PKK RATA-RATA SUMATIF</v>
      </c>
      <c r="AJ2" s="14" t="str">
        <f>'INPUT SUMATIF'!$CC$2</f>
        <v>PKK NILAI SUMATIF AKHIR</v>
      </c>
      <c r="AK2" s="14" t="str">
        <f>'INPUT SUMATIF'!$CG$2</f>
        <v>MAPEL PILIHAN RATA-RATA SUMATIF</v>
      </c>
      <c r="AL2" s="14" t="str">
        <f>'INPUT SUMATIF'!$CH$2</f>
        <v>MAPEL PILIHAN NILAI SUMATIF AKHIR</v>
      </c>
      <c r="AM2" s="24"/>
      <c r="AN2" s="24"/>
      <c r="AO2" s="24"/>
      <c r="AP2" s="24"/>
      <c r="AQ2" s="24"/>
      <c r="AR2" s="24" t="str">
        <f t="shared" ref="AR2:BB2" si="1">AR3</f>
        <v>EKSKUL-1</v>
      </c>
      <c r="AS2" s="24" t="str">
        <f t="shared" si="1"/>
        <v>EKSKUL-2</v>
      </c>
      <c r="AT2" s="24" t="str">
        <f t="shared" si="1"/>
        <v>PREDIKAT-1</v>
      </c>
      <c r="AU2" s="24" t="str">
        <f t="shared" si="1"/>
        <v>PREDIKAT-2</v>
      </c>
      <c r="AV2" s="24" t="str">
        <f t="shared" si="1"/>
        <v>KET-1</v>
      </c>
      <c r="AW2" s="24" t="str">
        <f t="shared" si="1"/>
        <v>KET-2</v>
      </c>
      <c r="AX2" s="24" t="str">
        <f t="shared" si="1"/>
        <v>SAKIT</v>
      </c>
      <c r="AY2" s="24" t="str">
        <f t="shared" si="1"/>
        <v>IZIN</v>
      </c>
      <c r="AZ2" s="24" t="str">
        <f t="shared" si="1"/>
        <v>TANPA KETERANGAN</v>
      </c>
      <c r="BA2" s="24" t="str">
        <f t="shared" si="1"/>
        <v>CATATAN WALI KELAS</v>
      </c>
      <c r="BB2" s="24" t="str">
        <f t="shared" si="1"/>
        <v>NAIK OR TINGGAL</v>
      </c>
    </row>
    <row r="3" ht="45.0" customHeight="1">
      <c r="A3" s="28" t="s">
        <v>0</v>
      </c>
      <c r="B3" s="32" t="s">
        <v>1</v>
      </c>
      <c r="C3" s="32" t="s">
        <v>2</v>
      </c>
      <c r="D3" s="37" t="s">
        <v>3</v>
      </c>
      <c r="E3" s="41" t="s">
        <v>4</v>
      </c>
      <c r="F3" s="47" t="s">
        <v>5</v>
      </c>
      <c r="G3" s="48" t="s">
        <v>52</v>
      </c>
      <c r="H3" s="52" t="s">
        <v>53</v>
      </c>
      <c r="I3" s="53" t="s">
        <v>54</v>
      </c>
      <c r="J3" s="57" t="s">
        <v>56</v>
      </c>
      <c r="K3" s="61" t="s">
        <v>57</v>
      </c>
      <c r="L3" s="66" t="s">
        <v>59</v>
      </c>
      <c r="M3" s="70" t="s">
        <v>61</v>
      </c>
      <c r="N3" s="74" t="s">
        <v>62</v>
      </c>
      <c r="O3" s="78" t="s">
        <v>63</v>
      </c>
      <c r="P3" s="83" t="s">
        <v>64</v>
      </c>
      <c r="Q3" s="85" t="s">
        <v>66</v>
      </c>
      <c r="R3" s="89" t="s">
        <v>68</v>
      </c>
      <c r="S3" s="95" t="s">
        <v>70</v>
      </c>
      <c r="T3" s="99" t="s">
        <v>71</v>
      </c>
      <c r="U3" s="103" t="s">
        <v>72</v>
      </c>
      <c r="V3" s="108" t="s">
        <v>73</v>
      </c>
      <c r="W3" s="48" t="s">
        <v>75</v>
      </c>
      <c r="X3" s="52" t="s">
        <v>76</v>
      </c>
      <c r="Y3" s="112" t="s">
        <v>77</v>
      </c>
      <c r="Z3" s="117" t="s">
        <v>79</v>
      </c>
      <c r="AA3" s="112" t="s">
        <v>81</v>
      </c>
      <c r="AB3" s="117" t="s">
        <v>82</v>
      </c>
      <c r="AC3" s="112" t="s">
        <v>83</v>
      </c>
      <c r="AD3" s="117" t="s">
        <v>84</v>
      </c>
      <c r="AE3" s="112" t="s">
        <v>205</v>
      </c>
      <c r="AF3" s="117" t="s">
        <v>206</v>
      </c>
      <c r="AG3" s="121" t="s">
        <v>86</v>
      </c>
      <c r="AH3" s="127" t="s">
        <v>88</v>
      </c>
      <c r="AI3" s="121" t="s">
        <v>90</v>
      </c>
      <c r="AJ3" s="127" t="s">
        <v>91</v>
      </c>
      <c r="AK3" s="129" t="s">
        <v>92</v>
      </c>
      <c r="AL3" s="134" t="s">
        <v>94</v>
      </c>
      <c r="AM3" s="135" t="s">
        <v>211</v>
      </c>
      <c r="AN3" s="136" t="s">
        <v>96</v>
      </c>
      <c r="AO3" s="137" t="s">
        <v>98</v>
      </c>
      <c r="AP3" s="137" t="s">
        <v>99</v>
      </c>
      <c r="AQ3" s="140" t="s">
        <v>100</v>
      </c>
      <c r="AR3" s="143" t="s">
        <v>38</v>
      </c>
      <c r="AS3" s="147" t="s">
        <v>40</v>
      </c>
      <c r="AT3" s="147" t="s">
        <v>42</v>
      </c>
      <c r="AU3" s="147" t="s">
        <v>43</v>
      </c>
      <c r="AV3" s="147" t="s">
        <v>44</v>
      </c>
      <c r="AW3" s="147" t="s">
        <v>45</v>
      </c>
      <c r="AX3" s="147" t="s">
        <v>46</v>
      </c>
      <c r="AY3" s="151" t="s">
        <v>47</v>
      </c>
      <c r="AZ3" s="147" t="s">
        <v>48</v>
      </c>
      <c r="BA3" s="151" t="s">
        <v>49</v>
      </c>
      <c r="BB3" s="154" t="s">
        <v>50</v>
      </c>
    </row>
    <row r="4" ht="15.75" customHeight="1">
      <c r="A4" s="159">
        <f>IFERROR(__xludf.DUMMYFUNCTION("QUERY(SETTING!$E$3:$I$56, ""SELECT * WHERE Col1 IS NOT NULL"")
"),1.0)</f>
        <v>1</v>
      </c>
      <c r="B4" s="159" t="str">
        <f>IFERROR(__xludf.DUMMYFUNCTION("""COMPUTED_VALUE"""),"2526100414")</f>
        <v>2526100414</v>
      </c>
      <c r="C4" s="159" t="str">
        <f>IFERROR(__xludf.DUMMYFUNCTION("""COMPUTED_VALUE"""),"0098742051")</f>
        <v>0098742051</v>
      </c>
      <c r="D4" s="164" t="str">
        <f>IFERROR(__xludf.DUMMYFUNCTION("""COMPUTED_VALUE"""),"AHMAD FAUZI")</f>
        <v>AHMAD FAUZI</v>
      </c>
      <c r="E4" s="165" t="str">
        <f>IFERROR(__xludf.DUMMYFUNCTION("""COMPUTED_VALUE"""),"X TO 4")</f>
        <v>X TO 4</v>
      </c>
      <c r="F4" s="165" t="str">
        <f t="array" ref="F4:F53">IF(D4:D53&lt;&gt;"",SETTING!$C$3,"")</f>
        <v>Ganjil</v>
      </c>
      <c r="G4" s="175">
        <f t="array" ref="G4">IFERROR(AVERAGE(
IFERROR(INDEX('INPUT SUMATIF'!$A:$CH,MATCH($D4,'INPUT SUMATIF'!$D:$D,0),MATCH($G$2,'INPUT SUMATIF'!$A$2:$CH$2,0)),""),
IFERROR(INDEX('INPUT SUMATIF'!$A:$CH,MATCH($D4,'INPUT SUMATIF'!$D:$D,0),MATCH($H$2,'INPUT SUMATIF'!$A$2:$CH$2,0)),"")
),"")</f>
        <v>80.75</v>
      </c>
      <c r="H4" s="180" t="s">
        <v>215</v>
      </c>
      <c r="I4" s="186">
        <f t="array" ref="I4">iferror(AVERAGE(
IFERROR(INDEX('INPUT SUMATIF'!$A:$CH,MATCH($D4,'INPUT SUMATIF'!$D:$D,0),MATCH($I$2,'INPUT SUMATIF'!$A$2:$CH$2,0)),""),
IFERROR(INDEX('INPUT SUMATIF'!$A:$CH,MATCH($D4,'INPUT SUMATIF'!$D:$D,0),MATCH($J$2,'INPUT SUMATIF'!$A$2:$CH$2,0)),"")
),"")</f>
        <v>82.25</v>
      </c>
      <c r="J4" s="180" t="s">
        <v>218</v>
      </c>
      <c r="K4" s="192">
        <f t="array" ref="K4">iferror(AVERAGE(
IFERROR(INDEX('INPUT SUMATIF'!$A:$CH,MATCH($D4,'INPUT SUMATIF'!$D:$D,0),MATCH($K$2,'INPUT SUMATIF'!$A$2:$CH$2,0)),""),
IFERROR(INDEX('INPUT SUMATIF'!$A:$CH,MATCH($D4,'INPUT SUMATIF'!$D:$D,0),MATCH($L$2,'INPUT SUMATIF'!$A$2:$CH$2,0)),"")
),"")</f>
        <v>86.16666667</v>
      </c>
      <c r="L4" s="180" t="s">
        <v>219</v>
      </c>
      <c r="M4" s="196">
        <f t="array" ref="M4">iferror(AVERAGE(
IFERROR(INDEX('INPUT SUMATIF'!$A:$CH,MATCH($D4,'INPUT SUMATIF'!$D:$D,0),MATCH($M$2,'INPUT SUMATIF'!$A$2:$CH$2,0)),""),
IFERROR(INDEX('INPUT SUMATIF'!$A:$CH,MATCH($D4,'INPUT SUMATIF'!$D:$D,0),MATCH($N$2,'INPUT SUMATIF'!$A$2:$CH$2,0)),"")
),"")</f>
        <v>85.5</v>
      </c>
      <c r="N4" s="201" t="s">
        <v>221</v>
      </c>
      <c r="O4" s="206">
        <f t="array" ref="O4">iferror(AVERAGE(
IFERROR(INDEX('INPUT SUMATIF'!$A:$CH,MATCH($D4,'INPUT SUMATIF'!$D:$D,0),MATCH($O$2,'INPUT SUMATIF'!$A$2:$CH$2,0)),""),
IFERROR(INDEX('INPUT SUMATIF'!$A:$CH,MATCH($D4,'INPUT SUMATIF'!$D:$D,0),MATCH($P$2,'INPUT SUMATIF'!$A$2:$CH$2,0)),"")
),"")</f>
        <v>83</v>
      </c>
      <c r="P4" s="180" t="s">
        <v>222</v>
      </c>
      <c r="Q4" s="210">
        <f t="array" ref="Q4">iferror(AVERAGE(
IFERROR(INDEX('INPUT SUMATIF'!$A:$CH,MATCH($D4,'INPUT SUMATIF'!$D:$D,0),MATCH($Q$2,'INPUT SUMATIF'!$A$2:$CH$2,0)),""),
IFERROR(INDEX('INPUT SUMATIF'!$A:$CH,MATCH($D4,'INPUT SUMATIF'!$D:$D,0),MATCH($R$2,'INPUT SUMATIF'!$A$2:$CH$2,0)),"")
),"")</f>
        <v>90</v>
      </c>
      <c r="R4" s="180" t="s">
        <v>229</v>
      </c>
      <c r="S4" s="215">
        <f t="array" ref="S4">iferror(AVERAGE(
IFERROR(INDEX('INPUT SUMATIF'!$A:$CH,MATCH($D4,'INPUT SUMATIF'!$D:$D,0),MATCH($S$2,'INPUT SUMATIF'!$A$2:$CH$2,0)),""),
IFERROR(INDEX('INPUT SUMATIF'!$A:$CH,MATCH($D4,'INPUT SUMATIF'!$D:$D,0),MATCH($T$2,'INPUT SUMATIF'!$A$2:$CH$2,0)),"")
),"")</f>
        <v>86.5</v>
      </c>
      <c r="T4" s="180" t="s">
        <v>233</v>
      </c>
      <c r="U4" s="221">
        <f t="array" ref="U4">iferror(AVERAGE(
IFERROR(INDEX('INPUT SUMATIF'!$A:$CH,MATCH($D4,'INPUT SUMATIF'!$D:$D,0),MATCH($U$2,'INPUT SUMATIF'!$A$2:$CH$2,0)),""),
IFERROR(INDEX('INPUT SUMATIF'!$A:$CH,MATCH($D4,'INPUT SUMATIF'!$D:$D,0),MATCH($V$2,'INPUT SUMATIF'!$A$2:$CH$2,0)),"")
),"")</f>
        <v>80</v>
      </c>
      <c r="V4" s="180" t="s">
        <v>234</v>
      </c>
      <c r="W4" s="175">
        <f t="array" ref="W4">iferror(AVERAGE(
IFERROR(INDEX('INPUT SUMATIF'!$A:$CH,MATCH($D4,'INPUT SUMATIF'!$D:$D,0),MATCH($W$2,'INPUT SUMATIF'!$A$2:$CH$2,0)),""),
IFERROR(INDEX('INPUT SUMATIF'!$A:$CH,MATCH($D4,'INPUT SUMATIF'!$D:$D,0),MATCH($X$2,'INPUT SUMATIF'!$A$2:$CH$2,0)),"")
),"")</f>
        <v>75.5</v>
      </c>
      <c r="X4" s="224" t="s">
        <v>235</v>
      </c>
      <c r="Y4" s="227">
        <f t="array" ref="Y4">iferror(AVERAGE(
IFERROR(INDEX('INPUT SUMATIF'!$A:$CH,MATCH($D4,'INPUT SUMATIF'!$D:$D,0),MATCH($Y$2,'INPUT SUMATIF'!$A$2:$CH$2,0)),""),
IFERROR(INDEX('INPUT SUMATIF'!$A:$CH,MATCH($D4,'INPUT SUMATIF'!$D:$D,0),MATCH($Z$2,'INPUT SUMATIF'!$A$2:$CH$2,0)),"")
),"")</f>
        <v>80</v>
      </c>
      <c r="Z4" s="228" t="s">
        <v>236</v>
      </c>
      <c r="AA4" s="227">
        <f t="array" ref="AA4">iferror(AVERAGE(
IFERROR(INDEX('INPUT SUMATIF'!$A:$CH,MATCH($D4,'INPUT SUMATIF'!$D:$D,0),MATCH($AA$2,'INPUT SUMATIF'!$A$2:$CH$2,0)),""),
IFERROR(INDEX('INPUT SUMATIF'!$A:$CH,MATCH($D4,'INPUT SUMATIF'!$D:$D,0),MATCH($AB$2,'INPUT SUMATIF'!$A$2:$CH$2,0)),"")
),"")</f>
        <v>53.33333333</v>
      </c>
      <c r="AB4" s="180" t="s">
        <v>237</v>
      </c>
      <c r="AC4" s="227">
        <f t="array" ref="AC4">iferror(AVERAGE(
IFERROR(INDEX('INPUT SUMATIF'!$A:$CH,MATCH($D4,'INPUT SUMATIF'!$D:$D,0),MATCH($AC$2,'INPUT SUMATIF'!$A$2:$CH$2,0)),""),
IFERROR(INDEX('INPUT SUMATIF'!$A:$CH,MATCH($D4,'INPUT SUMATIF'!$D:$D,0),MATCH($AD$2,'INPUT SUMATIF'!$A$2:$CH$2,0)),"")
),"")</f>
        <v>80.83333333</v>
      </c>
      <c r="AD4" s="180" t="s">
        <v>238</v>
      </c>
      <c r="AE4" s="227">
        <f t="array" ref="AE4">iferror(AVERAGE(
IFERROR(INDEX('INPUT SUMATIF'!$A:$CH,MATCH($D4,'INPUT SUMATIF'!$D:$D,0),MATCH($AE$2,'INPUT SUMATIF'!$A$2:$CH$2,0)),""),
IFERROR(INDEX('INPUT SUMATIF'!$A:$CH,MATCH($D4,'INPUT SUMATIF'!$D:$D,0),MATCH($AF$2,'INPUT SUMATIF'!$A$2:$CH$2,0)),"")
),"")</f>
        <v>79.33333333</v>
      </c>
      <c r="AF4" s="180" t="s">
        <v>239</v>
      </c>
      <c r="AG4" s="237" t="str">
        <f t="array" ref="AG4">iferror(AVERAGE(
IFERROR(INDEX('INPUT SUMATIF'!$A:$CH,MATCH($D4,'INPUT SUMATIF'!$D:$D,0),MATCH($AG$2,'INPUT SUMATIF'!$A$2:$CH$2,0)),""),
IFERROR(INDEX('INPUT SUMATIF'!$A:$CH,MATCH($D4,'INPUT SUMATIF'!$D:$D,0),MATCH($AH$2,'INPUT SUMATIF'!$A$2:$CH$2,0)),"")
),"")</f>
        <v/>
      </c>
      <c r="AH4" s="180"/>
      <c r="AI4" s="237" t="str">
        <f t="array" ref="AI4">iferror(AVERAGE(
IFERROR(INDEX('INPUT SUMATIF'!$A:$CH,MATCH($D4,'INPUT SUMATIF'!$D:$D,0),MATCH($AI$2,'INPUT SUMATIF'!$A$2:$CH$2,0)),""),
IFERROR(INDEX('INPUT SUMATIF'!$A:$CH,MATCH($D4,'INPUT SUMATIF'!$D:$D,0),MATCH($AJ$2,'INPUT SUMATIF'!$A$2:$CH$2,0)),"")
),"")</f>
        <v/>
      </c>
      <c r="AJ4" s="180"/>
      <c r="AK4" s="186" t="str">
        <f t="array" ref="AK4">iferror(AVERAGE(
IFERROR(INDEX('INPUT SUMATIF'!$A:$CH,MATCH($D4,'INPUT SUMATIF'!$D:$D,0),MATCH($AK$2,'INPUT SUMATIF'!$A$2:$CH$2,0)),""),
IFERROR(INDEX('INPUT SUMATIF'!$A:$CH,MATCH($D4,'INPUT SUMATIF'!$D:$D,0),MATCH($AL$2,'INPUT SUMATIF'!$A$2:$CH$2,0)),"")
),"")</f>
        <v/>
      </c>
      <c r="AL4" s="244"/>
      <c r="AM4" s="253" t="s">
        <v>240</v>
      </c>
      <c r="AN4" s="255"/>
      <c r="AO4" s="253"/>
      <c r="AP4" s="253"/>
      <c r="AQ4" s="260"/>
      <c r="AR4" s="263"/>
      <c r="AS4" s="265"/>
      <c r="AT4" s="265"/>
      <c r="AU4" s="265"/>
      <c r="AV4" s="265"/>
      <c r="AW4" s="265"/>
      <c r="AX4" s="265" t="s">
        <v>146</v>
      </c>
      <c r="AY4" s="265" t="s">
        <v>213</v>
      </c>
      <c r="AZ4" s="265" t="s">
        <v>135</v>
      </c>
      <c r="BA4" s="267" t="s">
        <v>241</v>
      </c>
      <c r="BB4" s="268" t="s">
        <v>242</v>
      </c>
    </row>
    <row r="5" ht="15.75" customHeight="1">
      <c r="A5" s="270">
        <f>IFERROR(__xludf.DUMMYFUNCTION("""COMPUTED_VALUE"""),2.0)</f>
        <v>2</v>
      </c>
      <c r="B5" s="270" t="str">
        <f>IFERROR(__xludf.DUMMYFUNCTION("""COMPUTED_VALUE"""),"2526100415")</f>
        <v>2526100415</v>
      </c>
      <c r="C5" s="270" t="str">
        <f>IFERROR(__xludf.DUMMYFUNCTION("""COMPUTED_VALUE"""),"0094541761")</f>
        <v>0094541761</v>
      </c>
      <c r="D5" s="274" t="str">
        <f>IFERROR(__xludf.DUMMYFUNCTION("""COMPUTED_VALUE"""),"AHMAD YOPI JUMAEDI")</f>
        <v>AHMAD YOPI JUMAEDI</v>
      </c>
      <c r="E5" s="277" t="str">
        <f>IFERROR(__xludf.DUMMYFUNCTION("""COMPUTED_VALUE"""),"X TO 4")</f>
        <v>X TO 4</v>
      </c>
      <c r="F5" s="277" t="s">
        <v>220</v>
      </c>
      <c r="G5" s="175">
        <f t="array" ref="G5">IFERROR(AVERAGE(
IFERROR(INDEX('INPUT SUMATIF'!$A:$CH,MATCH($D5,'INPUT SUMATIF'!$D:$D,0),MATCH($G$2,'INPUT SUMATIF'!$A$2:$CH$2,0)),""),
IFERROR(INDEX('INPUT SUMATIF'!$A:$CH,MATCH($D5,'INPUT SUMATIF'!$D:$D,0),MATCH($H$2,'INPUT SUMATIF'!$A$2:$CH$2,0)),"")
),"")</f>
        <v>76.25</v>
      </c>
      <c r="H5" s="180" t="s">
        <v>215</v>
      </c>
      <c r="I5" s="186">
        <f t="array" ref="I5">iferror(AVERAGE(
IFERROR(INDEX('INPUT SUMATIF'!$A:$CH,MATCH($D5,'INPUT SUMATIF'!$D:$D,0),MATCH($I$2,'INPUT SUMATIF'!$A$2:$CH$2,0)),""),
IFERROR(INDEX('INPUT SUMATIF'!$A:$CH,MATCH($D5,'INPUT SUMATIF'!$D:$D,0),MATCH($J$2,'INPUT SUMATIF'!$A$2:$CH$2,0)),"")
),"")</f>
        <v>82.75</v>
      </c>
      <c r="J5" s="180" t="s">
        <v>243</v>
      </c>
      <c r="K5" s="192">
        <f t="array" ref="K5">iferror(AVERAGE(
IFERROR(INDEX('INPUT SUMATIF'!$A:$CH,MATCH($D5,'INPUT SUMATIF'!$D:$D,0),MATCH($K$2,'INPUT SUMATIF'!$A$2:$CH$2,0)),""),
IFERROR(INDEX('INPUT SUMATIF'!$A:$CH,MATCH($D5,'INPUT SUMATIF'!$D:$D,0),MATCH($L$2,'INPUT SUMATIF'!$A$2:$CH$2,0)),"")
),"")</f>
        <v>77.33333333</v>
      </c>
      <c r="L5" s="180" t="s">
        <v>219</v>
      </c>
      <c r="M5" s="196">
        <f t="array" ref="M5">iferror(AVERAGE(
IFERROR(INDEX('INPUT SUMATIF'!$A:$CH,MATCH($D5,'INPUT SUMATIF'!$D:$D,0),MATCH($M$2,'INPUT SUMATIF'!$A$2:$CH$2,0)),""),
IFERROR(INDEX('INPUT SUMATIF'!$A:$CH,MATCH($D5,'INPUT SUMATIF'!$D:$D,0),MATCH($N$2,'INPUT SUMATIF'!$A$2:$CH$2,0)),"")
),"")</f>
        <v>90</v>
      </c>
      <c r="N5" s="201" t="s">
        <v>221</v>
      </c>
      <c r="O5" s="206">
        <f t="array" ref="O5">iferror(AVERAGE(
IFERROR(INDEX('INPUT SUMATIF'!$A:$CH,MATCH($D5,'INPUT SUMATIF'!$D:$D,0),MATCH($O$2,'INPUT SUMATIF'!$A$2:$CH$2,0)),""),
IFERROR(INDEX('INPUT SUMATIF'!$A:$CH,MATCH($D5,'INPUT SUMATIF'!$D:$D,0),MATCH($P$2,'INPUT SUMATIF'!$A$2:$CH$2,0)),"")
),"")</f>
        <v>75</v>
      </c>
      <c r="P5" s="180" t="s">
        <v>222</v>
      </c>
      <c r="Q5" s="210">
        <f t="array" ref="Q5">iferror(AVERAGE(
IFERROR(INDEX('INPUT SUMATIF'!$A:$CH,MATCH($D5,'INPUT SUMATIF'!$D:$D,0),MATCH($Q$2,'INPUT SUMATIF'!$A$2:$CH$2,0)),""),
IFERROR(INDEX('INPUT SUMATIF'!$A:$CH,MATCH($D5,'INPUT SUMATIF'!$D:$D,0),MATCH($R$2,'INPUT SUMATIF'!$A$2:$CH$2,0)),"")
),"")</f>
        <v>88.83333333</v>
      </c>
      <c r="R5" s="180" t="s">
        <v>229</v>
      </c>
      <c r="S5" s="215">
        <f t="array" ref="S5">iferror(AVERAGE(
IFERROR(INDEX('INPUT SUMATIF'!$A:$CH,MATCH($D5,'INPUT SUMATIF'!$D:$D,0),MATCH($S$2,'INPUT SUMATIF'!$A$2:$CH$2,0)),""),
IFERROR(INDEX('INPUT SUMATIF'!$A:$CH,MATCH($D5,'INPUT SUMATIF'!$D:$D,0),MATCH($T$2,'INPUT SUMATIF'!$A$2:$CH$2,0)),"")
),"")</f>
        <v>72.16666667</v>
      </c>
      <c r="T5" s="180" t="s">
        <v>233</v>
      </c>
      <c r="U5" s="221">
        <f t="array" ref="U5">iferror(AVERAGE(
IFERROR(INDEX('INPUT SUMATIF'!$A:$CH,MATCH($D5,'INPUT SUMATIF'!$D:$D,0),MATCH($U$2,'INPUT SUMATIF'!$A$2:$CH$2,0)),""),
IFERROR(INDEX('INPUT SUMATIF'!$A:$CH,MATCH($D5,'INPUT SUMATIF'!$D:$D,0),MATCH($V$2,'INPUT SUMATIF'!$A$2:$CH$2,0)),"")
),"")</f>
        <v>72</v>
      </c>
      <c r="V5" s="180" t="s">
        <v>234</v>
      </c>
      <c r="W5" s="175">
        <f t="array" ref="W5">iferror(AVERAGE(
IFERROR(INDEX('INPUT SUMATIF'!$A:$CH,MATCH($D5,'INPUT SUMATIF'!$D:$D,0),MATCH($W$2,'INPUT SUMATIF'!$A$2:$CH$2,0)),""),
IFERROR(INDEX('INPUT SUMATIF'!$A:$CH,MATCH($D5,'INPUT SUMATIF'!$D:$D,0),MATCH($X$2,'INPUT SUMATIF'!$A$2:$CH$2,0)),"")
),"")</f>
        <v>72</v>
      </c>
      <c r="X5" s="224" t="s">
        <v>235</v>
      </c>
      <c r="Y5" s="227">
        <f t="array" ref="Y5">iferror(AVERAGE(
IFERROR(INDEX('INPUT SUMATIF'!$A:$CH,MATCH($D5,'INPUT SUMATIF'!$D:$D,0),MATCH($Y$2,'INPUT SUMATIF'!$A$2:$CH$2,0)),""),
IFERROR(INDEX('INPUT SUMATIF'!$A:$CH,MATCH($D5,'INPUT SUMATIF'!$D:$D,0),MATCH($Z$2,'INPUT SUMATIF'!$A$2:$CH$2,0)),"")
),"")</f>
        <v>80</v>
      </c>
      <c r="Z5" s="228" t="s">
        <v>236</v>
      </c>
      <c r="AA5" s="227">
        <f t="array" ref="AA5">iferror(AVERAGE(
IFERROR(INDEX('INPUT SUMATIF'!$A:$CH,MATCH($D5,'INPUT SUMATIF'!$D:$D,0),MATCH($AA$2,'INPUT SUMATIF'!$A$2:$CH$2,0)),""),
IFERROR(INDEX('INPUT SUMATIF'!$A:$CH,MATCH($D5,'INPUT SUMATIF'!$D:$D,0),MATCH($AB$2,'INPUT SUMATIF'!$A$2:$CH$2,0)),"")
),"")</f>
        <v>39</v>
      </c>
      <c r="AB5" s="180" t="s">
        <v>237</v>
      </c>
      <c r="AC5" s="227">
        <f t="array" ref="AC5">iferror(AVERAGE(
IFERROR(INDEX('INPUT SUMATIF'!$A:$CH,MATCH($D5,'INPUT SUMATIF'!$D:$D,0),MATCH($AC$2,'INPUT SUMATIF'!$A$2:$CH$2,0)),""),
IFERROR(INDEX('INPUT SUMATIF'!$A:$CH,MATCH($D5,'INPUT SUMATIF'!$D:$D,0),MATCH($AD$2,'INPUT SUMATIF'!$A$2:$CH$2,0)),"")
),"")</f>
        <v>79.83333333</v>
      </c>
      <c r="AD5" s="180" t="s">
        <v>238</v>
      </c>
      <c r="AE5" s="227">
        <f t="array" ref="AE5">iferror(AVERAGE(
IFERROR(INDEX('INPUT SUMATIF'!$A:$CH,MATCH($D5,'INPUT SUMATIF'!$D:$D,0),MATCH($AE$2,'INPUT SUMATIF'!$A$2:$CH$2,0)),""),
IFERROR(INDEX('INPUT SUMATIF'!$A:$CH,MATCH($D5,'INPUT SUMATIF'!$D:$D,0),MATCH($AF$2,'INPUT SUMATIF'!$A$2:$CH$2,0)),"")
),"")</f>
        <v>77.66666667</v>
      </c>
      <c r="AF5" s="289" t="s">
        <v>239</v>
      </c>
      <c r="AG5" s="237" t="str">
        <f t="array" ref="AG5">iferror(AVERAGE(
IFERROR(INDEX('INPUT SUMATIF'!$A:$CH,MATCH($D5,'INPUT SUMATIF'!$D:$D,0),MATCH($AG$2,'INPUT SUMATIF'!$A$2:$CH$2,0)),""),
IFERROR(INDEX('INPUT SUMATIF'!$A:$CH,MATCH($D5,'INPUT SUMATIF'!$D:$D,0),MATCH($AH$2,'INPUT SUMATIF'!$A$2:$CH$2,0)),"")
),"")</f>
        <v/>
      </c>
      <c r="AH5" s="289"/>
      <c r="AI5" s="237" t="str">
        <f t="array" ref="AI5">iferror(AVERAGE(
IFERROR(INDEX('INPUT SUMATIF'!$A:$CH,MATCH($D5,'INPUT SUMATIF'!$D:$D,0),MATCH($AI$2,'INPUT SUMATIF'!$A$2:$CH$2,0)),""),
IFERROR(INDEX('INPUT SUMATIF'!$A:$CH,MATCH($D5,'INPUT SUMATIF'!$D:$D,0),MATCH($AJ$2,'INPUT SUMATIF'!$A$2:$CH$2,0)),"")
),"")</f>
        <v/>
      </c>
      <c r="AJ5" s="289"/>
      <c r="AK5" s="186" t="str">
        <f t="array" ref="AK5">iferror(AVERAGE(
IFERROR(INDEX('INPUT SUMATIF'!$A:$CH,MATCH($D5,'INPUT SUMATIF'!$D:$D,0),MATCH($AK$2,'INPUT SUMATIF'!$A$2:$CH$2,0)),""),
IFERROR(INDEX('INPUT SUMATIF'!$A:$CH,MATCH($D5,'INPUT SUMATIF'!$D:$D,0),MATCH($AL$2,'INPUT SUMATIF'!$A$2:$CH$2,0)),"")
),"")</f>
        <v/>
      </c>
      <c r="AL5" s="292"/>
      <c r="AM5" s="293" t="s">
        <v>245</v>
      </c>
      <c r="AN5" s="294"/>
      <c r="AO5" s="293"/>
      <c r="AP5" s="293"/>
      <c r="AQ5" s="296"/>
      <c r="AR5" s="298"/>
      <c r="AS5" s="267"/>
      <c r="AT5" s="267"/>
      <c r="AU5" s="267"/>
      <c r="AV5" s="267"/>
      <c r="AW5" s="267"/>
      <c r="AX5" s="267" t="s">
        <v>166</v>
      </c>
      <c r="AY5" s="267" t="s">
        <v>213</v>
      </c>
      <c r="AZ5" s="267" t="s">
        <v>135</v>
      </c>
      <c r="BA5" s="267" t="s">
        <v>241</v>
      </c>
      <c r="BB5" s="302" t="s">
        <v>248</v>
      </c>
    </row>
    <row r="6" ht="15.75" customHeight="1">
      <c r="A6" s="159">
        <f>IFERROR(__xludf.DUMMYFUNCTION("""COMPUTED_VALUE"""),3.0)</f>
        <v>3</v>
      </c>
      <c r="B6" s="159" t="str">
        <f>IFERROR(__xludf.DUMMYFUNCTION("""COMPUTED_VALUE"""),"2526100416")</f>
        <v>2526100416</v>
      </c>
      <c r="C6" s="159" t="str">
        <f>IFERROR(__xludf.DUMMYFUNCTION("""COMPUTED_VALUE"""),"0095885037")</f>
        <v>0095885037</v>
      </c>
      <c r="D6" s="164" t="str">
        <f>IFERROR(__xludf.DUMMYFUNCTION("""COMPUTED_VALUE"""),"ALGI FALGIAN")</f>
        <v>ALGI FALGIAN</v>
      </c>
      <c r="E6" s="165" t="str">
        <f>IFERROR(__xludf.DUMMYFUNCTION("""COMPUTED_VALUE"""),"X TO 4")</f>
        <v>X TO 4</v>
      </c>
      <c r="F6" s="165" t="s">
        <v>220</v>
      </c>
      <c r="G6" s="175">
        <f t="array" ref="G6">IFERROR(AVERAGE(
IFERROR(INDEX('INPUT SUMATIF'!$A:$CH,MATCH($D6,'INPUT SUMATIF'!$D:$D,0),MATCH($G$2,'INPUT SUMATIF'!$A$2:$CH$2,0)),""),
IFERROR(INDEX('INPUT SUMATIF'!$A:$CH,MATCH($D6,'INPUT SUMATIF'!$D:$D,0),MATCH($H$2,'INPUT SUMATIF'!$A$2:$CH$2,0)),"")
),"")</f>
        <v>80</v>
      </c>
      <c r="H6" s="180" t="s">
        <v>215</v>
      </c>
      <c r="I6" s="186">
        <f t="array" ref="I6">iferror(AVERAGE(
IFERROR(INDEX('INPUT SUMATIF'!$A:$CH,MATCH($D6,'INPUT SUMATIF'!$D:$D,0),MATCH($I$2,'INPUT SUMATIF'!$A$2:$CH$2,0)),""),
IFERROR(INDEX('INPUT SUMATIF'!$A:$CH,MATCH($D6,'INPUT SUMATIF'!$D:$D,0),MATCH($J$2,'INPUT SUMATIF'!$A$2:$CH$2,0)),"")
),"")</f>
        <v>79.25</v>
      </c>
      <c r="J6" s="180" t="s">
        <v>251</v>
      </c>
      <c r="K6" s="192">
        <f t="array" ref="K6">iferror(AVERAGE(
IFERROR(INDEX('INPUT SUMATIF'!$A:$CH,MATCH($D6,'INPUT SUMATIF'!$D:$D,0),MATCH($K$2,'INPUT SUMATIF'!$A$2:$CH$2,0)),""),
IFERROR(INDEX('INPUT SUMATIF'!$A:$CH,MATCH($D6,'INPUT SUMATIF'!$D:$D,0),MATCH($L$2,'INPUT SUMATIF'!$A$2:$CH$2,0)),"")
),"")</f>
        <v>83.16666667</v>
      </c>
      <c r="L6" s="180" t="s">
        <v>219</v>
      </c>
      <c r="M6" s="196">
        <f t="array" ref="M6">iferror(AVERAGE(
IFERROR(INDEX('INPUT SUMATIF'!$A:$CH,MATCH($D6,'INPUT SUMATIF'!$D:$D,0),MATCH($M$2,'INPUT SUMATIF'!$A$2:$CH$2,0)),""),
IFERROR(INDEX('INPUT SUMATIF'!$A:$CH,MATCH($D6,'INPUT SUMATIF'!$D:$D,0),MATCH($N$2,'INPUT SUMATIF'!$A$2:$CH$2,0)),"")
),"")</f>
        <v>83.25</v>
      </c>
      <c r="N6" s="201" t="s">
        <v>221</v>
      </c>
      <c r="O6" s="206">
        <f t="array" ref="O6">iferror(AVERAGE(
IFERROR(INDEX('INPUT SUMATIF'!$A:$CH,MATCH($D6,'INPUT SUMATIF'!$D:$D,0),MATCH($O$2,'INPUT SUMATIF'!$A$2:$CH$2,0)),""),
IFERROR(INDEX('INPUT SUMATIF'!$A:$CH,MATCH($D6,'INPUT SUMATIF'!$D:$D,0),MATCH($P$2,'INPUT SUMATIF'!$A$2:$CH$2,0)),"")
),"")</f>
        <v>75</v>
      </c>
      <c r="P6" s="180" t="s">
        <v>222</v>
      </c>
      <c r="Q6" s="210">
        <f t="array" ref="Q6">iferror(AVERAGE(
IFERROR(INDEX('INPUT SUMATIF'!$A:$CH,MATCH($D6,'INPUT SUMATIF'!$D:$D,0),MATCH($Q$2,'INPUT SUMATIF'!$A$2:$CH$2,0)),""),
IFERROR(INDEX('INPUT SUMATIF'!$A:$CH,MATCH($D6,'INPUT SUMATIF'!$D:$D,0),MATCH($R$2,'INPUT SUMATIF'!$A$2:$CH$2,0)),"")
),"")</f>
        <v>89.33333333</v>
      </c>
      <c r="R6" s="180" t="s">
        <v>229</v>
      </c>
      <c r="S6" s="215">
        <f t="array" ref="S6">iferror(AVERAGE(
IFERROR(INDEX('INPUT SUMATIF'!$A:$CH,MATCH($D6,'INPUT SUMATIF'!$D:$D,0),MATCH($S$2,'INPUT SUMATIF'!$A$2:$CH$2,0)),""),
IFERROR(INDEX('INPUT SUMATIF'!$A:$CH,MATCH($D6,'INPUT SUMATIF'!$D:$D,0),MATCH($T$2,'INPUT SUMATIF'!$A$2:$CH$2,0)),"")
),"")</f>
        <v>72.16666667</v>
      </c>
      <c r="T6" s="180" t="s">
        <v>233</v>
      </c>
      <c r="U6" s="221">
        <f t="array" ref="U6">iferror(AVERAGE(
IFERROR(INDEX('INPUT SUMATIF'!$A:$CH,MATCH($D6,'INPUT SUMATIF'!$D:$D,0),MATCH($U$2,'INPUT SUMATIF'!$A$2:$CH$2,0)),""),
IFERROR(INDEX('INPUT SUMATIF'!$A:$CH,MATCH($D6,'INPUT SUMATIF'!$D:$D,0),MATCH($V$2,'INPUT SUMATIF'!$A$2:$CH$2,0)),"")
),"")</f>
        <v>80</v>
      </c>
      <c r="V6" s="180" t="s">
        <v>234</v>
      </c>
      <c r="W6" s="175">
        <f t="array" ref="W6">iferror(AVERAGE(
IFERROR(INDEX('INPUT SUMATIF'!$A:$CH,MATCH($D6,'INPUT SUMATIF'!$D:$D,0),MATCH($W$2,'INPUT SUMATIF'!$A$2:$CH$2,0)),""),
IFERROR(INDEX('INPUT SUMATIF'!$A:$CH,MATCH($D6,'INPUT SUMATIF'!$D:$D,0),MATCH($X$2,'INPUT SUMATIF'!$A$2:$CH$2,0)),"")
),"")</f>
        <v>72</v>
      </c>
      <c r="X6" s="224" t="s">
        <v>235</v>
      </c>
      <c r="Y6" s="227">
        <f t="array" ref="Y6">iferror(AVERAGE(
IFERROR(INDEX('INPUT SUMATIF'!$A:$CH,MATCH($D6,'INPUT SUMATIF'!$D:$D,0),MATCH($Y$2,'INPUT SUMATIF'!$A$2:$CH$2,0)),""),
IFERROR(INDEX('INPUT SUMATIF'!$A:$CH,MATCH($D6,'INPUT SUMATIF'!$D:$D,0),MATCH($Z$2,'INPUT SUMATIF'!$A$2:$CH$2,0)),"")
),"")</f>
        <v>80</v>
      </c>
      <c r="Z6" s="228" t="s">
        <v>236</v>
      </c>
      <c r="AA6" s="227">
        <f t="array" ref="AA6">iferror(AVERAGE(
IFERROR(INDEX('INPUT SUMATIF'!$A:$CH,MATCH($D6,'INPUT SUMATIF'!$D:$D,0),MATCH($AA$2,'INPUT SUMATIF'!$A$2:$CH$2,0)),""),
IFERROR(INDEX('INPUT SUMATIF'!$A:$CH,MATCH($D6,'INPUT SUMATIF'!$D:$D,0),MATCH($AB$2,'INPUT SUMATIF'!$A$2:$CH$2,0)),"")
),"")</f>
        <v>37.5</v>
      </c>
      <c r="AB6" s="180" t="s">
        <v>237</v>
      </c>
      <c r="AC6" s="227">
        <f t="array" ref="AC6">iferror(AVERAGE(
IFERROR(INDEX('INPUT SUMATIF'!$A:$CH,MATCH($D6,'INPUT SUMATIF'!$D:$D,0),MATCH($AC$2,'INPUT SUMATIF'!$A$2:$CH$2,0)),""),
IFERROR(INDEX('INPUT SUMATIF'!$A:$CH,MATCH($D6,'INPUT SUMATIF'!$D:$D,0),MATCH($AD$2,'INPUT SUMATIF'!$A$2:$CH$2,0)),"")
),"")</f>
        <v>79.83333333</v>
      </c>
      <c r="AD6" s="180" t="s">
        <v>238</v>
      </c>
      <c r="AE6" s="227">
        <f t="array" ref="AE6">iferror(AVERAGE(
IFERROR(INDEX('INPUT SUMATIF'!$A:$CH,MATCH($D6,'INPUT SUMATIF'!$D:$D,0),MATCH($AE$2,'INPUT SUMATIF'!$A$2:$CH$2,0)),""),
IFERROR(INDEX('INPUT SUMATIF'!$A:$CH,MATCH($D6,'INPUT SUMATIF'!$D:$D,0),MATCH($AF$2,'INPUT SUMATIF'!$A$2:$CH$2,0)),"")
),"")</f>
        <v>78.33333333</v>
      </c>
      <c r="AF6" s="180" t="s">
        <v>239</v>
      </c>
      <c r="AG6" s="237" t="str">
        <f t="array" ref="AG6">iferror(AVERAGE(
IFERROR(INDEX('INPUT SUMATIF'!$A:$CH,MATCH($D6,'INPUT SUMATIF'!$D:$D,0),MATCH($AG$2,'INPUT SUMATIF'!$A$2:$CH$2,0)),""),
IFERROR(INDEX('INPUT SUMATIF'!$A:$CH,MATCH($D6,'INPUT SUMATIF'!$D:$D,0),MATCH($AH$2,'INPUT SUMATIF'!$A$2:$CH$2,0)),"")
),"")</f>
        <v/>
      </c>
      <c r="AH6" s="180"/>
      <c r="AI6" s="237" t="str">
        <f t="array" ref="AI6">iferror(AVERAGE(
IFERROR(INDEX('INPUT SUMATIF'!$A:$CH,MATCH($D6,'INPUT SUMATIF'!$D:$D,0),MATCH($AI$2,'INPUT SUMATIF'!$A$2:$CH$2,0)),""),
IFERROR(INDEX('INPUT SUMATIF'!$A:$CH,MATCH($D6,'INPUT SUMATIF'!$D:$D,0),MATCH($AJ$2,'INPUT SUMATIF'!$A$2:$CH$2,0)),"")
),"")</f>
        <v/>
      </c>
      <c r="AJ6" s="180"/>
      <c r="AK6" s="186" t="str">
        <f t="array" ref="AK6">iferror(AVERAGE(
IFERROR(INDEX('INPUT SUMATIF'!$A:$CH,MATCH($D6,'INPUT SUMATIF'!$D:$D,0),MATCH($AK$2,'INPUT SUMATIF'!$A$2:$CH$2,0)),""),
IFERROR(INDEX('INPUT SUMATIF'!$A:$CH,MATCH($D6,'INPUT SUMATIF'!$D:$D,0),MATCH($AL$2,'INPUT SUMATIF'!$A$2:$CH$2,0)),"")
),"")</f>
        <v/>
      </c>
      <c r="AL6" s="244"/>
      <c r="AM6" s="253" t="s">
        <v>277</v>
      </c>
      <c r="AN6" s="255"/>
      <c r="AO6" s="253"/>
      <c r="AP6" s="253"/>
      <c r="AQ6" s="260"/>
      <c r="AR6" s="263"/>
      <c r="AS6" s="265"/>
      <c r="AT6" s="265"/>
      <c r="AU6" s="265"/>
      <c r="AV6" s="265"/>
      <c r="AW6" s="265"/>
      <c r="AX6" s="265" t="s">
        <v>146</v>
      </c>
      <c r="AY6" s="265" t="s">
        <v>143</v>
      </c>
      <c r="AZ6" s="265" t="s">
        <v>150</v>
      </c>
      <c r="BA6" s="267" t="s">
        <v>241</v>
      </c>
      <c r="BB6" s="268" t="s">
        <v>248</v>
      </c>
    </row>
    <row r="7" ht="15.75" customHeight="1">
      <c r="A7" s="270">
        <f>IFERROR(__xludf.DUMMYFUNCTION("""COMPUTED_VALUE"""),4.0)</f>
        <v>4</v>
      </c>
      <c r="B7" s="270" t="str">
        <f>IFERROR(__xludf.DUMMYFUNCTION("""COMPUTED_VALUE"""),"2526100417")</f>
        <v>2526100417</v>
      </c>
      <c r="C7" s="270" t="str">
        <f>IFERROR(__xludf.DUMMYFUNCTION("""COMPUTED_VALUE"""),"0095141993")</f>
        <v>0095141993</v>
      </c>
      <c r="D7" s="274" t="str">
        <f>IFERROR(__xludf.DUMMYFUNCTION("""COMPUTED_VALUE"""),"ALI PERMANA")</f>
        <v>ALI PERMANA</v>
      </c>
      <c r="E7" s="277" t="str">
        <f>IFERROR(__xludf.DUMMYFUNCTION("""COMPUTED_VALUE"""),"X TO 4")</f>
        <v>X TO 4</v>
      </c>
      <c r="F7" s="277" t="s">
        <v>220</v>
      </c>
      <c r="G7" s="175" t="str">
        <f t="array" ref="G7">IFERROR(AVERAGE(
IFERROR(INDEX('INPUT SUMATIF'!$A:$CH,MATCH($D7,'INPUT SUMATIF'!$D:$D,0),MATCH($G$2,'INPUT SUMATIF'!$A$2:$CH$2,0)),""),
IFERROR(INDEX('INPUT SUMATIF'!$A:$CH,MATCH($D7,'INPUT SUMATIF'!$D:$D,0),MATCH($H$2,'INPUT SUMATIF'!$A$2:$CH$2,0)),"")
),"")</f>
        <v/>
      </c>
      <c r="H7" s="180"/>
      <c r="I7" s="186" t="str">
        <f t="array" ref="I7">iferror(AVERAGE(
IFERROR(INDEX('INPUT SUMATIF'!$A:$CH,MATCH($D7,'INPUT SUMATIF'!$D:$D,0),MATCH($I$2,'INPUT SUMATIF'!$A$2:$CH$2,0)),""),
IFERROR(INDEX('INPUT SUMATIF'!$A:$CH,MATCH($D7,'INPUT SUMATIF'!$D:$D,0),MATCH($J$2,'INPUT SUMATIF'!$A$2:$CH$2,0)),"")
),"")</f>
        <v/>
      </c>
      <c r="J7" s="180" t="s">
        <v>280</v>
      </c>
      <c r="K7" s="192">
        <f t="array" ref="K7">iferror(AVERAGE(
IFERROR(INDEX('INPUT SUMATIF'!$A:$CH,MATCH($D7,'INPUT SUMATIF'!$D:$D,0),MATCH($K$2,'INPUT SUMATIF'!$A$2:$CH$2,0)),""),
IFERROR(INDEX('INPUT SUMATIF'!$A:$CH,MATCH($D7,'INPUT SUMATIF'!$D:$D,0),MATCH($L$2,'INPUT SUMATIF'!$A$2:$CH$2,0)),"")
),"")</f>
        <v>40.83333333</v>
      </c>
      <c r="L7" s="180" t="s">
        <v>219</v>
      </c>
      <c r="M7" s="196">
        <f t="array" ref="M7">iferror(AVERAGE(
IFERROR(INDEX('INPUT SUMATIF'!$A:$CH,MATCH($D7,'INPUT SUMATIF'!$D:$D,0),MATCH($M$2,'INPUT SUMATIF'!$A$2:$CH$2,0)),""),
IFERROR(INDEX('INPUT SUMATIF'!$A:$CH,MATCH($D7,'INPUT SUMATIF'!$D:$D,0),MATCH($N$2,'INPUT SUMATIF'!$A$2:$CH$2,0)),"")
),"")</f>
        <v>75</v>
      </c>
      <c r="N7" s="201" t="s">
        <v>221</v>
      </c>
      <c r="O7" s="206">
        <f t="array" ref="O7">iferror(AVERAGE(
IFERROR(INDEX('INPUT SUMATIF'!$A:$CH,MATCH($D7,'INPUT SUMATIF'!$D:$D,0),MATCH($O$2,'INPUT SUMATIF'!$A$2:$CH$2,0)),""),
IFERROR(INDEX('INPUT SUMATIF'!$A:$CH,MATCH($D7,'INPUT SUMATIF'!$D:$D,0),MATCH($P$2,'INPUT SUMATIF'!$A$2:$CH$2,0)),"")
),"")</f>
        <v>57</v>
      </c>
      <c r="P7" s="180" t="s">
        <v>222</v>
      </c>
      <c r="Q7" s="210">
        <f t="array" ref="Q7">iferror(AVERAGE(
IFERROR(INDEX('INPUT SUMATIF'!$A:$CH,MATCH($D7,'INPUT SUMATIF'!$D:$D,0),MATCH($Q$2,'INPUT SUMATIF'!$A$2:$CH$2,0)),""),
IFERROR(INDEX('INPUT SUMATIF'!$A:$CH,MATCH($D7,'INPUT SUMATIF'!$D:$D,0),MATCH($R$2,'INPUT SUMATIF'!$A$2:$CH$2,0)),"")
),"")</f>
        <v>81.5</v>
      </c>
      <c r="R7" s="180" t="s">
        <v>229</v>
      </c>
      <c r="S7" s="215">
        <f t="array" ref="S7">iferror(AVERAGE(
IFERROR(INDEX('INPUT SUMATIF'!$A:$CH,MATCH($D7,'INPUT SUMATIF'!$D:$D,0),MATCH($S$2,'INPUT SUMATIF'!$A$2:$CH$2,0)),""),
IFERROR(INDEX('INPUT SUMATIF'!$A:$CH,MATCH($D7,'INPUT SUMATIF'!$D:$D,0),MATCH($T$2,'INPUT SUMATIF'!$A$2:$CH$2,0)),"")
),"")</f>
        <v>10</v>
      </c>
      <c r="T7" s="180" t="s">
        <v>233</v>
      </c>
      <c r="U7" s="221">
        <f t="array" ref="U7">iferror(AVERAGE(
IFERROR(INDEX('INPUT SUMATIF'!$A:$CH,MATCH($D7,'INPUT SUMATIF'!$D:$D,0),MATCH($U$2,'INPUT SUMATIF'!$A$2:$CH$2,0)),""),
IFERROR(INDEX('INPUT SUMATIF'!$A:$CH,MATCH($D7,'INPUT SUMATIF'!$D:$D,0),MATCH($V$2,'INPUT SUMATIF'!$A$2:$CH$2,0)),"")
),"")</f>
        <v>72</v>
      </c>
      <c r="V7" s="180" t="s">
        <v>234</v>
      </c>
      <c r="W7" s="175">
        <f t="array" ref="W7">iferror(AVERAGE(
IFERROR(INDEX('INPUT SUMATIF'!$A:$CH,MATCH($D7,'INPUT SUMATIF'!$D:$D,0),MATCH($W$2,'INPUT SUMATIF'!$A$2:$CH$2,0)),""),
IFERROR(INDEX('INPUT SUMATIF'!$A:$CH,MATCH($D7,'INPUT SUMATIF'!$D:$D,0),MATCH($X$2,'INPUT SUMATIF'!$A$2:$CH$2,0)),"")
),"")</f>
        <v>41</v>
      </c>
      <c r="X7" s="224" t="s">
        <v>235</v>
      </c>
      <c r="Y7" s="227">
        <f t="array" ref="Y7">iferror(AVERAGE(
IFERROR(INDEX('INPUT SUMATIF'!$A:$CH,MATCH($D7,'INPUT SUMATIF'!$D:$D,0),MATCH($Y$2,'INPUT SUMATIF'!$A$2:$CH$2,0)),""),
IFERROR(INDEX('INPUT SUMATIF'!$A:$CH,MATCH($D7,'INPUT SUMATIF'!$D:$D,0),MATCH($Z$2,'INPUT SUMATIF'!$A$2:$CH$2,0)),"")
),"")</f>
        <v>80</v>
      </c>
      <c r="Z7" s="228" t="s">
        <v>236</v>
      </c>
      <c r="AA7" s="227">
        <f t="array" ref="AA7">iferror(AVERAGE(
IFERROR(INDEX('INPUT SUMATIF'!$A:$CH,MATCH($D7,'INPUT SUMATIF'!$D:$D,0),MATCH($AA$2,'INPUT SUMATIF'!$A$2:$CH$2,0)),""),
IFERROR(INDEX('INPUT SUMATIF'!$A:$CH,MATCH($D7,'INPUT SUMATIF'!$D:$D,0),MATCH($AB$2,'INPUT SUMATIF'!$A$2:$CH$2,0)),"")
),"")</f>
        <v>0</v>
      </c>
      <c r="AB7" s="180" t="s">
        <v>237</v>
      </c>
      <c r="AC7" s="227">
        <f t="array" ref="AC7">iferror(AVERAGE(
IFERROR(INDEX('INPUT SUMATIF'!$A:$CH,MATCH($D7,'INPUT SUMATIF'!$D:$D,0),MATCH($AC$2,'INPUT SUMATIF'!$A$2:$CH$2,0)),""),
IFERROR(INDEX('INPUT SUMATIF'!$A:$CH,MATCH($D7,'INPUT SUMATIF'!$D:$D,0),MATCH($AD$2,'INPUT SUMATIF'!$A$2:$CH$2,0)),"")
),"")</f>
        <v>50</v>
      </c>
      <c r="AD7" s="180" t="s">
        <v>238</v>
      </c>
      <c r="AE7" s="227">
        <f t="array" ref="AE7">iferror(AVERAGE(
IFERROR(INDEX('INPUT SUMATIF'!$A:$CH,MATCH($D7,'INPUT SUMATIF'!$D:$D,0),MATCH($AE$2,'INPUT SUMATIF'!$A$2:$CH$2,0)),""),
IFERROR(INDEX('INPUT SUMATIF'!$A:$CH,MATCH($D7,'INPUT SUMATIF'!$D:$D,0),MATCH($AF$2,'INPUT SUMATIF'!$A$2:$CH$2,0)),"")
),"")</f>
        <v>46.66666667</v>
      </c>
      <c r="AF7" s="289" t="s">
        <v>239</v>
      </c>
      <c r="AG7" s="237" t="str">
        <f t="array" ref="AG7">iferror(AVERAGE(
IFERROR(INDEX('INPUT SUMATIF'!$A:$CH,MATCH($D7,'INPUT SUMATIF'!$D:$D,0),MATCH($AG$2,'INPUT SUMATIF'!$A$2:$CH$2,0)),""),
IFERROR(INDEX('INPUT SUMATIF'!$A:$CH,MATCH($D7,'INPUT SUMATIF'!$D:$D,0),MATCH($AH$2,'INPUT SUMATIF'!$A$2:$CH$2,0)),"")
),"")</f>
        <v/>
      </c>
      <c r="AH7" s="289"/>
      <c r="AI7" s="237" t="str">
        <f t="array" ref="AI7">iferror(AVERAGE(
IFERROR(INDEX('INPUT SUMATIF'!$A:$CH,MATCH($D7,'INPUT SUMATIF'!$D:$D,0),MATCH($AI$2,'INPUT SUMATIF'!$A$2:$CH$2,0)),""),
IFERROR(INDEX('INPUT SUMATIF'!$A:$CH,MATCH($D7,'INPUT SUMATIF'!$D:$D,0),MATCH($AJ$2,'INPUT SUMATIF'!$A$2:$CH$2,0)),"")
),"")</f>
        <v/>
      </c>
      <c r="AJ7" s="289"/>
      <c r="AK7" s="186" t="str">
        <f t="array" ref="AK7">iferror(AVERAGE(
IFERROR(INDEX('INPUT SUMATIF'!$A:$CH,MATCH($D7,'INPUT SUMATIF'!$D:$D,0),MATCH($AK$2,'INPUT SUMATIF'!$A$2:$CH$2,0)),""),
IFERROR(INDEX('INPUT SUMATIF'!$A:$CH,MATCH($D7,'INPUT SUMATIF'!$D:$D,0),MATCH($AL$2,'INPUT SUMATIF'!$A$2:$CH$2,0)),"")
),"")</f>
        <v/>
      </c>
      <c r="AL7" s="292"/>
      <c r="AM7" s="293" t="s">
        <v>245</v>
      </c>
      <c r="AN7" s="294"/>
      <c r="AO7" s="293"/>
      <c r="AP7" s="293"/>
      <c r="AQ7" s="296"/>
      <c r="AR7" s="298"/>
      <c r="AS7" s="267"/>
      <c r="AT7" s="267"/>
      <c r="AU7" s="267"/>
      <c r="AV7" s="267"/>
      <c r="AW7" s="267"/>
      <c r="AX7" s="267" t="s">
        <v>171</v>
      </c>
      <c r="AY7" s="267" t="s">
        <v>150</v>
      </c>
      <c r="AZ7" s="267" t="s">
        <v>190</v>
      </c>
      <c r="BA7" s="267" t="s">
        <v>241</v>
      </c>
      <c r="BB7" s="302" t="s">
        <v>248</v>
      </c>
    </row>
    <row r="8" ht="15.75" customHeight="1">
      <c r="A8" s="159">
        <f>IFERROR(__xludf.DUMMYFUNCTION("""COMPUTED_VALUE"""),5.0)</f>
        <v>5</v>
      </c>
      <c r="B8" s="159" t="str">
        <f>IFERROR(__xludf.DUMMYFUNCTION("""COMPUTED_VALUE"""),"2526100418")</f>
        <v>2526100418</v>
      </c>
      <c r="C8" s="159" t="str">
        <f>IFERROR(__xludf.DUMMYFUNCTION("""COMPUTED_VALUE"""),"0107198266")</f>
        <v>0107198266</v>
      </c>
      <c r="D8" s="164" t="str">
        <f>IFERROR(__xludf.DUMMYFUNCTION("""COMPUTED_VALUE"""),"AZRIL EKA NUGRAHA")</f>
        <v>AZRIL EKA NUGRAHA</v>
      </c>
      <c r="E8" s="165" t="str">
        <f>IFERROR(__xludf.DUMMYFUNCTION("""COMPUTED_VALUE"""),"X TO 4")</f>
        <v>X TO 4</v>
      </c>
      <c r="F8" s="165" t="s">
        <v>220</v>
      </c>
      <c r="G8" s="175">
        <f t="array" ref="G8">IFERROR(AVERAGE(
IFERROR(INDEX('INPUT SUMATIF'!$A:$CH,MATCH($D8,'INPUT SUMATIF'!$D:$D,0),MATCH($G$2,'INPUT SUMATIF'!$A$2:$CH$2,0)),""),
IFERROR(INDEX('INPUT SUMATIF'!$A:$CH,MATCH($D8,'INPUT SUMATIF'!$D:$D,0),MATCH($H$2,'INPUT SUMATIF'!$A$2:$CH$2,0)),"")
),"")</f>
        <v>78.75</v>
      </c>
      <c r="H8" s="180" t="s">
        <v>215</v>
      </c>
      <c r="I8" s="186">
        <f t="array" ref="I8">iferror(AVERAGE(
IFERROR(INDEX('INPUT SUMATIF'!$A:$CH,MATCH($D8,'INPUT SUMATIF'!$D:$D,0),MATCH($I$2,'INPUT SUMATIF'!$A$2:$CH$2,0)),""),
IFERROR(INDEX('INPUT SUMATIF'!$A:$CH,MATCH($D8,'INPUT SUMATIF'!$D:$D,0),MATCH($J$2,'INPUT SUMATIF'!$A$2:$CH$2,0)),"")
),"")</f>
        <v>83.25</v>
      </c>
      <c r="J8" s="180" t="s">
        <v>291</v>
      </c>
      <c r="K8" s="192">
        <f t="array" ref="K8">iferror(AVERAGE(
IFERROR(INDEX('INPUT SUMATIF'!$A:$CH,MATCH($D8,'INPUT SUMATIF'!$D:$D,0),MATCH($K$2,'INPUT SUMATIF'!$A$2:$CH$2,0)),""),
IFERROR(INDEX('INPUT SUMATIF'!$A:$CH,MATCH($D8,'INPUT SUMATIF'!$D:$D,0),MATCH($L$2,'INPUT SUMATIF'!$A$2:$CH$2,0)),"")
),"")</f>
        <v>84.83333333</v>
      </c>
      <c r="L8" s="180" t="s">
        <v>219</v>
      </c>
      <c r="M8" s="196">
        <f t="array" ref="M8">iferror(AVERAGE(
IFERROR(INDEX('INPUT SUMATIF'!$A:$CH,MATCH($D8,'INPUT SUMATIF'!$D:$D,0),MATCH($M$2,'INPUT SUMATIF'!$A$2:$CH$2,0)),""),
IFERROR(INDEX('INPUT SUMATIF'!$A:$CH,MATCH($D8,'INPUT SUMATIF'!$D:$D,0),MATCH($N$2,'INPUT SUMATIF'!$A$2:$CH$2,0)),"")
),"")</f>
        <v>88</v>
      </c>
      <c r="N8" s="201" t="s">
        <v>221</v>
      </c>
      <c r="O8" s="206">
        <f t="array" ref="O8">iferror(AVERAGE(
IFERROR(INDEX('INPUT SUMATIF'!$A:$CH,MATCH($D8,'INPUT SUMATIF'!$D:$D,0),MATCH($O$2,'INPUT SUMATIF'!$A$2:$CH$2,0)),""),
IFERROR(INDEX('INPUT SUMATIF'!$A:$CH,MATCH($D8,'INPUT SUMATIF'!$D:$D,0),MATCH($P$2,'INPUT SUMATIF'!$A$2:$CH$2,0)),"")
),"")</f>
        <v>83</v>
      </c>
      <c r="P8" s="180" t="s">
        <v>222</v>
      </c>
      <c r="Q8" s="210">
        <f t="array" ref="Q8">iferror(AVERAGE(
IFERROR(INDEX('INPUT SUMATIF'!$A:$CH,MATCH($D8,'INPUT SUMATIF'!$D:$D,0),MATCH($Q$2,'INPUT SUMATIF'!$A$2:$CH$2,0)),""),
IFERROR(INDEX('INPUT SUMATIF'!$A:$CH,MATCH($D8,'INPUT SUMATIF'!$D:$D,0),MATCH($R$2,'INPUT SUMATIF'!$A$2:$CH$2,0)),"")
),"")</f>
        <v>89.5</v>
      </c>
      <c r="R8" s="180" t="s">
        <v>229</v>
      </c>
      <c r="S8" s="215">
        <f t="array" ref="S8">iferror(AVERAGE(
IFERROR(INDEX('INPUT SUMATIF'!$A:$CH,MATCH($D8,'INPUT SUMATIF'!$D:$D,0),MATCH($S$2,'INPUT SUMATIF'!$A$2:$CH$2,0)),""),
IFERROR(INDEX('INPUT SUMATIF'!$A:$CH,MATCH($D8,'INPUT SUMATIF'!$D:$D,0),MATCH($T$2,'INPUT SUMATIF'!$A$2:$CH$2,0)),"")
),"")</f>
        <v>83.83333333</v>
      </c>
      <c r="T8" s="180" t="s">
        <v>233</v>
      </c>
      <c r="U8" s="221">
        <f t="array" ref="U8">iferror(AVERAGE(
IFERROR(INDEX('INPUT SUMATIF'!$A:$CH,MATCH($D8,'INPUT SUMATIF'!$D:$D,0),MATCH($U$2,'INPUT SUMATIF'!$A$2:$CH$2,0)),""),
IFERROR(INDEX('INPUT SUMATIF'!$A:$CH,MATCH($D8,'INPUT SUMATIF'!$D:$D,0),MATCH($V$2,'INPUT SUMATIF'!$A$2:$CH$2,0)),"")
),"")</f>
        <v>72</v>
      </c>
      <c r="V8" s="180" t="s">
        <v>234</v>
      </c>
      <c r="W8" s="175">
        <f t="array" ref="W8">iferror(AVERAGE(
IFERROR(INDEX('INPUT SUMATIF'!$A:$CH,MATCH($D8,'INPUT SUMATIF'!$D:$D,0),MATCH($W$2,'INPUT SUMATIF'!$A$2:$CH$2,0)),""),
IFERROR(INDEX('INPUT SUMATIF'!$A:$CH,MATCH($D8,'INPUT SUMATIF'!$D:$D,0),MATCH($X$2,'INPUT SUMATIF'!$A$2:$CH$2,0)),"")
),"")</f>
        <v>72</v>
      </c>
      <c r="X8" s="224" t="s">
        <v>235</v>
      </c>
      <c r="Y8" s="227">
        <f t="array" ref="Y8">iferror(AVERAGE(
IFERROR(INDEX('INPUT SUMATIF'!$A:$CH,MATCH($D8,'INPUT SUMATIF'!$D:$D,0),MATCH($Y$2,'INPUT SUMATIF'!$A$2:$CH$2,0)),""),
IFERROR(INDEX('INPUT SUMATIF'!$A:$CH,MATCH($D8,'INPUT SUMATIF'!$D:$D,0),MATCH($Z$2,'INPUT SUMATIF'!$A$2:$CH$2,0)),"")
),"")</f>
        <v>80</v>
      </c>
      <c r="Z8" s="228" t="s">
        <v>236</v>
      </c>
      <c r="AA8" s="227">
        <f t="array" ref="AA8">iferror(AVERAGE(
IFERROR(INDEX('INPUT SUMATIF'!$A:$CH,MATCH($D8,'INPUT SUMATIF'!$D:$D,0),MATCH($AA$2,'INPUT SUMATIF'!$A$2:$CH$2,0)),""),
IFERROR(INDEX('INPUT SUMATIF'!$A:$CH,MATCH($D8,'INPUT SUMATIF'!$D:$D,0),MATCH($AB$2,'INPUT SUMATIF'!$A$2:$CH$2,0)),"")
),"")</f>
        <v>50.83333333</v>
      </c>
      <c r="AB8" s="180" t="s">
        <v>237</v>
      </c>
      <c r="AC8" s="227">
        <f t="array" ref="AC8">iferror(AVERAGE(
IFERROR(INDEX('INPUT SUMATIF'!$A:$CH,MATCH($D8,'INPUT SUMATIF'!$D:$D,0),MATCH($AC$2,'INPUT SUMATIF'!$A$2:$CH$2,0)),""),
IFERROR(INDEX('INPUT SUMATIF'!$A:$CH,MATCH($D8,'INPUT SUMATIF'!$D:$D,0),MATCH($AD$2,'INPUT SUMATIF'!$A$2:$CH$2,0)),"")
),"")</f>
        <v>80</v>
      </c>
      <c r="AD8" s="180" t="s">
        <v>238</v>
      </c>
      <c r="AE8" s="227">
        <f t="array" ref="AE8">iferror(AVERAGE(
IFERROR(INDEX('INPUT SUMATIF'!$A:$CH,MATCH($D8,'INPUT SUMATIF'!$D:$D,0),MATCH($AE$2,'INPUT SUMATIF'!$A$2:$CH$2,0)),""),
IFERROR(INDEX('INPUT SUMATIF'!$A:$CH,MATCH($D8,'INPUT SUMATIF'!$D:$D,0),MATCH($AF$2,'INPUT SUMATIF'!$A$2:$CH$2,0)),"")
),"")</f>
        <v>78.33333333</v>
      </c>
      <c r="AF8" s="180" t="s">
        <v>239</v>
      </c>
      <c r="AG8" s="237" t="str">
        <f t="array" ref="AG8">iferror(AVERAGE(
IFERROR(INDEX('INPUT SUMATIF'!$A:$CH,MATCH($D8,'INPUT SUMATIF'!$D:$D,0),MATCH($AG$2,'INPUT SUMATIF'!$A$2:$CH$2,0)),""),
IFERROR(INDEX('INPUT SUMATIF'!$A:$CH,MATCH($D8,'INPUT SUMATIF'!$D:$D,0),MATCH($AH$2,'INPUT SUMATIF'!$A$2:$CH$2,0)),"")
),"")</f>
        <v/>
      </c>
      <c r="AH8" s="180"/>
      <c r="AI8" s="237" t="str">
        <f t="array" ref="AI8">iferror(AVERAGE(
IFERROR(INDEX('INPUT SUMATIF'!$A:$CH,MATCH($D8,'INPUT SUMATIF'!$D:$D,0),MATCH($AI$2,'INPUT SUMATIF'!$A$2:$CH$2,0)),""),
IFERROR(INDEX('INPUT SUMATIF'!$A:$CH,MATCH($D8,'INPUT SUMATIF'!$D:$D,0),MATCH($AJ$2,'INPUT SUMATIF'!$A$2:$CH$2,0)),"")
),"")</f>
        <v/>
      </c>
      <c r="AJ8" s="180"/>
      <c r="AK8" s="186" t="str">
        <f t="array" ref="AK8">iferror(AVERAGE(
IFERROR(INDEX('INPUT SUMATIF'!$A:$CH,MATCH($D8,'INPUT SUMATIF'!$D:$D,0),MATCH($AK$2,'INPUT SUMATIF'!$A$2:$CH$2,0)),""),
IFERROR(INDEX('INPUT SUMATIF'!$A:$CH,MATCH($D8,'INPUT SUMATIF'!$D:$D,0),MATCH($AL$2,'INPUT SUMATIF'!$A$2:$CH$2,0)),"")
),"")</f>
        <v/>
      </c>
      <c r="AL8" s="244"/>
      <c r="AM8" s="253" t="s">
        <v>277</v>
      </c>
      <c r="AN8" s="255"/>
      <c r="AO8" s="253"/>
      <c r="AP8" s="253"/>
      <c r="AQ8" s="260"/>
      <c r="AR8" s="263"/>
      <c r="AS8" s="265"/>
      <c r="AT8" s="265"/>
      <c r="AU8" s="265"/>
      <c r="AV8" s="265"/>
      <c r="AW8" s="265"/>
      <c r="AX8" s="265" t="s">
        <v>159</v>
      </c>
      <c r="AY8" s="265" t="s">
        <v>213</v>
      </c>
      <c r="AZ8" s="265" t="s">
        <v>213</v>
      </c>
      <c r="BA8" s="267" t="s">
        <v>241</v>
      </c>
      <c r="BB8" s="268" t="s">
        <v>248</v>
      </c>
    </row>
    <row r="9" ht="15.75" customHeight="1">
      <c r="A9" s="270">
        <f>IFERROR(__xludf.DUMMYFUNCTION("""COMPUTED_VALUE"""),6.0)</f>
        <v>6</v>
      </c>
      <c r="B9" s="270" t="str">
        <f>IFERROR(__xludf.DUMMYFUNCTION("""COMPUTED_VALUE"""),"2526100419")</f>
        <v>2526100419</v>
      </c>
      <c r="C9" s="270" t="str">
        <f>IFERROR(__xludf.DUMMYFUNCTION("""COMPUTED_VALUE"""),"0096198310")</f>
        <v>0096198310</v>
      </c>
      <c r="D9" s="274" t="str">
        <f>IFERROR(__xludf.DUMMYFUNCTION("""COMPUTED_VALUE"""),"DIKA MUSTIKA SAPUTRA")</f>
        <v>DIKA MUSTIKA SAPUTRA</v>
      </c>
      <c r="E9" s="277" t="str">
        <f>IFERROR(__xludf.DUMMYFUNCTION("""COMPUTED_VALUE"""),"X TO 4")</f>
        <v>X TO 4</v>
      </c>
      <c r="F9" s="277" t="s">
        <v>220</v>
      </c>
      <c r="G9" s="175">
        <f t="array" ref="G9">IFERROR(AVERAGE(
IFERROR(INDEX('INPUT SUMATIF'!$A:$CH,MATCH($D9,'INPUT SUMATIF'!$D:$D,0),MATCH($G$2,'INPUT SUMATIF'!$A$2:$CH$2,0)),""),
IFERROR(INDEX('INPUT SUMATIF'!$A:$CH,MATCH($D9,'INPUT SUMATIF'!$D:$D,0),MATCH($H$2,'INPUT SUMATIF'!$A$2:$CH$2,0)),"")
),"")</f>
        <v>77.75</v>
      </c>
      <c r="H9" s="180" t="s">
        <v>215</v>
      </c>
      <c r="I9" s="186">
        <f t="array" ref="I9">iferror(AVERAGE(
IFERROR(INDEX('INPUT SUMATIF'!$A:$CH,MATCH($D9,'INPUT SUMATIF'!$D:$D,0),MATCH($I$2,'INPUT SUMATIF'!$A$2:$CH$2,0)),""),
IFERROR(INDEX('INPUT SUMATIF'!$A:$CH,MATCH($D9,'INPUT SUMATIF'!$D:$D,0),MATCH($J$2,'INPUT SUMATIF'!$A$2:$CH$2,0)),"")
),"")</f>
        <v>82.75</v>
      </c>
      <c r="J9" s="180" t="s">
        <v>302</v>
      </c>
      <c r="K9" s="192">
        <f t="array" ref="K9">iferror(AVERAGE(
IFERROR(INDEX('INPUT SUMATIF'!$A:$CH,MATCH($D9,'INPUT SUMATIF'!$D:$D,0),MATCH($K$2,'INPUT SUMATIF'!$A$2:$CH$2,0)),""),
IFERROR(INDEX('INPUT SUMATIF'!$A:$CH,MATCH($D9,'INPUT SUMATIF'!$D:$D,0),MATCH($L$2,'INPUT SUMATIF'!$A$2:$CH$2,0)),"")
),"")</f>
        <v>77</v>
      </c>
      <c r="L9" s="180" t="s">
        <v>219</v>
      </c>
      <c r="M9" s="196">
        <f t="array" ref="M9">iferror(AVERAGE(
IFERROR(INDEX('INPUT SUMATIF'!$A:$CH,MATCH($D9,'INPUT SUMATIF'!$D:$D,0),MATCH($M$2,'INPUT SUMATIF'!$A$2:$CH$2,0)),""),
IFERROR(INDEX('INPUT SUMATIF'!$A:$CH,MATCH($D9,'INPUT SUMATIF'!$D:$D,0),MATCH($N$2,'INPUT SUMATIF'!$A$2:$CH$2,0)),"")
),"")</f>
        <v>88.5</v>
      </c>
      <c r="N9" s="201" t="s">
        <v>221</v>
      </c>
      <c r="O9" s="206">
        <f t="array" ref="O9">iferror(AVERAGE(
IFERROR(INDEX('INPUT SUMATIF'!$A:$CH,MATCH($D9,'INPUT SUMATIF'!$D:$D,0),MATCH($O$2,'INPUT SUMATIF'!$A$2:$CH$2,0)),""),
IFERROR(INDEX('INPUT SUMATIF'!$A:$CH,MATCH($D9,'INPUT SUMATIF'!$D:$D,0),MATCH($P$2,'INPUT SUMATIF'!$A$2:$CH$2,0)),"")
),"")</f>
        <v>57</v>
      </c>
      <c r="P9" s="180" t="s">
        <v>222</v>
      </c>
      <c r="Q9" s="210">
        <f t="array" ref="Q9">iferror(AVERAGE(
IFERROR(INDEX('INPUT SUMATIF'!$A:$CH,MATCH($D9,'INPUT SUMATIF'!$D:$D,0),MATCH($Q$2,'INPUT SUMATIF'!$A$2:$CH$2,0)),""),
IFERROR(INDEX('INPUT SUMATIF'!$A:$CH,MATCH($D9,'INPUT SUMATIF'!$D:$D,0),MATCH($R$2,'INPUT SUMATIF'!$A$2:$CH$2,0)),"")
),"")</f>
        <v>89.66666667</v>
      </c>
      <c r="R9" s="180" t="s">
        <v>229</v>
      </c>
      <c r="S9" s="215">
        <f t="array" ref="S9">iferror(AVERAGE(
IFERROR(INDEX('INPUT SUMATIF'!$A:$CH,MATCH($D9,'INPUT SUMATIF'!$D:$D,0),MATCH($S$2,'INPUT SUMATIF'!$A$2:$CH$2,0)),""),
IFERROR(INDEX('INPUT SUMATIF'!$A:$CH,MATCH($D9,'INPUT SUMATIF'!$D:$D,0),MATCH($T$2,'INPUT SUMATIF'!$A$2:$CH$2,0)),"")
),"")</f>
        <v>30</v>
      </c>
      <c r="T9" s="180" t="s">
        <v>233</v>
      </c>
      <c r="U9" s="221">
        <f t="array" ref="U9">iferror(AVERAGE(
IFERROR(INDEX('INPUT SUMATIF'!$A:$CH,MATCH($D9,'INPUT SUMATIF'!$D:$D,0),MATCH($U$2,'INPUT SUMATIF'!$A$2:$CH$2,0)),""),
IFERROR(INDEX('INPUT SUMATIF'!$A:$CH,MATCH($D9,'INPUT SUMATIF'!$D:$D,0),MATCH($V$2,'INPUT SUMATIF'!$A$2:$CH$2,0)),"")
),"")</f>
        <v>72</v>
      </c>
      <c r="V9" s="180" t="s">
        <v>234</v>
      </c>
      <c r="W9" s="175">
        <f t="array" ref="W9">iferror(AVERAGE(
IFERROR(INDEX('INPUT SUMATIF'!$A:$CH,MATCH($D9,'INPUT SUMATIF'!$D:$D,0),MATCH($W$2,'INPUT SUMATIF'!$A$2:$CH$2,0)),""),
IFERROR(INDEX('INPUT SUMATIF'!$A:$CH,MATCH($D9,'INPUT SUMATIF'!$D:$D,0),MATCH($X$2,'INPUT SUMATIF'!$A$2:$CH$2,0)),"")
),"")</f>
        <v>72</v>
      </c>
      <c r="X9" s="224" t="s">
        <v>235</v>
      </c>
      <c r="Y9" s="227">
        <f t="array" ref="Y9">iferror(AVERAGE(
IFERROR(INDEX('INPUT SUMATIF'!$A:$CH,MATCH($D9,'INPUT SUMATIF'!$D:$D,0),MATCH($Y$2,'INPUT SUMATIF'!$A$2:$CH$2,0)),""),
IFERROR(INDEX('INPUT SUMATIF'!$A:$CH,MATCH($D9,'INPUT SUMATIF'!$D:$D,0),MATCH($Z$2,'INPUT SUMATIF'!$A$2:$CH$2,0)),"")
),"")</f>
        <v>80</v>
      </c>
      <c r="Z9" s="228" t="s">
        <v>236</v>
      </c>
      <c r="AA9" s="227">
        <f t="array" ref="AA9">iferror(AVERAGE(
IFERROR(INDEX('INPUT SUMATIF'!$A:$CH,MATCH($D9,'INPUT SUMATIF'!$D:$D,0),MATCH($AA$2,'INPUT SUMATIF'!$A$2:$CH$2,0)),""),
IFERROR(INDEX('INPUT SUMATIF'!$A:$CH,MATCH($D9,'INPUT SUMATIF'!$D:$D,0),MATCH($AB$2,'INPUT SUMATIF'!$A$2:$CH$2,0)),"")
),"")</f>
        <v>39</v>
      </c>
      <c r="AB9" s="180" t="s">
        <v>237</v>
      </c>
      <c r="AC9" s="227">
        <f t="array" ref="AC9">iferror(AVERAGE(
IFERROR(INDEX('INPUT SUMATIF'!$A:$CH,MATCH($D9,'INPUT SUMATIF'!$D:$D,0),MATCH($AC$2,'INPUT SUMATIF'!$A$2:$CH$2,0)),""),
IFERROR(INDEX('INPUT SUMATIF'!$A:$CH,MATCH($D9,'INPUT SUMATIF'!$D:$D,0),MATCH($AD$2,'INPUT SUMATIF'!$A$2:$CH$2,0)),"")
),"")</f>
        <v>80</v>
      </c>
      <c r="AD9" s="180" t="s">
        <v>238</v>
      </c>
      <c r="AE9" s="227">
        <f t="array" ref="AE9">iferror(AVERAGE(
IFERROR(INDEX('INPUT SUMATIF'!$A:$CH,MATCH($D9,'INPUT SUMATIF'!$D:$D,0),MATCH($AE$2,'INPUT SUMATIF'!$A$2:$CH$2,0)),""),
IFERROR(INDEX('INPUT SUMATIF'!$A:$CH,MATCH($D9,'INPUT SUMATIF'!$D:$D,0),MATCH($AF$2,'INPUT SUMATIF'!$A$2:$CH$2,0)),"")
),"")</f>
        <v>77.66666667</v>
      </c>
      <c r="AF9" s="289" t="s">
        <v>239</v>
      </c>
      <c r="AG9" s="237" t="str">
        <f t="array" ref="AG9">iferror(AVERAGE(
IFERROR(INDEX('INPUT SUMATIF'!$A:$CH,MATCH($D9,'INPUT SUMATIF'!$D:$D,0),MATCH($AG$2,'INPUT SUMATIF'!$A$2:$CH$2,0)),""),
IFERROR(INDEX('INPUT SUMATIF'!$A:$CH,MATCH($D9,'INPUT SUMATIF'!$D:$D,0),MATCH($AH$2,'INPUT SUMATIF'!$A$2:$CH$2,0)),"")
),"")</f>
        <v/>
      </c>
      <c r="AH9" s="289"/>
      <c r="AI9" s="237" t="str">
        <f t="array" ref="AI9">iferror(AVERAGE(
IFERROR(INDEX('INPUT SUMATIF'!$A:$CH,MATCH($D9,'INPUT SUMATIF'!$D:$D,0),MATCH($AI$2,'INPUT SUMATIF'!$A$2:$CH$2,0)),""),
IFERROR(INDEX('INPUT SUMATIF'!$A:$CH,MATCH($D9,'INPUT SUMATIF'!$D:$D,0),MATCH($AJ$2,'INPUT SUMATIF'!$A$2:$CH$2,0)),"")
),"")</f>
        <v/>
      </c>
      <c r="AJ9" s="289"/>
      <c r="AK9" s="186" t="str">
        <f t="array" ref="AK9">iferror(AVERAGE(
IFERROR(INDEX('INPUT SUMATIF'!$A:$CH,MATCH($D9,'INPUT SUMATIF'!$D:$D,0),MATCH($AK$2,'INPUT SUMATIF'!$A$2:$CH$2,0)),""),
IFERROR(INDEX('INPUT SUMATIF'!$A:$CH,MATCH($D9,'INPUT SUMATIF'!$D:$D,0),MATCH($AL$2,'INPUT SUMATIF'!$A$2:$CH$2,0)),"")
),"")</f>
        <v/>
      </c>
      <c r="AL9" s="292"/>
      <c r="AM9" s="293" t="s">
        <v>245</v>
      </c>
      <c r="AN9" s="294"/>
      <c r="AO9" s="293"/>
      <c r="AP9" s="293"/>
      <c r="AQ9" s="296"/>
      <c r="AR9" s="298"/>
      <c r="AS9" s="267"/>
      <c r="AT9" s="267"/>
      <c r="AU9" s="267"/>
      <c r="AV9" s="267"/>
      <c r="AW9" s="267"/>
      <c r="AX9" s="267" t="s">
        <v>150</v>
      </c>
      <c r="AY9" s="267" t="s">
        <v>213</v>
      </c>
      <c r="AZ9" s="267" t="s">
        <v>213</v>
      </c>
      <c r="BA9" s="267" t="s">
        <v>241</v>
      </c>
      <c r="BB9" s="302" t="s">
        <v>248</v>
      </c>
    </row>
    <row r="10" ht="15.75" customHeight="1">
      <c r="A10" s="159">
        <f>IFERROR(__xludf.DUMMYFUNCTION("""COMPUTED_VALUE"""),7.0)</f>
        <v>7</v>
      </c>
      <c r="B10" s="159" t="str">
        <f>IFERROR(__xludf.DUMMYFUNCTION("""COMPUTED_VALUE"""),"2526100420")</f>
        <v>2526100420</v>
      </c>
      <c r="C10" s="159" t="str">
        <f>IFERROR(__xludf.DUMMYFUNCTION("""COMPUTED_VALUE"""),"0092542662")</f>
        <v>0092542662</v>
      </c>
      <c r="D10" s="164" t="str">
        <f>IFERROR(__xludf.DUMMYFUNCTION("""COMPUTED_VALUE"""),"FAWAZ NAUPAL ALFATIR")</f>
        <v>FAWAZ NAUPAL ALFATIR</v>
      </c>
      <c r="E10" s="165" t="str">
        <f>IFERROR(__xludf.DUMMYFUNCTION("""COMPUTED_VALUE"""),"X TO 4")</f>
        <v>X TO 4</v>
      </c>
      <c r="F10" s="165" t="s">
        <v>220</v>
      </c>
      <c r="G10" s="175">
        <f t="array" ref="G10">IFERROR(AVERAGE(
IFERROR(INDEX('INPUT SUMATIF'!$A:$CH,MATCH($D10,'INPUT SUMATIF'!$D:$D,0),MATCH($G$2,'INPUT SUMATIF'!$A$2:$CH$2,0)),""),
IFERROR(INDEX('INPUT SUMATIF'!$A:$CH,MATCH($D10,'INPUT SUMATIF'!$D:$D,0),MATCH($H$2,'INPUT SUMATIF'!$A$2:$CH$2,0)),"")
),"")</f>
        <v>77.25</v>
      </c>
      <c r="H10" s="180" t="s">
        <v>215</v>
      </c>
      <c r="I10" s="186">
        <f t="array" ref="I10">iferror(AVERAGE(
IFERROR(INDEX('INPUT SUMATIF'!$A:$CH,MATCH($D10,'INPUT SUMATIF'!$D:$D,0),MATCH($I$2,'INPUT SUMATIF'!$A$2:$CH$2,0)),""),
IFERROR(INDEX('INPUT SUMATIF'!$A:$CH,MATCH($D10,'INPUT SUMATIF'!$D:$D,0),MATCH($J$2,'INPUT SUMATIF'!$A$2:$CH$2,0)),"")
),"")</f>
        <v>81.25</v>
      </c>
      <c r="J10" s="180" t="s">
        <v>312</v>
      </c>
      <c r="K10" s="192">
        <f t="array" ref="K10">iferror(AVERAGE(
IFERROR(INDEX('INPUT SUMATIF'!$A:$CH,MATCH($D10,'INPUT SUMATIF'!$D:$D,0),MATCH($K$2,'INPUT SUMATIF'!$A$2:$CH$2,0)),""),
IFERROR(INDEX('INPUT SUMATIF'!$A:$CH,MATCH($D10,'INPUT SUMATIF'!$D:$D,0),MATCH($L$2,'INPUT SUMATIF'!$A$2:$CH$2,0)),"")
),"")</f>
        <v>79.66666667</v>
      </c>
      <c r="L10" s="180" t="s">
        <v>219</v>
      </c>
      <c r="M10" s="196">
        <f t="array" ref="M10">iferror(AVERAGE(
IFERROR(INDEX('INPUT SUMATIF'!$A:$CH,MATCH($D10,'INPUT SUMATIF'!$D:$D,0),MATCH($M$2,'INPUT SUMATIF'!$A$2:$CH$2,0)),""),
IFERROR(INDEX('INPUT SUMATIF'!$A:$CH,MATCH($D10,'INPUT SUMATIF'!$D:$D,0),MATCH($N$2,'INPUT SUMATIF'!$A$2:$CH$2,0)),"")
),"")</f>
        <v>88</v>
      </c>
      <c r="N10" s="201" t="s">
        <v>221</v>
      </c>
      <c r="O10" s="206">
        <f t="array" ref="O10">iferror(AVERAGE(
IFERROR(INDEX('INPUT SUMATIF'!$A:$CH,MATCH($D10,'INPUT SUMATIF'!$D:$D,0),MATCH($O$2,'INPUT SUMATIF'!$A$2:$CH$2,0)),""),
IFERROR(INDEX('INPUT SUMATIF'!$A:$CH,MATCH($D10,'INPUT SUMATIF'!$D:$D,0),MATCH($P$2,'INPUT SUMATIF'!$A$2:$CH$2,0)),"")
),"")</f>
        <v>78</v>
      </c>
      <c r="P10" s="180" t="s">
        <v>222</v>
      </c>
      <c r="Q10" s="210">
        <f t="array" ref="Q10">iferror(AVERAGE(
IFERROR(INDEX('INPUT SUMATIF'!$A:$CH,MATCH($D10,'INPUT SUMATIF'!$D:$D,0),MATCH($Q$2,'INPUT SUMATIF'!$A$2:$CH$2,0)),""),
IFERROR(INDEX('INPUT SUMATIF'!$A:$CH,MATCH($D10,'INPUT SUMATIF'!$D:$D,0),MATCH($R$2,'INPUT SUMATIF'!$A$2:$CH$2,0)),"")
),"")</f>
        <v>89.66666667</v>
      </c>
      <c r="R10" s="180" t="s">
        <v>229</v>
      </c>
      <c r="S10" s="215">
        <f t="array" ref="S10">iferror(AVERAGE(
IFERROR(INDEX('INPUT SUMATIF'!$A:$CH,MATCH($D10,'INPUT SUMATIF'!$D:$D,0),MATCH($S$2,'INPUT SUMATIF'!$A$2:$CH$2,0)),""),
IFERROR(INDEX('INPUT SUMATIF'!$A:$CH,MATCH($D10,'INPUT SUMATIF'!$D:$D,0),MATCH($T$2,'INPUT SUMATIF'!$A$2:$CH$2,0)),"")
),"")</f>
        <v>77</v>
      </c>
      <c r="T10" s="180" t="s">
        <v>233</v>
      </c>
      <c r="U10" s="221">
        <f t="array" ref="U10">iferror(AVERAGE(
IFERROR(INDEX('INPUT SUMATIF'!$A:$CH,MATCH($D10,'INPUT SUMATIF'!$D:$D,0),MATCH($U$2,'INPUT SUMATIF'!$A$2:$CH$2,0)),""),
IFERROR(INDEX('INPUT SUMATIF'!$A:$CH,MATCH($D10,'INPUT SUMATIF'!$D:$D,0),MATCH($V$2,'INPUT SUMATIF'!$A$2:$CH$2,0)),"")
),"")</f>
        <v>75</v>
      </c>
      <c r="V10" s="180" t="s">
        <v>234</v>
      </c>
      <c r="W10" s="175">
        <f t="array" ref="W10">iferror(AVERAGE(
IFERROR(INDEX('INPUT SUMATIF'!$A:$CH,MATCH($D10,'INPUT SUMATIF'!$D:$D,0),MATCH($W$2,'INPUT SUMATIF'!$A$2:$CH$2,0)),""),
IFERROR(INDEX('INPUT SUMATIF'!$A:$CH,MATCH($D10,'INPUT SUMATIF'!$D:$D,0),MATCH($X$2,'INPUT SUMATIF'!$A$2:$CH$2,0)),"")
),"")</f>
        <v>75.5</v>
      </c>
      <c r="X10" s="224" t="s">
        <v>235</v>
      </c>
      <c r="Y10" s="227">
        <f t="array" ref="Y10">iferror(AVERAGE(
IFERROR(INDEX('INPUT SUMATIF'!$A:$CH,MATCH($D10,'INPUT SUMATIF'!$D:$D,0),MATCH($Y$2,'INPUT SUMATIF'!$A$2:$CH$2,0)),""),
IFERROR(INDEX('INPUT SUMATIF'!$A:$CH,MATCH($D10,'INPUT SUMATIF'!$D:$D,0),MATCH($Z$2,'INPUT SUMATIF'!$A$2:$CH$2,0)),"")
),"")</f>
        <v>80</v>
      </c>
      <c r="Z10" s="228" t="s">
        <v>236</v>
      </c>
      <c r="AA10" s="227">
        <f t="array" ref="AA10">iferror(AVERAGE(
IFERROR(INDEX('INPUT SUMATIF'!$A:$CH,MATCH($D10,'INPUT SUMATIF'!$D:$D,0),MATCH($AA$2,'INPUT SUMATIF'!$A$2:$CH$2,0)),""),
IFERROR(INDEX('INPUT SUMATIF'!$A:$CH,MATCH($D10,'INPUT SUMATIF'!$D:$D,0),MATCH($AB$2,'INPUT SUMATIF'!$A$2:$CH$2,0)),"")
),"")</f>
        <v>81.33333333</v>
      </c>
      <c r="AB10" s="180" t="s">
        <v>237</v>
      </c>
      <c r="AC10" s="227">
        <f t="array" ref="AC10">iferror(AVERAGE(
IFERROR(INDEX('INPUT SUMATIF'!$A:$CH,MATCH($D10,'INPUT SUMATIF'!$D:$D,0),MATCH($AC$2,'INPUT SUMATIF'!$A$2:$CH$2,0)),""),
IFERROR(INDEX('INPUT SUMATIF'!$A:$CH,MATCH($D10,'INPUT SUMATIF'!$D:$D,0),MATCH($AD$2,'INPUT SUMATIF'!$A$2:$CH$2,0)),"")
),"")</f>
        <v>79.83333333</v>
      </c>
      <c r="AD10" s="180" t="s">
        <v>238</v>
      </c>
      <c r="AE10" s="227">
        <f t="array" ref="AE10">iferror(AVERAGE(
IFERROR(INDEX('INPUT SUMATIF'!$A:$CH,MATCH($D10,'INPUT SUMATIF'!$D:$D,0),MATCH($AE$2,'INPUT SUMATIF'!$A$2:$CH$2,0)),""),
IFERROR(INDEX('INPUT SUMATIF'!$A:$CH,MATCH($D10,'INPUT SUMATIF'!$D:$D,0),MATCH($AF$2,'INPUT SUMATIF'!$A$2:$CH$2,0)),"")
),"")</f>
        <v>77.33333333</v>
      </c>
      <c r="AF10" s="180" t="s">
        <v>239</v>
      </c>
      <c r="AG10" s="237" t="str">
        <f t="array" ref="AG10">iferror(AVERAGE(
IFERROR(INDEX('INPUT SUMATIF'!$A:$CH,MATCH($D10,'INPUT SUMATIF'!$D:$D,0),MATCH($AG$2,'INPUT SUMATIF'!$A$2:$CH$2,0)),""),
IFERROR(INDEX('INPUT SUMATIF'!$A:$CH,MATCH($D10,'INPUT SUMATIF'!$D:$D,0),MATCH($AH$2,'INPUT SUMATIF'!$A$2:$CH$2,0)),"")
),"")</f>
        <v/>
      </c>
      <c r="AH10" s="180"/>
      <c r="AI10" s="237" t="str">
        <f t="array" ref="AI10">iferror(AVERAGE(
IFERROR(INDEX('INPUT SUMATIF'!$A:$CH,MATCH($D10,'INPUT SUMATIF'!$D:$D,0),MATCH($AI$2,'INPUT SUMATIF'!$A$2:$CH$2,0)),""),
IFERROR(INDEX('INPUT SUMATIF'!$A:$CH,MATCH($D10,'INPUT SUMATIF'!$D:$D,0),MATCH($AJ$2,'INPUT SUMATIF'!$A$2:$CH$2,0)),"")
),"")</f>
        <v/>
      </c>
      <c r="AJ10" s="180"/>
      <c r="AK10" s="186" t="str">
        <f t="array" ref="AK10">iferror(AVERAGE(
IFERROR(INDEX('INPUT SUMATIF'!$A:$CH,MATCH($D10,'INPUT SUMATIF'!$D:$D,0),MATCH($AK$2,'INPUT SUMATIF'!$A$2:$CH$2,0)),""),
IFERROR(INDEX('INPUT SUMATIF'!$A:$CH,MATCH($D10,'INPUT SUMATIF'!$D:$D,0),MATCH($AL$2,'INPUT SUMATIF'!$A$2:$CH$2,0)),"")
),"")</f>
        <v/>
      </c>
      <c r="AL10" s="244"/>
      <c r="AM10" s="253" t="s">
        <v>277</v>
      </c>
      <c r="AN10" s="255"/>
      <c r="AO10" s="253"/>
      <c r="AP10" s="253"/>
      <c r="AQ10" s="260"/>
      <c r="AR10" s="263"/>
      <c r="AS10" s="265"/>
      <c r="AT10" s="265"/>
      <c r="AU10" s="265"/>
      <c r="AV10" s="265"/>
      <c r="AW10" s="265"/>
      <c r="AX10" s="265" t="s">
        <v>155</v>
      </c>
      <c r="AY10" s="265" t="s">
        <v>213</v>
      </c>
      <c r="AZ10" s="265" t="s">
        <v>213</v>
      </c>
      <c r="BA10" s="267" t="s">
        <v>241</v>
      </c>
      <c r="BB10" s="268" t="s">
        <v>248</v>
      </c>
    </row>
    <row r="11" ht="15.75" customHeight="1">
      <c r="A11" s="270">
        <f>IFERROR(__xludf.DUMMYFUNCTION("""COMPUTED_VALUE"""),8.0)</f>
        <v>8</v>
      </c>
      <c r="B11" s="270" t="str">
        <f>IFERROR(__xludf.DUMMYFUNCTION("""COMPUTED_VALUE"""),"2526100421")</f>
        <v>2526100421</v>
      </c>
      <c r="C11" s="270" t="str">
        <f>IFERROR(__xludf.DUMMYFUNCTION("""COMPUTED_VALUE"""),"0107343620")</f>
        <v>0107343620</v>
      </c>
      <c r="D11" s="274" t="str">
        <f>IFERROR(__xludf.DUMMYFUNCTION("""COMPUTED_VALUE"""),"FIKRI AHMAD NAWAWI")</f>
        <v>FIKRI AHMAD NAWAWI</v>
      </c>
      <c r="E11" s="277" t="str">
        <f>IFERROR(__xludf.DUMMYFUNCTION("""COMPUTED_VALUE"""),"X TO 4")</f>
        <v>X TO 4</v>
      </c>
      <c r="F11" s="277" t="s">
        <v>220</v>
      </c>
      <c r="G11" s="175">
        <f t="array" ref="G11">IFERROR(AVERAGE(
IFERROR(INDEX('INPUT SUMATIF'!$A:$CH,MATCH($D11,'INPUT SUMATIF'!$D:$D,0),MATCH($G$2,'INPUT SUMATIF'!$A$2:$CH$2,0)),""),
IFERROR(INDEX('INPUT SUMATIF'!$A:$CH,MATCH($D11,'INPUT SUMATIF'!$D:$D,0),MATCH($H$2,'INPUT SUMATIF'!$A$2:$CH$2,0)),"")
),"")</f>
        <v>78.5</v>
      </c>
      <c r="H11" s="180" t="s">
        <v>215</v>
      </c>
      <c r="I11" s="186">
        <f t="array" ref="I11">iferror(AVERAGE(
IFERROR(INDEX('INPUT SUMATIF'!$A:$CH,MATCH($D11,'INPUT SUMATIF'!$D:$D,0),MATCH($I$2,'INPUT SUMATIF'!$A$2:$CH$2,0)),""),
IFERROR(INDEX('INPUT SUMATIF'!$A:$CH,MATCH($D11,'INPUT SUMATIF'!$D:$D,0),MATCH($J$2,'INPUT SUMATIF'!$A$2:$CH$2,0)),"")
),"")</f>
        <v>82.25</v>
      </c>
      <c r="J11" s="180" t="s">
        <v>321</v>
      </c>
      <c r="K11" s="192">
        <f t="array" ref="K11">iferror(AVERAGE(
IFERROR(INDEX('INPUT SUMATIF'!$A:$CH,MATCH($D11,'INPUT SUMATIF'!$D:$D,0),MATCH($K$2,'INPUT SUMATIF'!$A$2:$CH$2,0)),""),
IFERROR(INDEX('INPUT SUMATIF'!$A:$CH,MATCH($D11,'INPUT SUMATIF'!$D:$D,0),MATCH($L$2,'INPUT SUMATIF'!$A$2:$CH$2,0)),"")
),"")</f>
        <v>78</v>
      </c>
      <c r="L11" s="180" t="s">
        <v>219</v>
      </c>
      <c r="M11" s="196">
        <f t="array" ref="M11">iferror(AVERAGE(
IFERROR(INDEX('INPUT SUMATIF'!$A:$CH,MATCH($D11,'INPUT SUMATIF'!$D:$D,0),MATCH($M$2,'INPUT SUMATIF'!$A$2:$CH$2,0)),""),
IFERROR(INDEX('INPUT SUMATIF'!$A:$CH,MATCH($D11,'INPUT SUMATIF'!$D:$D,0),MATCH($N$2,'INPUT SUMATIF'!$A$2:$CH$2,0)),"")
),"")</f>
        <v>86.75</v>
      </c>
      <c r="N11" s="201" t="s">
        <v>221</v>
      </c>
      <c r="O11" s="206">
        <f t="array" ref="O11">iferror(AVERAGE(
IFERROR(INDEX('INPUT SUMATIF'!$A:$CH,MATCH($D11,'INPUT SUMATIF'!$D:$D,0),MATCH($O$2,'INPUT SUMATIF'!$A$2:$CH$2,0)),""),
IFERROR(INDEX('INPUT SUMATIF'!$A:$CH,MATCH($D11,'INPUT SUMATIF'!$D:$D,0),MATCH($P$2,'INPUT SUMATIF'!$A$2:$CH$2,0)),"")
),"")</f>
        <v>78</v>
      </c>
      <c r="P11" s="180" t="s">
        <v>222</v>
      </c>
      <c r="Q11" s="210">
        <f t="array" ref="Q11">iferror(AVERAGE(
IFERROR(INDEX('INPUT SUMATIF'!$A:$CH,MATCH($D11,'INPUT SUMATIF'!$D:$D,0),MATCH($Q$2,'INPUT SUMATIF'!$A$2:$CH$2,0)),""),
IFERROR(INDEX('INPUT SUMATIF'!$A:$CH,MATCH($D11,'INPUT SUMATIF'!$D:$D,0),MATCH($R$2,'INPUT SUMATIF'!$A$2:$CH$2,0)),"")
),"")</f>
        <v>89.16666667</v>
      </c>
      <c r="R11" s="180" t="s">
        <v>229</v>
      </c>
      <c r="S11" s="215">
        <f t="array" ref="S11">iferror(AVERAGE(
IFERROR(INDEX('INPUT SUMATIF'!$A:$CH,MATCH($D11,'INPUT SUMATIF'!$D:$D,0),MATCH($S$2,'INPUT SUMATIF'!$A$2:$CH$2,0)),""),
IFERROR(INDEX('INPUT SUMATIF'!$A:$CH,MATCH($D11,'INPUT SUMATIF'!$D:$D,0),MATCH($T$2,'INPUT SUMATIF'!$A$2:$CH$2,0)),"")
),"")</f>
        <v>79.5</v>
      </c>
      <c r="T11" s="180" t="s">
        <v>233</v>
      </c>
      <c r="U11" s="221">
        <f t="array" ref="U11">iferror(AVERAGE(
IFERROR(INDEX('INPUT SUMATIF'!$A:$CH,MATCH($D11,'INPUT SUMATIF'!$D:$D,0),MATCH($U$2,'INPUT SUMATIF'!$A$2:$CH$2,0)),""),
IFERROR(INDEX('INPUT SUMATIF'!$A:$CH,MATCH($D11,'INPUT SUMATIF'!$D:$D,0),MATCH($V$2,'INPUT SUMATIF'!$A$2:$CH$2,0)),"")
),"")</f>
        <v>72</v>
      </c>
      <c r="V11" s="180" t="s">
        <v>234</v>
      </c>
      <c r="W11" s="175">
        <f t="array" ref="W11">iferror(AVERAGE(
IFERROR(INDEX('INPUT SUMATIF'!$A:$CH,MATCH($D11,'INPUT SUMATIF'!$D:$D,0),MATCH($W$2,'INPUT SUMATIF'!$A$2:$CH$2,0)),""),
IFERROR(INDEX('INPUT SUMATIF'!$A:$CH,MATCH($D11,'INPUT SUMATIF'!$D:$D,0),MATCH($X$2,'INPUT SUMATIF'!$A$2:$CH$2,0)),"")
),"")</f>
        <v>72</v>
      </c>
      <c r="X11" s="224" t="s">
        <v>235</v>
      </c>
      <c r="Y11" s="227">
        <f t="array" ref="Y11">iferror(AVERAGE(
IFERROR(INDEX('INPUT SUMATIF'!$A:$CH,MATCH($D11,'INPUT SUMATIF'!$D:$D,0),MATCH($Y$2,'INPUT SUMATIF'!$A$2:$CH$2,0)),""),
IFERROR(INDEX('INPUT SUMATIF'!$A:$CH,MATCH($D11,'INPUT SUMATIF'!$D:$D,0),MATCH($Z$2,'INPUT SUMATIF'!$A$2:$CH$2,0)),"")
),"")</f>
        <v>80</v>
      </c>
      <c r="Z11" s="228" t="s">
        <v>236</v>
      </c>
      <c r="AA11" s="227">
        <f t="array" ref="AA11">iferror(AVERAGE(
IFERROR(INDEX('INPUT SUMATIF'!$A:$CH,MATCH($D11,'INPUT SUMATIF'!$D:$D,0),MATCH($AA$2,'INPUT SUMATIF'!$A$2:$CH$2,0)),""),
IFERROR(INDEX('INPUT SUMATIF'!$A:$CH,MATCH($D11,'INPUT SUMATIF'!$D:$D,0),MATCH($AB$2,'INPUT SUMATIF'!$A$2:$CH$2,0)),"")
),"")</f>
        <v>39</v>
      </c>
      <c r="AB11" s="180" t="s">
        <v>237</v>
      </c>
      <c r="AC11" s="227">
        <f t="array" ref="AC11">iferror(AVERAGE(
IFERROR(INDEX('INPUT SUMATIF'!$A:$CH,MATCH($D11,'INPUT SUMATIF'!$D:$D,0),MATCH($AC$2,'INPUT SUMATIF'!$A$2:$CH$2,0)),""),
IFERROR(INDEX('INPUT SUMATIF'!$A:$CH,MATCH($D11,'INPUT SUMATIF'!$D:$D,0),MATCH($AD$2,'INPUT SUMATIF'!$A$2:$CH$2,0)),"")
),"")</f>
        <v>80.33333333</v>
      </c>
      <c r="AD11" s="180" t="s">
        <v>238</v>
      </c>
      <c r="AE11" s="227">
        <f t="array" ref="AE11">iferror(AVERAGE(
IFERROR(INDEX('INPUT SUMATIF'!$A:$CH,MATCH($D11,'INPUT SUMATIF'!$D:$D,0),MATCH($AE$2,'INPUT SUMATIF'!$A$2:$CH$2,0)),""),
IFERROR(INDEX('INPUT SUMATIF'!$A:$CH,MATCH($D11,'INPUT SUMATIF'!$D:$D,0),MATCH($AF$2,'INPUT SUMATIF'!$A$2:$CH$2,0)),"")
),"")</f>
        <v>77.66666667</v>
      </c>
      <c r="AF11" s="289" t="s">
        <v>239</v>
      </c>
      <c r="AG11" s="237" t="str">
        <f t="array" ref="AG11">iferror(AVERAGE(
IFERROR(INDEX('INPUT SUMATIF'!$A:$CH,MATCH($D11,'INPUT SUMATIF'!$D:$D,0),MATCH($AG$2,'INPUT SUMATIF'!$A$2:$CH$2,0)),""),
IFERROR(INDEX('INPUT SUMATIF'!$A:$CH,MATCH($D11,'INPUT SUMATIF'!$D:$D,0),MATCH($AH$2,'INPUT SUMATIF'!$A$2:$CH$2,0)),"")
),"")</f>
        <v/>
      </c>
      <c r="AH11" s="289"/>
      <c r="AI11" s="237" t="str">
        <f t="array" ref="AI11">iferror(AVERAGE(
IFERROR(INDEX('INPUT SUMATIF'!$A:$CH,MATCH($D11,'INPUT SUMATIF'!$D:$D,0),MATCH($AI$2,'INPUT SUMATIF'!$A$2:$CH$2,0)),""),
IFERROR(INDEX('INPUT SUMATIF'!$A:$CH,MATCH($D11,'INPUT SUMATIF'!$D:$D,0),MATCH($AJ$2,'INPUT SUMATIF'!$A$2:$CH$2,0)),"")
),"")</f>
        <v/>
      </c>
      <c r="AJ11" s="289"/>
      <c r="AK11" s="186" t="str">
        <f t="array" ref="AK11">iferror(AVERAGE(
IFERROR(INDEX('INPUT SUMATIF'!$A:$CH,MATCH($D11,'INPUT SUMATIF'!$D:$D,0),MATCH($AK$2,'INPUT SUMATIF'!$A$2:$CH$2,0)),""),
IFERROR(INDEX('INPUT SUMATIF'!$A:$CH,MATCH($D11,'INPUT SUMATIF'!$D:$D,0),MATCH($AL$2,'INPUT SUMATIF'!$A$2:$CH$2,0)),"")
),"")</f>
        <v/>
      </c>
      <c r="AL11" s="292"/>
      <c r="AM11" s="253" t="s">
        <v>277</v>
      </c>
      <c r="AN11" s="294"/>
      <c r="AO11" s="293"/>
      <c r="AP11" s="293"/>
      <c r="AQ11" s="296"/>
      <c r="AR11" s="298"/>
      <c r="AS11" s="267"/>
      <c r="AT11" s="267"/>
      <c r="AU11" s="267"/>
      <c r="AV11" s="267"/>
      <c r="AW11" s="267"/>
      <c r="AX11" s="267" t="s">
        <v>143</v>
      </c>
      <c r="AY11" s="267" t="s">
        <v>213</v>
      </c>
      <c r="AZ11" s="267" t="s">
        <v>143</v>
      </c>
      <c r="BA11" s="267" t="s">
        <v>241</v>
      </c>
      <c r="BB11" s="302" t="s">
        <v>248</v>
      </c>
    </row>
    <row r="12" ht="15.75" customHeight="1">
      <c r="A12" s="159">
        <f>IFERROR(__xludf.DUMMYFUNCTION("""COMPUTED_VALUE"""),9.0)</f>
        <v>9</v>
      </c>
      <c r="B12" s="159" t="str">
        <f>IFERROR(__xludf.DUMMYFUNCTION("""COMPUTED_VALUE"""),"2526100422")</f>
        <v>2526100422</v>
      </c>
      <c r="C12" s="159" t="str">
        <f>IFERROR(__xludf.DUMMYFUNCTION("""COMPUTED_VALUE"""),"0076614788")</f>
        <v>0076614788</v>
      </c>
      <c r="D12" s="164" t="str">
        <f>IFERROR(__xludf.DUMMYFUNCTION("""COMPUTED_VALUE"""),"HADI NURYADI")</f>
        <v>HADI NURYADI</v>
      </c>
      <c r="E12" s="165" t="str">
        <f>IFERROR(__xludf.DUMMYFUNCTION("""COMPUTED_VALUE"""),"X TO 4")</f>
        <v>X TO 4</v>
      </c>
      <c r="F12" s="165" t="s">
        <v>220</v>
      </c>
      <c r="G12" s="175">
        <f t="array" ref="G12">IFERROR(AVERAGE(
IFERROR(INDEX('INPUT SUMATIF'!$A:$CH,MATCH($D12,'INPUT SUMATIF'!$D:$D,0),MATCH($G$2,'INPUT SUMATIF'!$A$2:$CH$2,0)),""),
IFERROR(INDEX('INPUT SUMATIF'!$A:$CH,MATCH($D12,'INPUT SUMATIF'!$D:$D,0),MATCH($H$2,'INPUT SUMATIF'!$A$2:$CH$2,0)),"")
),"")</f>
        <v>77.75</v>
      </c>
      <c r="H12" s="180" t="s">
        <v>215</v>
      </c>
      <c r="I12" s="186">
        <f t="array" ref="I12">iferror(AVERAGE(
IFERROR(INDEX('INPUT SUMATIF'!$A:$CH,MATCH($D12,'INPUT SUMATIF'!$D:$D,0),MATCH($I$2,'INPUT SUMATIF'!$A$2:$CH$2,0)),""),
IFERROR(INDEX('INPUT SUMATIF'!$A:$CH,MATCH($D12,'INPUT SUMATIF'!$D:$D,0),MATCH($J$2,'INPUT SUMATIF'!$A$2:$CH$2,0)),"")
),"")</f>
        <v>83.75</v>
      </c>
      <c r="J12" s="180" t="s">
        <v>330</v>
      </c>
      <c r="K12" s="192">
        <f t="array" ref="K12">iferror(AVERAGE(
IFERROR(INDEX('INPUT SUMATIF'!$A:$CH,MATCH($D12,'INPUT SUMATIF'!$D:$D,0),MATCH($K$2,'INPUT SUMATIF'!$A$2:$CH$2,0)),""),
IFERROR(INDEX('INPUT SUMATIF'!$A:$CH,MATCH($D12,'INPUT SUMATIF'!$D:$D,0),MATCH($L$2,'INPUT SUMATIF'!$A$2:$CH$2,0)),"")
),"")</f>
        <v>79</v>
      </c>
      <c r="L12" s="180" t="s">
        <v>219</v>
      </c>
      <c r="M12" s="196">
        <f t="array" ref="M12">iferror(AVERAGE(
IFERROR(INDEX('INPUT SUMATIF'!$A:$CH,MATCH($D12,'INPUT SUMATIF'!$D:$D,0),MATCH($M$2,'INPUT SUMATIF'!$A$2:$CH$2,0)),""),
IFERROR(INDEX('INPUT SUMATIF'!$A:$CH,MATCH($D12,'INPUT SUMATIF'!$D:$D,0),MATCH($N$2,'INPUT SUMATIF'!$A$2:$CH$2,0)),"")
),"")</f>
        <v>83.25</v>
      </c>
      <c r="N12" s="201" t="s">
        <v>221</v>
      </c>
      <c r="O12" s="206">
        <f t="array" ref="O12">iferror(AVERAGE(
IFERROR(INDEX('INPUT SUMATIF'!$A:$CH,MATCH($D12,'INPUT SUMATIF'!$D:$D,0),MATCH($O$2,'INPUT SUMATIF'!$A$2:$CH$2,0)),""),
IFERROR(INDEX('INPUT SUMATIF'!$A:$CH,MATCH($D12,'INPUT SUMATIF'!$D:$D,0),MATCH($P$2,'INPUT SUMATIF'!$A$2:$CH$2,0)),"")
),"")</f>
        <v>76</v>
      </c>
      <c r="P12" s="180" t="s">
        <v>222</v>
      </c>
      <c r="Q12" s="210">
        <f t="array" ref="Q12">iferror(AVERAGE(
IFERROR(INDEX('INPUT SUMATIF'!$A:$CH,MATCH($D12,'INPUT SUMATIF'!$D:$D,0),MATCH($Q$2,'INPUT SUMATIF'!$A$2:$CH$2,0)),""),
IFERROR(INDEX('INPUT SUMATIF'!$A:$CH,MATCH($D12,'INPUT SUMATIF'!$D:$D,0),MATCH($R$2,'INPUT SUMATIF'!$A$2:$CH$2,0)),"")
),"")</f>
        <v>90</v>
      </c>
      <c r="R12" s="180" t="s">
        <v>229</v>
      </c>
      <c r="S12" s="215">
        <f t="array" ref="S12">iferror(AVERAGE(
IFERROR(INDEX('INPUT SUMATIF'!$A:$CH,MATCH($D12,'INPUT SUMATIF'!$D:$D,0),MATCH($S$2,'INPUT SUMATIF'!$A$2:$CH$2,0)),""),
IFERROR(INDEX('INPUT SUMATIF'!$A:$CH,MATCH($D12,'INPUT SUMATIF'!$D:$D,0),MATCH($T$2,'INPUT SUMATIF'!$A$2:$CH$2,0)),"")
),"")</f>
        <v>73.16666667</v>
      </c>
      <c r="T12" s="180" t="s">
        <v>233</v>
      </c>
      <c r="U12" s="221">
        <f t="array" ref="U12">iferror(AVERAGE(
IFERROR(INDEX('INPUT SUMATIF'!$A:$CH,MATCH($D12,'INPUT SUMATIF'!$D:$D,0),MATCH($U$2,'INPUT SUMATIF'!$A$2:$CH$2,0)),""),
IFERROR(INDEX('INPUT SUMATIF'!$A:$CH,MATCH($D12,'INPUT SUMATIF'!$D:$D,0),MATCH($V$2,'INPUT SUMATIF'!$A$2:$CH$2,0)),"")
),"")</f>
        <v>80</v>
      </c>
      <c r="V12" s="180" t="s">
        <v>234</v>
      </c>
      <c r="W12" s="175">
        <f t="array" ref="W12">iferror(AVERAGE(
IFERROR(INDEX('INPUT SUMATIF'!$A:$CH,MATCH($D12,'INPUT SUMATIF'!$D:$D,0),MATCH($W$2,'INPUT SUMATIF'!$A$2:$CH$2,0)),""),
IFERROR(INDEX('INPUT SUMATIF'!$A:$CH,MATCH($D12,'INPUT SUMATIF'!$D:$D,0),MATCH($X$2,'INPUT SUMATIF'!$A$2:$CH$2,0)),"")
),"")</f>
        <v>72</v>
      </c>
      <c r="X12" s="224" t="s">
        <v>235</v>
      </c>
      <c r="Y12" s="227">
        <f t="array" ref="Y12">iferror(AVERAGE(
IFERROR(INDEX('INPUT SUMATIF'!$A:$CH,MATCH($D12,'INPUT SUMATIF'!$D:$D,0),MATCH($Y$2,'INPUT SUMATIF'!$A$2:$CH$2,0)),""),
IFERROR(INDEX('INPUT SUMATIF'!$A:$CH,MATCH($D12,'INPUT SUMATIF'!$D:$D,0),MATCH($Z$2,'INPUT SUMATIF'!$A$2:$CH$2,0)),"")
),"")</f>
        <v>80</v>
      </c>
      <c r="Z12" s="228" t="s">
        <v>236</v>
      </c>
      <c r="AA12" s="227">
        <f t="array" ref="AA12">iferror(AVERAGE(
IFERROR(INDEX('INPUT SUMATIF'!$A:$CH,MATCH($D12,'INPUT SUMATIF'!$D:$D,0),MATCH($AA$2,'INPUT SUMATIF'!$A$2:$CH$2,0)),""),
IFERROR(INDEX('INPUT SUMATIF'!$A:$CH,MATCH($D12,'INPUT SUMATIF'!$D:$D,0),MATCH($AB$2,'INPUT SUMATIF'!$A$2:$CH$2,0)),"")
),"")</f>
        <v>40</v>
      </c>
      <c r="AB12" s="180" t="s">
        <v>237</v>
      </c>
      <c r="AC12" s="227">
        <f t="array" ref="AC12">iferror(AVERAGE(
IFERROR(INDEX('INPUT SUMATIF'!$A:$CH,MATCH($D12,'INPUT SUMATIF'!$D:$D,0),MATCH($AC$2,'INPUT SUMATIF'!$A$2:$CH$2,0)),""),
IFERROR(INDEX('INPUT SUMATIF'!$A:$CH,MATCH($D12,'INPUT SUMATIF'!$D:$D,0),MATCH($AD$2,'INPUT SUMATIF'!$A$2:$CH$2,0)),"")
),"")</f>
        <v>78.33333333</v>
      </c>
      <c r="AD12" s="180" t="s">
        <v>238</v>
      </c>
      <c r="AE12" s="227">
        <f t="array" ref="AE12">iferror(AVERAGE(
IFERROR(INDEX('INPUT SUMATIF'!$A:$CH,MATCH($D12,'INPUT SUMATIF'!$D:$D,0),MATCH($AE$2,'INPUT SUMATIF'!$A$2:$CH$2,0)),""),
IFERROR(INDEX('INPUT SUMATIF'!$A:$CH,MATCH($D12,'INPUT SUMATIF'!$D:$D,0),MATCH($AF$2,'INPUT SUMATIF'!$A$2:$CH$2,0)),"")
),"")</f>
        <v>78</v>
      </c>
      <c r="AF12" s="180" t="s">
        <v>239</v>
      </c>
      <c r="AG12" s="237" t="str">
        <f t="array" ref="AG12">iferror(AVERAGE(
IFERROR(INDEX('INPUT SUMATIF'!$A:$CH,MATCH($D12,'INPUT SUMATIF'!$D:$D,0),MATCH($AG$2,'INPUT SUMATIF'!$A$2:$CH$2,0)),""),
IFERROR(INDEX('INPUT SUMATIF'!$A:$CH,MATCH($D12,'INPUT SUMATIF'!$D:$D,0),MATCH($AH$2,'INPUT SUMATIF'!$A$2:$CH$2,0)),"")
),"")</f>
        <v/>
      </c>
      <c r="AH12" s="180"/>
      <c r="AI12" s="237" t="str">
        <f t="array" ref="AI12">iferror(AVERAGE(
IFERROR(INDEX('INPUT SUMATIF'!$A:$CH,MATCH($D12,'INPUT SUMATIF'!$D:$D,0),MATCH($AI$2,'INPUT SUMATIF'!$A$2:$CH$2,0)),""),
IFERROR(INDEX('INPUT SUMATIF'!$A:$CH,MATCH($D12,'INPUT SUMATIF'!$D:$D,0),MATCH($AJ$2,'INPUT SUMATIF'!$A$2:$CH$2,0)),"")
),"")</f>
        <v/>
      </c>
      <c r="AJ12" s="180"/>
      <c r="AK12" s="186" t="str">
        <f t="array" ref="AK12">iferror(AVERAGE(
IFERROR(INDEX('INPUT SUMATIF'!$A:$CH,MATCH($D12,'INPUT SUMATIF'!$D:$D,0),MATCH($AK$2,'INPUT SUMATIF'!$A$2:$CH$2,0)),""),
IFERROR(INDEX('INPUT SUMATIF'!$A:$CH,MATCH($D12,'INPUT SUMATIF'!$D:$D,0),MATCH($AL$2,'INPUT SUMATIF'!$A$2:$CH$2,0)),"")
),"")</f>
        <v/>
      </c>
      <c r="AL12" s="244"/>
      <c r="AM12" s="253" t="s">
        <v>277</v>
      </c>
      <c r="AN12" s="255"/>
      <c r="AO12" s="253"/>
      <c r="AP12" s="253"/>
      <c r="AQ12" s="260"/>
      <c r="AR12" s="263"/>
      <c r="AS12" s="265"/>
      <c r="AT12" s="265"/>
      <c r="AU12" s="265"/>
      <c r="AV12" s="265"/>
      <c r="AW12" s="265"/>
      <c r="AX12" s="265" t="s">
        <v>145</v>
      </c>
      <c r="AY12" s="265" t="s">
        <v>135</v>
      </c>
      <c r="AZ12" s="265" t="s">
        <v>213</v>
      </c>
      <c r="BA12" s="267" t="s">
        <v>241</v>
      </c>
      <c r="BB12" s="268" t="s">
        <v>248</v>
      </c>
    </row>
    <row r="13" ht="15.75" customHeight="1">
      <c r="A13" s="270">
        <f>IFERROR(__xludf.DUMMYFUNCTION("""COMPUTED_VALUE"""),10.0)</f>
        <v>10</v>
      </c>
      <c r="B13" s="270" t="str">
        <f>IFERROR(__xludf.DUMMYFUNCTION("""COMPUTED_VALUE"""),"2526100423")</f>
        <v>2526100423</v>
      </c>
      <c r="C13" s="270" t="str">
        <f>IFERROR(__xludf.DUMMYFUNCTION("""COMPUTED_VALUE"""),"0093759169")</f>
        <v>0093759169</v>
      </c>
      <c r="D13" s="274" t="str">
        <f>IFERROR(__xludf.DUMMYFUNCTION("""COMPUTED_VALUE"""),"IBNU WANALI")</f>
        <v>IBNU WANALI</v>
      </c>
      <c r="E13" s="277" t="str">
        <f>IFERROR(__xludf.DUMMYFUNCTION("""COMPUTED_VALUE"""),"X TO 4")</f>
        <v>X TO 4</v>
      </c>
      <c r="F13" s="277" t="s">
        <v>220</v>
      </c>
      <c r="G13" s="175">
        <f t="array" ref="G13">IFERROR(AVERAGE(
IFERROR(INDEX('INPUT SUMATIF'!$A:$CH,MATCH($D13,'INPUT SUMATIF'!$D:$D,0),MATCH($G$2,'INPUT SUMATIF'!$A$2:$CH$2,0)),""),
IFERROR(INDEX('INPUT SUMATIF'!$A:$CH,MATCH($D13,'INPUT SUMATIF'!$D:$D,0),MATCH($H$2,'INPUT SUMATIF'!$A$2:$CH$2,0)),"")
),"")</f>
        <v>78.25</v>
      </c>
      <c r="H13" s="180" t="s">
        <v>215</v>
      </c>
      <c r="I13" s="186">
        <f t="array" ref="I13">iferror(AVERAGE(
IFERROR(INDEX('INPUT SUMATIF'!$A:$CH,MATCH($D13,'INPUT SUMATIF'!$D:$D,0),MATCH($I$2,'INPUT SUMATIF'!$A$2:$CH$2,0)),""),
IFERROR(INDEX('INPUT SUMATIF'!$A:$CH,MATCH($D13,'INPUT SUMATIF'!$D:$D,0),MATCH($J$2,'INPUT SUMATIF'!$A$2:$CH$2,0)),"")
),"")</f>
        <v>82</v>
      </c>
      <c r="J13" s="180" t="s">
        <v>331</v>
      </c>
      <c r="K13" s="192">
        <f t="array" ref="K13">iferror(AVERAGE(
IFERROR(INDEX('INPUT SUMATIF'!$A:$CH,MATCH($D13,'INPUT SUMATIF'!$D:$D,0),MATCH($K$2,'INPUT SUMATIF'!$A$2:$CH$2,0)),""),
IFERROR(INDEX('INPUT SUMATIF'!$A:$CH,MATCH($D13,'INPUT SUMATIF'!$D:$D,0),MATCH($L$2,'INPUT SUMATIF'!$A$2:$CH$2,0)),"")
),"")</f>
        <v>79.66666667</v>
      </c>
      <c r="L13" s="180" t="s">
        <v>219</v>
      </c>
      <c r="M13" s="196">
        <f t="array" ref="M13">iferror(AVERAGE(
IFERROR(INDEX('INPUT SUMATIF'!$A:$CH,MATCH($D13,'INPUT SUMATIF'!$D:$D,0),MATCH($M$2,'INPUT SUMATIF'!$A$2:$CH$2,0)),""),
IFERROR(INDEX('INPUT SUMATIF'!$A:$CH,MATCH($D13,'INPUT SUMATIF'!$D:$D,0),MATCH($N$2,'INPUT SUMATIF'!$A$2:$CH$2,0)),"")
),"")</f>
        <v>82.5</v>
      </c>
      <c r="N13" s="201" t="s">
        <v>221</v>
      </c>
      <c r="O13" s="206">
        <f t="array" ref="O13">iferror(AVERAGE(
IFERROR(INDEX('INPUT SUMATIF'!$A:$CH,MATCH($D13,'INPUT SUMATIF'!$D:$D,0),MATCH($O$2,'INPUT SUMATIF'!$A$2:$CH$2,0)),""),
IFERROR(INDEX('INPUT SUMATIF'!$A:$CH,MATCH($D13,'INPUT SUMATIF'!$D:$D,0),MATCH($P$2,'INPUT SUMATIF'!$A$2:$CH$2,0)),"")
),"")</f>
        <v>75</v>
      </c>
      <c r="P13" s="180" t="s">
        <v>222</v>
      </c>
      <c r="Q13" s="210">
        <f t="array" ref="Q13">iferror(AVERAGE(
IFERROR(INDEX('INPUT SUMATIF'!$A:$CH,MATCH($D13,'INPUT SUMATIF'!$D:$D,0),MATCH($Q$2,'INPUT SUMATIF'!$A$2:$CH$2,0)),""),
IFERROR(INDEX('INPUT SUMATIF'!$A:$CH,MATCH($D13,'INPUT SUMATIF'!$D:$D,0),MATCH($R$2,'INPUT SUMATIF'!$A$2:$CH$2,0)),"")
),"")</f>
        <v>89.83333333</v>
      </c>
      <c r="R13" s="180" t="s">
        <v>229</v>
      </c>
      <c r="S13" s="215">
        <f t="array" ref="S13">iferror(AVERAGE(
IFERROR(INDEX('INPUT SUMATIF'!$A:$CH,MATCH($D13,'INPUT SUMATIF'!$D:$D,0),MATCH($S$2,'INPUT SUMATIF'!$A$2:$CH$2,0)),""),
IFERROR(INDEX('INPUT SUMATIF'!$A:$CH,MATCH($D13,'INPUT SUMATIF'!$D:$D,0),MATCH($T$2,'INPUT SUMATIF'!$A$2:$CH$2,0)),"")
),"")</f>
        <v>73</v>
      </c>
      <c r="T13" s="180" t="s">
        <v>233</v>
      </c>
      <c r="U13" s="221">
        <f t="array" ref="U13">iferror(AVERAGE(
IFERROR(INDEX('INPUT SUMATIF'!$A:$CH,MATCH($D13,'INPUT SUMATIF'!$D:$D,0),MATCH($U$2,'INPUT SUMATIF'!$A$2:$CH$2,0)),""),
IFERROR(INDEX('INPUT SUMATIF'!$A:$CH,MATCH($D13,'INPUT SUMATIF'!$D:$D,0),MATCH($V$2,'INPUT SUMATIF'!$A$2:$CH$2,0)),"")
),"")</f>
        <v>76</v>
      </c>
      <c r="V13" s="180" t="s">
        <v>234</v>
      </c>
      <c r="W13" s="175">
        <f t="array" ref="W13">iferror(AVERAGE(
IFERROR(INDEX('INPUT SUMATIF'!$A:$CH,MATCH($D13,'INPUT SUMATIF'!$D:$D,0),MATCH($W$2,'INPUT SUMATIF'!$A$2:$CH$2,0)),""),
IFERROR(INDEX('INPUT SUMATIF'!$A:$CH,MATCH($D13,'INPUT SUMATIF'!$D:$D,0),MATCH($X$2,'INPUT SUMATIF'!$A$2:$CH$2,0)),"")
),"")</f>
        <v>72</v>
      </c>
      <c r="X13" s="224" t="s">
        <v>235</v>
      </c>
      <c r="Y13" s="227">
        <f t="array" ref="Y13">iferror(AVERAGE(
IFERROR(INDEX('INPUT SUMATIF'!$A:$CH,MATCH($D13,'INPUT SUMATIF'!$D:$D,0),MATCH($Y$2,'INPUT SUMATIF'!$A$2:$CH$2,0)),""),
IFERROR(INDEX('INPUT SUMATIF'!$A:$CH,MATCH($D13,'INPUT SUMATIF'!$D:$D,0),MATCH($Z$2,'INPUT SUMATIF'!$A$2:$CH$2,0)),"")
),"")</f>
        <v>80</v>
      </c>
      <c r="Z13" s="228" t="s">
        <v>236</v>
      </c>
      <c r="AA13" s="227">
        <f t="array" ref="AA13">iferror(AVERAGE(
IFERROR(INDEX('INPUT SUMATIF'!$A:$CH,MATCH($D13,'INPUT SUMATIF'!$D:$D,0),MATCH($AA$2,'INPUT SUMATIF'!$A$2:$CH$2,0)),""),
IFERROR(INDEX('INPUT SUMATIF'!$A:$CH,MATCH($D13,'INPUT SUMATIF'!$D:$D,0),MATCH($AB$2,'INPUT SUMATIF'!$A$2:$CH$2,0)),"")
),"")</f>
        <v>55.33333333</v>
      </c>
      <c r="AB13" s="180" t="s">
        <v>237</v>
      </c>
      <c r="AC13" s="227">
        <f t="array" ref="AC13">iferror(AVERAGE(
IFERROR(INDEX('INPUT SUMATIF'!$A:$CH,MATCH($D13,'INPUT SUMATIF'!$D:$D,0),MATCH($AC$2,'INPUT SUMATIF'!$A$2:$CH$2,0)),""),
IFERROR(INDEX('INPUT SUMATIF'!$A:$CH,MATCH($D13,'INPUT SUMATIF'!$D:$D,0),MATCH($AD$2,'INPUT SUMATIF'!$A$2:$CH$2,0)),"")
),"")</f>
        <v>80</v>
      </c>
      <c r="AD13" s="180" t="s">
        <v>238</v>
      </c>
      <c r="AE13" s="227">
        <f t="array" ref="AE13">iferror(AVERAGE(
IFERROR(INDEX('INPUT SUMATIF'!$A:$CH,MATCH($D13,'INPUT SUMATIF'!$D:$D,0),MATCH($AE$2,'INPUT SUMATIF'!$A$2:$CH$2,0)),""),
IFERROR(INDEX('INPUT SUMATIF'!$A:$CH,MATCH($D13,'INPUT SUMATIF'!$D:$D,0),MATCH($AF$2,'INPUT SUMATIF'!$A$2:$CH$2,0)),"")
),"")</f>
        <v>78.33333333</v>
      </c>
      <c r="AF13" s="289" t="s">
        <v>239</v>
      </c>
      <c r="AG13" s="237" t="str">
        <f t="array" ref="AG13">iferror(AVERAGE(
IFERROR(INDEX('INPUT SUMATIF'!$A:$CH,MATCH($D13,'INPUT SUMATIF'!$D:$D,0),MATCH($AG$2,'INPUT SUMATIF'!$A$2:$CH$2,0)),""),
IFERROR(INDEX('INPUT SUMATIF'!$A:$CH,MATCH($D13,'INPUT SUMATIF'!$D:$D,0),MATCH($AH$2,'INPUT SUMATIF'!$A$2:$CH$2,0)),"")
),"")</f>
        <v/>
      </c>
      <c r="AH13" s="289"/>
      <c r="AI13" s="237" t="str">
        <f t="array" ref="AI13">iferror(AVERAGE(
IFERROR(INDEX('INPUT SUMATIF'!$A:$CH,MATCH($D13,'INPUT SUMATIF'!$D:$D,0),MATCH($AI$2,'INPUT SUMATIF'!$A$2:$CH$2,0)),""),
IFERROR(INDEX('INPUT SUMATIF'!$A:$CH,MATCH($D13,'INPUT SUMATIF'!$D:$D,0),MATCH($AJ$2,'INPUT SUMATIF'!$A$2:$CH$2,0)),"")
),"")</f>
        <v/>
      </c>
      <c r="AJ13" s="289"/>
      <c r="AK13" s="186" t="str">
        <f t="array" ref="AK13">iferror(AVERAGE(
IFERROR(INDEX('INPUT SUMATIF'!$A:$CH,MATCH($D13,'INPUT SUMATIF'!$D:$D,0),MATCH($AK$2,'INPUT SUMATIF'!$A$2:$CH$2,0)),""),
IFERROR(INDEX('INPUT SUMATIF'!$A:$CH,MATCH($D13,'INPUT SUMATIF'!$D:$D,0),MATCH($AL$2,'INPUT SUMATIF'!$A$2:$CH$2,0)),"")
),"")</f>
        <v/>
      </c>
      <c r="AL13" s="292"/>
      <c r="AM13" s="253" t="s">
        <v>277</v>
      </c>
      <c r="AN13" s="294"/>
      <c r="AO13" s="293"/>
      <c r="AP13" s="293"/>
      <c r="AQ13" s="296"/>
      <c r="AR13" s="298"/>
      <c r="AS13" s="267"/>
      <c r="AT13" s="267"/>
      <c r="AU13" s="267"/>
      <c r="AV13" s="267"/>
      <c r="AW13" s="267"/>
      <c r="AX13" s="267" t="s">
        <v>158</v>
      </c>
      <c r="AY13" s="267" t="s">
        <v>213</v>
      </c>
      <c r="AZ13" s="267" t="s">
        <v>213</v>
      </c>
      <c r="BA13" s="267" t="s">
        <v>241</v>
      </c>
      <c r="BB13" s="302" t="s">
        <v>248</v>
      </c>
    </row>
    <row r="14" ht="15.75" customHeight="1">
      <c r="A14" s="159">
        <f>IFERROR(__xludf.DUMMYFUNCTION("""COMPUTED_VALUE"""),11.0)</f>
        <v>11</v>
      </c>
      <c r="B14" s="159" t="str">
        <f>IFERROR(__xludf.DUMMYFUNCTION("""COMPUTED_VALUE"""),"2526100424")</f>
        <v>2526100424</v>
      </c>
      <c r="C14" s="159" t="str">
        <f>IFERROR(__xludf.DUMMYFUNCTION("""COMPUTED_VALUE"""),"0095752965")</f>
        <v>0095752965</v>
      </c>
      <c r="D14" s="164" t="str">
        <f>IFERROR(__xludf.DUMMYFUNCTION("""COMPUTED_VALUE"""),"IHSAN ABDULOH ")</f>
        <v>IHSAN ABDULOH </v>
      </c>
      <c r="E14" s="165" t="str">
        <f>IFERROR(__xludf.DUMMYFUNCTION("""COMPUTED_VALUE"""),"X TO 4")</f>
        <v>X TO 4</v>
      </c>
      <c r="F14" s="165" t="s">
        <v>220</v>
      </c>
      <c r="G14" s="175">
        <f t="array" ref="G14">IFERROR(AVERAGE(
IFERROR(INDEX('INPUT SUMATIF'!$A:$CH,MATCH($D14,'INPUT SUMATIF'!$D:$D,0),MATCH($G$2,'INPUT SUMATIF'!$A$2:$CH$2,0)),""),
IFERROR(INDEX('INPUT SUMATIF'!$A:$CH,MATCH($D14,'INPUT SUMATIF'!$D:$D,0),MATCH($H$2,'INPUT SUMATIF'!$A$2:$CH$2,0)),"")
),"")</f>
        <v>80</v>
      </c>
      <c r="H14" s="180" t="s">
        <v>215</v>
      </c>
      <c r="I14" s="186">
        <f t="array" ref="I14">iferror(AVERAGE(
IFERROR(INDEX('INPUT SUMATIF'!$A:$CH,MATCH($D14,'INPUT SUMATIF'!$D:$D,0),MATCH($I$2,'INPUT SUMATIF'!$A$2:$CH$2,0)),""),
IFERROR(INDEX('INPUT SUMATIF'!$A:$CH,MATCH($D14,'INPUT SUMATIF'!$D:$D,0),MATCH($J$2,'INPUT SUMATIF'!$A$2:$CH$2,0)),"")
),"")</f>
        <v>84.25</v>
      </c>
      <c r="J14" s="180" t="s">
        <v>344</v>
      </c>
      <c r="K14" s="192">
        <f t="array" ref="K14">iferror(AVERAGE(
IFERROR(INDEX('INPUT SUMATIF'!$A:$CH,MATCH($D14,'INPUT SUMATIF'!$D:$D,0),MATCH($K$2,'INPUT SUMATIF'!$A$2:$CH$2,0)),""),
IFERROR(INDEX('INPUT SUMATIF'!$A:$CH,MATCH($D14,'INPUT SUMATIF'!$D:$D,0),MATCH($L$2,'INPUT SUMATIF'!$A$2:$CH$2,0)),"")
),"")</f>
        <v>84.16666667</v>
      </c>
      <c r="L14" s="180" t="s">
        <v>219</v>
      </c>
      <c r="M14" s="196">
        <f t="array" ref="M14">iferror(AVERAGE(
IFERROR(INDEX('INPUT SUMATIF'!$A:$CH,MATCH($D14,'INPUT SUMATIF'!$D:$D,0),MATCH($M$2,'INPUT SUMATIF'!$A$2:$CH$2,0)),""),
IFERROR(INDEX('INPUT SUMATIF'!$A:$CH,MATCH($D14,'INPUT SUMATIF'!$D:$D,0),MATCH($N$2,'INPUT SUMATIF'!$A$2:$CH$2,0)),"")
),"")</f>
        <v>87.5</v>
      </c>
      <c r="N14" s="201" t="s">
        <v>221</v>
      </c>
      <c r="O14" s="206">
        <f t="array" ref="O14">iferror(AVERAGE(
IFERROR(INDEX('INPUT SUMATIF'!$A:$CH,MATCH($D14,'INPUT SUMATIF'!$D:$D,0),MATCH($O$2,'INPUT SUMATIF'!$A$2:$CH$2,0)),""),
IFERROR(INDEX('INPUT SUMATIF'!$A:$CH,MATCH($D14,'INPUT SUMATIF'!$D:$D,0),MATCH($P$2,'INPUT SUMATIF'!$A$2:$CH$2,0)),"")
),"")</f>
        <v>82</v>
      </c>
      <c r="P14" s="180" t="s">
        <v>222</v>
      </c>
      <c r="Q14" s="210">
        <f t="array" ref="Q14">iferror(AVERAGE(
IFERROR(INDEX('INPUT SUMATIF'!$A:$CH,MATCH($D14,'INPUT SUMATIF'!$D:$D,0),MATCH($Q$2,'INPUT SUMATIF'!$A$2:$CH$2,0)),""),
IFERROR(INDEX('INPUT SUMATIF'!$A:$CH,MATCH($D14,'INPUT SUMATIF'!$D:$D,0),MATCH($R$2,'INPUT SUMATIF'!$A$2:$CH$2,0)),"")
),"")</f>
        <v>88.83333333</v>
      </c>
      <c r="R14" s="180" t="s">
        <v>229</v>
      </c>
      <c r="S14" s="215">
        <f t="array" ref="S14">iferror(AVERAGE(
IFERROR(INDEX('INPUT SUMATIF'!$A:$CH,MATCH($D14,'INPUT SUMATIF'!$D:$D,0),MATCH($S$2,'INPUT SUMATIF'!$A$2:$CH$2,0)),""),
IFERROR(INDEX('INPUT SUMATIF'!$A:$CH,MATCH($D14,'INPUT SUMATIF'!$D:$D,0),MATCH($T$2,'INPUT SUMATIF'!$A$2:$CH$2,0)),"")
),"")</f>
        <v>84.66666667</v>
      </c>
      <c r="T14" s="180" t="s">
        <v>233</v>
      </c>
      <c r="U14" s="221">
        <f t="array" ref="U14">iferror(AVERAGE(
IFERROR(INDEX('INPUT SUMATIF'!$A:$CH,MATCH($D14,'INPUT SUMATIF'!$D:$D,0),MATCH($U$2,'INPUT SUMATIF'!$A$2:$CH$2,0)),""),
IFERROR(INDEX('INPUT SUMATIF'!$A:$CH,MATCH($D14,'INPUT SUMATIF'!$D:$D,0),MATCH($V$2,'INPUT SUMATIF'!$A$2:$CH$2,0)),"")
),"")</f>
        <v>77</v>
      </c>
      <c r="V14" s="180" t="s">
        <v>234</v>
      </c>
      <c r="W14" s="175">
        <f t="array" ref="W14">iferror(AVERAGE(
IFERROR(INDEX('INPUT SUMATIF'!$A:$CH,MATCH($D14,'INPUT SUMATIF'!$D:$D,0),MATCH($W$2,'INPUT SUMATIF'!$A$2:$CH$2,0)),""),
IFERROR(INDEX('INPUT SUMATIF'!$A:$CH,MATCH($D14,'INPUT SUMATIF'!$D:$D,0),MATCH($X$2,'INPUT SUMATIF'!$A$2:$CH$2,0)),"")
),"")</f>
        <v>79</v>
      </c>
      <c r="X14" s="224" t="s">
        <v>235</v>
      </c>
      <c r="Y14" s="227">
        <f t="array" ref="Y14">iferror(AVERAGE(
IFERROR(INDEX('INPUT SUMATIF'!$A:$CH,MATCH($D14,'INPUT SUMATIF'!$D:$D,0),MATCH($Y$2,'INPUT SUMATIF'!$A$2:$CH$2,0)),""),
IFERROR(INDEX('INPUT SUMATIF'!$A:$CH,MATCH($D14,'INPUT SUMATIF'!$D:$D,0),MATCH($Z$2,'INPUT SUMATIF'!$A$2:$CH$2,0)),"")
),"")</f>
        <v>80</v>
      </c>
      <c r="Z14" s="228" t="s">
        <v>236</v>
      </c>
      <c r="AA14" s="227">
        <f t="array" ref="AA14">iferror(AVERAGE(
IFERROR(INDEX('INPUT SUMATIF'!$A:$CH,MATCH($D14,'INPUT SUMATIF'!$D:$D,0),MATCH($AA$2,'INPUT SUMATIF'!$A$2:$CH$2,0)),""),
IFERROR(INDEX('INPUT SUMATIF'!$A:$CH,MATCH($D14,'INPUT SUMATIF'!$D:$D,0),MATCH($AB$2,'INPUT SUMATIF'!$A$2:$CH$2,0)),"")
),"")</f>
        <v>82.5</v>
      </c>
      <c r="AB14" s="180" t="s">
        <v>237</v>
      </c>
      <c r="AC14" s="227">
        <f t="array" ref="AC14">iferror(AVERAGE(
IFERROR(INDEX('INPUT SUMATIF'!$A:$CH,MATCH($D14,'INPUT SUMATIF'!$D:$D,0),MATCH($AC$2,'INPUT SUMATIF'!$A$2:$CH$2,0)),""),
IFERROR(INDEX('INPUT SUMATIF'!$A:$CH,MATCH($D14,'INPUT SUMATIF'!$D:$D,0),MATCH($AD$2,'INPUT SUMATIF'!$A$2:$CH$2,0)),"")
),"")</f>
        <v>84.83333333</v>
      </c>
      <c r="AD14" s="180" t="s">
        <v>238</v>
      </c>
      <c r="AE14" s="227">
        <f t="array" ref="AE14">iferror(AVERAGE(
IFERROR(INDEX('INPUT SUMATIF'!$A:$CH,MATCH($D14,'INPUT SUMATIF'!$D:$D,0),MATCH($AE$2,'INPUT SUMATIF'!$A$2:$CH$2,0)),""),
IFERROR(INDEX('INPUT SUMATIF'!$A:$CH,MATCH($D14,'INPUT SUMATIF'!$D:$D,0),MATCH($AF$2,'INPUT SUMATIF'!$A$2:$CH$2,0)),"")
),"")</f>
        <v>78</v>
      </c>
      <c r="AF14" s="180" t="s">
        <v>239</v>
      </c>
      <c r="AG14" s="237" t="str">
        <f t="array" ref="AG14">iferror(AVERAGE(
IFERROR(INDEX('INPUT SUMATIF'!$A:$CH,MATCH($D14,'INPUT SUMATIF'!$D:$D,0),MATCH($AG$2,'INPUT SUMATIF'!$A$2:$CH$2,0)),""),
IFERROR(INDEX('INPUT SUMATIF'!$A:$CH,MATCH($D14,'INPUT SUMATIF'!$D:$D,0),MATCH($AH$2,'INPUT SUMATIF'!$A$2:$CH$2,0)),"")
),"")</f>
        <v/>
      </c>
      <c r="AH14" s="180"/>
      <c r="AI14" s="237" t="str">
        <f t="array" ref="AI14">iferror(AVERAGE(
IFERROR(INDEX('INPUT SUMATIF'!$A:$CH,MATCH($D14,'INPUT SUMATIF'!$D:$D,0),MATCH($AI$2,'INPUT SUMATIF'!$A$2:$CH$2,0)),""),
IFERROR(INDEX('INPUT SUMATIF'!$A:$CH,MATCH($D14,'INPUT SUMATIF'!$D:$D,0),MATCH($AJ$2,'INPUT SUMATIF'!$A$2:$CH$2,0)),"")
),"")</f>
        <v/>
      </c>
      <c r="AJ14" s="180"/>
      <c r="AK14" s="186" t="str">
        <f t="array" ref="AK14">iferror(AVERAGE(
IFERROR(INDEX('INPUT SUMATIF'!$A:$CH,MATCH($D14,'INPUT SUMATIF'!$D:$D,0),MATCH($AK$2,'INPUT SUMATIF'!$A$2:$CH$2,0)),""),
IFERROR(INDEX('INPUT SUMATIF'!$A:$CH,MATCH($D14,'INPUT SUMATIF'!$D:$D,0),MATCH($AL$2,'INPUT SUMATIF'!$A$2:$CH$2,0)),"")
),"")</f>
        <v/>
      </c>
      <c r="AL14" s="244"/>
      <c r="AM14" s="253" t="s">
        <v>240</v>
      </c>
      <c r="AN14" s="255"/>
      <c r="AO14" s="253"/>
      <c r="AP14" s="253"/>
      <c r="AQ14" s="260"/>
      <c r="AR14" s="263" t="s">
        <v>357</v>
      </c>
      <c r="AS14" s="265"/>
      <c r="AT14" s="265" t="s">
        <v>358</v>
      </c>
      <c r="AU14" s="265"/>
      <c r="AV14" s="265" t="s">
        <v>359</v>
      </c>
      <c r="AW14" s="265"/>
      <c r="AX14" s="265" t="s">
        <v>135</v>
      </c>
      <c r="AY14" s="265" t="s">
        <v>213</v>
      </c>
      <c r="AZ14" s="265" t="s">
        <v>213</v>
      </c>
      <c r="BA14" s="267" t="s">
        <v>241</v>
      </c>
      <c r="BB14" s="268" t="s">
        <v>248</v>
      </c>
    </row>
    <row r="15" ht="15.75" customHeight="1">
      <c r="A15" s="270">
        <f>IFERROR(__xludf.DUMMYFUNCTION("""COMPUTED_VALUE"""),12.0)</f>
        <v>12</v>
      </c>
      <c r="B15" s="270" t="str">
        <f>IFERROR(__xludf.DUMMYFUNCTION("""COMPUTED_VALUE"""),"2526100425")</f>
        <v>2526100425</v>
      </c>
      <c r="C15" s="270" t="str">
        <f>IFERROR(__xludf.DUMMYFUNCTION("""COMPUTED_VALUE"""),"0095318140")</f>
        <v>0095318140</v>
      </c>
      <c r="D15" s="274" t="str">
        <f>IFERROR(__xludf.DUMMYFUNCTION("""COMPUTED_VALUE"""),"INDRA NURMAN")</f>
        <v>INDRA NURMAN</v>
      </c>
      <c r="E15" s="277" t="str">
        <f>IFERROR(__xludf.DUMMYFUNCTION("""COMPUTED_VALUE"""),"X TO 4")</f>
        <v>X TO 4</v>
      </c>
      <c r="F15" s="277" t="s">
        <v>220</v>
      </c>
      <c r="G15" s="175">
        <f t="array" ref="G15">IFERROR(AVERAGE(
IFERROR(INDEX('INPUT SUMATIF'!$A:$CH,MATCH($D15,'INPUT SUMATIF'!$D:$D,0),MATCH($G$2,'INPUT SUMATIF'!$A$2:$CH$2,0)),""),
IFERROR(INDEX('INPUT SUMATIF'!$A:$CH,MATCH($D15,'INPUT SUMATIF'!$D:$D,0),MATCH($H$2,'INPUT SUMATIF'!$A$2:$CH$2,0)),"")
),"")</f>
        <v>77.5</v>
      </c>
      <c r="H15" s="180" t="s">
        <v>215</v>
      </c>
      <c r="I15" s="186">
        <f t="array" ref="I15">iferror(AVERAGE(
IFERROR(INDEX('INPUT SUMATIF'!$A:$CH,MATCH($D15,'INPUT SUMATIF'!$D:$D,0),MATCH($I$2,'INPUT SUMATIF'!$A$2:$CH$2,0)),""),
IFERROR(INDEX('INPUT SUMATIF'!$A:$CH,MATCH($D15,'INPUT SUMATIF'!$D:$D,0),MATCH($J$2,'INPUT SUMATIF'!$A$2:$CH$2,0)),"")
),"")</f>
        <v>80.75</v>
      </c>
      <c r="J15" s="180" t="s">
        <v>360</v>
      </c>
      <c r="K15" s="192">
        <f t="array" ref="K15">iferror(AVERAGE(
IFERROR(INDEX('INPUT SUMATIF'!$A:$CH,MATCH($D15,'INPUT SUMATIF'!$D:$D,0),MATCH($K$2,'INPUT SUMATIF'!$A$2:$CH$2,0)),""),
IFERROR(INDEX('INPUT SUMATIF'!$A:$CH,MATCH($D15,'INPUT SUMATIF'!$D:$D,0),MATCH($L$2,'INPUT SUMATIF'!$A$2:$CH$2,0)),"")
),"")</f>
        <v>79.66666667</v>
      </c>
      <c r="L15" s="180" t="s">
        <v>219</v>
      </c>
      <c r="M15" s="196">
        <f t="array" ref="M15">iferror(AVERAGE(
IFERROR(INDEX('INPUT SUMATIF'!$A:$CH,MATCH($D15,'INPUT SUMATIF'!$D:$D,0),MATCH($M$2,'INPUT SUMATIF'!$A$2:$CH$2,0)),""),
IFERROR(INDEX('INPUT SUMATIF'!$A:$CH,MATCH($D15,'INPUT SUMATIF'!$D:$D,0),MATCH($N$2,'INPUT SUMATIF'!$A$2:$CH$2,0)),"")
),"")</f>
        <v>84</v>
      </c>
      <c r="N15" s="201" t="s">
        <v>221</v>
      </c>
      <c r="O15" s="206">
        <f t="array" ref="O15">iferror(AVERAGE(
IFERROR(INDEX('INPUT SUMATIF'!$A:$CH,MATCH($D15,'INPUT SUMATIF'!$D:$D,0),MATCH($O$2,'INPUT SUMATIF'!$A$2:$CH$2,0)),""),
IFERROR(INDEX('INPUT SUMATIF'!$A:$CH,MATCH($D15,'INPUT SUMATIF'!$D:$D,0),MATCH($P$2,'INPUT SUMATIF'!$A$2:$CH$2,0)),"")
),"")</f>
        <v>81</v>
      </c>
      <c r="P15" s="180" t="s">
        <v>222</v>
      </c>
      <c r="Q15" s="210">
        <f t="array" ref="Q15">iferror(AVERAGE(
IFERROR(INDEX('INPUT SUMATIF'!$A:$CH,MATCH($D15,'INPUT SUMATIF'!$D:$D,0),MATCH($Q$2,'INPUT SUMATIF'!$A$2:$CH$2,0)),""),
IFERROR(INDEX('INPUT SUMATIF'!$A:$CH,MATCH($D15,'INPUT SUMATIF'!$D:$D,0),MATCH($R$2,'INPUT SUMATIF'!$A$2:$CH$2,0)),"")
),"")</f>
        <v>89.5</v>
      </c>
      <c r="R15" s="180" t="s">
        <v>229</v>
      </c>
      <c r="S15" s="215">
        <f t="array" ref="S15">iferror(AVERAGE(
IFERROR(INDEX('INPUT SUMATIF'!$A:$CH,MATCH($D15,'INPUT SUMATIF'!$D:$D,0),MATCH($S$2,'INPUT SUMATIF'!$A$2:$CH$2,0)),""),
IFERROR(INDEX('INPUT SUMATIF'!$A:$CH,MATCH($D15,'INPUT SUMATIF'!$D:$D,0),MATCH($T$2,'INPUT SUMATIF'!$A$2:$CH$2,0)),"")
),"")</f>
        <v>85.33333333</v>
      </c>
      <c r="T15" s="180" t="s">
        <v>233</v>
      </c>
      <c r="U15" s="221">
        <f t="array" ref="U15">iferror(AVERAGE(
IFERROR(INDEX('INPUT SUMATIF'!$A:$CH,MATCH($D15,'INPUT SUMATIF'!$D:$D,0),MATCH($U$2,'INPUT SUMATIF'!$A$2:$CH$2,0)),""),
IFERROR(INDEX('INPUT SUMATIF'!$A:$CH,MATCH($D15,'INPUT SUMATIF'!$D:$D,0),MATCH($V$2,'INPUT SUMATIF'!$A$2:$CH$2,0)),"")
),"")</f>
        <v>83</v>
      </c>
      <c r="V15" s="180" t="s">
        <v>234</v>
      </c>
      <c r="W15" s="175">
        <f t="array" ref="W15">iferror(AVERAGE(
IFERROR(INDEX('INPUT SUMATIF'!$A:$CH,MATCH($D15,'INPUT SUMATIF'!$D:$D,0),MATCH($W$2,'INPUT SUMATIF'!$A$2:$CH$2,0)),""),
IFERROR(INDEX('INPUT SUMATIF'!$A:$CH,MATCH($D15,'INPUT SUMATIF'!$D:$D,0),MATCH($X$2,'INPUT SUMATIF'!$A$2:$CH$2,0)),"")
),"")</f>
        <v>76.33333333</v>
      </c>
      <c r="X15" s="224" t="s">
        <v>235</v>
      </c>
      <c r="Y15" s="227">
        <f t="array" ref="Y15">iferror(AVERAGE(
IFERROR(INDEX('INPUT SUMATIF'!$A:$CH,MATCH($D15,'INPUT SUMATIF'!$D:$D,0),MATCH($Y$2,'INPUT SUMATIF'!$A$2:$CH$2,0)),""),
IFERROR(INDEX('INPUT SUMATIF'!$A:$CH,MATCH($D15,'INPUT SUMATIF'!$D:$D,0),MATCH($Z$2,'INPUT SUMATIF'!$A$2:$CH$2,0)),"")
),"")</f>
        <v>80</v>
      </c>
      <c r="Z15" s="228" t="s">
        <v>236</v>
      </c>
      <c r="AA15" s="227">
        <f t="array" ref="AA15">iferror(AVERAGE(
IFERROR(INDEX('INPUT SUMATIF'!$A:$CH,MATCH($D15,'INPUT SUMATIF'!$D:$D,0),MATCH($AA$2,'INPUT SUMATIF'!$A$2:$CH$2,0)),""),
IFERROR(INDEX('INPUT SUMATIF'!$A:$CH,MATCH($D15,'INPUT SUMATIF'!$D:$D,0),MATCH($AB$2,'INPUT SUMATIF'!$A$2:$CH$2,0)),"")
),"")</f>
        <v>54.33333333</v>
      </c>
      <c r="AB15" s="180" t="s">
        <v>237</v>
      </c>
      <c r="AC15" s="227">
        <f t="array" ref="AC15">iferror(AVERAGE(
IFERROR(INDEX('INPUT SUMATIF'!$A:$CH,MATCH($D15,'INPUT SUMATIF'!$D:$D,0),MATCH($AC$2,'INPUT SUMATIF'!$A$2:$CH$2,0)),""),
IFERROR(INDEX('INPUT SUMATIF'!$A:$CH,MATCH($D15,'INPUT SUMATIF'!$D:$D,0),MATCH($AD$2,'INPUT SUMATIF'!$A$2:$CH$2,0)),"")
),"")</f>
        <v>80.83333333</v>
      </c>
      <c r="AD15" s="180" t="s">
        <v>238</v>
      </c>
      <c r="AE15" s="227">
        <f t="array" ref="AE15">iferror(AVERAGE(
IFERROR(INDEX('INPUT SUMATIF'!$A:$CH,MATCH($D15,'INPUT SUMATIF'!$D:$D,0),MATCH($AE$2,'INPUT SUMATIF'!$A$2:$CH$2,0)),""),
IFERROR(INDEX('INPUT SUMATIF'!$A:$CH,MATCH($D15,'INPUT SUMATIF'!$D:$D,0),MATCH($AF$2,'INPUT SUMATIF'!$A$2:$CH$2,0)),"")
),"")</f>
        <v>77.66666667</v>
      </c>
      <c r="AF15" s="289" t="s">
        <v>239</v>
      </c>
      <c r="AG15" s="237" t="str">
        <f t="array" ref="AG15">iferror(AVERAGE(
IFERROR(INDEX('INPUT SUMATIF'!$A:$CH,MATCH($D15,'INPUT SUMATIF'!$D:$D,0),MATCH($AG$2,'INPUT SUMATIF'!$A$2:$CH$2,0)),""),
IFERROR(INDEX('INPUT SUMATIF'!$A:$CH,MATCH($D15,'INPUT SUMATIF'!$D:$D,0),MATCH($AH$2,'INPUT SUMATIF'!$A$2:$CH$2,0)),"")
),"")</f>
        <v/>
      </c>
      <c r="AH15" s="289"/>
      <c r="AI15" s="237" t="str">
        <f t="array" ref="AI15">iferror(AVERAGE(
IFERROR(INDEX('INPUT SUMATIF'!$A:$CH,MATCH($D15,'INPUT SUMATIF'!$D:$D,0),MATCH($AI$2,'INPUT SUMATIF'!$A$2:$CH$2,0)),""),
IFERROR(INDEX('INPUT SUMATIF'!$A:$CH,MATCH($D15,'INPUT SUMATIF'!$D:$D,0),MATCH($AJ$2,'INPUT SUMATIF'!$A$2:$CH$2,0)),"")
),"")</f>
        <v/>
      </c>
      <c r="AJ15" s="289"/>
      <c r="AK15" s="186" t="str">
        <f t="array" ref="AK15">iferror(AVERAGE(
IFERROR(INDEX('INPUT SUMATIF'!$A:$CH,MATCH($D15,'INPUT SUMATIF'!$D:$D,0),MATCH($AK$2,'INPUT SUMATIF'!$A$2:$CH$2,0)),""),
IFERROR(INDEX('INPUT SUMATIF'!$A:$CH,MATCH($D15,'INPUT SUMATIF'!$D:$D,0),MATCH($AL$2,'INPUT SUMATIF'!$A$2:$CH$2,0)),"")
),"")</f>
        <v/>
      </c>
      <c r="AL15" s="292"/>
      <c r="AM15" s="253" t="s">
        <v>240</v>
      </c>
      <c r="AN15" s="294"/>
      <c r="AO15" s="293"/>
      <c r="AP15" s="293"/>
      <c r="AQ15" s="296"/>
      <c r="AR15" s="298"/>
      <c r="AS15" s="267"/>
      <c r="AT15" s="267"/>
      <c r="AU15" s="267"/>
      <c r="AV15" s="267"/>
      <c r="AW15" s="267"/>
      <c r="AX15" s="267" t="s">
        <v>135</v>
      </c>
      <c r="AY15" s="267" t="s">
        <v>135</v>
      </c>
      <c r="AZ15" s="267" t="s">
        <v>213</v>
      </c>
      <c r="BA15" s="267" t="s">
        <v>241</v>
      </c>
      <c r="BB15" s="302" t="s">
        <v>248</v>
      </c>
    </row>
    <row r="16" ht="15.75" customHeight="1">
      <c r="A16" s="159">
        <f>IFERROR(__xludf.DUMMYFUNCTION("""COMPUTED_VALUE"""),13.0)</f>
        <v>13</v>
      </c>
      <c r="B16" s="159" t="str">
        <f>IFERROR(__xludf.DUMMYFUNCTION("""COMPUTED_VALUE"""),"2526100426")</f>
        <v>2526100426</v>
      </c>
      <c r="C16" s="159" t="str">
        <f>IFERROR(__xludf.DUMMYFUNCTION("""COMPUTED_VALUE"""),"3109448408")</f>
        <v>3109448408</v>
      </c>
      <c r="D16" s="164" t="str">
        <f>IFERROR(__xludf.DUMMYFUNCTION("""COMPUTED_VALUE"""),"IWAN SOPYAN")</f>
        <v>IWAN SOPYAN</v>
      </c>
      <c r="E16" s="165" t="str">
        <f>IFERROR(__xludf.DUMMYFUNCTION("""COMPUTED_VALUE"""),"X TO 4")</f>
        <v>X TO 4</v>
      </c>
      <c r="F16" s="165" t="s">
        <v>220</v>
      </c>
      <c r="G16" s="175">
        <f t="array" ref="G16">IFERROR(AVERAGE(
IFERROR(INDEX('INPUT SUMATIF'!$A:$CH,MATCH($D16,'INPUT SUMATIF'!$D:$D,0),MATCH($G$2,'INPUT SUMATIF'!$A$2:$CH$2,0)),""),
IFERROR(INDEX('INPUT SUMATIF'!$A:$CH,MATCH($D16,'INPUT SUMATIF'!$D:$D,0),MATCH($H$2,'INPUT SUMATIF'!$A$2:$CH$2,0)),"")
),"")</f>
        <v>78.75</v>
      </c>
      <c r="H16" s="180" t="s">
        <v>215</v>
      </c>
      <c r="I16" s="186">
        <f t="array" ref="I16">iferror(AVERAGE(
IFERROR(INDEX('INPUT SUMATIF'!$A:$CH,MATCH($D16,'INPUT SUMATIF'!$D:$D,0),MATCH($I$2,'INPUT SUMATIF'!$A$2:$CH$2,0)),""),
IFERROR(INDEX('INPUT SUMATIF'!$A:$CH,MATCH($D16,'INPUT SUMATIF'!$D:$D,0),MATCH($J$2,'INPUT SUMATIF'!$A$2:$CH$2,0)),"")
),"")</f>
        <v>82.25</v>
      </c>
      <c r="J16" s="180" t="s">
        <v>369</v>
      </c>
      <c r="K16" s="192">
        <f t="array" ref="K16">iferror(AVERAGE(
IFERROR(INDEX('INPUT SUMATIF'!$A:$CH,MATCH($D16,'INPUT SUMATIF'!$D:$D,0),MATCH($K$2,'INPUT SUMATIF'!$A$2:$CH$2,0)),""),
IFERROR(INDEX('INPUT SUMATIF'!$A:$CH,MATCH($D16,'INPUT SUMATIF'!$D:$D,0),MATCH($L$2,'INPUT SUMATIF'!$A$2:$CH$2,0)),"")
),"")</f>
        <v>85</v>
      </c>
      <c r="L16" s="180" t="s">
        <v>219</v>
      </c>
      <c r="M16" s="196">
        <f t="array" ref="M16">iferror(AVERAGE(
IFERROR(INDEX('INPUT SUMATIF'!$A:$CH,MATCH($D16,'INPUT SUMATIF'!$D:$D,0),MATCH($M$2,'INPUT SUMATIF'!$A$2:$CH$2,0)),""),
IFERROR(INDEX('INPUT SUMATIF'!$A:$CH,MATCH($D16,'INPUT SUMATIF'!$D:$D,0),MATCH($N$2,'INPUT SUMATIF'!$A$2:$CH$2,0)),"")
),"")</f>
        <v>82.75</v>
      </c>
      <c r="N16" s="201" t="s">
        <v>221</v>
      </c>
      <c r="O16" s="206">
        <f t="array" ref="O16">iferror(AVERAGE(
IFERROR(INDEX('INPUT SUMATIF'!$A:$CH,MATCH($D16,'INPUT SUMATIF'!$D:$D,0),MATCH($O$2,'INPUT SUMATIF'!$A$2:$CH$2,0)),""),
IFERROR(INDEX('INPUT SUMATIF'!$A:$CH,MATCH($D16,'INPUT SUMATIF'!$D:$D,0),MATCH($P$2,'INPUT SUMATIF'!$A$2:$CH$2,0)),"")
),"")</f>
        <v>81</v>
      </c>
      <c r="P16" s="180" t="s">
        <v>222</v>
      </c>
      <c r="Q16" s="210">
        <f t="array" ref="Q16">iferror(AVERAGE(
IFERROR(INDEX('INPUT SUMATIF'!$A:$CH,MATCH($D16,'INPUT SUMATIF'!$D:$D,0),MATCH($Q$2,'INPUT SUMATIF'!$A$2:$CH$2,0)),""),
IFERROR(INDEX('INPUT SUMATIF'!$A:$CH,MATCH($D16,'INPUT SUMATIF'!$D:$D,0),MATCH($R$2,'INPUT SUMATIF'!$A$2:$CH$2,0)),"")
),"")</f>
        <v>89.16666667</v>
      </c>
      <c r="R16" s="180" t="s">
        <v>229</v>
      </c>
      <c r="S16" s="215">
        <f t="array" ref="S16">iferror(AVERAGE(
IFERROR(INDEX('INPUT SUMATIF'!$A:$CH,MATCH($D16,'INPUT SUMATIF'!$D:$D,0),MATCH($S$2,'INPUT SUMATIF'!$A$2:$CH$2,0)),""),
IFERROR(INDEX('INPUT SUMATIF'!$A:$CH,MATCH($D16,'INPUT SUMATIF'!$D:$D,0),MATCH($T$2,'INPUT SUMATIF'!$A$2:$CH$2,0)),"")
),"")</f>
        <v>85.16666667</v>
      </c>
      <c r="T16" s="180" t="s">
        <v>233</v>
      </c>
      <c r="U16" s="221">
        <f t="array" ref="U16">iferror(AVERAGE(
IFERROR(INDEX('INPUT SUMATIF'!$A:$CH,MATCH($D16,'INPUT SUMATIF'!$D:$D,0),MATCH($U$2,'INPUT SUMATIF'!$A$2:$CH$2,0)),""),
IFERROR(INDEX('INPUT SUMATIF'!$A:$CH,MATCH($D16,'INPUT SUMATIF'!$D:$D,0),MATCH($V$2,'INPUT SUMATIF'!$A$2:$CH$2,0)),"")
),"")</f>
        <v>82</v>
      </c>
      <c r="V16" s="180" t="s">
        <v>234</v>
      </c>
      <c r="W16" s="175">
        <f t="array" ref="W16">iferror(AVERAGE(
IFERROR(INDEX('INPUT SUMATIF'!$A:$CH,MATCH($D16,'INPUT SUMATIF'!$D:$D,0),MATCH($W$2,'INPUT SUMATIF'!$A$2:$CH$2,0)),""),
IFERROR(INDEX('INPUT SUMATIF'!$A:$CH,MATCH($D16,'INPUT SUMATIF'!$D:$D,0),MATCH($X$2,'INPUT SUMATIF'!$A$2:$CH$2,0)),"")
),"")</f>
        <v>79</v>
      </c>
      <c r="X16" s="224" t="s">
        <v>235</v>
      </c>
      <c r="Y16" s="227">
        <f t="array" ref="Y16">iferror(AVERAGE(
IFERROR(INDEX('INPUT SUMATIF'!$A:$CH,MATCH($D16,'INPUT SUMATIF'!$D:$D,0),MATCH($Y$2,'INPUT SUMATIF'!$A$2:$CH$2,0)),""),
IFERROR(INDEX('INPUT SUMATIF'!$A:$CH,MATCH($D16,'INPUT SUMATIF'!$D:$D,0),MATCH($Z$2,'INPUT SUMATIF'!$A$2:$CH$2,0)),"")
),"")</f>
        <v>80</v>
      </c>
      <c r="Z16" s="228" t="s">
        <v>236</v>
      </c>
      <c r="AA16" s="227">
        <f t="array" ref="AA16">iferror(AVERAGE(
IFERROR(INDEX('INPUT SUMATIF'!$A:$CH,MATCH($D16,'INPUT SUMATIF'!$D:$D,0),MATCH($AA$2,'INPUT SUMATIF'!$A$2:$CH$2,0)),""),
IFERROR(INDEX('INPUT SUMATIF'!$A:$CH,MATCH($D16,'INPUT SUMATIF'!$D:$D,0),MATCH($AB$2,'INPUT SUMATIF'!$A$2:$CH$2,0)),"")
),"")</f>
        <v>55.66666667</v>
      </c>
      <c r="AB16" s="180" t="s">
        <v>237</v>
      </c>
      <c r="AC16" s="227">
        <f t="array" ref="AC16">iferror(AVERAGE(
IFERROR(INDEX('INPUT SUMATIF'!$A:$CH,MATCH($D16,'INPUT SUMATIF'!$D:$D,0),MATCH($AC$2,'INPUT SUMATIF'!$A$2:$CH$2,0)),""),
IFERROR(INDEX('INPUT SUMATIF'!$A:$CH,MATCH($D16,'INPUT SUMATIF'!$D:$D,0),MATCH($AD$2,'INPUT SUMATIF'!$A$2:$CH$2,0)),"")
),"")</f>
        <v>80.83333333</v>
      </c>
      <c r="AD16" s="180" t="s">
        <v>238</v>
      </c>
      <c r="AE16" s="227">
        <f t="array" ref="AE16">iferror(AVERAGE(
IFERROR(INDEX('INPUT SUMATIF'!$A:$CH,MATCH($D16,'INPUT SUMATIF'!$D:$D,0),MATCH($AE$2,'INPUT SUMATIF'!$A$2:$CH$2,0)),""),
IFERROR(INDEX('INPUT SUMATIF'!$A:$CH,MATCH($D16,'INPUT SUMATIF'!$D:$D,0),MATCH($AF$2,'INPUT SUMATIF'!$A$2:$CH$2,0)),"")
),"")</f>
        <v>79.66666667</v>
      </c>
      <c r="AF16" s="180" t="s">
        <v>239</v>
      </c>
      <c r="AG16" s="237" t="str">
        <f t="array" ref="AG16">iferror(AVERAGE(
IFERROR(INDEX('INPUT SUMATIF'!$A:$CH,MATCH($D16,'INPUT SUMATIF'!$D:$D,0),MATCH($AG$2,'INPUT SUMATIF'!$A$2:$CH$2,0)),""),
IFERROR(INDEX('INPUT SUMATIF'!$A:$CH,MATCH($D16,'INPUT SUMATIF'!$D:$D,0),MATCH($AH$2,'INPUT SUMATIF'!$A$2:$CH$2,0)),"")
),"")</f>
        <v/>
      </c>
      <c r="AH16" s="180"/>
      <c r="AI16" s="237" t="str">
        <f t="array" ref="AI16">iferror(AVERAGE(
IFERROR(INDEX('INPUT SUMATIF'!$A:$CH,MATCH($D16,'INPUT SUMATIF'!$D:$D,0),MATCH($AI$2,'INPUT SUMATIF'!$A$2:$CH$2,0)),""),
IFERROR(INDEX('INPUT SUMATIF'!$A:$CH,MATCH($D16,'INPUT SUMATIF'!$D:$D,0),MATCH($AJ$2,'INPUT SUMATIF'!$A$2:$CH$2,0)),"")
),"")</f>
        <v/>
      </c>
      <c r="AJ16" s="180"/>
      <c r="AK16" s="186" t="str">
        <f t="array" ref="AK16">iferror(AVERAGE(
IFERROR(INDEX('INPUT SUMATIF'!$A:$CH,MATCH($D16,'INPUT SUMATIF'!$D:$D,0),MATCH($AK$2,'INPUT SUMATIF'!$A$2:$CH$2,0)),""),
IFERROR(INDEX('INPUT SUMATIF'!$A:$CH,MATCH($D16,'INPUT SUMATIF'!$D:$D,0),MATCH($AL$2,'INPUT SUMATIF'!$A$2:$CH$2,0)),"")
),"")</f>
        <v/>
      </c>
      <c r="AL16" s="244"/>
      <c r="AM16" s="253" t="s">
        <v>240</v>
      </c>
      <c r="AN16" s="255"/>
      <c r="AO16" s="253"/>
      <c r="AP16" s="253"/>
      <c r="AQ16" s="260"/>
      <c r="AR16" s="263"/>
      <c r="AS16" s="265"/>
      <c r="AT16" s="265"/>
      <c r="AU16" s="265"/>
      <c r="AV16" s="265"/>
      <c r="AW16" s="265"/>
      <c r="AX16" s="265" t="s">
        <v>143</v>
      </c>
      <c r="AY16" s="265" t="s">
        <v>213</v>
      </c>
      <c r="AZ16" s="265" t="s">
        <v>213</v>
      </c>
      <c r="BA16" s="267" t="s">
        <v>241</v>
      </c>
      <c r="BB16" s="268" t="s">
        <v>248</v>
      </c>
    </row>
    <row r="17" ht="15.75" customHeight="1">
      <c r="A17" s="270">
        <f>IFERROR(__xludf.DUMMYFUNCTION("""COMPUTED_VALUE"""),14.0)</f>
        <v>14</v>
      </c>
      <c r="B17" s="270" t="str">
        <f>IFERROR(__xludf.DUMMYFUNCTION("""COMPUTED_VALUE"""),"2526100427")</f>
        <v>2526100427</v>
      </c>
      <c r="C17" s="270" t="str">
        <f>IFERROR(__xludf.DUMMYFUNCTION("""COMPUTED_VALUE"""),"0097319943")</f>
        <v>0097319943</v>
      </c>
      <c r="D17" s="274" t="str">
        <f>IFERROR(__xludf.DUMMYFUNCTION("""COMPUTED_VALUE"""),"JEJEN JAENI")</f>
        <v>JEJEN JAENI</v>
      </c>
      <c r="E17" s="277" t="str">
        <f>IFERROR(__xludf.DUMMYFUNCTION("""COMPUTED_VALUE"""),"X TO 4")</f>
        <v>X TO 4</v>
      </c>
      <c r="F17" s="277" t="s">
        <v>220</v>
      </c>
      <c r="G17" s="175">
        <f t="array" ref="G17">IFERROR(AVERAGE(
IFERROR(INDEX('INPUT SUMATIF'!$A:$CH,MATCH($D17,'INPUT SUMATIF'!$D:$D,0),MATCH($G$2,'INPUT SUMATIF'!$A$2:$CH$2,0)),""),
IFERROR(INDEX('INPUT SUMATIF'!$A:$CH,MATCH($D17,'INPUT SUMATIF'!$D:$D,0),MATCH($H$2,'INPUT SUMATIF'!$A$2:$CH$2,0)),"")
),"")</f>
        <v>80.25</v>
      </c>
      <c r="H17" s="180" t="s">
        <v>215</v>
      </c>
      <c r="I17" s="186">
        <f t="array" ref="I17">iferror(AVERAGE(
IFERROR(INDEX('INPUT SUMATIF'!$A:$CH,MATCH($D17,'INPUT SUMATIF'!$D:$D,0),MATCH($I$2,'INPUT SUMATIF'!$A$2:$CH$2,0)),""),
IFERROR(INDEX('INPUT SUMATIF'!$A:$CH,MATCH($D17,'INPUT SUMATIF'!$D:$D,0),MATCH($J$2,'INPUT SUMATIF'!$A$2:$CH$2,0)),"")
),"")</f>
        <v>82.75</v>
      </c>
      <c r="J17" s="180" t="s">
        <v>374</v>
      </c>
      <c r="K17" s="192">
        <f t="array" ref="K17">iferror(AVERAGE(
IFERROR(INDEX('INPUT SUMATIF'!$A:$CH,MATCH($D17,'INPUT SUMATIF'!$D:$D,0),MATCH($K$2,'INPUT SUMATIF'!$A$2:$CH$2,0)),""),
IFERROR(INDEX('INPUT SUMATIF'!$A:$CH,MATCH($D17,'INPUT SUMATIF'!$D:$D,0),MATCH($L$2,'INPUT SUMATIF'!$A$2:$CH$2,0)),"")
),"")</f>
        <v>84</v>
      </c>
      <c r="L17" s="180" t="s">
        <v>219</v>
      </c>
      <c r="M17" s="196">
        <f t="array" ref="M17">iferror(AVERAGE(
IFERROR(INDEX('INPUT SUMATIF'!$A:$CH,MATCH($D17,'INPUT SUMATIF'!$D:$D,0),MATCH($M$2,'INPUT SUMATIF'!$A$2:$CH$2,0)),""),
IFERROR(INDEX('INPUT SUMATIF'!$A:$CH,MATCH($D17,'INPUT SUMATIF'!$D:$D,0),MATCH($N$2,'INPUT SUMATIF'!$A$2:$CH$2,0)),"")
),"")</f>
        <v>84.75</v>
      </c>
      <c r="N17" s="201" t="s">
        <v>221</v>
      </c>
      <c r="O17" s="206">
        <f t="array" ref="O17">iferror(AVERAGE(
IFERROR(INDEX('INPUT SUMATIF'!$A:$CH,MATCH($D17,'INPUT SUMATIF'!$D:$D,0),MATCH($O$2,'INPUT SUMATIF'!$A$2:$CH$2,0)),""),
IFERROR(INDEX('INPUT SUMATIF'!$A:$CH,MATCH($D17,'INPUT SUMATIF'!$D:$D,0),MATCH($P$2,'INPUT SUMATIF'!$A$2:$CH$2,0)),"")
),"")</f>
        <v>81</v>
      </c>
      <c r="P17" s="180" t="s">
        <v>222</v>
      </c>
      <c r="Q17" s="210">
        <f t="array" ref="Q17">iferror(AVERAGE(
IFERROR(INDEX('INPUT SUMATIF'!$A:$CH,MATCH($D17,'INPUT SUMATIF'!$D:$D,0),MATCH($Q$2,'INPUT SUMATIF'!$A$2:$CH$2,0)),""),
IFERROR(INDEX('INPUT SUMATIF'!$A:$CH,MATCH($D17,'INPUT SUMATIF'!$D:$D,0),MATCH($R$2,'INPUT SUMATIF'!$A$2:$CH$2,0)),"")
),"")</f>
        <v>88.5</v>
      </c>
      <c r="R17" s="180" t="s">
        <v>229</v>
      </c>
      <c r="S17" s="215">
        <f t="array" ref="S17">iferror(AVERAGE(
IFERROR(INDEX('INPUT SUMATIF'!$A:$CH,MATCH($D17,'INPUT SUMATIF'!$D:$D,0),MATCH($S$2,'INPUT SUMATIF'!$A$2:$CH$2,0)),""),
IFERROR(INDEX('INPUT SUMATIF'!$A:$CH,MATCH($D17,'INPUT SUMATIF'!$D:$D,0),MATCH($T$2,'INPUT SUMATIF'!$A$2:$CH$2,0)),"")
),"")</f>
        <v>84.5</v>
      </c>
      <c r="T17" s="180" t="s">
        <v>233</v>
      </c>
      <c r="U17" s="221">
        <f t="array" ref="U17">iferror(AVERAGE(
IFERROR(INDEX('INPUT SUMATIF'!$A:$CH,MATCH($D17,'INPUT SUMATIF'!$D:$D,0),MATCH($U$2,'INPUT SUMATIF'!$A$2:$CH$2,0)),""),
IFERROR(INDEX('INPUT SUMATIF'!$A:$CH,MATCH($D17,'INPUT SUMATIF'!$D:$D,0),MATCH($V$2,'INPUT SUMATIF'!$A$2:$CH$2,0)),"")
),"")</f>
        <v>83</v>
      </c>
      <c r="V17" s="180" t="s">
        <v>234</v>
      </c>
      <c r="W17" s="175">
        <f t="array" ref="W17">iferror(AVERAGE(
IFERROR(INDEX('INPUT SUMATIF'!$A:$CH,MATCH($D17,'INPUT SUMATIF'!$D:$D,0),MATCH($W$2,'INPUT SUMATIF'!$A$2:$CH$2,0)),""),
IFERROR(INDEX('INPUT SUMATIF'!$A:$CH,MATCH($D17,'INPUT SUMATIF'!$D:$D,0),MATCH($X$2,'INPUT SUMATIF'!$A$2:$CH$2,0)),"")
),"")</f>
        <v>79.16666667</v>
      </c>
      <c r="X17" s="224" t="s">
        <v>235</v>
      </c>
      <c r="Y17" s="227">
        <f t="array" ref="Y17">iferror(AVERAGE(
IFERROR(INDEX('INPUT SUMATIF'!$A:$CH,MATCH($D17,'INPUT SUMATIF'!$D:$D,0),MATCH($Y$2,'INPUT SUMATIF'!$A$2:$CH$2,0)),""),
IFERROR(INDEX('INPUT SUMATIF'!$A:$CH,MATCH($D17,'INPUT SUMATIF'!$D:$D,0),MATCH($Z$2,'INPUT SUMATIF'!$A$2:$CH$2,0)),"")
),"")</f>
        <v>80</v>
      </c>
      <c r="Z17" s="228" t="s">
        <v>236</v>
      </c>
      <c r="AA17" s="227">
        <f t="array" ref="AA17">iferror(AVERAGE(
IFERROR(INDEX('INPUT SUMATIF'!$A:$CH,MATCH($D17,'INPUT SUMATIF'!$D:$D,0),MATCH($AA$2,'INPUT SUMATIF'!$A$2:$CH$2,0)),""),
IFERROR(INDEX('INPUT SUMATIF'!$A:$CH,MATCH($D17,'INPUT SUMATIF'!$D:$D,0),MATCH($AB$2,'INPUT SUMATIF'!$A$2:$CH$2,0)),"")
),"")</f>
        <v>82.83333333</v>
      </c>
      <c r="AB17" s="180" t="s">
        <v>237</v>
      </c>
      <c r="AC17" s="227">
        <f t="array" ref="AC17">iferror(AVERAGE(
IFERROR(INDEX('INPUT SUMATIF'!$A:$CH,MATCH($D17,'INPUT SUMATIF'!$D:$D,0),MATCH($AC$2,'INPUT SUMATIF'!$A$2:$CH$2,0)),""),
IFERROR(INDEX('INPUT SUMATIF'!$A:$CH,MATCH($D17,'INPUT SUMATIF'!$D:$D,0),MATCH($AD$2,'INPUT SUMATIF'!$A$2:$CH$2,0)),"")
),"")</f>
        <v>85</v>
      </c>
      <c r="AD17" s="180" t="s">
        <v>238</v>
      </c>
      <c r="AE17" s="227">
        <f t="array" ref="AE17">iferror(AVERAGE(
IFERROR(INDEX('INPUT SUMATIF'!$A:$CH,MATCH($D17,'INPUT SUMATIF'!$D:$D,0),MATCH($AE$2,'INPUT SUMATIF'!$A$2:$CH$2,0)),""),
IFERROR(INDEX('INPUT SUMATIF'!$A:$CH,MATCH($D17,'INPUT SUMATIF'!$D:$D,0),MATCH($AF$2,'INPUT SUMATIF'!$A$2:$CH$2,0)),"")
),"")</f>
        <v>77.66666667</v>
      </c>
      <c r="AF17" s="289" t="s">
        <v>239</v>
      </c>
      <c r="AG17" s="237" t="str">
        <f t="array" ref="AG17">iferror(AVERAGE(
IFERROR(INDEX('INPUT SUMATIF'!$A:$CH,MATCH($D17,'INPUT SUMATIF'!$D:$D,0),MATCH($AG$2,'INPUT SUMATIF'!$A$2:$CH$2,0)),""),
IFERROR(INDEX('INPUT SUMATIF'!$A:$CH,MATCH($D17,'INPUT SUMATIF'!$D:$D,0),MATCH($AH$2,'INPUT SUMATIF'!$A$2:$CH$2,0)),"")
),"")</f>
        <v/>
      </c>
      <c r="AH17" s="289"/>
      <c r="AI17" s="237" t="str">
        <f t="array" ref="AI17">iferror(AVERAGE(
IFERROR(INDEX('INPUT SUMATIF'!$A:$CH,MATCH($D17,'INPUT SUMATIF'!$D:$D,0),MATCH($AI$2,'INPUT SUMATIF'!$A$2:$CH$2,0)),""),
IFERROR(INDEX('INPUT SUMATIF'!$A:$CH,MATCH($D17,'INPUT SUMATIF'!$D:$D,0),MATCH($AJ$2,'INPUT SUMATIF'!$A$2:$CH$2,0)),"")
),"")</f>
        <v/>
      </c>
      <c r="AJ17" s="289"/>
      <c r="AK17" s="186" t="str">
        <f t="array" ref="AK17">iferror(AVERAGE(
IFERROR(INDEX('INPUT SUMATIF'!$A:$CH,MATCH($D17,'INPUT SUMATIF'!$D:$D,0),MATCH($AK$2,'INPUT SUMATIF'!$A$2:$CH$2,0)),""),
IFERROR(INDEX('INPUT SUMATIF'!$A:$CH,MATCH($D17,'INPUT SUMATIF'!$D:$D,0),MATCH($AL$2,'INPUT SUMATIF'!$A$2:$CH$2,0)),"")
),"")</f>
        <v/>
      </c>
      <c r="AL17" s="292"/>
      <c r="AM17" s="253" t="s">
        <v>240</v>
      </c>
      <c r="AN17" s="294"/>
      <c r="AO17" s="293"/>
      <c r="AP17" s="293"/>
      <c r="AQ17" s="296"/>
      <c r="AR17" s="298"/>
      <c r="AS17" s="267"/>
      <c r="AT17" s="267"/>
      <c r="AU17" s="267"/>
      <c r="AV17" s="267"/>
      <c r="AW17" s="267"/>
      <c r="AX17" s="267" t="s">
        <v>143</v>
      </c>
      <c r="AY17" s="267" t="s">
        <v>213</v>
      </c>
      <c r="AZ17" s="267" t="s">
        <v>213</v>
      </c>
      <c r="BA17" s="267" t="s">
        <v>241</v>
      </c>
      <c r="BB17" s="302" t="s">
        <v>248</v>
      </c>
    </row>
    <row r="18" ht="15.75" customHeight="1">
      <c r="A18" s="159">
        <f>IFERROR(__xludf.DUMMYFUNCTION("""COMPUTED_VALUE"""),15.0)</f>
        <v>15</v>
      </c>
      <c r="B18" s="159" t="str">
        <f>IFERROR(__xludf.DUMMYFUNCTION("""COMPUTED_VALUE"""),"2526100428")</f>
        <v>2526100428</v>
      </c>
      <c r="C18" s="159" t="str">
        <f>IFERROR(__xludf.DUMMYFUNCTION("""COMPUTED_VALUE"""),"0093753099")</f>
        <v>0093753099</v>
      </c>
      <c r="D18" s="164" t="str">
        <f>IFERROR(__xludf.DUMMYFUNCTION("""COMPUTED_VALUE"""),"M.HASAN ASARI")</f>
        <v>M.HASAN ASARI</v>
      </c>
      <c r="E18" s="165" t="str">
        <f>IFERROR(__xludf.DUMMYFUNCTION("""COMPUTED_VALUE"""),"X TO 4")</f>
        <v>X TO 4</v>
      </c>
      <c r="F18" s="165" t="s">
        <v>220</v>
      </c>
      <c r="G18" s="175">
        <f t="array" ref="G18">IFERROR(AVERAGE(
IFERROR(INDEX('INPUT SUMATIF'!$A:$CH,MATCH($D18,'INPUT SUMATIF'!$D:$D,0),MATCH($G$2,'INPUT SUMATIF'!$A$2:$CH$2,0)),""),
IFERROR(INDEX('INPUT SUMATIF'!$A:$CH,MATCH($D18,'INPUT SUMATIF'!$D:$D,0),MATCH($H$2,'INPUT SUMATIF'!$A$2:$CH$2,0)),"")
),"")</f>
        <v>81.25</v>
      </c>
      <c r="H18" s="180" t="s">
        <v>215</v>
      </c>
      <c r="I18" s="186">
        <f t="array" ref="I18">iferror(AVERAGE(
IFERROR(INDEX('INPUT SUMATIF'!$A:$CH,MATCH($D18,'INPUT SUMATIF'!$D:$D,0),MATCH($I$2,'INPUT SUMATIF'!$A$2:$CH$2,0)),""),
IFERROR(INDEX('INPUT SUMATIF'!$A:$CH,MATCH($D18,'INPUT SUMATIF'!$D:$D,0),MATCH($J$2,'INPUT SUMATIF'!$A$2:$CH$2,0)),"")
),"")</f>
        <v>81.25</v>
      </c>
      <c r="J18" s="180" t="s">
        <v>379</v>
      </c>
      <c r="K18" s="192">
        <f t="array" ref="K18">iferror(AVERAGE(
IFERROR(INDEX('INPUT SUMATIF'!$A:$CH,MATCH($D18,'INPUT SUMATIF'!$D:$D,0),MATCH($K$2,'INPUT SUMATIF'!$A$2:$CH$2,0)),""),
IFERROR(INDEX('INPUT SUMATIF'!$A:$CH,MATCH($D18,'INPUT SUMATIF'!$D:$D,0),MATCH($L$2,'INPUT SUMATIF'!$A$2:$CH$2,0)),"")
),"")</f>
        <v>84</v>
      </c>
      <c r="L18" s="180" t="s">
        <v>219</v>
      </c>
      <c r="M18" s="196">
        <f t="array" ref="M18">iferror(AVERAGE(
IFERROR(INDEX('INPUT SUMATIF'!$A:$CH,MATCH($D18,'INPUT SUMATIF'!$D:$D,0),MATCH($M$2,'INPUT SUMATIF'!$A$2:$CH$2,0)),""),
IFERROR(INDEX('INPUT SUMATIF'!$A:$CH,MATCH($D18,'INPUT SUMATIF'!$D:$D,0),MATCH($N$2,'INPUT SUMATIF'!$A$2:$CH$2,0)),"")
),"")</f>
        <v>85.5</v>
      </c>
      <c r="N18" s="201" t="s">
        <v>221</v>
      </c>
      <c r="O18" s="206">
        <f t="array" ref="O18">iferror(AVERAGE(
IFERROR(INDEX('INPUT SUMATIF'!$A:$CH,MATCH($D18,'INPUT SUMATIF'!$D:$D,0),MATCH($O$2,'INPUT SUMATIF'!$A$2:$CH$2,0)),""),
IFERROR(INDEX('INPUT SUMATIF'!$A:$CH,MATCH($D18,'INPUT SUMATIF'!$D:$D,0),MATCH($P$2,'INPUT SUMATIF'!$A$2:$CH$2,0)),"")
),"")</f>
        <v>82</v>
      </c>
      <c r="P18" s="180" t="s">
        <v>222</v>
      </c>
      <c r="Q18" s="210">
        <f t="array" ref="Q18">iferror(AVERAGE(
IFERROR(INDEX('INPUT SUMATIF'!$A:$CH,MATCH($D18,'INPUT SUMATIF'!$D:$D,0),MATCH($Q$2,'INPUT SUMATIF'!$A$2:$CH$2,0)),""),
IFERROR(INDEX('INPUT SUMATIF'!$A:$CH,MATCH($D18,'INPUT SUMATIF'!$D:$D,0),MATCH($R$2,'INPUT SUMATIF'!$A$2:$CH$2,0)),"")
),"")</f>
        <v>89.33333333</v>
      </c>
      <c r="R18" s="180" t="s">
        <v>229</v>
      </c>
      <c r="S18" s="215">
        <f t="array" ref="S18">iferror(AVERAGE(
IFERROR(INDEX('INPUT SUMATIF'!$A:$CH,MATCH($D18,'INPUT SUMATIF'!$D:$D,0),MATCH($S$2,'INPUT SUMATIF'!$A$2:$CH$2,0)),""),
IFERROR(INDEX('INPUT SUMATIF'!$A:$CH,MATCH($D18,'INPUT SUMATIF'!$D:$D,0),MATCH($T$2,'INPUT SUMATIF'!$A$2:$CH$2,0)),"")
),"")</f>
        <v>85.16666667</v>
      </c>
      <c r="T18" s="180" t="s">
        <v>233</v>
      </c>
      <c r="U18" s="221">
        <f t="array" ref="U18">iferror(AVERAGE(
IFERROR(INDEX('INPUT SUMATIF'!$A:$CH,MATCH($D18,'INPUT SUMATIF'!$D:$D,0),MATCH($U$2,'INPUT SUMATIF'!$A$2:$CH$2,0)),""),
IFERROR(INDEX('INPUT SUMATIF'!$A:$CH,MATCH($D18,'INPUT SUMATIF'!$D:$D,0),MATCH($V$2,'INPUT SUMATIF'!$A$2:$CH$2,0)),"")
),"")</f>
        <v>83</v>
      </c>
      <c r="V18" s="180" t="s">
        <v>234</v>
      </c>
      <c r="W18" s="175">
        <f t="array" ref="W18">iferror(AVERAGE(
IFERROR(INDEX('INPUT SUMATIF'!$A:$CH,MATCH($D18,'INPUT SUMATIF'!$D:$D,0),MATCH($W$2,'INPUT SUMATIF'!$A$2:$CH$2,0)),""),
IFERROR(INDEX('INPUT SUMATIF'!$A:$CH,MATCH($D18,'INPUT SUMATIF'!$D:$D,0),MATCH($X$2,'INPUT SUMATIF'!$A$2:$CH$2,0)),"")
),"")</f>
        <v>77.5</v>
      </c>
      <c r="X18" s="224" t="s">
        <v>235</v>
      </c>
      <c r="Y18" s="227">
        <f t="array" ref="Y18">iferror(AVERAGE(
IFERROR(INDEX('INPUT SUMATIF'!$A:$CH,MATCH($D18,'INPUT SUMATIF'!$D:$D,0),MATCH($Y$2,'INPUT SUMATIF'!$A$2:$CH$2,0)),""),
IFERROR(INDEX('INPUT SUMATIF'!$A:$CH,MATCH($D18,'INPUT SUMATIF'!$D:$D,0),MATCH($Z$2,'INPUT SUMATIF'!$A$2:$CH$2,0)),"")
),"")</f>
        <v>80</v>
      </c>
      <c r="Z18" s="228" t="s">
        <v>236</v>
      </c>
      <c r="AA18" s="227">
        <f t="array" ref="AA18">iferror(AVERAGE(
IFERROR(INDEX('INPUT SUMATIF'!$A:$CH,MATCH($D18,'INPUT SUMATIF'!$D:$D,0),MATCH($AA$2,'INPUT SUMATIF'!$A$2:$CH$2,0)),""),
IFERROR(INDEX('INPUT SUMATIF'!$A:$CH,MATCH($D18,'INPUT SUMATIF'!$D:$D,0),MATCH($AB$2,'INPUT SUMATIF'!$A$2:$CH$2,0)),"")
),"")</f>
        <v>82.5</v>
      </c>
      <c r="AB18" s="180" t="s">
        <v>237</v>
      </c>
      <c r="AC18" s="227">
        <f t="array" ref="AC18">iferror(AVERAGE(
IFERROR(INDEX('INPUT SUMATIF'!$A:$CH,MATCH($D18,'INPUT SUMATIF'!$D:$D,0),MATCH($AC$2,'INPUT SUMATIF'!$A$2:$CH$2,0)),""),
IFERROR(INDEX('INPUT SUMATIF'!$A:$CH,MATCH($D18,'INPUT SUMATIF'!$D:$D,0),MATCH($AD$2,'INPUT SUMATIF'!$A$2:$CH$2,0)),"")
),"")</f>
        <v>80</v>
      </c>
      <c r="AD18" s="180" t="s">
        <v>238</v>
      </c>
      <c r="AE18" s="227">
        <f t="array" ref="AE18">iferror(AVERAGE(
IFERROR(INDEX('INPUT SUMATIF'!$A:$CH,MATCH($D18,'INPUT SUMATIF'!$D:$D,0),MATCH($AE$2,'INPUT SUMATIF'!$A$2:$CH$2,0)),""),
IFERROR(INDEX('INPUT SUMATIF'!$A:$CH,MATCH($D18,'INPUT SUMATIF'!$D:$D,0),MATCH($AF$2,'INPUT SUMATIF'!$A$2:$CH$2,0)),"")
),"")</f>
        <v>78</v>
      </c>
      <c r="AF18" s="180" t="s">
        <v>239</v>
      </c>
      <c r="AG18" s="237" t="str">
        <f t="array" ref="AG18">iferror(AVERAGE(
IFERROR(INDEX('INPUT SUMATIF'!$A:$CH,MATCH($D18,'INPUT SUMATIF'!$D:$D,0),MATCH($AG$2,'INPUT SUMATIF'!$A$2:$CH$2,0)),""),
IFERROR(INDEX('INPUT SUMATIF'!$A:$CH,MATCH($D18,'INPUT SUMATIF'!$D:$D,0),MATCH($AH$2,'INPUT SUMATIF'!$A$2:$CH$2,0)),"")
),"")</f>
        <v/>
      </c>
      <c r="AH18" s="180"/>
      <c r="AI18" s="237" t="str">
        <f t="array" ref="AI18">iferror(AVERAGE(
IFERROR(INDEX('INPUT SUMATIF'!$A:$CH,MATCH($D18,'INPUT SUMATIF'!$D:$D,0),MATCH($AI$2,'INPUT SUMATIF'!$A$2:$CH$2,0)),""),
IFERROR(INDEX('INPUT SUMATIF'!$A:$CH,MATCH($D18,'INPUT SUMATIF'!$D:$D,0),MATCH($AJ$2,'INPUT SUMATIF'!$A$2:$CH$2,0)),"")
),"")</f>
        <v/>
      </c>
      <c r="AJ18" s="180"/>
      <c r="AK18" s="186" t="str">
        <f t="array" ref="AK18">iferror(AVERAGE(
IFERROR(INDEX('INPUT SUMATIF'!$A:$CH,MATCH($D18,'INPUT SUMATIF'!$D:$D,0),MATCH($AK$2,'INPUT SUMATIF'!$A$2:$CH$2,0)),""),
IFERROR(INDEX('INPUT SUMATIF'!$A:$CH,MATCH($D18,'INPUT SUMATIF'!$D:$D,0),MATCH($AL$2,'INPUT SUMATIF'!$A$2:$CH$2,0)),"")
),"")</f>
        <v/>
      </c>
      <c r="AL18" s="244"/>
      <c r="AM18" s="253" t="s">
        <v>240</v>
      </c>
      <c r="AN18" s="255"/>
      <c r="AO18" s="253"/>
      <c r="AP18" s="253"/>
      <c r="AQ18" s="260"/>
      <c r="AR18" s="263"/>
      <c r="AS18" s="265"/>
      <c r="AT18" s="265"/>
      <c r="AU18" s="265"/>
      <c r="AV18" s="265"/>
      <c r="AW18" s="265"/>
      <c r="AX18" s="265" t="s">
        <v>145</v>
      </c>
      <c r="AY18" s="265" t="s">
        <v>213</v>
      </c>
      <c r="AZ18" s="265" t="s">
        <v>143</v>
      </c>
      <c r="BA18" s="267" t="s">
        <v>241</v>
      </c>
      <c r="BB18" s="268" t="s">
        <v>248</v>
      </c>
    </row>
    <row r="19" ht="15.75" customHeight="1">
      <c r="A19" s="270">
        <f>IFERROR(__xludf.DUMMYFUNCTION("""COMPUTED_VALUE"""),16.0)</f>
        <v>16</v>
      </c>
      <c r="B19" s="270" t="str">
        <f>IFERROR(__xludf.DUMMYFUNCTION("""COMPUTED_VALUE"""),"2526100429")</f>
        <v>2526100429</v>
      </c>
      <c r="C19" s="270" t="str">
        <f>IFERROR(__xludf.DUMMYFUNCTION("""COMPUTED_VALUE"""),"0105910447")</f>
        <v>0105910447</v>
      </c>
      <c r="D19" s="274" t="str">
        <f>IFERROR(__xludf.DUMMYFUNCTION("""COMPUTED_VALUE"""),"MUHAMAD ABIB RIZAL")</f>
        <v>MUHAMAD ABIB RIZAL</v>
      </c>
      <c r="E19" s="277" t="str">
        <f>IFERROR(__xludf.DUMMYFUNCTION("""COMPUTED_VALUE"""),"X TO 4")</f>
        <v>X TO 4</v>
      </c>
      <c r="F19" s="277" t="s">
        <v>220</v>
      </c>
      <c r="G19" s="175">
        <f t="array" ref="G19">IFERROR(AVERAGE(
IFERROR(INDEX('INPUT SUMATIF'!$A:$CH,MATCH($D19,'INPUT SUMATIF'!$D:$D,0),MATCH($G$2,'INPUT SUMATIF'!$A$2:$CH$2,0)),""),
IFERROR(INDEX('INPUT SUMATIF'!$A:$CH,MATCH($D19,'INPUT SUMATIF'!$D:$D,0),MATCH($H$2,'INPUT SUMATIF'!$A$2:$CH$2,0)),"")
),"")</f>
        <v>77.25</v>
      </c>
      <c r="H19" s="180" t="s">
        <v>215</v>
      </c>
      <c r="I19" s="186">
        <f t="array" ref="I19">iferror(AVERAGE(
IFERROR(INDEX('INPUT SUMATIF'!$A:$CH,MATCH($D19,'INPUT SUMATIF'!$D:$D,0),MATCH($I$2,'INPUT SUMATIF'!$A$2:$CH$2,0)),""),
IFERROR(INDEX('INPUT SUMATIF'!$A:$CH,MATCH($D19,'INPUT SUMATIF'!$D:$D,0),MATCH($J$2,'INPUT SUMATIF'!$A$2:$CH$2,0)),"")
),"")</f>
        <v>80.25</v>
      </c>
      <c r="J19" s="180" t="s">
        <v>386</v>
      </c>
      <c r="K19" s="192">
        <f t="array" ref="K19">iferror(AVERAGE(
IFERROR(INDEX('INPUT SUMATIF'!$A:$CH,MATCH($D19,'INPUT SUMATIF'!$D:$D,0),MATCH($K$2,'INPUT SUMATIF'!$A$2:$CH$2,0)),""),
IFERROR(INDEX('INPUT SUMATIF'!$A:$CH,MATCH($D19,'INPUT SUMATIF'!$D:$D,0),MATCH($L$2,'INPUT SUMATIF'!$A$2:$CH$2,0)),"")
),"")</f>
        <v>82.5</v>
      </c>
      <c r="L19" s="180" t="s">
        <v>219</v>
      </c>
      <c r="M19" s="196">
        <f t="array" ref="M19">iferror(AVERAGE(
IFERROR(INDEX('INPUT SUMATIF'!$A:$CH,MATCH($D19,'INPUT SUMATIF'!$D:$D,0),MATCH($M$2,'INPUT SUMATIF'!$A$2:$CH$2,0)),""),
IFERROR(INDEX('INPUT SUMATIF'!$A:$CH,MATCH($D19,'INPUT SUMATIF'!$D:$D,0),MATCH($N$2,'INPUT SUMATIF'!$A$2:$CH$2,0)),"")
),"")</f>
        <v>82</v>
      </c>
      <c r="N19" s="201" t="s">
        <v>221</v>
      </c>
      <c r="O19" s="206">
        <f t="array" ref="O19">iferror(AVERAGE(
IFERROR(INDEX('INPUT SUMATIF'!$A:$CH,MATCH($D19,'INPUT SUMATIF'!$D:$D,0),MATCH($O$2,'INPUT SUMATIF'!$A$2:$CH$2,0)),""),
IFERROR(INDEX('INPUT SUMATIF'!$A:$CH,MATCH($D19,'INPUT SUMATIF'!$D:$D,0),MATCH($P$2,'INPUT SUMATIF'!$A$2:$CH$2,0)),"")
),"")</f>
        <v>78</v>
      </c>
      <c r="P19" s="180" t="s">
        <v>222</v>
      </c>
      <c r="Q19" s="210">
        <f t="array" ref="Q19">iferror(AVERAGE(
IFERROR(INDEX('INPUT SUMATIF'!$A:$CH,MATCH($D19,'INPUT SUMATIF'!$D:$D,0),MATCH($Q$2,'INPUT SUMATIF'!$A$2:$CH$2,0)),""),
IFERROR(INDEX('INPUT SUMATIF'!$A:$CH,MATCH($D19,'INPUT SUMATIF'!$D:$D,0),MATCH($R$2,'INPUT SUMATIF'!$A$2:$CH$2,0)),"")
),"")</f>
        <v>89.83333333</v>
      </c>
      <c r="R19" s="180" t="s">
        <v>229</v>
      </c>
      <c r="S19" s="215">
        <f t="array" ref="S19">iferror(AVERAGE(
IFERROR(INDEX('INPUT SUMATIF'!$A:$CH,MATCH($D19,'INPUT SUMATIF'!$D:$D,0),MATCH($S$2,'INPUT SUMATIF'!$A$2:$CH$2,0)),""),
IFERROR(INDEX('INPUT SUMATIF'!$A:$CH,MATCH($D19,'INPUT SUMATIF'!$D:$D,0),MATCH($T$2,'INPUT SUMATIF'!$A$2:$CH$2,0)),"")
),"")</f>
        <v>76.66666667</v>
      </c>
      <c r="T19" s="180" t="s">
        <v>233</v>
      </c>
      <c r="U19" s="221">
        <f t="array" ref="U19">iferror(AVERAGE(
IFERROR(INDEX('INPUT SUMATIF'!$A:$CH,MATCH($D19,'INPUT SUMATIF'!$D:$D,0),MATCH($U$2,'INPUT SUMATIF'!$A$2:$CH$2,0)),""),
IFERROR(INDEX('INPUT SUMATIF'!$A:$CH,MATCH($D19,'INPUT SUMATIF'!$D:$D,0),MATCH($V$2,'INPUT SUMATIF'!$A$2:$CH$2,0)),"")
),"")</f>
        <v>72</v>
      </c>
      <c r="V19" s="180" t="s">
        <v>234</v>
      </c>
      <c r="W19" s="175">
        <f t="array" ref="W19">iferror(AVERAGE(
IFERROR(INDEX('INPUT SUMATIF'!$A:$CH,MATCH($D19,'INPUT SUMATIF'!$D:$D,0),MATCH($W$2,'INPUT SUMATIF'!$A$2:$CH$2,0)),""),
IFERROR(INDEX('INPUT SUMATIF'!$A:$CH,MATCH($D19,'INPUT SUMATIF'!$D:$D,0),MATCH($X$2,'INPUT SUMATIF'!$A$2:$CH$2,0)),"")
),"")</f>
        <v>73.66666667</v>
      </c>
      <c r="X19" s="224" t="s">
        <v>235</v>
      </c>
      <c r="Y19" s="227">
        <f t="array" ref="Y19">iferror(AVERAGE(
IFERROR(INDEX('INPUT SUMATIF'!$A:$CH,MATCH($D19,'INPUT SUMATIF'!$D:$D,0),MATCH($Y$2,'INPUT SUMATIF'!$A$2:$CH$2,0)),""),
IFERROR(INDEX('INPUT SUMATIF'!$A:$CH,MATCH($D19,'INPUT SUMATIF'!$D:$D,0),MATCH($Z$2,'INPUT SUMATIF'!$A$2:$CH$2,0)),"")
),"")</f>
        <v>80</v>
      </c>
      <c r="Z19" s="228" t="s">
        <v>236</v>
      </c>
      <c r="AA19" s="227">
        <f t="array" ref="AA19">iferror(AVERAGE(
IFERROR(INDEX('INPUT SUMATIF'!$A:$CH,MATCH($D19,'INPUT SUMATIF'!$D:$D,0),MATCH($AA$2,'INPUT SUMATIF'!$A$2:$CH$2,0)),""),
IFERROR(INDEX('INPUT SUMATIF'!$A:$CH,MATCH($D19,'INPUT SUMATIF'!$D:$D,0),MATCH($AB$2,'INPUT SUMATIF'!$A$2:$CH$2,0)),"")
),"")</f>
        <v>37.5</v>
      </c>
      <c r="AB19" s="180" t="s">
        <v>237</v>
      </c>
      <c r="AC19" s="227">
        <f t="array" ref="AC19">iferror(AVERAGE(
IFERROR(INDEX('INPUT SUMATIF'!$A:$CH,MATCH($D19,'INPUT SUMATIF'!$D:$D,0),MATCH($AC$2,'INPUT SUMATIF'!$A$2:$CH$2,0)),""),
IFERROR(INDEX('INPUT SUMATIF'!$A:$CH,MATCH($D19,'INPUT SUMATIF'!$D:$D,0),MATCH($AD$2,'INPUT SUMATIF'!$A$2:$CH$2,0)),"")
),"")</f>
        <v>79.83333333</v>
      </c>
      <c r="AD19" s="180" t="s">
        <v>238</v>
      </c>
      <c r="AE19" s="227">
        <f t="array" ref="AE19">iferror(AVERAGE(
IFERROR(INDEX('INPUT SUMATIF'!$A:$CH,MATCH($D19,'INPUT SUMATIF'!$D:$D,0),MATCH($AE$2,'INPUT SUMATIF'!$A$2:$CH$2,0)),""),
IFERROR(INDEX('INPUT SUMATIF'!$A:$CH,MATCH($D19,'INPUT SUMATIF'!$D:$D,0),MATCH($AF$2,'INPUT SUMATIF'!$A$2:$CH$2,0)),"")
),"")</f>
        <v>78</v>
      </c>
      <c r="AF19" s="289" t="s">
        <v>239</v>
      </c>
      <c r="AG19" s="237" t="str">
        <f t="array" ref="AG19">iferror(AVERAGE(
IFERROR(INDEX('INPUT SUMATIF'!$A:$CH,MATCH($D19,'INPUT SUMATIF'!$D:$D,0),MATCH($AG$2,'INPUT SUMATIF'!$A$2:$CH$2,0)),""),
IFERROR(INDEX('INPUT SUMATIF'!$A:$CH,MATCH($D19,'INPUT SUMATIF'!$D:$D,0),MATCH($AH$2,'INPUT SUMATIF'!$A$2:$CH$2,0)),"")
),"")</f>
        <v/>
      </c>
      <c r="AH19" s="289"/>
      <c r="AI19" s="237" t="str">
        <f t="array" ref="AI19">iferror(AVERAGE(
IFERROR(INDEX('INPUT SUMATIF'!$A:$CH,MATCH($D19,'INPUT SUMATIF'!$D:$D,0),MATCH($AI$2,'INPUT SUMATIF'!$A$2:$CH$2,0)),""),
IFERROR(INDEX('INPUT SUMATIF'!$A:$CH,MATCH($D19,'INPUT SUMATIF'!$D:$D,0),MATCH($AJ$2,'INPUT SUMATIF'!$A$2:$CH$2,0)),"")
),"")</f>
        <v/>
      </c>
      <c r="AJ19" s="289"/>
      <c r="AK19" s="186" t="str">
        <f t="array" ref="AK19">iferror(AVERAGE(
IFERROR(INDEX('INPUT SUMATIF'!$A:$CH,MATCH($D19,'INPUT SUMATIF'!$D:$D,0),MATCH($AK$2,'INPUT SUMATIF'!$A$2:$CH$2,0)),""),
IFERROR(INDEX('INPUT SUMATIF'!$A:$CH,MATCH($D19,'INPUT SUMATIF'!$D:$D,0),MATCH($AL$2,'INPUT SUMATIF'!$A$2:$CH$2,0)),"")
),"")</f>
        <v/>
      </c>
      <c r="AL19" s="292"/>
      <c r="AM19" s="253" t="s">
        <v>277</v>
      </c>
      <c r="AN19" s="294"/>
      <c r="AO19" s="293"/>
      <c r="AP19" s="293"/>
      <c r="AQ19" s="296"/>
      <c r="AR19" s="298"/>
      <c r="AS19" s="267"/>
      <c r="AT19" s="267"/>
      <c r="AU19" s="267"/>
      <c r="AV19" s="267"/>
      <c r="AW19" s="267"/>
      <c r="AX19" s="267" t="s">
        <v>213</v>
      </c>
      <c r="AY19" s="267" t="s">
        <v>213</v>
      </c>
      <c r="AZ19" s="267" t="s">
        <v>143</v>
      </c>
      <c r="BA19" s="267" t="s">
        <v>241</v>
      </c>
      <c r="BB19" s="302" t="s">
        <v>248</v>
      </c>
    </row>
    <row r="20" ht="15.75" customHeight="1">
      <c r="A20" s="159">
        <f>IFERROR(__xludf.DUMMYFUNCTION("""COMPUTED_VALUE"""),17.0)</f>
        <v>17</v>
      </c>
      <c r="B20" s="159" t="str">
        <f>IFERROR(__xludf.DUMMYFUNCTION("""COMPUTED_VALUE"""),"2526100430")</f>
        <v>2526100430</v>
      </c>
      <c r="C20" s="159" t="str">
        <f>IFERROR(__xludf.DUMMYFUNCTION("""COMPUTED_VALUE"""),"0099084784")</f>
        <v>0099084784</v>
      </c>
      <c r="D20" s="164" t="str">
        <f>IFERROR(__xludf.DUMMYFUNCTION("""COMPUTED_VALUE"""),"MUHAMAD AL FARIZ")</f>
        <v>MUHAMAD AL FARIZ</v>
      </c>
      <c r="E20" s="165" t="str">
        <f>IFERROR(__xludf.DUMMYFUNCTION("""COMPUTED_VALUE"""),"X TO 4")</f>
        <v>X TO 4</v>
      </c>
      <c r="F20" s="165" t="s">
        <v>220</v>
      </c>
      <c r="G20" s="175">
        <f t="array" ref="G20">IFERROR(AVERAGE(
IFERROR(INDEX('INPUT SUMATIF'!$A:$CH,MATCH($D20,'INPUT SUMATIF'!$D:$D,0),MATCH($G$2,'INPUT SUMATIF'!$A$2:$CH$2,0)),""),
IFERROR(INDEX('INPUT SUMATIF'!$A:$CH,MATCH($D20,'INPUT SUMATIF'!$D:$D,0),MATCH($H$2,'INPUT SUMATIF'!$A$2:$CH$2,0)),"")
),"")</f>
        <v>77.25</v>
      </c>
      <c r="H20" s="180" t="s">
        <v>215</v>
      </c>
      <c r="I20" s="186">
        <f t="array" ref="I20">iferror(AVERAGE(
IFERROR(INDEX('INPUT SUMATIF'!$A:$CH,MATCH($D20,'INPUT SUMATIF'!$D:$D,0),MATCH($I$2,'INPUT SUMATIF'!$A$2:$CH$2,0)),""),
IFERROR(INDEX('INPUT SUMATIF'!$A:$CH,MATCH($D20,'INPUT SUMATIF'!$D:$D,0),MATCH($J$2,'INPUT SUMATIF'!$A$2:$CH$2,0)),"")
),"")</f>
        <v>82.25</v>
      </c>
      <c r="J20" s="180" t="s">
        <v>392</v>
      </c>
      <c r="K20" s="192">
        <f t="array" ref="K20">iferror(AVERAGE(
IFERROR(INDEX('INPUT SUMATIF'!$A:$CH,MATCH($D20,'INPUT SUMATIF'!$D:$D,0),MATCH($K$2,'INPUT SUMATIF'!$A$2:$CH$2,0)),""),
IFERROR(INDEX('INPUT SUMATIF'!$A:$CH,MATCH($D20,'INPUT SUMATIF'!$D:$D,0),MATCH($L$2,'INPUT SUMATIF'!$A$2:$CH$2,0)),"")
),"")</f>
        <v>88</v>
      </c>
      <c r="L20" s="180" t="s">
        <v>219</v>
      </c>
      <c r="M20" s="196">
        <f t="array" ref="M20">iferror(AVERAGE(
IFERROR(INDEX('INPUT SUMATIF'!$A:$CH,MATCH($D20,'INPUT SUMATIF'!$D:$D,0),MATCH($M$2,'INPUT SUMATIF'!$A$2:$CH$2,0)),""),
IFERROR(INDEX('INPUT SUMATIF'!$A:$CH,MATCH($D20,'INPUT SUMATIF'!$D:$D,0),MATCH($N$2,'INPUT SUMATIF'!$A$2:$CH$2,0)),"")
),"")</f>
        <v>92.5</v>
      </c>
      <c r="N20" s="201" t="s">
        <v>221</v>
      </c>
      <c r="O20" s="206">
        <f t="array" ref="O20">iferror(AVERAGE(
IFERROR(INDEX('INPUT SUMATIF'!$A:$CH,MATCH($D20,'INPUT SUMATIF'!$D:$D,0),MATCH($O$2,'INPUT SUMATIF'!$A$2:$CH$2,0)),""),
IFERROR(INDEX('INPUT SUMATIF'!$A:$CH,MATCH($D20,'INPUT SUMATIF'!$D:$D,0),MATCH($P$2,'INPUT SUMATIF'!$A$2:$CH$2,0)),"")
),"")</f>
        <v>83</v>
      </c>
      <c r="P20" s="180" t="s">
        <v>222</v>
      </c>
      <c r="Q20" s="210">
        <f t="array" ref="Q20">iferror(AVERAGE(
IFERROR(INDEX('INPUT SUMATIF'!$A:$CH,MATCH($D20,'INPUT SUMATIF'!$D:$D,0),MATCH($Q$2,'INPUT SUMATIF'!$A$2:$CH$2,0)),""),
IFERROR(INDEX('INPUT SUMATIF'!$A:$CH,MATCH($D20,'INPUT SUMATIF'!$D:$D,0),MATCH($R$2,'INPUT SUMATIF'!$A$2:$CH$2,0)),"")
),"")</f>
        <v>89.83333333</v>
      </c>
      <c r="R20" s="180" t="s">
        <v>229</v>
      </c>
      <c r="S20" s="215">
        <f t="array" ref="S20">iferror(AVERAGE(
IFERROR(INDEX('INPUT SUMATIF'!$A:$CH,MATCH($D20,'INPUT SUMATIF'!$D:$D,0),MATCH($S$2,'INPUT SUMATIF'!$A$2:$CH$2,0)),""),
IFERROR(INDEX('INPUT SUMATIF'!$A:$CH,MATCH($D20,'INPUT SUMATIF'!$D:$D,0),MATCH($T$2,'INPUT SUMATIF'!$A$2:$CH$2,0)),"")
),"")</f>
        <v>85.5</v>
      </c>
      <c r="T20" s="180" t="s">
        <v>233</v>
      </c>
      <c r="U20" s="221">
        <f t="array" ref="U20">iferror(AVERAGE(
IFERROR(INDEX('INPUT SUMATIF'!$A:$CH,MATCH($D20,'INPUT SUMATIF'!$D:$D,0),MATCH($U$2,'INPUT SUMATIF'!$A$2:$CH$2,0)),""),
IFERROR(INDEX('INPUT SUMATIF'!$A:$CH,MATCH($D20,'INPUT SUMATIF'!$D:$D,0),MATCH($V$2,'INPUT SUMATIF'!$A$2:$CH$2,0)),"")
),"")</f>
        <v>72</v>
      </c>
      <c r="V20" s="180" t="s">
        <v>234</v>
      </c>
      <c r="W20" s="175">
        <f t="array" ref="W20">iferror(AVERAGE(
IFERROR(INDEX('INPUT SUMATIF'!$A:$CH,MATCH($D20,'INPUT SUMATIF'!$D:$D,0),MATCH($W$2,'INPUT SUMATIF'!$A$2:$CH$2,0)),""),
IFERROR(INDEX('INPUT SUMATIF'!$A:$CH,MATCH($D20,'INPUT SUMATIF'!$D:$D,0),MATCH($X$2,'INPUT SUMATIF'!$A$2:$CH$2,0)),"")
),"")</f>
        <v>76.33333333</v>
      </c>
      <c r="X20" s="224" t="s">
        <v>235</v>
      </c>
      <c r="Y20" s="227">
        <f t="array" ref="Y20">iferror(AVERAGE(
IFERROR(INDEX('INPUT SUMATIF'!$A:$CH,MATCH($D20,'INPUT SUMATIF'!$D:$D,0),MATCH($Y$2,'INPUT SUMATIF'!$A$2:$CH$2,0)),""),
IFERROR(INDEX('INPUT SUMATIF'!$A:$CH,MATCH($D20,'INPUT SUMATIF'!$D:$D,0),MATCH($Z$2,'INPUT SUMATIF'!$A$2:$CH$2,0)),"")
),"")</f>
        <v>80</v>
      </c>
      <c r="Z20" s="228" t="s">
        <v>236</v>
      </c>
      <c r="AA20" s="227">
        <f t="array" ref="AA20">iferror(AVERAGE(
IFERROR(INDEX('INPUT SUMATIF'!$A:$CH,MATCH($D20,'INPUT SUMATIF'!$D:$D,0),MATCH($AA$2,'INPUT SUMATIF'!$A$2:$CH$2,0)),""),
IFERROR(INDEX('INPUT SUMATIF'!$A:$CH,MATCH($D20,'INPUT SUMATIF'!$D:$D,0),MATCH($AB$2,'INPUT SUMATIF'!$A$2:$CH$2,0)),"")
),"")</f>
        <v>54.83333333</v>
      </c>
      <c r="AB20" s="180" t="s">
        <v>237</v>
      </c>
      <c r="AC20" s="227">
        <f t="array" ref="AC20">iferror(AVERAGE(
IFERROR(INDEX('INPUT SUMATIF'!$A:$CH,MATCH($D20,'INPUT SUMATIF'!$D:$D,0),MATCH($AC$2,'INPUT SUMATIF'!$A$2:$CH$2,0)),""),
IFERROR(INDEX('INPUT SUMATIF'!$A:$CH,MATCH($D20,'INPUT SUMATIF'!$D:$D,0),MATCH($AD$2,'INPUT SUMATIF'!$A$2:$CH$2,0)),"")
),"")</f>
        <v>80.5</v>
      </c>
      <c r="AD20" s="180" t="s">
        <v>238</v>
      </c>
      <c r="AE20" s="227">
        <f t="array" ref="AE20">iferror(AVERAGE(
IFERROR(INDEX('INPUT SUMATIF'!$A:$CH,MATCH($D20,'INPUT SUMATIF'!$D:$D,0),MATCH($AE$2,'INPUT SUMATIF'!$A$2:$CH$2,0)),""),
IFERROR(INDEX('INPUT SUMATIF'!$A:$CH,MATCH($D20,'INPUT SUMATIF'!$D:$D,0),MATCH($AF$2,'INPUT SUMATIF'!$A$2:$CH$2,0)),"")
),"")</f>
        <v>79.33333333</v>
      </c>
      <c r="AF20" s="180" t="s">
        <v>239</v>
      </c>
      <c r="AG20" s="237" t="str">
        <f t="array" ref="AG20">iferror(AVERAGE(
IFERROR(INDEX('INPUT SUMATIF'!$A:$CH,MATCH($D20,'INPUT SUMATIF'!$D:$D,0),MATCH($AG$2,'INPUT SUMATIF'!$A$2:$CH$2,0)),""),
IFERROR(INDEX('INPUT SUMATIF'!$A:$CH,MATCH($D20,'INPUT SUMATIF'!$D:$D,0),MATCH($AH$2,'INPUT SUMATIF'!$A$2:$CH$2,0)),"")
),"")</f>
        <v/>
      </c>
      <c r="AH20" s="180"/>
      <c r="AI20" s="237" t="str">
        <f t="array" ref="AI20">iferror(AVERAGE(
IFERROR(INDEX('INPUT SUMATIF'!$A:$CH,MATCH($D20,'INPUT SUMATIF'!$D:$D,0),MATCH($AI$2,'INPUT SUMATIF'!$A$2:$CH$2,0)),""),
IFERROR(INDEX('INPUT SUMATIF'!$A:$CH,MATCH($D20,'INPUT SUMATIF'!$D:$D,0),MATCH($AJ$2,'INPUT SUMATIF'!$A$2:$CH$2,0)),"")
),"")</f>
        <v/>
      </c>
      <c r="AJ20" s="180"/>
      <c r="AK20" s="186" t="str">
        <f t="array" ref="AK20">iferror(AVERAGE(
IFERROR(INDEX('INPUT SUMATIF'!$A:$CH,MATCH($D20,'INPUT SUMATIF'!$D:$D,0),MATCH($AK$2,'INPUT SUMATIF'!$A$2:$CH$2,0)),""),
IFERROR(INDEX('INPUT SUMATIF'!$A:$CH,MATCH($D20,'INPUT SUMATIF'!$D:$D,0),MATCH($AL$2,'INPUT SUMATIF'!$A$2:$CH$2,0)),"")
),"")</f>
        <v/>
      </c>
      <c r="AL20" s="244"/>
      <c r="AM20" s="253" t="s">
        <v>240</v>
      </c>
      <c r="AN20" s="255"/>
      <c r="AO20" s="253"/>
      <c r="AP20" s="253"/>
      <c r="AQ20" s="260"/>
      <c r="AR20" s="263"/>
      <c r="AS20" s="265"/>
      <c r="AT20" s="265"/>
      <c r="AU20" s="265"/>
      <c r="AV20" s="265"/>
      <c r="AW20" s="265"/>
      <c r="AX20" s="265" t="s">
        <v>145</v>
      </c>
      <c r="AY20" s="265" t="s">
        <v>135</v>
      </c>
      <c r="AZ20" s="265" t="s">
        <v>213</v>
      </c>
      <c r="BA20" s="267" t="s">
        <v>241</v>
      </c>
      <c r="BB20" s="268" t="s">
        <v>248</v>
      </c>
    </row>
    <row r="21" ht="15.75" customHeight="1">
      <c r="A21" s="270">
        <f>IFERROR(__xludf.DUMMYFUNCTION("""COMPUTED_VALUE"""),18.0)</f>
        <v>18</v>
      </c>
      <c r="B21" s="270" t="str">
        <f>IFERROR(__xludf.DUMMYFUNCTION("""COMPUTED_VALUE"""),"2526100431")</f>
        <v>2526100431</v>
      </c>
      <c r="C21" s="270" t="str">
        <f>IFERROR(__xludf.DUMMYFUNCTION("""COMPUTED_VALUE"""),"0092469837")</f>
        <v>0092469837</v>
      </c>
      <c r="D21" s="274" t="str">
        <f>IFERROR(__xludf.DUMMYFUNCTION("""COMPUTED_VALUE"""),"MUHAMAD ASRUL")</f>
        <v>MUHAMAD ASRUL</v>
      </c>
      <c r="E21" s="277" t="str">
        <f>IFERROR(__xludf.DUMMYFUNCTION("""COMPUTED_VALUE"""),"X TO 4")</f>
        <v>X TO 4</v>
      </c>
      <c r="F21" s="277" t="s">
        <v>220</v>
      </c>
      <c r="G21" s="175">
        <f t="array" ref="G21">IFERROR(AVERAGE(
IFERROR(INDEX('INPUT SUMATIF'!$A:$CH,MATCH($D21,'INPUT SUMATIF'!$D:$D,0),MATCH($G$2,'INPUT SUMATIF'!$A$2:$CH$2,0)),""),
IFERROR(INDEX('INPUT SUMATIF'!$A:$CH,MATCH($D21,'INPUT SUMATIF'!$D:$D,0),MATCH($H$2,'INPUT SUMATIF'!$A$2:$CH$2,0)),"")
),"")</f>
        <v>80.5</v>
      </c>
      <c r="H21" s="180" t="s">
        <v>215</v>
      </c>
      <c r="I21" s="186">
        <f t="array" ref="I21">iferror(AVERAGE(
IFERROR(INDEX('INPUT SUMATIF'!$A:$CH,MATCH($D21,'INPUT SUMATIF'!$D:$D,0),MATCH($I$2,'INPUT SUMATIF'!$A$2:$CH$2,0)),""),
IFERROR(INDEX('INPUT SUMATIF'!$A:$CH,MATCH($D21,'INPUT SUMATIF'!$D:$D,0),MATCH($J$2,'INPUT SUMATIF'!$A$2:$CH$2,0)),"")
),"")</f>
        <v>82.75</v>
      </c>
      <c r="J21" s="180" t="s">
        <v>422</v>
      </c>
      <c r="K21" s="192">
        <f t="array" ref="K21">iferror(AVERAGE(
IFERROR(INDEX('INPUT SUMATIF'!$A:$CH,MATCH($D21,'INPUT SUMATIF'!$D:$D,0),MATCH($K$2,'INPUT SUMATIF'!$A$2:$CH$2,0)),""),
IFERROR(INDEX('INPUT SUMATIF'!$A:$CH,MATCH($D21,'INPUT SUMATIF'!$D:$D,0),MATCH($L$2,'INPUT SUMATIF'!$A$2:$CH$2,0)),"")
),"")</f>
        <v>85.5</v>
      </c>
      <c r="L21" s="180" t="s">
        <v>219</v>
      </c>
      <c r="M21" s="196">
        <f t="array" ref="M21">iferror(AVERAGE(
IFERROR(INDEX('INPUT SUMATIF'!$A:$CH,MATCH($D21,'INPUT SUMATIF'!$D:$D,0),MATCH($M$2,'INPUT SUMATIF'!$A$2:$CH$2,0)),""),
IFERROR(INDEX('INPUT SUMATIF'!$A:$CH,MATCH($D21,'INPUT SUMATIF'!$D:$D,0),MATCH($N$2,'INPUT SUMATIF'!$A$2:$CH$2,0)),"")
),"")</f>
        <v>87.5</v>
      </c>
      <c r="N21" s="201" t="s">
        <v>221</v>
      </c>
      <c r="O21" s="206">
        <f t="array" ref="O21">iferror(AVERAGE(
IFERROR(INDEX('INPUT SUMATIF'!$A:$CH,MATCH($D21,'INPUT SUMATIF'!$D:$D,0),MATCH($O$2,'INPUT SUMATIF'!$A$2:$CH$2,0)),""),
IFERROR(INDEX('INPUT SUMATIF'!$A:$CH,MATCH($D21,'INPUT SUMATIF'!$D:$D,0),MATCH($P$2,'INPUT SUMATIF'!$A$2:$CH$2,0)),"")
),"")</f>
        <v>84</v>
      </c>
      <c r="P21" s="180" t="s">
        <v>222</v>
      </c>
      <c r="Q21" s="210">
        <f t="array" ref="Q21">iferror(AVERAGE(
IFERROR(INDEX('INPUT SUMATIF'!$A:$CH,MATCH($D21,'INPUT SUMATIF'!$D:$D,0),MATCH($Q$2,'INPUT SUMATIF'!$A$2:$CH$2,0)),""),
IFERROR(INDEX('INPUT SUMATIF'!$A:$CH,MATCH($D21,'INPUT SUMATIF'!$D:$D,0),MATCH($R$2,'INPUT SUMATIF'!$A$2:$CH$2,0)),"")
),"")</f>
        <v>89.66666667</v>
      </c>
      <c r="R21" s="180" t="s">
        <v>229</v>
      </c>
      <c r="S21" s="215">
        <f t="array" ref="S21">iferror(AVERAGE(
IFERROR(INDEX('INPUT SUMATIF'!$A:$CH,MATCH($D21,'INPUT SUMATIF'!$D:$D,0),MATCH($S$2,'INPUT SUMATIF'!$A$2:$CH$2,0)),""),
IFERROR(INDEX('INPUT SUMATIF'!$A:$CH,MATCH($D21,'INPUT SUMATIF'!$D:$D,0),MATCH($T$2,'INPUT SUMATIF'!$A$2:$CH$2,0)),"")
),"")</f>
        <v>86.66666667</v>
      </c>
      <c r="T21" s="180" t="s">
        <v>233</v>
      </c>
      <c r="U21" s="221">
        <f t="array" ref="U21">iferror(AVERAGE(
IFERROR(INDEX('INPUT SUMATIF'!$A:$CH,MATCH($D21,'INPUT SUMATIF'!$D:$D,0),MATCH($U$2,'INPUT SUMATIF'!$A$2:$CH$2,0)),""),
IFERROR(INDEX('INPUT SUMATIF'!$A:$CH,MATCH($D21,'INPUT SUMATIF'!$D:$D,0),MATCH($V$2,'INPUT SUMATIF'!$A$2:$CH$2,0)),"")
),"")</f>
        <v>84</v>
      </c>
      <c r="V21" s="180" t="s">
        <v>234</v>
      </c>
      <c r="W21" s="175">
        <f t="array" ref="W21">iferror(AVERAGE(
IFERROR(INDEX('INPUT SUMATIF'!$A:$CH,MATCH($D21,'INPUT SUMATIF'!$D:$D,0),MATCH($W$2,'INPUT SUMATIF'!$A$2:$CH$2,0)),""),
IFERROR(INDEX('INPUT SUMATIF'!$A:$CH,MATCH($D21,'INPUT SUMATIF'!$D:$D,0),MATCH($X$2,'INPUT SUMATIF'!$A$2:$CH$2,0)),"")
),"")</f>
        <v>76.33333333</v>
      </c>
      <c r="X21" s="224" t="s">
        <v>235</v>
      </c>
      <c r="Y21" s="227">
        <f t="array" ref="Y21">iferror(AVERAGE(
IFERROR(INDEX('INPUT SUMATIF'!$A:$CH,MATCH($D21,'INPUT SUMATIF'!$D:$D,0),MATCH($Y$2,'INPUT SUMATIF'!$A$2:$CH$2,0)),""),
IFERROR(INDEX('INPUT SUMATIF'!$A:$CH,MATCH($D21,'INPUT SUMATIF'!$D:$D,0),MATCH($Z$2,'INPUT SUMATIF'!$A$2:$CH$2,0)),"")
),"")</f>
        <v>80</v>
      </c>
      <c r="Z21" s="228" t="s">
        <v>236</v>
      </c>
      <c r="AA21" s="227">
        <f t="array" ref="AA21">iferror(AVERAGE(
IFERROR(INDEX('INPUT SUMATIF'!$A:$CH,MATCH($D21,'INPUT SUMATIF'!$D:$D,0),MATCH($AA$2,'INPUT SUMATIF'!$A$2:$CH$2,0)),""),
IFERROR(INDEX('INPUT SUMATIF'!$A:$CH,MATCH($D21,'INPUT SUMATIF'!$D:$D,0),MATCH($AB$2,'INPUT SUMATIF'!$A$2:$CH$2,0)),"")
),"")</f>
        <v>56</v>
      </c>
      <c r="AB21" s="180" t="s">
        <v>237</v>
      </c>
      <c r="AC21" s="227">
        <f t="array" ref="AC21">iferror(AVERAGE(
IFERROR(INDEX('INPUT SUMATIF'!$A:$CH,MATCH($D21,'INPUT SUMATIF'!$D:$D,0),MATCH($AC$2,'INPUT SUMATIF'!$A$2:$CH$2,0)),""),
IFERROR(INDEX('INPUT SUMATIF'!$A:$CH,MATCH($D21,'INPUT SUMATIF'!$D:$D,0),MATCH($AD$2,'INPUT SUMATIF'!$A$2:$CH$2,0)),"")
),"")</f>
        <v>85</v>
      </c>
      <c r="AD21" s="180" t="s">
        <v>238</v>
      </c>
      <c r="AE21" s="227">
        <f t="array" ref="AE21">iferror(AVERAGE(
IFERROR(INDEX('INPUT SUMATIF'!$A:$CH,MATCH($D21,'INPUT SUMATIF'!$D:$D,0),MATCH($AE$2,'INPUT SUMATIF'!$A$2:$CH$2,0)),""),
IFERROR(INDEX('INPUT SUMATIF'!$A:$CH,MATCH($D21,'INPUT SUMATIF'!$D:$D,0),MATCH($AF$2,'INPUT SUMATIF'!$A$2:$CH$2,0)),"")
),"")</f>
        <v>77.66666667</v>
      </c>
      <c r="AF21" s="289" t="s">
        <v>239</v>
      </c>
      <c r="AG21" s="237" t="str">
        <f t="array" ref="AG21">iferror(AVERAGE(
IFERROR(INDEX('INPUT SUMATIF'!$A:$CH,MATCH($D21,'INPUT SUMATIF'!$D:$D,0),MATCH($AG$2,'INPUT SUMATIF'!$A$2:$CH$2,0)),""),
IFERROR(INDEX('INPUT SUMATIF'!$A:$CH,MATCH($D21,'INPUT SUMATIF'!$D:$D,0),MATCH($AH$2,'INPUT SUMATIF'!$A$2:$CH$2,0)),"")
),"")</f>
        <v/>
      </c>
      <c r="AH21" s="289"/>
      <c r="AI21" s="237" t="str">
        <f t="array" ref="AI21">iferror(AVERAGE(
IFERROR(INDEX('INPUT SUMATIF'!$A:$CH,MATCH($D21,'INPUT SUMATIF'!$D:$D,0),MATCH($AI$2,'INPUT SUMATIF'!$A$2:$CH$2,0)),""),
IFERROR(INDEX('INPUT SUMATIF'!$A:$CH,MATCH($D21,'INPUT SUMATIF'!$D:$D,0),MATCH($AJ$2,'INPUT SUMATIF'!$A$2:$CH$2,0)),"")
),"")</f>
        <v/>
      </c>
      <c r="AJ21" s="289"/>
      <c r="AK21" s="186" t="str">
        <f t="array" ref="AK21">iferror(AVERAGE(
IFERROR(INDEX('INPUT SUMATIF'!$A:$CH,MATCH($D21,'INPUT SUMATIF'!$D:$D,0),MATCH($AK$2,'INPUT SUMATIF'!$A$2:$CH$2,0)),""),
IFERROR(INDEX('INPUT SUMATIF'!$A:$CH,MATCH($D21,'INPUT SUMATIF'!$D:$D,0),MATCH($AL$2,'INPUT SUMATIF'!$A$2:$CH$2,0)),"")
),"")</f>
        <v/>
      </c>
      <c r="AL21" s="292"/>
      <c r="AM21" s="253" t="s">
        <v>240</v>
      </c>
      <c r="AN21" s="294"/>
      <c r="AO21" s="293"/>
      <c r="AP21" s="293"/>
      <c r="AQ21" s="296"/>
      <c r="AR21" s="298"/>
      <c r="AS21" s="267"/>
      <c r="AT21" s="267"/>
      <c r="AU21" s="267"/>
      <c r="AV21" s="267"/>
      <c r="AW21" s="267"/>
      <c r="AX21" s="267" t="s">
        <v>135</v>
      </c>
      <c r="AY21" s="267" t="s">
        <v>213</v>
      </c>
      <c r="AZ21" s="267" t="s">
        <v>213</v>
      </c>
      <c r="BA21" s="267" t="s">
        <v>241</v>
      </c>
      <c r="BB21" s="302" t="s">
        <v>248</v>
      </c>
    </row>
    <row r="22" ht="15.75" customHeight="1">
      <c r="A22" s="159">
        <f>IFERROR(__xludf.DUMMYFUNCTION("""COMPUTED_VALUE"""),19.0)</f>
        <v>19</v>
      </c>
      <c r="B22" s="159" t="str">
        <f>IFERROR(__xludf.DUMMYFUNCTION("""COMPUTED_VALUE"""),"2526100432")</f>
        <v>2526100432</v>
      </c>
      <c r="C22" s="159" t="str">
        <f>IFERROR(__xludf.DUMMYFUNCTION("""COMPUTED_VALUE"""),"0099940282")</f>
        <v>0099940282</v>
      </c>
      <c r="D22" s="164" t="str">
        <f>IFERROR(__xludf.DUMMYFUNCTION("""COMPUTED_VALUE"""),"MUHAMAD FARHAN")</f>
        <v>MUHAMAD FARHAN</v>
      </c>
      <c r="E22" s="165" t="str">
        <f>IFERROR(__xludf.DUMMYFUNCTION("""COMPUTED_VALUE"""),"X TO 4")</f>
        <v>X TO 4</v>
      </c>
      <c r="F22" s="165" t="s">
        <v>220</v>
      </c>
      <c r="G22" s="175">
        <f t="array" ref="G22">IFERROR(AVERAGE(
IFERROR(INDEX('INPUT SUMATIF'!$A:$CH,MATCH($D22,'INPUT SUMATIF'!$D:$D,0),MATCH($G$2,'INPUT SUMATIF'!$A$2:$CH$2,0)),""),
IFERROR(INDEX('INPUT SUMATIF'!$A:$CH,MATCH($D22,'INPUT SUMATIF'!$D:$D,0),MATCH($H$2,'INPUT SUMATIF'!$A$2:$CH$2,0)),"")
),"")</f>
        <v>82.5</v>
      </c>
      <c r="H22" s="180" t="s">
        <v>215</v>
      </c>
      <c r="I22" s="186">
        <f t="array" ref="I22">iferror(AVERAGE(
IFERROR(INDEX('INPUT SUMATIF'!$A:$CH,MATCH($D22,'INPUT SUMATIF'!$D:$D,0),MATCH($I$2,'INPUT SUMATIF'!$A$2:$CH$2,0)),""),
IFERROR(INDEX('INPUT SUMATIF'!$A:$CH,MATCH($D22,'INPUT SUMATIF'!$D:$D,0),MATCH($J$2,'INPUT SUMATIF'!$A$2:$CH$2,0)),"")
),"")</f>
        <v>81.25</v>
      </c>
      <c r="J22" s="180" t="s">
        <v>423</v>
      </c>
      <c r="K22" s="192">
        <f t="array" ref="K22">iferror(AVERAGE(
IFERROR(INDEX('INPUT SUMATIF'!$A:$CH,MATCH($D22,'INPUT SUMATIF'!$D:$D,0),MATCH($K$2,'INPUT SUMATIF'!$A$2:$CH$2,0)),""),
IFERROR(INDEX('INPUT SUMATIF'!$A:$CH,MATCH($D22,'INPUT SUMATIF'!$D:$D,0),MATCH($L$2,'INPUT SUMATIF'!$A$2:$CH$2,0)),"")
),"")</f>
        <v>86.66666667</v>
      </c>
      <c r="L22" s="180" t="s">
        <v>219</v>
      </c>
      <c r="M22" s="196">
        <f t="array" ref="M22">iferror(AVERAGE(
IFERROR(INDEX('INPUT SUMATIF'!$A:$CH,MATCH($D22,'INPUT SUMATIF'!$D:$D,0),MATCH($M$2,'INPUT SUMATIF'!$A$2:$CH$2,0)),""),
IFERROR(INDEX('INPUT SUMATIF'!$A:$CH,MATCH($D22,'INPUT SUMATIF'!$D:$D,0),MATCH($N$2,'INPUT SUMATIF'!$A$2:$CH$2,0)),"")
),"")</f>
        <v>82.5</v>
      </c>
      <c r="N22" s="201" t="s">
        <v>221</v>
      </c>
      <c r="O22" s="206">
        <f t="array" ref="O22">iferror(AVERAGE(
IFERROR(INDEX('INPUT SUMATIF'!$A:$CH,MATCH($D22,'INPUT SUMATIF'!$D:$D,0),MATCH($O$2,'INPUT SUMATIF'!$A$2:$CH$2,0)),""),
IFERROR(INDEX('INPUT SUMATIF'!$A:$CH,MATCH($D22,'INPUT SUMATIF'!$D:$D,0),MATCH($P$2,'INPUT SUMATIF'!$A$2:$CH$2,0)),"")
),"")</f>
        <v>83</v>
      </c>
      <c r="P22" s="180" t="s">
        <v>222</v>
      </c>
      <c r="Q22" s="210">
        <f t="array" ref="Q22">iferror(AVERAGE(
IFERROR(INDEX('INPUT SUMATIF'!$A:$CH,MATCH($D22,'INPUT SUMATIF'!$D:$D,0),MATCH($Q$2,'INPUT SUMATIF'!$A$2:$CH$2,0)),""),
IFERROR(INDEX('INPUT SUMATIF'!$A:$CH,MATCH($D22,'INPUT SUMATIF'!$D:$D,0),MATCH($R$2,'INPUT SUMATIF'!$A$2:$CH$2,0)),"")
),"")</f>
        <v>89.5</v>
      </c>
      <c r="R22" s="180" t="s">
        <v>229</v>
      </c>
      <c r="S22" s="215">
        <f t="array" ref="S22">iferror(AVERAGE(
IFERROR(INDEX('INPUT SUMATIF'!$A:$CH,MATCH($D22,'INPUT SUMATIF'!$D:$D,0),MATCH($S$2,'INPUT SUMATIF'!$A$2:$CH$2,0)),""),
IFERROR(INDEX('INPUT SUMATIF'!$A:$CH,MATCH($D22,'INPUT SUMATIF'!$D:$D,0),MATCH($T$2,'INPUT SUMATIF'!$A$2:$CH$2,0)),"")
),"")</f>
        <v>85.66666667</v>
      </c>
      <c r="T22" s="180" t="s">
        <v>233</v>
      </c>
      <c r="U22" s="221">
        <f t="array" ref="U22">iferror(AVERAGE(
IFERROR(INDEX('INPUT SUMATIF'!$A:$CH,MATCH($D22,'INPUT SUMATIF'!$D:$D,0),MATCH($U$2,'INPUT SUMATIF'!$A$2:$CH$2,0)),""),
IFERROR(INDEX('INPUT SUMATIF'!$A:$CH,MATCH($D22,'INPUT SUMATIF'!$D:$D,0),MATCH($V$2,'INPUT SUMATIF'!$A$2:$CH$2,0)),"")
),"")</f>
        <v>82</v>
      </c>
      <c r="V22" s="180" t="s">
        <v>234</v>
      </c>
      <c r="W22" s="175">
        <f t="array" ref="W22">iferror(AVERAGE(
IFERROR(INDEX('INPUT SUMATIF'!$A:$CH,MATCH($D22,'INPUT SUMATIF'!$D:$D,0),MATCH($W$2,'INPUT SUMATIF'!$A$2:$CH$2,0)),""),
IFERROR(INDEX('INPUT SUMATIF'!$A:$CH,MATCH($D22,'INPUT SUMATIF'!$D:$D,0),MATCH($X$2,'INPUT SUMATIF'!$A$2:$CH$2,0)),"")
),"")</f>
        <v>76.33333333</v>
      </c>
      <c r="X22" s="224" t="s">
        <v>235</v>
      </c>
      <c r="Y22" s="227">
        <f t="array" ref="Y22">iferror(AVERAGE(
IFERROR(INDEX('INPUT SUMATIF'!$A:$CH,MATCH($D22,'INPUT SUMATIF'!$D:$D,0),MATCH($Y$2,'INPUT SUMATIF'!$A$2:$CH$2,0)),""),
IFERROR(INDEX('INPUT SUMATIF'!$A:$CH,MATCH($D22,'INPUT SUMATIF'!$D:$D,0),MATCH($Z$2,'INPUT SUMATIF'!$A$2:$CH$2,0)),"")
),"")</f>
        <v>80</v>
      </c>
      <c r="Z22" s="228" t="s">
        <v>236</v>
      </c>
      <c r="AA22" s="227">
        <f t="array" ref="AA22">iferror(AVERAGE(
IFERROR(INDEX('INPUT SUMATIF'!$A:$CH,MATCH($D22,'INPUT SUMATIF'!$D:$D,0),MATCH($AA$2,'INPUT SUMATIF'!$A$2:$CH$2,0)),""),
IFERROR(INDEX('INPUT SUMATIF'!$A:$CH,MATCH($D22,'INPUT SUMATIF'!$D:$D,0),MATCH($AB$2,'INPUT SUMATIF'!$A$2:$CH$2,0)),"")
),"")</f>
        <v>82.5</v>
      </c>
      <c r="AB22" s="180" t="s">
        <v>237</v>
      </c>
      <c r="AC22" s="227">
        <f t="array" ref="AC22">iferror(AVERAGE(
IFERROR(INDEX('INPUT SUMATIF'!$A:$CH,MATCH($D22,'INPUT SUMATIF'!$D:$D,0),MATCH($AC$2,'INPUT SUMATIF'!$A$2:$CH$2,0)),""),
IFERROR(INDEX('INPUT SUMATIF'!$A:$CH,MATCH($D22,'INPUT SUMATIF'!$D:$D,0),MATCH($AD$2,'INPUT SUMATIF'!$A$2:$CH$2,0)),"")
),"")</f>
        <v>80.83333333</v>
      </c>
      <c r="AD22" s="180" t="s">
        <v>238</v>
      </c>
      <c r="AE22" s="227">
        <f t="array" ref="AE22">iferror(AVERAGE(
IFERROR(INDEX('INPUT SUMATIF'!$A:$CH,MATCH($D22,'INPUT SUMATIF'!$D:$D,0),MATCH($AE$2,'INPUT SUMATIF'!$A$2:$CH$2,0)),""),
IFERROR(INDEX('INPUT SUMATIF'!$A:$CH,MATCH($D22,'INPUT SUMATIF'!$D:$D,0),MATCH($AF$2,'INPUT SUMATIF'!$A$2:$CH$2,0)),"")
),"")</f>
        <v>77.66666667</v>
      </c>
      <c r="AF22" s="180" t="s">
        <v>239</v>
      </c>
      <c r="AG22" s="237" t="str">
        <f t="array" ref="AG22">iferror(AVERAGE(
IFERROR(INDEX('INPUT SUMATIF'!$A:$CH,MATCH($D22,'INPUT SUMATIF'!$D:$D,0),MATCH($AG$2,'INPUT SUMATIF'!$A$2:$CH$2,0)),""),
IFERROR(INDEX('INPUT SUMATIF'!$A:$CH,MATCH($D22,'INPUT SUMATIF'!$D:$D,0),MATCH($AH$2,'INPUT SUMATIF'!$A$2:$CH$2,0)),"")
),"")</f>
        <v/>
      </c>
      <c r="AH22" s="180"/>
      <c r="AI22" s="237" t="str">
        <f t="array" ref="AI22">iferror(AVERAGE(
IFERROR(INDEX('INPUT SUMATIF'!$A:$CH,MATCH($D22,'INPUT SUMATIF'!$D:$D,0),MATCH($AI$2,'INPUT SUMATIF'!$A$2:$CH$2,0)),""),
IFERROR(INDEX('INPUT SUMATIF'!$A:$CH,MATCH($D22,'INPUT SUMATIF'!$D:$D,0),MATCH($AJ$2,'INPUT SUMATIF'!$A$2:$CH$2,0)),"")
),"")</f>
        <v/>
      </c>
      <c r="AJ22" s="180"/>
      <c r="AK22" s="186" t="str">
        <f t="array" ref="AK22">iferror(AVERAGE(
IFERROR(INDEX('INPUT SUMATIF'!$A:$CH,MATCH($D22,'INPUT SUMATIF'!$D:$D,0),MATCH($AK$2,'INPUT SUMATIF'!$A$2:$CH$2,0)),""),
IFERROR(INDEX('INPUT SUMATIF'!$A:$CH,MATCH($D22,'INPUT SUMATIF'!$D:$D,0),MATCH($AL$2,'INPUT SUMATIF'!$A$2:$CH$2,0)),"")
),"")</f>
        <v/>
      </c>
      <c r="AL22" s="244"/>
      <c r="AM22" s="253" t="s">
        <v>240</v>
      </c>
      <c r="AN22" s="255"/>
      <c r="AO22" s="253"/>
      <c r="AP22" s="253"/>
      <c r="AQ22" s="260"/>
      <c r="AR22" s="263" t="s">
        <v>357</v>
      </c>
      <c r="AS22" s="265"/>
      <c r="AT22" s="265" t="s">
        <v>358</v>
      </c>
      <c r="AU22" s="265"/>
      <c r="AV22" s="265" t="s">
        <v>359</v>
      </c>
      <c r="AW22" s="265"/>
      <c r="AX22" s="265" t="s">
        <v>146</v>
      </c>
      <c r="AY22" s="265" t="s">
        <v>213</v>
      </c>
      <c r="AZ22" s="265" t="s">
        <v>213</v>
      </c>
      <c r="BA22" s="267" t="s">
        <v>241</v>
      </c>
      <c r="BB22" s="268" t="s">
        <v>248</v>
      </c>
    </row>
    <row r="23" ht="15.75" customHeight="1">
      <c r="A23" s="270">
        <f>IFERROR(__xludf.DUMMYFUNCTION("""COMPUTED_VALUE"""),20.0)</f>
        <v>20</v>
      </c>
      <c r="B23" s="270" t="str">
        <f>IFERROR(__xludf.DUMMYFUNCTION("""COMPUTED_VALUE"""),"2526100433")</f>
        <v>2526100433</v>
      </c>
      <c r="C23" s="270" t="str">
        <f>IFERROR(__xludf.DUMMYFUNCTION("""COMPUTED_VALUE"""),"0088633294")</f>
        <v>0088633294</v>
      </c>
      <c r="D23" s="274" t="str">
        <f>IFERROR(__xludf.DUMMYFUNCTION("""COMPUTED_VALUE"""),"MUHAMAD MIFTAH NASHIRUDIN")</f>
        <v>MUHAMAD MIFTAH NASHIRUDIN</v>
      </c>
      <c r="E23" s="277" t="str">
        <f>IFERROR(__xludf.DUMMYFUNCTION("""COMPUTED_VALUE"""),"X TO 4")</f>
        <v>X TO 4</v>
      </c>
      <c r="F23" s="277" t="s">
        <v>220</v>
      </c>
      <c r="G23" s="175">
        <f t="array" ref="G23">IFERROR(AVERAGE(
IFERROR(INDEX('INPUT SUMATIF'!$A:$CH,MATCH($D23,'INPUT SUMATIF'!$D:$D,0),MATCH($G$2,'INPUT SUMATIF'!$A$2:$CH$2,0)),""),
IFERROR(INDEX('INPUT SUMATIF'!$A:$CH,MATCH($D23,'INPUT SUMATIF'!$D:$D,0),MATCH($H$2,'INPUT SUMATIF'!$A$2:$CH$2,0)),"")
),"")</f>
        <v>77.75</v>
      </c>
      <c r="H23" s="180" t="s">
        <v>215</v>
      </c>
      <c r="I23" s="186">
        <f t="array" ref="I23">iferror(AVERAGE(
IFERROR(INDEX('INPUT SUMATIF'!$A:$CH,MATCH($D23,'INPUT SUMATIF'!$D:$D,0),MATCH($I$2,'INPUT SUMATIF'!$A$2:$CH$2,0)),""),
IFERROR(INDEX('INPUT SUMATIF'!$A:$CH,MATCH($D23,'INPUT SUMATIF'!$D:$D,0),MATCH($J$2,'INPUT SUMATIF'!$A$2:$CH$2,0)),"")
),"")</f>
        <v>83.25</v>
      </c>
      <c r="J23" s="180" t="s">
        <v>424</v>
      </c>
      <c r="K23" s="192">
        <f t="array" ref="K23">iferror(AVERAGE(
IFERROR(INDEX('INPUT SUMATIF'!$A:$CH,MATCH($D23,'INPUT SUMATIF'!$D:$D,0),MATCH($K$2,'INPUT SUMATIF'!$A$2:$CH$2,0)),""),
IFERROR(INDEX('INPUT SUMATIF'!$A:$CH,MATCH($D23,'INPUT SUMATIF'!$D:$D,0),MATCH($L$2,'INPUT SUMATIF'!$A$2:$CH$2,0)),"")
),"")</f>
        <v>84.66666667</v>
      </c>
      <c r="L23" s="180" t="s">
        <v>219</v>
      </c>
      <c r="M23" s="196">
        <f t="array" ref="M23">iferror(AVERAGE(
IFERROR(INDEX('INPUT SUMATIF'!$A:$CH,MATCH($D23,'INPUT SUMATIF'!$D:$D,0),MATCH($M$2,'INPUT SUMATIF'!$A$2:$CH$2,0)),""),
IFERROR(INDEX('INPUT SUMATIF'!$A:$CH,MATCH($D23,'INPUT SUMATIF'!$D:$D,0),MATCH($N$2,'INPUT SUMATIF'!$A$2:$CH$2,0)),"")
),"")</f>
        <v>76.75</v>
      </c>
      <c r="N23" s="201" t="s">
        <v>221</v>
      </c>
      <c r="O23" s="206">
        <f t="array" ref="O23">iferror(AVERAGE(
IFERROR(INDEX('INPUT SUMATIF'!$A:$CH,MATCH($D23,'INPUT SUMATIF'!$D:$D,0),MATCH($O$2,'INPUT SUMATIF'!$A$2:$CH$2,0)),""),
IFERROR(INDEX('INPUT SUMATIF'!$A:$CH,MATCH($D23,'INPUT SUMATIF'!$D:$D,0),MATCH($P$2,'INPUT SUMATIF'!$A$2:$CH$2,0)),"")
),"")</f>
        <v>79</v>
      </c>
      <c r="P23" s="180" t="s">
        <v>222</v>
      </c>
      <c r="Q23" s="210">
        <f t="array" ref="Q23">iferror(AVERAGE(
IFERROR(INDEX('INPUT SUMATIF'!$A:$CH,MATCH($D23,'INPUT SUMATIF'!$D:$D,0),MATCH($Q$2,'INPUT SUMATIF'!$A$2:$CH$2,0)),""),
IFERROR(INDEX('INPUT SUMATIF'!$A:$CH,MATCH($D23,'INPUT SUMATIF'!$D:$D,0),MATCH($R$2,'INPUT SUMATIF'!$A$2:$CH$2,0)),"")
),"")</f>
        <v>89.16666667</v>
      </c>
      <c r="R23" s="180" t="s">
        <v>229</v>
      </c>
      <c r="S23" s="215">
        <f t="array" ref="S23">iferror(AVERAGE(
IFERROR(INDEX('INPUT SUMATIF'!$A:$CH,MATCH($D23,'INPUT SUMATIF'!$D:$D,0),MATCH($S$2,'INPUT SUMATIF'!$A$2:$CH$2,0)),""),
IFERROR(INDEX('INPUT SUMATIF'!$A:$CH,MATCH($D23,'INPUT SUMATIF'!$D:$D,0),MATCH($T$2,'INPUT SUMATIF'!$A$2:$CH$2,0)),"")
),"")</f>
        <v>79.66666667</v>
      </c>
      <c r="T23" s="180" t="s">
        <v>233</v>
      </c>
      <c r="U23" s="221">
        <f t="array" ref="U23">iferror(AVERAGE(
IFERROR(INDEX('INPUT SUMATIF'!$A:$CH,MATCH($D23,'INPUT SUMATIF'!$D:$D,0),MATCH($U$2,'INPUT SUMATIF'!$A$2:$CH$2,0)),""),
IFERROR(INDEX('INPUT SUMATIF'!$A:$CH,MATCH($D23,'INPUT SUMATIF'!$D:$D,0),MATCH($V$2,'INPUT SUMATIF'!$A$2:$CH$2,0)),"")
),"")</f>
        <v>72</v>
      </c>
      <c r="V23" s="180" t="s">
        <v>234</v>
      </c>
      <c r="W23" s="175">
        <f t="array" ref="W23">iferror(AVERAGE(
IFERROR(INDEX('INPUT SUMATIF'!$A:$CH,MATCH($D23,'INPUT SUMATIF'!$D:$D,0),MATCH($W$2,'INPUT SUMATIF'!$A$2:$CH$2,0)),""),
IFERROR(INDEX('INPUT SUMATIF'!$A:$CH,MATCH($D23,'INPUT SUMATIF'!$D:$D,0),MATCH($X$2,'INPUT SUMATIF'!$A$2:$CH$2,0)),"")
),"")</f>
        <v>76.33333333</v>
      </c>
      <c r="X23" s="224" t="s">
        <v>235</v>
      </c>
      <c r="Y23" s="227">
        <f t="array" ref="Y23">iferror(AVERAGE(
IFERROR(INDEX('INPUT SUMATIF'!$A:$CH,MATCH($D23,'INPUT SUMATIF'!$D:$D,0),MATCH($Y$2,'INPUT SUMATIF'!$A$2:$CH$2,0)),""),
IFERROR(INDEX('INPUT SUMATIF'!$A:$CH,MATCH($D23,'INPUT SUMATIF'!$D:$D,0),MATCH($Z$2,'INPUT SUMATIF'!$A$2:$CH$2,0)),"")
),"")</f>
        <v>80</v>
      </c>
      <c r="Z23" s="228" t="s">
        <v>236</v>
      </c>
      <c r="AA23" s="227">
        <f t="array" ref="AA23">iferror(AVERAGE(
IFERROR(INDEX('INPUT SUMATIF'!$A:$CH,MATCH($D23,'INPUT SUMATIF'!$D:$D,0),MATCH($AA$2,'INPUT SUMATIF'!$A$2:$CH$2,0)),""),
IFERROR(INDEX('INPUT SUMATIF'!$A:$CH,MATCH($D23,'INPUT SUMATIF'!$D:$D,0),MATCH($AB$2,'INPUT SUMATIF'!$A$2:$CH$2,0)),"")
),"")</f>
        <v>83</v>
      </c>
      <c r="AB23" s="180" t="s">
        <v>237</v>
      </c>
      <c r="AC23" s="227">
        <f t="array" ref="AC23">iferror(AVERAGE(
IFERROR(INDEX('INPUT SUMATIF'!$A:$CH,MATCH($D23,'INPUT SUMATIF'!$D:$D,0),MATCH($AC$2,'INPUT SUMATIF'!$A$2:$CH$2,0)),""),
IFERROR(INDEX('INPUT SUMATIF'!$A:$CH,MATCH($D23,'INPUT SUMATIF'!$D:$D,0),MATCH($AD$2,'INPUT SUMATIF'!$A$2:$CH$2,0)),"")
),"")</f>
        <v>80.33333333</v>
      </c>
      <c r="AD23" s="180" t="s">
        <v>238</v>
      </c>
      <c r="AE23" s="227">
        <f t="array" ref="AE23">iferror(AVERAGE(
IFERROR(INDEX('INPUT SUMATIF'!$A:$CH,MATCH($D23,'INPUT SUMATIF'!$D:$D,0),MATCH($AE$2,'INPUT SUMATIF'!$A$2:$CH$2,0)),""),
IFERROR(INDEX('INPUT SUMATIF'!$A:$CH,MATCH($D23,'INPUT SUMATIF'!$D:$D,0),MATCH($AF$2,'INPUT SUMATIF'!$A$2:$CH$2,0)),"")
),"")</f>
        <v>79.33333333</v>
      </c>
      <c r="AF23" s="289" t="s">
        <v>239</v>
      </c>
      <c r="AG23" s="237" t="str">
        <f t="array" ref="AG23">iferror(AVERAGE(
IFERROR(INDEX('INPUT SUMATIF'!$A:$CH,MATCH($D23,'INPUT SUMATIF'!$D:$D,0),MATCH($AG$2,'INPUT SUMATIF'!$A$2:$CH$2,0)),""),
IFERROR(INDEX('INPUT SUMATIF'!$A:$CH,MATCH($D23,'INPUT SUMATIF'!$D:$D,0),MATCH($AH$2,'INPUT SUMATIF'!$A$2:$CH$2,0)),"")
),"")</f>
        <v/>
      </c>
      <c r="AH23" s="289"/>
      <c r="AI23" s="237" t="str">
        <f t="array" ref="AI23">iferror(AVERAGE(
IFERROR(INDEX('INPUT SUMATIF'!$A:$CH,MATCH($D23,'INPUT SUMATIF'!$D:$D,0),MATCH($AI$2,'INPUT SUMATIF'!$A$2:$CH$2,0)),""),
IFERROR(INDEX('INPUT SUMATIF'!$A:$CH,MATCH($D23,'INPUT SUMATIF'!$D:$D,0),MATCH($AJ$2,'INPUT SUMATIF'!$A$2:$CH$2,0)),"")
),"")</f>
        <v/>
      </c>
      <c r="AJ23" s="289"/>
      <c r="AK23" s="186" t="str">
        <f t="array" ref="AK23">iferror(AVERAGE(
IFERROR(INDEX('INPUT SUMATIF'!$A:$CH,MATCH($D23,'INPUT SUMATIF'!$D:$D,0),MATCH($AK$2,'INPUT SUMATIF'!$A$2:$CH$2,0)),""),
IFERROR(INDEX('INPUT SUMATIF'!$A:$CH,MATCH($D23,'INPUT SUMATIF'!$D:$D,0),MATCH($AL$2,'INPUT SUMATIF'!$A$2:$CH$2,0)),"")
),"")</f>
        <v/>
      </c>
      <c r="AL23" s="292"/>
      <c r="AM23" s="253" t="s">
        <v>277</v>
      </c>
      <c r="AN23" s="294"/>
      <c r="AO23" s="293"/>
      <c r="AP23" s="293"/>
      <c r="AQ23" s="296"/>
      <c r="AR23" s="298"/>
      <c r="AS23" s="267"/>
      <c r="AT23" s="267"/>
      <c r="AU23" s="267"/>
      <c r="AV23" s="267"/>
      <c r="AW23" s="267"/>
      <c r="AX23" s="267" t="s">
        <v>157</v>
      </c>
      <c r="AY23" s="267" t="s">
        <v>213</v>
      </c>
      <c r="AZ23" s="267" t="s">
        <v>213</v>
      </c>
      <c r="BA23" s="267" t="s">
        <v>241</v>
      </c>
      <c r="BB23" s="302" t="s">
        <v>248</v>
      </c>
    </row>
    <row r="24" ht="15.75" customHeight="1">
      <c r="A24" s="159">
        <f>IFERROR(__xludf.DUMMYFUNCTION("""COMPUTED_VALUE"""),21.0)</f>
        <v>21</v>
      </c>
      <c r="B24" s="159" t="str">
        <f>IFERROR(__xludf.DUMMYFUNCTION("""COMPUTED_VALUE"""),"2526100434")</f>
        <v>2526100434</v>
      </c>
      <c r="C24" s="159" t="str">
        <f>IFERROR(__xludf.DUMMYFUNCTION("""COMPUTED_VALUE"""),"0094805329")</f>
        <v>0094805329</v>
      </c>
      <c r="D24" s="164" t="str">
        <f>IFERROR(__xludf.DUMMYFUNCTION("""COMPUTED_VALUE"""),"MUHAMAD NUR KHOLIS ROMDONI")</f>
        <v>MUHAMAD NUR KHOLIS ROMDONI</v>
      </c>
      <c r="E24" s="165" t="str">
        <f>IFERROR(__xludf.DUMMYFUNCTION("""COMPUTED_VALUE"""),"X TO 4")</f>
        <v>X TO 4</v>
      </c>
      <c r="F24" s="165" t="s">
        <v>220</v>
      </c>
      <c r="G24" s="175">
        <f t="array" ref="G24">IFERROR(AVERAGE(
IFERROR(INDEX('INPUT SUMATIF'!$A:$CH,MATCH($D24,'INPUT SUMATIF'!$D:$D,0),MATCH($G$2,'INPUT SUMATIF'!$A$2:$CH$2,0)),""),
IFERROR(INDEX('INPUT SUMATIF'!$A:$CH,MATCH($D24,'INPUT SUMATIF'!$D:$D,0),MATCH($H$2,'INPUT SUMATIF'!$A$2:$CH$2,0)),"")
),"")</f>
        <v>77.25</v>
      </c>
      <c r="H24" s="180" t="s">
        <v>215</v>
      </c>
      <c r="I24" s="186">
        <f t="array" ref="I24">iferror(AVERAGE(
IFERROR(INDEX('INPUT SUMATIF'!$A:$CH,MATCH($D24,'INPUT SUMATIF'!$D:$D,0),MATCH($I$2,'INPUT SUMATIF'!$A$2:$CH$2,0)),""),
IFERROR(INDEX('INPUT SUMATIF'!$A:$CH,MATCH($D24,'INPUT SUMATIF'!$D:$D,0),MATCH($J$2,'INPUT SUMATIF'!$A$2:$CH$2,0)),"")
),"")</f>
        <v>81.25</v>
      </c>
      <c r="J24" s="180" t="s">
        <v>426</v>
      </c>
      <c r="K24" s="192">
        <f t="array" ref="K24">iferror(AVERAGE(
IFERROR(INDEX('INPUT SUMATIF'!$A:$CH,MATCH($D24,'INPUT SUMATIF'!$D:$D,0),MATCH($K$2,'INPUT SUMATIF'!$A$2:$CH$2,0)),""),
IFERROR(INDEX('INPUT SUMATIF'!$A:$CH,MATCH($D24,'INPUT SUMATIF'!$D:$D,0),MATCH($L$2,'INPUT SUMATIF'!$A$2:$CH$2,0)),"")
),"")</f>
        <v>83.83333333</v>
      </c>
      <c r="L24" s="180" t="s">
        <v>219</v>
      </c>
      <c r="M24" s="196">
        <f t="array" ref="M24">iferror(AVERAGE(
IFERROR(INDEX('INPUT SUMATIF'!$A:$CH,MATCH($D24,'INPUT SUMATIF'!$D:$D,0),MATCH($M$2,'INPUT SUMATIF'!$A$2:$CH$2,0)),""),
IFERROR(INDEX('INPUT SUMATIF'!$A:$CH,MATCH($D24,'INPUT SUMATIF'!$D:$D,0),MATCH($N$2,'INPUT SUMATIF'!$A$2:$CH$2,0)),"")
),"")</f>
        <v>82.25</v>
      </c>
      <c r="N24" s="201" t="s">
        <v>221</v>
      </c>
      <c r="O24" s="206">
        <f t="array" ref="O24">iferror(AVERAGE(
IFERROR(INDEX('INPUT SUMATIF'!$A:$CH,MATCH($D24,'INPUT SUMATIF'!$D:$D,0),MATCH($O$2,'INPUT SUMATIF'!$A$2:$CH$2,0)),""),
IFERROR(INDEX('INPUT SUMATIF'!$A:$CH,MATCH($D24,'INPUT SUMATIF'!$D:$D,0),MATCH($P$2,'INPUT SUMATIF'!$A$2:$CH$2,0)),"")
),"")</f>
        <v>0</v>
      </c>
      <c r="P24" s="180" t="s">
        <v>222</v>
      </c>
      <c r="Q24" s="210">
        <f t="array" ref="Q24">iferror(AVERAGE(
IFERROR(INDEX('INPUT SUMATIF'!$A:$CH,MATCH($D24,'INPUT SUMATIF'!$D:$D,0),MATCH($Q$2,'INPUT SUMATIF'!$A$2:$CH$2,0)),""),
IFERROR(INDEX('INPUT SUMATIF'!$A:$CH,MATCH($D24,'INPUT SUMATIF'!$D:$D,0),MATCH($R$2,'INPUT SUMATIF'!$A$2:$CH$2,0)),"")
),"")</f>
        <v>89.5</v>
      </c>
      <c r="R24" s="180" t="s">
        <v>229</v>
      </c>
      <c r="S24" s="215">
        <f t="array" ref="S24">iferror(AVERAGE(
IFERROR(INDEX('INPUT SUMATIF'!$A:$CH,MATCH($D24,'INPUT SUMATIF'!$D:$D,0),MATCH($S$2,'INPUT SUMATIF'!$A$2:$CH$2,0)),""),
IFERROR(INDEX('INPUT SUMATIF'!$A:$CH,MATCH($D24,'INPUT SUMATIF'!$D:$D,0),MATCH($T$2,'INPUT SUMATIF'!$A$2:$CH$2,0)),"")
),"")</f>
        <v>3.333333333</v>
      </c>
      <c r="T24" s="180" t="s">
        <v>233</v>
      </c>
      <c r="U24" s="221">
        <f t="array" ref="U24">iferror(AVERAGE(
IFERROR(INDEX('INPUT SUMATIF'!$A:$CH,MATCH($D24,'INPUT SUMATIF'!$D:$D,0),MATCH($U$2,'INPUT SUMATIF'!$A$2:$CH$2,0)),""),
IFERROR(INDEX('INPUT SUMATIF'!$A:$CH,MATCH($D24,'INPUT SUMATIF'!$D:$D,0),MATCH($V$2,'INPUT SUMATIF'!$A$2:$CH$2,0)),"")
),"")</f>
        <v>72</v>
      </c>
      <c r="V24" s="180" t="s">
        <v>234</v>
      </c>
      <c r="W24" s="175">
        <f t="array" ref="W24">iferror(AVERAGE(
IFERROR(INDEX('INPUT SUMATIF'!$A:$CH,MATCH($D24,'INPUT SUMATIF'!$D:$D,0),MATCH($W$2,'INPUT SUMATIF'!$A$2:$CH$2,0)),""),
IFERROR(INDEX('INPUT SUMATIF'!$A:$CH,MATCH($D24,'INPUT SUMATIF'!$D:$D,0),MATCH($X$2,'INPUT SUMATIF'!$A$2:$CH$2,0)),"")
),"")</f>
        <v>76</v>
      </c>
      <c r="X24" s="224" t="s">
        <v>235</v>
      </c>
      <c r="Y24" s="227">
        <f t="array" ref="Y24">iferror(AVERAGE(
IFERROR(INDEX('INPUT SUMATIF'!$A:$CH,MATCH($D24,'INPUT SUMATIF'!$D:$D,0),MATCH($Y$2,'INPUT SUMATIF'!$A$2:$CH$2,0)),""),
IFERROR(INDEX('INPUT SUMATIF'!$A:$CH,MATCH($D24,'INPUT SUMATIF'!$D:$D,0),MATCH($Z$2,'INPUT SUMATIF'!$A$2:$CH$2,0)),"")
),"")</f>
        <v>80</v>
      </c>
      <c r="Z24" s="228" t="s">
        <v>236</v>
      </c>
      <c r="AA24" s="227">
        <f t="array" ref="AA24">iferror(AVERAGE(
IFERROR(INDEX('INPUT SUMATIF'!$A:$CH,MATCH($D24,'INPUT SUMATIF'!$D:$D,0),MATCH($AA$2,'INPUT SUMATIF'!$A$2:$CH$2,0)),""),
IFERROR(INDEX('INPUT SUMATIF'!$A:$CH,MATCH($D24,'INPUT SUMATIF'!$D:$D,0),MATCH($AB$2,'INPUT SUMATIF'!$A$2:$CH$2,0)),"")
),"")</f>
        <v>38.5</v>
      </c>
      <c r="AB24" s="180" t="s">
        <v>237</v>
      </c>
      <c r="AC24" s="227">
        <f t="array" ref="AC24">iferror(AVERAGE(
IFERROR(INDEX('INPUT SUMATIF'!$A:$CH,MATCH($D24,'INPUT SUMATIF'!$D:$D,0),MATCH($AC$2,'INPUT SUMATIF'!$A$2:$CH$2,0)),""),
IFERROR(INDEX('INPUT SUMATIF'!$A:$CH,MATCH($D24,'INPUT SUMATIF'!$D:$D,0),MATCH($AD$2,'INPUT SUMATIF'!$A$2:$CH$2,0)),"")
),"")</f>
        <v>80</v>
      </c>
      <c r="AD24" s="180" t="s">
        <v>238</v>
      </c>
      <c r="AE24" s="227">
        <f t="array" ref="AE24">iferror(AVERAGE(
IFERROR(INDEX('INPUT SUMATIF'!$A:$CH,MATCH($D24,'INPUT SUMATIF'!$D:$D,0),MATCH($AE$2,'INPUT SUMATIF'!$A$2:$CH$2,0)),""),
IFERROR(INDEX('INPUT SUMATIF'!$A:$CH,MATCH($D24,'INPUT SUMATIF'!$D:$D,0),MATCH($AF$2,'INPUT SUMATIF'!$A$2:$CH$2,0)),"")
),"")</f>
        <v>77.66666667</v>
      </c>
      <c r="AF24" s="180" t="s">
        <v>239</v>
      </c>
      <c r="AG24" s="237" t="str">
        <f t="array" ref="AG24">iferror(AVERAGE(
IFERROR(INDEX('INPUT SUMATIF'!$A:$CH,MATCH($D24,'INPUT SUMATIF'!$D:$D,0),MATCH($AG$2,'INPUT SUMATIF'!$A$2:$CH$2,0)),""),
IFERROR(INDEX('INPUT SUMATIF'!$A:$CH,MATCH($D24,'INPUT SUMATIF'!$D:$D,0),MATCH($AH$2,'INPUT SUMATIF'!$A$2:$CH$2,0)),"")
),"")</f>
        <v/>
      </c>
      <c r="AH24" s="180"/>
      <c r="AI24" s="237" t="str">
        <f t="array" ref="AI24">iferror(AVERAGE(
IFERROR(INDEX('INPUT SUMATIF'!$A:$CH,MATCH($D24,'INPUT SUMATIF'!$D:$D,0),MATCH($AI$2,'INPUT SUMATIF'!$A$2:$CH$2,0)),""),
IFERROR(INDEX('INPUT SUMATIF'!$A:$CH,MATCH($D24,'INPUT SUMATIF'!$D:$D,0),MATCH($AJ$2,'INPUT SUMATIF'!$A$2:$CH$2,0)),"")
),"")</f>
        <v/>
      </c>
      <c r="AJ24" s="180"/>
      <c r="AK24" s="186" t="str">
        <f t="array" ref="AK24">iferror(AVERAGE(
IFERROR(INDEX('INPUT SUMATIF'!$A:$CH,MATCH($D24,'INPUT SUMATIF'!$D:$D,0),MATCH($AK$2,'INPUT SUMATIF'!$A$2:$CH$2,0)),""),
IFERROR(INDEX('INPUT SUMATIF'!$A:$CH,MATCH($D24,'INPUT SUMATIF'!$D:$D,0),MATCH($AL$2,'INPUT SUMATIF'!$A$2:$CH$2,0)),"")
),"")</f>
        <v/>
      </c>
      <c r="AL24" s="244"/>
      <c r="AM24" s="293" t="s">
        <v>245</v>
      </c>
      <c r="AN24" s="255"/>
      <c r="AO24" s="253"/>
      <c r="AP24" s="253"/>
      <c r="AQ24" s="260"/>
      <c r="AR24" s="263"/>
      <c r="AS24" s="265"/>
      <c r="AT24" s="265"/>
      <c r="AU24" s="265"/>
      <c r="AV24" s="265"/>
      <c r="AW24" s="265"/>
      <c r="AX24" s="265" t="s">
        <v>158</v>
      </c>
      <c r="AY24" s="265" t="s">
        <v>143</v>
      </c>
      <c r="AZ24" s="265" t="s">
        <v>213</v>
      </c>
      <c r="BA24" s="267" t="s">
        <v>241</v>
      </c>
      <c r="BB24" s="268" t="s">
        <v>248</v>
      </c>
    </row>
    <row r="25" ht="15.75" customHeight="1">
      <c r="A25" s="270">
        <f>IFERROR(__xludf.DUMMYFUNCTION("""COMPUTED_VALUE"""),22.0)</f>
        <v>22</v>
      </c>
      <c r="B25" s="270" t="str">
        <f>IFERROR(__xludf.DUMMYFUNCTION("""COMPUTED_VALUE"""),"2526100435")</f>
        <v>2526100435</v>
      </c>
      <c r="C25" s="270" t="str">
        <f>IFERROR(__xludf.DUMMYFUNCTION("""COMPUTED_VALUE"""),"0098562523")</f>
        <v>0098562523</v>
      </c>
      <c r="D25" s="274" t="str">
        <f>IFERROR(__xludf.DUMMYFUNCTION("""COMPUTED_VALUE"""),"MUHAMAD RIDWAN")</f>
        <v>MUHAMAD RIDWAN</v>
      </c>
      <c r="E25" s="277" t="str">
        <f>IFERROR(__xludf.DUMMYFUNCTION("""COMPUTED_VALUE"""),"X TO 4")</f>
        <v>X TO 4</v>
      </c>
      <c r="F25" s="277" t="s">
        <v>220</v>
      </c>
      <c r="G25" s="175">
        <f t="array" ref="G25">IFERROR(AVERAGE(
IFERROR(INDEX('INPUT SUMATIF'!$A:$CH,MATCH($D25,'INPUT SUMATIF'!$D:$D,0),MATCH($G$2,'INPUT SUMATIF'!$A$2:$CH$2,0)),""),
IFERROR(INDEX('INPUT SUMATIF'!$A:$CH,MATCH($D25,'INPUT SUMATIF'!$D:$D,0),MATCH($H$2,'INPUT SUMATIF'!$A$2:$CH$2,0)),"")
),"")</f>
        <v>78.25</v>
      </c>
      <c r="H25" s="180" t="s">
        <v>215</v>
      </c>
      <c r="I25" s="186">
        <f t="array" ref="I25">iferror(AVERAGE(
IFERROR(INDEX('INPUT SUMATIF'!$A:$CH,MATCH($D25,'INPUT SUMATIF'!$D:$D,0),MATCH($I$2,'INPUT SUMATIF'!$A$2:$CH$2,0)),""),
IFERROR(INDEX('INPUT SUMATIF'!$A:$CH,MATCH($D25,'INPUT SUMATIF'!$D:$D,0),MATCH($J$2,'INPUT SUMATIF'!$A$2:$CH$2,0)),"")
),"")</f>
        <v>82.25</v>
      </c>
      <c r="J25" s="180" t="s">
        <v>429</v>
      </c>
      <c r="K25" s="192">
        <f t="array" ref="K25">iferror(AVERAGE(
IFERROR(INDEX('INPUT SUMATIF'!$A:$CH,MATCH($D25,'INPUT SUMATIF'!$D:$D,0),MATCH($K$2,'INPUT SUMATIF'!$A$2:$CH$2,0)),""),
IFERROR(INDEX('INPUT SUMATIF'!$A:$CH,MATCH($D25,'INPUT SUMATIF'!$D:$D,0),MATCH($L$2,'INPUT SUMATIF'!$A$2:$CH$2,0)),"")
),"")</f>
        <v>84.16666667</v>
      </c>
      <c r="L25" s="180" t="s">
        <v>219</v>
      </c>
      <c r="M25" s="196">
        <f t="array" ref="M25">iferror(AVERAGE(
IFERROR(INDEX('INPUT SUMATIF'!$A:$CH,MATCH($D25,'INPUT SUMATIF'!$D:$D,0),MATCH($M$2,'INPUT SUMATIF'!$A$2:$CH$2,0)),""),
IFERROR(INDEX('INPUT SUMATIF'!$A:$CH,MATCH($D25,'INPUT SUMATIF'!$D:$D,0),MATCH($N$2,'INPUT SUMATIF'!$A$2:$CH$2,0)),"")
),"")</f>
        <v>87.25</v>
      </c>
      <c r="N25" s="201" t="s">
        <v>221</v>
      </c>
      <c r="O25" s="206">
        <f t="array" ref="O25">iferror(AVERAGE(
IFERROR(INDEX('INPUT SUMATIF'!$A:$CH,MATCH($D25,'INPUT SUMATIF'!$D:$D,0),MATCH($O$2,'INPUT SUMATIF'!$A$2:$CH$2,0)),""),
IFERROR(INDEX('INPUT SUMATIF'!$A:$CH,MATCH($D25,'INPUT SUMATIF'!$D:$D,0),MATCH($P$2,'INPUT SUMATIF'!$A$2:$CH$2,0)),"")
),"")</f>
        <v>82</v>
      </c>
      <c r="P25" s="180" t="s">
        <v>222</v>
      </c>
      <c r="Q25" s="210">
        <f t="array" ref="Q25">iferror(AVERAGE(
IFERROR(INDEX('INPUT SUMATIF'!$A:$CH,MATCH($D25,'INPUT SUMATIF'!$D:$D,0),MATCH($Q$2,'INPUT SUMATIF'!$A$2:$CH$2,0)),""),
IFERROR(INDEX('INPUT SUMATIF'!$A:$CH,MATCH($D25,'INPUT SUMATIF'!$D:$D,0),MATCH($R$2,'INPUT SUMATIF'!$A$2:$CH$2,0)),"")
),"")</f>
        <v>90</v>
      </c>
      <c r="R25" s="180" t="s">
        <v>229</v>
      </c>
      <c r="S25" s="215">
        <f t="array" ref="S25">iferror(AVERAGE(
IFERROR(INDEX('INPUT SUMATIF'!$A:$CH,MATCH($D25,'INPUT SUMATIF'!$D:$D,0),MATCH($S$2,'INPUT SUMATIF'!$A$2:$CH$2,0)),""),
IFERROR(INDEX('INPUT SUMATIF'!$A:$CH,MATCH($D25,'INPUT SUMATIF'!$D:$D,0),MATCH($T$2,'INPUT SUMATIF'!$A$2:$CH$2,0)),"")
),"")</f>
        <v>84.5</v>
      </c>
      <c r="T25" s="180" t="s">
        <v>233</v>
      </c>
      <c r="U25" s="221">
        <f t="array" ref="U25">iferror(AVERAGE(
IFERROR(INDEX('INPUT SUMATIF'!$A:$CH,MATCH($D25,'INPUT SUMATIF'!$D:$D,0),MATCH($U$2,'INPUT SUMATIF'!$A$2:$CH$2,0)),""),
IFERROR(INDEX('INPUT SUMATIF'!$A:$CH,MATCH($D25,'INPUT SUMATIF'!$D:$D,0),MATCH($V$2,'INPUT SUMATIF'!$A$2:$CH$2,0)),"")
),"")</f>
        <v>72</v>
      </c>
      <c r="V25" s="180" t="s">
        <v>234</v>
      </c>
      <c r="W25" s="175">
        <f t="array" ref="W25">iferror(AVERAGE(
IFERROR(INDEX('INPUT SUMATIF'!$A:$CH,MATCH($D25,'INPUT SUMATIF'!$D:$D,0),MATCH($W$2,'INPUT SUMATIF'!$A$2:$CH$2,0)),""),
IFERROR(INDEX('INPUT SUMATIF'!$A:$CH,MATCH($D25,'INPUT SUMATIF'!$D:$D,0),MATCH($X$2,'INPUT SUMATIF'!$A$2:$CH$2,0)),"")
),"")</f>
        <v>76.5</v>
      </c>
      <c r="X25" s="224" t="s">
        <v>235</v>
      </c>
      <c r="Y25" s="227">
        <f t="array" ref="Y25">iferror(AVERAGE(
IFERROR(INDEX('INPUT SUMATIF'!$A:$CH,MATCH($D25,'INPUT SUMATIF'!$D:$D,0),MATCH($Y$2,'INPUT SUMATIF'!$A$2:$CH$2,0)),""),
IFERROR(INDEX('INPUT SUMATIF'!$A:$CH,MATCH($D25,'INPUT SUMATIF'!$D:$D,0),MATCH($Z$2,'INPUT SUMATIF'!$A$2:$CH$2,0)),"")
),"")</f>
        <v>80</v>
      </c>
      <c r="Z25" s="228" t="s">
        <v>236</v>
      </c>
      <c r="AA25" s="227">
        <f t="array" ref="AA25">iferror(AVERAGE(
IFERROR(INDEX('INPUT SUMATIF'!$A:$CH,MATCH($D25,'INPUT SUMATIF'!$D:$D,0),MATCH($AA$2,'INPUT SUMATIF'!$A$2:$CH$2,0)),""),
IFERROR(INDEX('INPUT SUMATIF'!$A:$CH,MATCH($D25,'INPUT SUMATIF'!$D:$D,0),MATCH($AB$2,'INPUT SUMATIF'!$A$2:$CH$2,0)),"")
),"")</f>
        <v>52.5</v>
      </c>
      <c r="AB25" s="180" t="s">
        <v>237</v>
      </c>
      <c r="AC25" s="227">
        <f t="array" ref="AC25">iferror(AVERAGE(
IFERROR(INDEX('INPUT SUMATIF'!$A:$CH,MATCH($D25,'INPUT SUMATIF'!$D:$D,0),MATCH($AC$2,'INPUT SUMATIF'!$A$2:$CH$2,0)),""),
IFERROR(INDEX('INPUT SUMATIF'!$A:$CH,MATCH($D25,'INPUT SUMATIF'!$D:$D,0),MATCH($AD$2,'INPUT SUMATIF'!$A$2:$CH$2,0)),"")
),"")</f>
        <v>80</v>
      </c>
      <c r="AD25" s="180" t="s">
        <v>238</v>
      </c>
      <c r="AE25" s="227">
        <f t="array" ref="AE25">iferror(AVERAGE(
IFERROR(INDEX('INPUT SUMATIF'!$A:$CH,MATCH($D25,'INPUT SUMATIF'!$D:$D,0),MATCH($AE$2,'INPUT SUMATIF'!$A$2:$CH$2,0)),""),
IFERROR(INDEX('INPUT SUMATIF'!$A:$CH,MATCH($D25,'INPUT SUMATIF'!$D:$D,0),MATCH($AF$2,'INPUT SUMATIF'!$A$2:$CH$2,0)),"")
),"")</f>
        <v>77.66666667</v>
      </c>
      <c r="AF25" s="289" t="s">
        <v>239</v>
      </c>
      <c r="AG25" s="237" t="str">
        <f t="array" ref="AG25">iferror(AVERAGE(
IFERROR(INDEX('INPUT SUMATIF'!$A:$CH,MATCH($D25,'INPUT SUMATIF'!$D:$D,0),MATCH($AG$2,'INPUT SUMATIF'!$A$2:$CH$2,0)),""),
IFERROR(INDEX('INPUT SUMATIF'!$A:$CH,MATCH($D25,'INPUT SUMATIF'!$D:$D,0),MATCH($AH$2,'INPUT SUMATIF'!$A$2:$CH$2,0)),"")
),"")</f>
        <v/>
      </c>
      <c r="AH25" s="289"/>
      <c r="AI25" s="237" t="str">
        <f t="array" ref="AI25">iferror(AVERAGE(
IFERROR(INDEX('INPUT SUMATIF'!$A:$CH,MATCH($D25,'INPUT SUMATIF'!$D:$D,0),MATCH($AI$2,'INPUT SUMATIF'!$A$2:$CH$2,0)),""),
IFERROR(INDEX('INPUT SUMATIF'!$A:$CH,MATCH($D25,'INPUT SUMATIF'!$D:$D,0),MATCH($AJ$2,'INPUT SUMATIF'!$A$2:$CH$2,0)),"")
),"")</f>
        <v/>
      </c>
      <c r="AJ25" s="289"/>
      <c r="AK25" s="186" t="str">
        <f t="array" ref="AK25">iferror(AVERAGE(
IFERROR(INDEX('INPUT SUMATIF'!$A:$CH,MATCH($D25,'INPUT SUMATIF'!$D:$D,0),MATCH($AK$2,'INPUT SUMATIF'!$A$2:$CH$2,0)),""),
IFERROR(INDEX('INPUT SUMATIF'!$A:$CH,MATCH($D25,'INPUT SUMATIF'!$D:$D,0),MATCH($AL$2,'INPUT SUMATIF'!$A$2:$CH$2,0)),"")
),"")</f>
        <v/>
      </c>
      <c r="AL25" s="292"/>
      <c r="AM25" s="253" t="s">
        <v>277</v>
      </c>
      <c r="AN25" s="294"/>
      <c r="AO25" s="293"/>
      <c r="AP25" s="293"/>
      <c r="AQ25" s="296"/>
      <c r="AR25" s="298" t="s">
        <v>434</v>
      </c>
      <c r="AS25" s="267"/>
      <c r="AT25" s="267" t="s">
        <v>358</v>
      </c>
      <c r="AU25" s="267"/>
      <c r="AV25" s="652" t="s">
        <v>435</v>
      </c>
      <c r="AW25" s="267"/>
      <c r="AX25" s="267" t="s">
        <v>158</v>
      </c>
      <c r="AY25" s="267" t="s">
        <v>213</v>
      </c>
      <c r="AZ25" s="267" t="s">
        <v>213</v>
      </c>
      <c r="BA25" s="267" t="s">
        <v>241</v>
      </c>
      <c r="BB25" s="302" t="s">
        <v>248</v>
      </c>
    </row>
    <row r="26" ht="15.75" customHeight="1">
      <c r="A26" s="159">
        <f>IFERROR(__xludf.DUMMYFUNCTION("""COMPUTED_VALUE"""),23.0)</f>
        <v>23</v>
      </c>
      <c r="B26" s="159" t="str">
        <f>IFERROR(__xludf.DUMMYFUNCTION("""COMPUTED_VALUE"""),"2526100436")</f>
        <v>2526100436</v>
      </c>
      <c r="C26" s="159" t="str">
        <f>IFERROR(__xludf.DUMMYFUNCTION("""COMPUTED_VALUE"""),"0095384573")</f>
        <v>0095384573</v>
      </c>
      <c r="D26" s="164" t="str">
        <f>IFERROR(__xludf.DUMMYFUNCTION("""COMPUTED_VALUE"""),"MUHAMAD RUDI RIVIANSYAH")</f>
        <v>MUHAMAD RUDI RIVIANSYAH</v>
      </c>
      <c r="E26" s="165" t="str">
        <f>IFERROR(__xludf.DUMMYFUNCTION("""COMPUTED_VALUE"""),"X TO 4")</f>
        <v>X TO 4</v>
      </c>
      <c r="F26" s="165" t="s">
        <v>220</v>
      </c>
      <c r="G26" s="175">
        <f t="array" ref="G26">IFERROR(AVERAGE(
IFERROR(INDEX('INPUT SUMATIF'!$A:$CH,MATCH($D26,'INPUT SUMATIF'!$D:$D,0),MATCH($G$2,'INPUT SUMATIF'!$A$2:$CH$2,0)),""),
IFERROR(INDEX('INPUT SUMATIF'!$A:$CH,MATCH($D26,'INPUT SUMATIF'!$D:$D,0),MATCH($H$2,'INPUT SUMATIF'!$A$2:$CH$2,0)),"")
),"")</f>
        <v>78.75</v>
      </c>
      <c r="H26" s="180" t="s">
        <v>215</v>
      </c>
      <c r="I26" s="186">
        <f t="array" ref="I26">iferror(AVERAGE(
IFERROR(INDEX('INPUT SUMATIF'!$A:$CH,MATCH($D26,'INPUT SUMATIF'!$D:$D,0),MATCH($I$2,'INPUT SUMATIF'!$A$2:$CH$2,0)),""),
IFERROR(INDEX('INPUT SUMATIF'!$A:$CH,MATCH($D26,'INPUT SUMATIF'!$D:$D,0),MATCH($J$2,'INPUT SUMATIF'!$A$2:$CH$2,0)),"")
),"")</f>
        <v>83.25</v>
      </c>
      <c r="J26" s="180" t="s">
        <v>437</v>
      </c>
      <c r="K26" s="192">
        <f t="array" ref="K26">iferror(AVERAGE(
IFERROR(INDEX('INPUT SUMATIF'!$A:$CH,MATCH($D26,'INPUT SUMATIF'!$D:$D,0),MATCH($K$2,'INPUT SUMATIF'!$A$2:$CH$2,0)),""),
IFERROR(INDEX('INPUT SUMATIF'!$A:$CH,MATCH($D26,'INPUT SUMATIF'!$D:$D,0),MATCH($L$2,'INPUT SUMATIF'!$A$2:$CH$2,0)),"")
),"")</f>
        <v>86.66666667</v>
      </c>
      <c r="L26" s="180" t="s">
        <v>219</v>
      </c>
      <c r="M26" s="196">
        <f t="array" ref="M26">iferror(AVERAGE(
IFERROR(INDEX('INPUT SUMATIF'!$A:$CH,MATCH($D26,'INPUT SUMATIF'!$D:$D,0),MATCH($M$2,'INPUT SUMATIF'!$A$2:$CH$2,0)),""),
IFERROR(INDEX('INPUT SUMATIF'!$A:$CH,MATCH($D26,'INPUT SUMATIF'!$D:$D,0),MATCH($N$2,'INPUT SUMATIF'!$A$2:$CH$2,0)),"")
),"")</f>
        <v>88</v>
      </c>
      <c r="N26" s="201" t="s">
        <v>221</v>
      </c>
      <c r="O26" s="206">
        <f t="array" ref="O26">iferror(AVERAGE(
IFERROR(INDEX('INPUT SUMATIF'!$A:$CH,MATCH($D26,'INPUT SUMATIF'!$D:$D,0),MATCH($O$2,'INPUT SUMATIF'!$A$2:$CH$2,0)),""),
IFERROR(INDEX('INPUT SUMATIF'!$A:$CH,MATCH($D26,'INPUT SUMATIF'!$D:$D,0),MATCH($P$2,'INPUT SUMATIF'!$A$2:$CH$2,0)),"")
),"")</f>
        <v>81</v>
      </c>
      <c r="P26" s="180" t="s">
        <v>222</v>
      </c>
      <c r="Q26" s="210">
        <f t="array" ref="Q26">iferror(AVERAGE(
IFERROR(INDEX('INPUT SUMATIF'!$A:$CH,MATCH($D26,'INPUT SUMATIF'!$D:$D,0),MATCH($Q$2,'INPUT SUMATIF'!$A$2:$CH$2,0)),""),
IFERROR(INDEX('INPUT SUMATIF'!$A:$CH,MATCH($D26,'INPUT SUMATIF'!$D:$D,0),MATCH($R$2,'INPUT SUMATIF'!$A$2:$CH$2,0)),"")
),"")</f>
        <v>89</v>
      </c>
      <c r="R26" s="180" t="s">
        <v>229</v>
      </c>
      <c r="S26" s="215">
        <f t="array" ref="S26">iferror(AVERAGE(
IFERROR(INDEX('INPUT SUMATIF'!$A:$CH,MATCH($D26,'INPUT SUMATIF'!$D:$D,0),MATCH($S$2,'INPUT SUMATIF'!$A$2:$CH$2,0)),""),
IFERROR(INDEX('INPUT SUMATIF'!$A:$CH,MATCH($D26,'INPUT SUMATIF'!$D:$D,0),MATCH($T$2,'INPUT SUMATIF'!$A$2:$CH$2,0)),"")
),"")</f>
        <v>84.33333333</v>
      </c>
      <c r="T26" s="180" t="s">
        <v>233</v>
      </c>
      <c r="U26" s="221">
        <f t="array" ref="U26">iferror(AVERAGE(
IFERROR(INDEX('INPUT SUMATIF'!$A:$CH,MATCH($D26,'INPUT SUMATIF'!$D:$D,0),MATCH($U$2,'INPUT SUMATIF'!$A$2:$CH$2,0)),""),
IFERROR(INDEX('INPUT SUMATIF'!$A:$CH,MATCH($D26,'INPUT SUMATIF'!$D:$D,0),MATCH($V$2,'INPUT SUMATIF'!$A$2:$CH$2,0)),"")
),"")</f>
        <v>83</v>
      </c>
      <c r="V26" s="180" t="s">
        <v>234</v>
      </c>
      <c r="W26" s="175">
        <f t="array" ref="W26">iferror(AVERAGE(
IFERROR(INDEX('INPUT SUMATIF'!$A:$CH,MATCH($D26,'INPUT SUMATIF'!$D:$D,0),MATCH($W$2,'INPUT SUMATIF'!$A$2:$CH$2,0)),""),
IFERROR(INDEX('INPUT SUMATIF'!$A:$CH,MATCH($D26,'INPUT SUMATIF'!$D:$D,0),MATCH($X$2,'INPUT SUMATIF'!$A$2:$CH$2,0)),"")
),"")</f>
        <v>79</v>
      </c>
      <c r="X26" s="224" t="s">
        <v>235</v>
      </c>
      <c r="Y26" s="227">
        <f t="array" ref="Y26">iferror(AVERAGE(
IFERROR(INDEX('INPUT SUMATIF'!$A:$CH,MATCH($D26,'INPUT SUMATIF'!$D:$D,0),MATCH($Y$2,'INPUT SUMATIF'!$A$2:$CH$2,0)),""),
IFERROR(INDEX('INPUT SUMATIF'!$A:$CH,MATCH($D26,'INPUT SUMATIF'!$D:$D,0),MATCH($Z$2,'INPUT SUMATIF'!$A$2:$CH$2,0)),"")
),"")</f>
        <v>80</v>
      </c>
      <c r="Z26" s="228" t="s">
        <v>236</v>
      </c>
      <c r="AA26" s="227">
        <f t="array" ref="AA26">iferror(AVERAGE(
IFERROR(INDEX('INPUT SUMATIF'!$A:$CH,MATCH($D26,'INPUT SUMATIF'!$D:$D,0),MATCH($AA$2,'INPUT SUMATIF'!$A$2:$CH$2,0)),""),
IFERROR(INDEX('INPUT SUMATIF'!$A:$CH,MATCH($D26,'INPUT SUMATIF'!$D:$D,0),MATCH($AB$2,'INPUT SUMATIF'!$A$2:$CH$2,0)),"")
),"")</f>
        <v>85.83333333</v>
      </c>
      <c r="AB26" s="180" t="s">
        <v>237</v>
      </c>
      <c r="AC26" s="227">
        <f t="array" ref="AC26">iferror(AVERAGE(
IFERROR(INDEX('INPUT SUMATIF'!$A:$CH,MATCH($D26,'INPUT SUMATIF'!$D:$D,0),MATCH($AC$2,'INPUT SUMATIF'!$A$2:$CH$2,0)),""),
IFERROR(INDEX('INPUT SUMATIF'!$A:$CH,MATCH($D26,'INPUT SUMATIF'!$D:$D,0),MATCH($AD$2,'INPUT SUMATIF'!$A$2:$CH$2,0)),"")
),"")</f>
        <v>80.83333333</v>
      </c>
      <c r="AD26" s="180" t="s">
        <v>238</v>
      </c>
      <c r="AE26" s="227">
        <f t="array" ref="AE26">iferror(AVERAGE(
IFERROR(INDEX('INPUT SUMATIF'!$A:$CH,MATCH($D26,'INPUT SUMATIF'!$D:$D,0),MATCH($AE$2,'INPUT SUMATIF'!$A$2:$CH$2,0)),""),
IFERROR(INDEX('INPUT SUMATIF'!$A:$CH,MATCH($D26,'INPUT SUMATIF'!$D:$D,0),MATCH($AF$2,'INPUT SUMATIF'!$A$2:$CH$2,0)),"")
),"")</f>
        <v>79.66666667</v>
      </c>
      <c r="AF26" s="180" t="s">
        <v>239</v>
      </c>
      <c r="AG26" s="237" t="str">
        <f t="array" ref="AG26">iferror(AVERAGE(
IFERROR(INDEX('INPUT SUMATIF'!$A:$CH,MATCH($D26,'INPUT SUMATIF'!$D:$D,0),MATCH($AG$2,'INPUT SUMATIF'!$A$2:$CH$2,0)),""),
IFERROR(INDEX('INPUT SUMATIF'!$A:$CH,MATCH($D26,'INPUT SUMATIF'!$D:$D,0),MATCH($AH$2,'INPUT SUMATIF'!$A$2:$CH$2,0)),"")
),"")</f>
        <v/>
      </c>
      <c r="AH26" s="180"/>
      <c r="AI26" s="237" t="str">
        <f t="array" ref="AI26">iferror(AVERAGE(
IFERROR(INDEX('INPUT SUMATIF'!$A:$CH,MATCH($D26,'INPUT SUMATIF'!$D:$D,0),MATCH($AI$2,'INPUT SUMATIF'!$A$2:$CH$2,0)),""),
IFERROR(INDEX('INPUT SUMATIF'!$A:$CH,MATCH($D26,'INPUT SUMATIF'!$D:$D,0),MATCH($AJ$2,'INPUT SUMATIF'!$A$2:$CH$2,0)),"")
),"")</f>
        <v/>
      </c>
      <c r="AJ26" s="180"/>
      <c r="AK26" s="186" t="str">
        <f t="array" ref="AK26">iferror(AVERAGE(
IFERROR(INDEX('INPUT SUMATIF'!$A:$CH,MATCH($D26,'INPUT SUMATIF'!$D:$D,0),MATCH($AK$2,'INPUT SUMATIF'!$A$2:$CH$2,0)),""),
IFERROR(INDEX('INPUT SUMATIF'!$A:$CH,MATCH($D26,'INPUT SUMATIF'!$D:$D,0),MATCH($AL$2,'INPUT SUMATIF'!$A$2:$CH$2,0)),"")
),"")</f>
        <v/>
      </c>
      <c r="AL26" s="244"/>
      <c r="AM26" s="253" t="s">
        <v>240</v>
      </c>
      <c r="AN26" s="255"/>
      <c r="AO26" s="253"/>
      <c r="AP26" s="253"/>
      <c r="AQ26" s="260"/>
      <c r="AR26" s="263"/>
      <c r="AS26" s="265"/>
      <c r="AT26" s="265"/>
      <c r="AU26" s="265"/>
      <c r="AV26" s="265"/>
      <c r="AW26" s="265"/>
      <c r="AX26" s="265" t="s">
        <v>213</v>
      </c>
      <c r="AY26" s="265" t="s">
        <v>213</v>
      </c>
      <c r="AZ26" s="265" t="s">
        <v>213</v>
      </c>
      <c r="BA26" s="267" t="s">
        <v>241</v>
      </c>
      <c r="BB26" s="268" t="s">
        <v>248</v>
      </c>
    </row>
    <row r="27" ht="15.75" customHeight="1">
      <c r="A27" s="270">
        <f>IFERROR(__xludf.DUMMYFUNCTION("""COMPUTED_VALUE"""),24.0)</f>
        <v>24</v>
      </c>
      <c r="B27" s="270" t="str">
        <f>IFERROR(__xludf.DUMMYFUNCTION("""COMPUTED_VALUE"""),"2526100437")</f>
        <v>2526100437</v>
      </c>
      <c r="C27" s="270" t="str">
        <f>IFERROR(__xludf.DUMMYFUNCTION("""COMPUTED_VALUE"""),"3098503903")</f>
        <v>3098503903</v>
      </c>
      <c r="D27" s="274" t="str">
        <f>IFERROR(__xludf.DUMMYFUNCTION("""COMPUTED_VALUE"""),"MUHAMAD SALMAN")</f>
        <v>MUHAMAD SALMAN</v>
      </c>
      <c r="E27" s="277" t="str">
        <f>IFERROR(__xludf.DUMMYFUNCTION("""COMPUTED_VALUE"""),"X TO 4")</f>
        <v>X TO 4</v>
      </c>
      <c r="F27" s="277" t="s">
        <v>220</v>
      </c>
      <c r="G27" s="175">
        <f t="array" ref="G27">IFERROR(AVERAGE(
IFERROR(INDEX('INPUT SUMATIF'!$A:$CH,MATCH($D27,'INPUT SUMATIF'!$D:$D,0),MATCH($G$2,'INPUT SUMATIF'!$A$2:$CH$2,0)),""),
IFERROR(INDEX('INPUT SUMATIF'!$A:$CH,MATCH($D27,'INPUT SUMATIF'!$D:$D,0),MATCH($H$2,'INPUT SUMATIF'!$A$2:$CH$2,0)),"")
),"")</f>
        <v>77.25</v>
      </c>
      <c r="H27" s="180" t="s">
        <v>215</v>
      </c>
      <c r="I27" s="186">
        <f t="array" ref="I27">iferror(AVERAGE(
IFERROR(INDEX('INPUT SUMATIF'!$A:$CH,MATCH($D27,'INPUT SUMATIF'!$D:$D,0),MATCH($I$2,'INPUT SUMATIF'!$A$2:$CH$2,0)),""),
IFERROR(INDEX('INPUT SUMATIF'!$A:$CH,MATCH($D27,'INPUT SUMATIF'!$D:$D,0),MATCH($J$2,'INPUT SUMATIF'!$A$2:$CH$2,0)),"")
),"")</f>
        <v>80.75</v>
      </c>
      <c r="J27" s="180" t="s">
        <v>440</v>
      </c>
      <c r="K27" s="192">
        <f t="array" ref="K27">iferror(AVERAGE(
IFERROR(INDEX('INPUT SUMATIF'!$A:$CH,MATCH($D27,'INPUT SUMATIF'!$D:$D,0),MATCH($K$2,'INPUT SUMATIF'!$A$2:$CH$2,0)),""),
IFERROR(INDEX('INPUT SUMATIF'!$A:$CH,MATCH($D27,'INPUT SUMATIF'!$D:$D,0),MATCH($L$2,'INPUT SUMATIF'!$A$2:$CH$2,0)),"")
),"")</f>
        <v>81.83333333</v>
      </c>
      <c r="L27" s="180" t="s">
        <v>219</v>
      </c>
      <c r="M27" s="196">
        <f t="array" ref="M27">iferror(AVERAGE(
IFERROR(INDEX('INPUT SUMATIF'!$A:$CH,MATCH($D27,'INPUT SUMATIF'!$D:$D,0),MATCH($M$2,'INPUT SUMATIF'!$A$2:$CH$2,0)),""),
IFERROR(INDEX('INPUT SUMATIF'!$A:$CH,MATCH($D27,'INPUT SUMATIF'!$D:$D,0),MATCH($N$2,'INPUT SUMATIF'!$A$2:$CH$2,0)),"")
),"")</f>
        <v>88.75</v>
      </c>
      <c r="N27" s="201" t="s">
        <v>221</v>
      </c>
      <c r="O27" s="206">
        <f t="array" ref="O27">iferror(AVERAGE(
IFERROR(INDEX('INPUT SUMATIF'!$A:$CH,MATCH($D27,'INPUT SUMATIF'!$D:$D,0),MATCH($O$2,'INPUT SUMATIF'!$A$2:$CH$2,0)),""),
IFERROR(INDEX('INPUT SUMATIF'!$A:$CH,MATCH($D27,'INPUT SUMATIF'!$D:$D,0),MATCH($P$2,'INPUT SUMATIF'!$A$2:$CH$2,0)),"")
),"")</f>
        <v>72</v>
      </c>
      <c r="P27" s="180" t="s">
        <v>222</v>
      </c>
      <c r="Q27" s="210">
        <f t="array" ref="Q27">iferror(AVERAGE(
IFERROR(INDEX('INPUT SUMATIF'!$A:$CH,MATCH($D27,'INPUT SUMATIF'!$D:$D,0),MATCH($Q$2,'INPUT SUMATIF'!$A$2:$CH$2,0)),""),
IFERROR(INDEX('INPUT SUMATIF'!$A:$CH,MATCH($D27,'INPUT SUMATIF'!$D:$D,0),MATCH($R$2,'INPUT SUMATIF'!$A$2:$CH$2,0)),"")
),"")</f>
        <v>89.5</v>
      </c>
      <c r="R27" s="180" t="s">
        <v>229</v>
      </c>
      <c r="S27" s="215">
        <f t="array" ref="S27">iferror(AVERAGE(
IFERROR(INDEX('INPUT SUMATIF'!$A:$CH,MATCH($D27,'INPUT SUMATIF'!$D:$D,0),MATCH($S$2,'INPUT SUMATIF'!$A$2:$CH$2,0)),""),
IFERROR(INDEX('INPUT SUMATIF'!$A:$CH,MATCH($D27,'INPUT SUMATIF'!$D:$D,0),MATCH($T$2,'INPUT SUMATIF'!$A$2:$CH$2,0)),"")
),"")</f>
        <v>72.83333333</v>
      </c>
      <c r="T27" s="180" t="s">
        <v>233</v>
      </c>
      <c r="U27" s="221">
        <f t="array" ref="U27">iferror(AVERAGE(
IFERROR(INDEX('INPUT SUMATIF'!$A:$CH,MATCH($D27,'INPUT SUMATIF'!$D:$D,0),MATCH($U$2,'INPUT SUMATIF'!$A$2:$CH$2,0)),""),
IFERROR(INDEX('INPUT SUMATIF'!$A:$CH,MATCH($D27,'INPUT SUMATIF'!$D:$D,0),MATCH($V$2,'INPUT SUMATIF'!$A$2:$CH$2,0)),"")
),"")</f>
        <v>72</v>
      </c>
      <c r="V27" s="180" t="s">
        <v>234</v>
      </c>
      <c r="W27" s="175">
        <f t="array" ref="W27">iferror(AVERAGE(
IFERROR(INDEX('INPUT SUMATIF'!$A:$CH,MATCH($D27,'INPUT SUMATIF'!$D:$D,0),MATCH($W$2,'INPUT SUMATIF'!$A$2:$CH$2,0)),""),
IFERROR(INDEX('INPUT SUMATIF'!$A:$CH,MATCH($D27,'INPUT SUMATIF'!$D:$D,0),MATCH($X$2,'INPUT SUMATIF'!$A$2:$CH$2,0)),"")
),"")</f>
        <v>74</v>
      </c>
      <c r="X27" s="224" t="s">
        <v>235</v>
      </c>
      <c r="Y27" s="227">
        <f t="array" ref="Y27">iferror(AVERAGE(
IFERROR(INDEX('INPUT SUMATIF'!$A:$CH,MATCH($D27,'INPUT SUMATIF'!$D:$D,0),MATCH($Y$2,'INPUT SUMATIF'!$A$2:$CH$2,0)),""),
IFERROR(INDEX('INPUT SUMATIF'!$A:$CH,MATCH($D27,'INPUT SUMATIF'!$D:$D,0),MATCH($Z$2,'INPUT SUMATIF'!$A$2:$CH$2,0)),"")
),"")</f>
        <v>80</v>
      </c>
      <c r="Z27" s="228" t="s">
        <v>236</v>
      </c>
      <c r="AA27" s="227">
        <f t="array" ref="AA27">iferror(AVERAGE(
IFERROR(INDEX('INPUT SUMATIF'!$A:$CH,MATCH($D27,'INPUT SUMATIF'!$D:$D,0),MATCH($AA$2,'INPUT SUMATIF'!$A$2:$CH$2,0)),""),
IFERROR(INDEX('INPUT SUMATIF'!$A:$CH,MATCH($D27,'INPUT SUMATIF'!$D:$D,0),MATCH($AB$2,'INPUT SUMATIF'!$A$2:$CH$2,0)),"")
),"")</f>
        <v>55.83333333</v>
      </c>
      <c r="AB27" s="180" t="s">
        <v>237</v>
      </c>
      <c r="AC27" s="227">
        <f t="array" ref="AC27">iferror(AVERAGE(
IFERROR(INDEX('INPUT SUMATIF'!$A:$CH,MATCH($D27,'INPUT SUMATIF'!$D:$D,0),MATCH($AC$2,'INPUT SUMATIF'!$A$2:$CH$2,0)),""),
IFERROR(INDEX('INPUT SUMATIF'!$A:$CH,MATCH($D27,'INPUT SUMATIF'!$D:$D,0),MATCH($AD$2,'INPUT SUMATIF'!$A$2:$CH$2,0)),"")
),"")</f>
        <v>79.16666667</v>
      </c>
      <c r="AD27" s="180" t="s">
        <v>238</v>
      </c>
      <c r="AE27" s="227">
        <f t="array" ref="AE27">iferror(AVERAGE(
IFERROR(INDEX('INPUT SUMATIF'!$A:$CH,MATCH($D27,'INPUT SUMATIF'!$D:$D,0),MATCH($AE$2,'INPUT SUMATIF'!$A$2:$CH$2,0)),""),
IFERROR(INDEX('INPUT SUMATIF'!$A:$CH,MATCH($D27,'INPUT SUMATIF'!$D:$D,0),MATCH($AF$2,'INPUT SUMATIF'!$A$2:$CH$2,0)),"")
),"")</f>
        <v>79.33333333</v>
      </c>
      <c r="AF27" s="289" t="s">
        <v>239</v>
      </c>
      <c r="AG27" s="237" t="str">
        <f t="array" ref="AG27">iferror(AVERAGE(
IFERROR(INDEX('INPUT SUMATIF'!$A:$CH,MATCH($D27,'INPUT SUMATIF'!$D:$D,0),MATCH($AG$2,'INPUT SUMATIF'!$A$2:$CH$2,0)),""),
IFERROR(INDEX('INPUT SUMATIF'!$A:$CH,MATCH($D27,'INPUT SUMATIF'!$D:$D,0),MATCH($AH$2,'INPUT SUMATIF'!$A$2:$CH$2,0)),"")
),"")</f>
        <v/>
      </c>
      <c r="AH27" s="289"/>
      <c r="AI27" s="237" t="str">
        <f t="array" ref="AI27">iferror(AVERAGE(
IFERROR(INDEX('INPUT SUMATIF'!$A:$CH,MATCH($D27,'INPUT SUMATIF'!$D:$D,0),MATCH($AI$2,'INPUT SUMATIF'!$A$2:$CH$2,0)),""),
IFERROR(INDEX('INPUT SUMATIF'!$A:$CH,MATCH($D27,'INPUT SUMATIF'!$D:$D,0),MATCH($AJ$2,'INPUT SUMATIF'!$A$2:$CH$2,0)),"")
),"")</f>
        <v/>
      </c>
      <c r="AJ27" s="289"/>
      <c r="AK27" s="186" t="str">
        <f t="array" ref="AK27">iferror(AVERAGE(
IFERROR(INDEX('INPUT SUMATIF'!$A:$CH,MATCH($D27,'INPUT SUMATIF'!$D:$D,0),MATCH($AK$2,'INPUT SUMATIF'!$A$2:$CH$2,0)),""),
IFERROR(INDEX('INPUT SUMATIF'!$A:$CH,MATCH($D27,'INPUT SUMATIF'!$D:$D,0),MATCH($AL$2,'INPUT SUMATIF'!$A$2:$CH$2,0)),"")
),"")</f>
        <v/>
      </c>
      <c r="AL27" s="292"/>
      <c r="AM27" s="253" t="s">
        <v>277</v>
      </c>
      <c r="AN27" s="294"/>
      <c r="AO27" s="293"/>
      <c r="AP27" s="293"/>
      <c r="AQ27" s="296"/>
      <c r="AR27" s="298" t="s">
        <v>441</v>
      </c>
      <c r="AS27" s="267"/>
      <c r="AT27" s="267" t="s">
        <v>442</v>
      </c>
      <c r="AU27" s="265" t="s">
        <v>443</v>
      </c>
      <c r="AV27" s="267"/>
      <c r="AW27" s="267"/>
      <c r="AX27" s="267" t="s">
        <v>135</v>
      </c>
      <c r="AY27" s="267" t="s">
        <v>135</v>
      </c>
      <c r="AZ27" s="267" t="s">
        <v>143</v>
      </c>
      <c r="BA27" s="267" t="s">
        <v>241</v>
      </c>
      <c r="BB27" s="302" t="s">
        <v>248</v>
      </c>
    </row>
    <row r="28" ht="15.75" customHeight="1">
      <c r="A28" s="159">
        <f>IFERROR(__xludf.DUMMYFUNCTION("""COMPUTED_VALUE"""),25.0)</f>
        <v>25</v>
      </c>
      <c r="B28" s="159" t="str">
        <f>IFERROR(__xludf.DUMMYFUNCTION("""COMPUTED_VALUE"""),"2526100438")</f>
        <v>2526100438</v>
      </c>
      <c r="C28" s="159" t="str">
        <f>IFERROR(__xludf.DUMMYFUNCTION("""COMPUTED_VALUE"""),"0096750607")</f>
        <v>0096750607</v>
      </c>
      <c r="D28" s="164" t="str">
        <f>IFERROR(__xludf.DUMMYFUNCTION("""COMPUTED_VALUE"""),"MUHAMAD SUTIAWAN ALI")</f>
        <v>MUHAMAD SUTIAWAN ALI</v>
      </c>
      <c r="E28" s="165" t="str">
        <f>IFERROR(__xludf.DUMMYFUNCTION("""COMPUTED_VALUE"""),"X TO 4")</f>
        <v>X TO 4</v>
      </c>
      <c r="F28" s="165" t="s">
        <v>220</v>
      </c>
      <c r="G28" s="175" t="str">
        <f t="array" ref="G28">IFERROR(AVERAGE(
IFERROR(INDEX('INPUT SUMATIF'!$A:$CH,MATCH($D28,'INPUT SUMATIF'!$D:$D,0),MATCH($G$2,'INPUT SUMATIF'!$A$2:$CH$2,0)),""),
IFERROR(INDEX('INPUT SUMATIF'!$A:$CH,MATCH($D28,'INPUT SUMATIF'!$D:$D,0),MATCH($H$2,'INPUT SUMATIF'!$A$2:$CH$2,0)),"")
),"")</f>
        <v/>
      </c>
      <c r="H28" s="180"/>
      <c r="I28" s="186" t="str">
        <f t="array" ref="I28">iferror(AVERAGE(
IFERROR(INDEX('INPUT SUMATIF'!$A:$CH,MATCH($D28,'INPUT SUMATIF'!$D:$D,0),MATCH($I$2,'INPUT SUMATIF'!$A$2:$CH$2,0)),""),
IFERROR(INDEX('INPUT SUMATIF'!$A:$CH,MATCH($D28,'INPUT SUMATIF'!$D:$D,0),MATCH($J$2,'INPUT SUMATIF'!$A$2:$CH$2,0)),"")
),"")</f>
        <v/>
      </c>
      <c r="J28" s="180" t="s">
        <v>444</v>
      </c>
      <c r="K28" s="192">
        <f t="array" ref="K28">iferror(AVERAGE(
IFERROR(INDEX('INPUT SUMATIF'!$A:$CH,MATCH($D28,'INPUT SUMATIF'!$D:$D,0),MATCH($K$2,'INPUT SUMATIF'!$A$2:$CH$2,0)),""),
IFERROR(INDEX('INPUT SUMATIF'!$A:$CH,MATCH($D28,'INPUT SUMATIF'!$D:$D,0),MATCH($L$2,'INPUT SUMATIF'!$A$2:$CH$2,0)),"")
),"")</f>
        <v>0</v>
      </c>
      <c r="L28" s="180" t="s">
        <v>219</v>
      </c>
      <c r="M28" s="196">
        <f t="array" ref="M28">iferror(AVERAGE(
IFERROR(INDEX('INPUT SUMATIF'!$A:$CH,MATCH($D28,'INPUT SUMATIF'!$D:$D,0),MATCH($M$2,'INPUT SUMATIF'!$A$2:$CH$2,0)),""),
IFERROR(INDEX('INPUT SUMATIF'!$A:$CH,MATCH($D28,'INPUT SUMATIF'!$D:$D,0),MATCH($N$2,'INPUT SUMATIF'!$A$2:$CH$2,0)),"")
),"")</f>
        <v>75</v>
      </c>
      <c r="N28" s="201" t="s">
        <v>221</v>
      </c>
      <c r="O28" s="206">
        <f t="array" ref="O28">iferror(AVERAGE(
IFERROR(INDEX('INPUT SUMATIF'!$A:$CH,MATCH($D28,'INPUT SUMATIF'!$D:$D,0),MATCH($O$2,'INPUT SUMATIF'!$A$2:$CH$2,0)),""),
IFERROR(INDEX('INPUT SUMATIF'!$A:$CH,MATCH($D28,'INPUT SUMATIF'!$D:$D,0),MATCH($P$2,'INPUT SUMATIF'!$A$2:$CH$2,0)),"")
),"")</f>
        <v>0</v>
      </c>
      <c r="P28" s="180" t="s">
        <v>222</v>
      </c>
      <c r="Q28" s="210">
        <f t="array" ref="Q28">iferror(AVERAGE(
IFERROR(INDEX('INPUT SUMATIF'!$A:$CH,MATCH($D28,'INPUT SUMATIF'!$D:$D,0),MATCH($Q$2,'INPUT SUMATIF'!$A$2:$CH$2,0)),""),
IFERROR(INDEX('INPUT SUMATIF'!$A:$CH,MATCH($D28,'INPUT SUMATIF'!$D:$D,0),MATCH($R$2,'INPUT SUMATIF'!$A$2:$CH$2,0)),"")
),"")</f>
        <v>89.5</v>
      </c>
      <c r="R28" s="180" t="s">
        <v>229</v>
      </c>
      <c r="S28" s="215">
        <f t="array" ref="S28">iferror(AVERAGE(
IFERROR(INDEX('INPUT SUMATIF'!$A:$CH,MATCH($D28,'INPUT SUMATIF'!$D:$D,0),MATCH($S$2,'INPUT SUMATIF'!$A$2:$CH$2,0)),""),
IFERROR(INDEX('INPUT SUMATIF'!$A:$CH,MATCH($D28,'INPUT SUMATIF'!$D:$D,0),MATCH($T$2,'INPUT SUMATIF'!$A$2:$CH$2,0)),"")
),"")</f>
        <v>0</v>
      </c>
      <c r="T28" s="180" t="s">
        <v>233</v>
      </c>
      <c r="U28" s="221">
        <f t="array" ref="U28">iferror(AVERAGE(
IFERROR(INDEX('INPUT SUMATIF'!$A:$CH,MATCH($D28,'INPUT SUMATIF'!$D:$D,0),MATCH($U$2,'INPUT SUMATIF'!$A$2:$CH$2,0)),""),
IFERROR(INDEX('INPUT SUMATIF'!$A:$CH,MATCH($D28,'INPUT SUMATIF'!$D:$D,0),MATCH($V$2,'INPUT SUMATIF'!$A$2:$CH$2,0)),"")
),"")</f>
        <v>72</v>
      </c>
      <c r="V28" s="180" t="s">
        <v>234</v>
      </c>
      <c r="W28" s="175">
        <f t="array" ref="W28">iferror(AVERAGE(
IFERROR(INDEX('INPUT SUMATIF'!$A:$CH,MATCH($D28,'INPUT SUMATIF'!$D:$D,0),MATCH($W$2,'INPUT SUMATIF'!$A$2:$CH$2,0)),""),
IFERROR(INDEX('INPUT SUMATIF'!$A:$CH,MATCH($D28,'INPUT SUMATIF'!$D:$D,0),MATCH($X$2,'INPUT SUMATIF'!$A$2:$CH$2,0)),"")
),"")</f>
        <v>72</v>
      </c>
      <c r="X28" s="224" t="s">
        <v>235</v>
      </c>
      <c r="Y28" s="227">
        <f t="array" ref="Y28">iferror(AVERAGE(
IFERROR(INDEX('INPUT SUMATIF'!$A:$CH,MATCH($D28,'INPUT SUMATIF'!$D:$D,0),MATCH($Y$2,'INPUT SUMATIF'!$A$2:$CH$2,0)),""),
IFERROR(INDEX('INPUT SUMATIF'!$A:$CH,MATCH($D28,'INPUT SUMATIF'!$D:$D,0),MATCH($Z$2,'INPUT SUMATIF'!$A$2:$CH$2,0)),"")
),"")</f>
        <v>80</v>
      </c>
      <c r="Z28" s="228" t="s">
        <v>236</v>
      </c>
      <c r="AA28" s="227">
        <f t="array" ref="AA28">iferror(AVERAGE(
IFERROR(INDEX('INPUT SUMATIF'!$A:$CH,MATCH($D28,'INPUT SUMATIF'!$D:$D,0),MATCH($AA$2,'INPUT SUMATIF'!$A$2:$CH$2,0)),""),
IFERROR(INDEX('INPUT SUMATIF'!$A:$CH,MATCH($D28,'INPUT SUMATIF'!$D:$D,0),MATCH($AB$2,'INPUT SUMATIF'!$A$2:$CH$2,0)),"")
),"")</f>
        <v>13.83333333</v>
      </c>
      <c r="AB28" s="180" t="s">
        <v>237</v>
      </c>
      <c r="AC28" s="227">
        <f t="array" ref="AC28">iferror(AVERAGE(
IFERROR(INDEX('INPUT SUMATIF'!$A:$CH,MATCH($D28,'INPUT SUMATIF'!$D:$D,0),MATCH($AC$2,'INPUT SUMATIF'!$A$2:$CH$2,0)),""),
IFERROR(INDEX('INPUT SUMATIF'!$A:$CH,MATCH($D28,'INPUT SUMATIF'!$D:$D,0),MATCH($AD$2,'INPUT SUMATIF'!$A$2:$CH$2,0)),"")
),"")</f>
        <v>50</v>
      </c>
      <c r="AD28" s="180" t="s">
        <v>238</v>
      </c>
      <c r="AE28" s="227">
        <f t="array" ref="AE28">iferror(AVERAGE(
IFERROR(INDEX('INPUT SUMATIF'!$A:$CH,MATCH($D28,'INPUT SUMATIF'!$D:$D,0),MATCH($AE$2,'INPUT SUMATIF'!$A$2:$CH$2,0)),""),
IFERROR(INDEX('INPUT SUMATIF'!$A:$CH,MATCH($D28,'INPUT SUMATIF'!$D:$D,0),MATCH($AF$2,'INPUT SUMATIF'!$A$2:$CH$2,0)),"")
),"")</f>
        <v>46.66666667</v>
      </c>
      <c r="AF28" s="180" t="s">
        <v>239</v>
      </c>
      <c r="AG28" s="237" t="str">
        <f t="array" ref="AG28">iferror(AVERAGE(
IFERROR(INDEX('INPUT SUMATIF'!$A:$CH,MATCH($D28,'INPUT SUMATIF'!$D:$D,0),MATCH($AG$2,'INPUT SUMATIF'!$A$2:$CH$2,0)),""),
IFERROR(INDEX('INPUT SUMATIF'!$A:$CH,MATCH($D28,'INPUT SUMATIF'!$D:$D,0),MATCH($AH$2,'INPUT SUMATIF'!$A$2:$CH$2,0)),"")
),"")</f>
        <v/>
      </c>
      <c r="AH28" s="180"/>
      <c r="AI28" s="237" t="str">
        <f t="array" ref="AI28">iferror(AVERAGE(
IFERROR(INDEX('INPUT SUMATIF'!$A:$CH,MATCH($D28,'INPUT SUMATIF'!$D:$D,0),MATCH($AI$2,'INPUT SUMATIF'!$A$2:$CH$2,0)),""),
IFERROR(INDEX('INPUT SUMATIF'!$A:$CH,MATCH($D28,'INPUT SUMATIF'!$D:$D,0),MATCH($AJ$2,'INPUT SUMATIF'!$A$2:$CH$2,0)),"")
),"")</f>
        <v/>
      </c>
      <c r="AJ28" s="180"/>
      <c r="AK28" s="186" t="str">
        <f t="array" ref="AK28">iferror(AVERAGE(
IFERROR(INDEX('INPUT SUMATIF'!$A:$CH,MATCH($D28,'INPUT SUMATIF'!$D:$D,0),MATCH($AK$2,'INPUT SUMATIF'!$A$2:$CH$2,0)),""),
IFERROR(INDEX('INPUT SUMATIF'!$A:$CH,MATCH($D28,'INPUT SUMATIF'!$D:$D,0),MATCH($AL$2,'INPUT SUMATIF'!$A$2:$CH$2,0)),"")
),"")</f>
        <v/>
      </c>
      <c r="AL28" s="244"/>
      <c r="AM28" s="293" t="s">
        <v>245</v>
      </c>
      <c r="AN28" s="255"/>
      <c r="AO28" s="253"/>
      <c r="AP28" s="253"/>
      <c r="AQ28" s="260"/>
      <c r="AR28" s="263"/>
      <c r="AS28" s="265"/>
      <c r="AT28" s="265"/>
      <c r="AU28" s="265"/>
      <c r="AV28" s="265"/>
      <c r="AW28" s="265"/>
      <c r="AX28" s="265" t="s">
        <v>143</v>
      </c>
      <c r="AY28" s="265" t="s">
        <v>213</v>
      </c>
      <c r="AZ28" s="265" t="s">
        <v>445</v>
      </c>
      <c r="BA28" s="267" t="s">
        <v>241</v>
      </c>
      <c r="BB28" s="268" t="s">
        <v>248</v>
      </c>
    </row>
    <row r="29" ht="15.75" customHeight="1">
      <c r="A29" s="270">
        <f>IFERROR(__xludf.DUMMYFUNCTION("""COMPUTED_VALUE"""),26.0)</f>
        <v>26</v>
      </c>
      <c r="B29" s="270" t="str">
        <f>IFERROR(__xludf.DUMMYFUNCTION("""COMPUTED_VALUE"""),"2526100439")</f>
        <v>2526100439</v>
      </c>
      <c r="C29" s="270" t="str">
        <f>IFERROR(__xludf.DUMMYFUNCTION("""COMPUTED_VALUE"""),"0094990767")</f>
        <v>0094990767</v>
      </c>
      <c r="D29" s="274" t="str">
        <f>IFERROR(__xludf.DUMMYFUNCTION("""COMPUTED_VALUE"""),"MUHAMMAD FAHRI MAULANA")</f>
        <v>MUHAMMAD FAHRI MAULANA</v>
      </c>
      <c r="E29" s="277" t="str">
        <f>IFERROR(__xludf.DUMMYFUNCTION("""COMPUTED_VALUE"""),"X TO 4")</f>
        <v>X TO 4</v>
      </c>
      <c r="F29" s="277" t="s">
        <v>220</v>
      </c>
      <c r="G29" s="175">
        <f t="array" ref="G29">IFERROR(AVERAGE(
IFERROR(INDEX('INPUT SUMATIF'!$A:$CH,MATCH($D29,'INPUT SUMATIF'!$D:$D,0),MATCH($G$2,'INPUT SUMATIF'!$A$2:$CH$2,0)),""),
IFERROR(INDEX('INPUT SUMATIF'!$A:$CH,MATCH($D29,'INPUT SUMATIF'!$D:$D,0),MATCH($H$2,'INPUT SUMATIF'!$A$2:$CH$2,0)),"")
),"")</f>
        <v>76.5</v>
      </c>
      <c r="H29" s="180" t="s">
        <v>215</v>
      </c>
      <c r="I29" s="186">
        <f t="array" ref="I29">iferror(AVERAGE(
IFERROR(INDEX('INPUT SUMATIF'!$A:$CH,MATCH($D29,'INPUT SUMATIF'!$D:$D,0),MATCH($I$2,'INPUT SUMATIF'!$A$2:$CH$2,0)),""),
IFERROR(INDEX('INPUT SUMATIF'!$A:$CH,MATCH($D29,'INPUT SUMATIF'!$D:$D,0),MATCH($J$2,'INPUT SUMATIF'!$A$2:$CH$2,0)),"")
),"")</f>
        <v>81.75</v>
      </c>
      <c r="J29" s="180" t="s">
        <v>446</v>
      </c>
      <c r="K29" s="192">
        <f t="array" ref="K29">iferror(AVERAGE(
IFERROR(INDEX('INPUT SUMATIF'!$A:$CH,MATCH($D29,'INPUT SUMATIF'!$D:$D,0),MATCH($K$2,'INPUT SUMATIF'!$A$2:$CH$2,0)),""),
IFERROR(INDEX('INPUT SUMATIF'!$A:$CH,MATCH($D29,'INPUT SUMATIF'!$D:$D,0),MATCH($L$2,'INPUT SUMATIF'!$A$2:$CH$2,0)),"")
),"")</f>
        <v>79</v>
      </c>
      <c r="L29" s="180" t="s">
        <v>219</v>
      </c>
      <c r="M29" s="196">
        <f t="array" ref="M29">iferror(AVERAGE(
IFERROR(INDEX('INPUT SUMATIF'!$A:$CH,MATCH($D29,'INPUT SUMATIF'!$D:$D,0),MATCH($M$2,'INPUT SUMATIF'!$A$2:$CH$2,0)),""),
IFERROR(INDEX('INPUT SUMATIF'!$A:$CH,MATCH($D29,'INPUT SUMATIF'!$D:$D,0),MATCH($N$2,'INPUT SUMATIF'!$A$2:$CH$2,0)),"")
),"")</f>
        <v>84</v>
      </c>
      <c r="N29" s="201" t="s">
        <v>221</v>
      </c>
      <c r="O29" s="206">
        <f t="array" ref="O29">iferror(AVERAGE(
IFERROR(INDEX('INPUT SUMATIF'!$A:$CH,MATCH($D29,'INPUT SUMATIF'!$D:$D,0),MATCH($O$2,'INPUT SUMATIF'!$A$2:$CH$2,0)),""),
IFERROR(INDEX('INPUT SUMATIF'!$A:$CH,MATCH($D29,'INPUT SUMATIF'!$D:$D,0),MATCH($P$2,'INPUT SUMATIF'!$A$2:$CH$2,0)),"")
),"")</f>
        <v>72</v>
      </c>
      <c r="P29" s="180" t="s">
        <v>222</v>
      </c>
      <c r="Q29" s="210">
        <f t="array" ref="Q29">iferror(AVERAGE(
IFERROR(INDEX('INPUT SUMATIF'!$A:$CH,MATCH($D29,'INPUT SUMATIF'!$D:$D,0),MATCH($Q$2,'INPUT SUMATIF'!$A$2:$CH$2,0)),""),
IFERROR(INDEX('INPUT SUMATIF'!$A:$CH,MATCH($D29,'INPUT SUMATIF'!$D:$D,0),MATCH($R$2,'INPUT SUMATIF'!$A$2:$CH$2,0)),"")
),"")</f>
        <v>88.83333333</v>
      </c>
      <c r="R29" s="180" t="s">
        <v>229</v>
      </c>
      <c r="S29" s="215">
        <f t="array" ref="S29">iferror(AVERAGE(
IFERROR(INDEX('INPUT SUMATIF'!$A:$CH,MATCH($D29,'INPUT SUMATIF'!$D:$D,0),MATCH($S$2,'INPUT SUMATIF'!$A$2:$CH$2,0)),""),
IFERROR(INDEX('INPUT SUMATIF'!$A:$CH,MATCH($D29,'INPUT SUMATIF'!$D:$D,0),MATCH($T$2,'INPUT SUMATIF'!$A$2:$CH$2,0)),"")
),"")</f>
        <v>72.16666667</v>
      </c>
      <c r="T29" s="180" t="s">
        <v>233</v>
      </c>
      <c r="U29" s="221">
        <f t="array" ref="U29">iferror(AVERAGE(
IFERROR(INDEX('INPUT SUMATIF'!$A:$CH,MATCH($D29,'INPUT SUMATIF'!$D:$D,0),MATCH($U$2,'INPUT SUMATIF'!$A$2:$CH$2,0)),""),
IFERROR(INDEX('INPUT SUMATIF'!$A:$CH,MATCH($D29,'INPUT SUMATIF'!$D:$D,0),MATCH($V$2,'INPUT SUMATIF'!$A$2:$CH$2,0)),"")
),"")</f>
        <v>72</v>
      </c>
      <c r="V29" s="180" t="s">
        <v>234</v>
      </c>
      <c r="W29" s="175">
        <f t="array" ref="W29">iferror(AVERAGE(
IFERROR(INDEX('INPUT SUMATIF'!$A:$CH,MATCH($D29,'INPUT SUMATIF'!$D:$D,0),MATCH($W$2,'INPUT SUMATIF'!$A$2:$CH$2,0)),""),
IFERROR(INDEX('INPUT SUMATIF'!$A:$CH,MATCH($D29,'INPUT SUMATIF'!$D:$D,0),MATCH($X$2,'INPUT SUMATIF'!$A$2:$CH$2,0)),"")
),"")</f>
        <v>72</v>
      </c>
      <c r="X29" s="224" t="s">
        <v>235</v>
      </c>
      <c r="Y29" s="227">
        <f t="array" ref="Y29">iferror(AVERAGE(
IFERROR(INDEX('INPUT SUMATIF'!$A:$CH,MATCH($D29,'INPUT SUMATIF'!$D:$D,0),MATCH($Y$2,'INPUT SUMATIF'!$A$2:$CH$2,0)),""),
IFERROR(INDEX('INPUT SUMATIF'!$A:$CH,MATCH($D29,'INPUT SUMATIF'!$D:$D,0),MATCH($Z$2,'INPUT SUMATIF'!$A$2:$CH$2,0)),"")
),"")</f>
        <v>80</v>
      </c>
      <c r="Z29" s="228" t="s">
        <v>236</v>
      </c>
      <c r="AA29" s="227">
        <f t="array" ref="AA29">iferror(AVERAGE(
IFERROR(INDEX('INPUT SUMATIF'!$A:$CH,MATCH($D29,'INPUT SUMATIF'!$D:$D,0),MATCH($AA$2,'INPUT SUMATIF'!$A$2:$CH$2,0)),""),
IFERROR(INDEX('INPUT SUMATIF'!$A:$CH,MATCH($D29,'INPUT SUMATIF'!$D:$D,0),MATCH($AB$2,'INPUT SUMATIF'!$A$2:$CH$2,0)),"")
),"")</f>
        <v>52.33333333</v>
      </c>
      <c r="AB29" s="180" t="s">
        <v>237</v>
      </c>
      <c r="AC29" s="227">
        <f t="array" ref="AC29">iferror(AVERAGE(
IFERROR(INDEX('INPUT SUMATIF'!$A:$CH,MATCH($D29,'INPUT SUMATIF'!$D:$D,0),MATCH($AC$2,'INPUT SUMATIF'!$A$2:$CH$2,0)),""),
IFERROR(INDEX('INPUT SUMATIF'!$A:$CH,MATCH($D29,'INPUT SUMATIF'!$D:$D,0),MATCH($AD$2,'INPUT SUMATIF'!$A$2:$CH$2,0)),"")
),"")</f>
        <v>79.16666667</v>
      </c>
      <c r="AD29" s="180" t="s">
        <v>238</v>
      </c>
      <c r="AE29" s="227">
        <f t="array" ref="AE29">iferror(AVERAGE(
IFERROR(INDEX('INPUT SUMATIF'!$A:$CH,MATCH($D29,'INPUT SUMATIF'!$D:$D,0),MATCH($AE$2,'INPUT SUMATIF'!$A$2:$CH$2,0)),""),
IFERROR(INDEX('INPUT SUMATIF'!$A:$CH,MATCH($D29,'INPUT SUMATIF'!$D:$D,0),MATCH($AF$2,'INPUT SUMATIF'!$A$2:$CH$2,0)),"")
),"")</f>
        <v>77.66666667</v>
      </c>
      <c r="AF29" s="289" t="s">
        <v>239</v>
      </c>
      <c r="AG29" s="237" t="str">
        <f t="array" ref="AG29">iferror(AVERAGE(
IFERROR(INDEX('INPUT SUMATIF'!$A:$CH,MATCH($D29,'INPUT SUMATIF'!$D:$D,0),MATCH($AG$2,'INPUT SUMATIF'!$A$2:$CH$2,0)),""),
IFERROR(INDEX('INPUT SUMATIF'!$A:$CH,MATCH($D29,'INPUT SUMATIF'!$D:$D,0),MATCH($AH$2,'INPUT SUMATIF'!$A$2:$CH$2,0)),"")
),"")</f>
        <v/>
      </c>
      <c r="AH29" s="289"/>
      <c r="AI29" s="237" t="str">
        <f t="array" ref="AI29">iferror(AVERAGE(
IFERROR(INDEX('INPUT SUMATIF'!$A:$CH,MATCH($D29,'INPUT SUMATIF'!$D:$D,0),MATCH($AI$2,'INPUT SUMATIF'!$A$2:$CH$2,0)),""),
IFERROR(INDEX('INPUT SUMATIF'!$A:$CH,MATCH($D29,'INPUT SUMATIF'!$D:$D,0),MATCH($AJ$2,'INPUT SUMATIF'!$A$2:$CH$2,0)),"")
),"")</f>
        <v/>
      </c>
      <c r="AJ29" s="289"/>
      <c r="AK29" s="186" t="str">
        <f t="array" ref="AK29">iferror(AVERAGE(
IFERROR(INDEX('INPUT SUMATIF'!$A:$CH,MATCH($D29,'INPUT SUMATIF'!$D:$D,0),MATCH($AK$2,'INPUT SUMATIF'!$A$2:$CH$2,0)),""),
IFERROR(INDEX('INPUT SUMATIF'!$A:$CH,MATCH($D29,'INPUT SUMATIF'!$D:$D,0),MATCH($AL$2,'INPUT SUMATIF'!$A$2:$CH$2,0)),"")
),"")</f>
        <v/>
      </c>
      <c r="AL29" s="292"/>
      <c r="AM29" s="293" t="s">
        <v>245</v>
      </c>
      <c r="AN29" s="294"/>
      <c r="AO29" s="293"/>
      <c r="AP29" s="293"/>
      <c r="AQ29" s="296"/>
      <c r="AR29" s="298"/>
      <c r="AS29" s="267"/>
      <c r="AT29" s="267"/>
      <c r="AU29" s="267"/>
      <c r="AV29" s="267"/>
      <c r="AW29" s="267"/>
      <c r="AX29" s="267" t="s">
        <v>150</v>
      </c>
      <c r="AY29" s="267" t="s">
        <v>213</v>
      </c>
      <c r="AZ29" s="267" t="s">
        <v>160</v>
      </c>
      <c r="BA29" s="267" t="s">
        <v>241</v>
      </c>
      <c r="BB29" s="302" t="s">
        <v>248</v>
      </c>
    </row>
    <row r="30" ht="15.75" customHeight="1">
      <c r="A30" s="159">
        <f>IFERROR(__xludf.DUMMYFUNCTION("""COMPUTED_VALUE"""),27.0)</f>
        <v>27</v>
      </c>
      <c r="B30" s="159" t="str">
        <f>IFERROR(__xludf.DUMMYFUNCTION("""COMPUTED_VALUE"""),"2526100440")</f>
        <v>2526100440</v>
      </c>
      <c r="C30" s="159" t="str">
        <f>IFERROR(__xludf.DUMMYFUNCTION("""COMPUTED_VALUE"""),"0105005356")</f>
        <v>0105005356</v>
      </c>
      <c r="D30" s="164" t="str">
        <f>IFERROR(__xludf.DUMMYFUNCTION("""COMPUTED_VALUE"""),"MUHAMMAD GALANG GUNAWAN")</f>
        <v>MUHAMMAD GALANG GUNAWAN</v>
      </c>
      <c r="E30" s="165" t="str">
        <f>IFERROR(__xludf.DUMMYFUNCTION("""COMPUTED_VALUE"""),"X TO 4")</f>
        <v>X TO 4</v>
      </c>
      <c r="F30" s="165" t="s">
        <v>220</v>
      </c>
      <c r="G30" s="175">
        <f t="array" ref="G30">IFERROR(AVERAGE(
IFERROR(INDEX('INPUT SUMATIF'!$A:$CH,MATCH($D30,'INPUT SUMATIF'!$D:$D,0),MATCH($G$2,'INPUT SUMATIF'!$A$2:$CH$2,0)),""),
IFERROR(INDEX('INPUT SUMATIF'!$A:$CH,MATCH($D30,'INPUT SUMATIF'!$D:$D,0),MATCH($H$2,'INPUT SUMATIF'!$A$2:$CH$2,0)),"")
),"")</f>
        <v>75</v>
      </c>
      <c r="H30" s="180" t="s">
        <v>215</v>
      </c>
      <c r="I30" s="186">
        <f t="array" ref="I30">iferror(AVERAGE(
IFERROR(INDEX('INPUT SUMATIF'!$A:$CH,MATCH($D30,'INPUT SUMATIF'!$D:$D,0),MATCH($I$2,'INPUT SUMATIF'!$A$2:$CH$2,0)),""),
IFERROR(INDEX('INPUT SUMATIF'!$A:$CH,MATCH($D30,'INPUT SUMATIF'!$D:$D,0),MATCH($J$2,'INPUT SUMATIF'!$A$2:$CH$2,0)),"")
),"")</f>
        <v>75</v>
      </c>
      <c r="J30" s="180" t="s">
        <v>447</v>
      </c>
      <c r="K30" s="192">
        <f t="array" ref="K30">iferror(AVERAGE(
IFERROR(INDEX('INPUT SUMATIF'!$A:$CH,MATCH($D30,'INPUT SUMATIF'!$D:$D,0),MATCH($K$2,'INPUT SUMATIF'!$A$2:$CH$2,0)),""),
IFERROR(INDEX('INPUT SUMATIF'!$A:$CH,MATCH($D30,'INPUT SUMATIF'!$D:$D,0),MATCH($L$2,'INPUT SUMATIF'!$A$2:$CH$2,0)),"")
),"")</f>
        <v>75.33333333</v>
      </c>
      <c r="L30" s="180" t="s">
        <v>219</v>
      </c>
      <c r="M30" s="196">
        <f t="array" ref="M30">iferror(AVERAGE(
IFERROR(INDEX('INPUT SUMATIF'!$A:$CH,MATCH($D30,'INPUT SUMATIF'!$D:$D,0),MATCH($M$2,'INPUT SUMATIF'!$A$2:$CH$2,0)),""),
IFERROR(INDEX('INPUT SUMATIF'!$A:$CH,MATCH($D30,'INPUT SUMATIF'!$D:$D,0),MATCH($N$2,'INPUT SUMATIF'!$A$2:$CH$2,0)),"")
),"")</f>
        <v>75</v>
      </c>
      <c r="N30" s="201" t="s">
        <v>221</v>
      </c>
      <c r="O30" s="206">
        <f t="array" ref="O30">iferror(AVERAGE(
IFERROR(INDEX('INPUT SUMATIF'!$A:$CH,MATCH($D30,'INPUT SUMATIF'!$D:$D,0),MATCH($O$2,'INPUT SUMATIF'!$A$2:$CH$2,0)),""),
IFERROR(INDEX('INPUT SUMATIF'!$A:$CH,MATCH($D30,'INPUT SUMATIF'!$D:$D,0),MATCH($P$2,'INPUT SUMATIF'!$A$2:$CH$2,0)),"")
),"")</f>
        <v>75</v>
      </c>
      <c r="P30" s="180" t="s">
        <v>222</v>
      </c>
      <c r="Q30" s="210">
        <f t="array" ref="Q30">iferror(AVERAGE(
IFERROR(INDEX('INPUT SUMATIF'!$A:$CH,MATCH($D30,'INPUT SUMATIF'!$D:$D,0),MATCH($Q$2,'INPUT SUMATIF'!$A$2:$CH$2,0)),""),
IFERROR(INDEX('INPUT SUMATIF'!$A:$CH,MATCH($D30,'INPUT SUMATIF'!$D:$D,0),MATCH($R$2,'INPUT SUMATIF'!$A$2:$CH$2,0)),"")
),"")</f>
        <v>89.16666667</v>
      </c>
      <c r="R30" s="180" t="s">
        <v>229</v>
      </c>
      <c r="S30" s="215">
        <f t="array" ref="S30">iferror(AVERAGE(
IFERROR(INDEX('INPUT SUMATIF'!$A:$CH,MATCH($D30,'INPUT SUMATIF'!$D:$D,0),MATCH($S$2,'INPUT SUMATIF'!$A$2:$CH$2,0)),""),
IFERROR(INDEX('INPUT SUMATIF'!$A:$CH,MATCH($D30,'INPUT SUMATIF'!$D:$D,0),MATCH($T$2,'INPUT SUMATIF'!$A$2:$CH$2,0)),"")
),"")</f>
        <v>75</v>
      </c>
      <c r="T30" s="180" t="s">
        <v>233</v>
      </c>
      <c r="U30" s="221">
        <f t="array" ref="U30">iferror(AVERAGE(
IFERROR(INDEX('INPUT SUMATIF'!$A:$CH,MATCH($D30,'INPUT SUMATIF'!$D:$D,0),MATCH($U$2,'INPUT SUMATIF'!$A$2:$CH$2,0)),""),
IFERROR(INDEX('INPUT SUMATIF'!$A:$CH,MATCH($D30,'INPUT SUMATIF'!$D:$D,0),MATCH($V$2,'INPUT SUMATIF'!$A$2:$CH$2,0)),"")
),"")</f>
        <v>75</v>
      </c>
      <c r="V30" s="180" t="s">
        <v>234</v>
      </c>
      <c r="W30" s="175">
        <f t="array" ref="W30">iferror(AVERAGE(
IFERROR(INDEX('INPUT SUMATIF'!$A:$CH,MATCH($D30,'INPUT SUMATIF'!$D:$D,0),MATCH($W$2,'INPUT SUMATIF'!$A$2:$CH$2,0)),""),
IFERROR(INDEX('INPUT SUMATIF'!$A:$CH,MATCH($D30,'INPUT SUMATIF'!$D:$D,0),MATCH($X$2,'INPUT SUMATIF'!$A$2:$CH$2,0)),"")
),"")</f>
        <v>75</v>
      </c>
      <c r="X30" s="224" t="s">
        <v>235</v>
      </c>
      <c r="Y30" s="227">
        <f t="array" ref="Y30">iferror(AVERAGE(
IFERROR(INDEX('INPUT SUMATIF'!$A:$CH,MATCH($D30,'INPUT SUMATIF'!$D:$D,0),MATCH($Y$2,'INPUT SUMATIF'!$A$2:$CH$2,0)),""),
IFERROR(INDEX('INPUT SUMATIF'!$A:$CH,MATCH($D30,'INPUT SUMATIF'!$D:$D,0),MATCH($Z$2,'INPUT SUMATIF'!$A$2:$CH$2,0)),"")
),"")</f>
        <v>80</v>
      </c>
      <c r="Z30" s="228" t="s">
        <v>236</v>
      </c>
      <c r="AA30" s="227">
        <f t="array" ref="AA30">iferror(AVERAGE(
IFERROR(INDEX('INPUT SUMATIF'!$A:$CH,MATCH($D30,'INPUT SUMATIF'!$D:$D,0),MATCH($AA$2,'INPUT SUMATIF'!$A$2:$CH$2,0)),""),
IFERROR(INDEX('INPUT SUMATIF'!$A:$CH,MATCH($D30,'INPUT SUMATIF'!$D:$D,0),MATCH($AB$2,'INPUT SUMATIF'!$A$2:$CH$2,0)),"")
),"")</f>
        <v>75</v>
      </c>
      <c r="AB30" s="180" t="s">
        <v>237</v>
      </c>
      <c r="AC30" s="227">
        <f t="array" ref="AC30">iferror(AVERAGE(
IFERROR(INDEX('INPUT SUMATIF'!$A:$CH,MATCH($D30,'INPUT SUMATIF'!$D:$D,0),MATCH($AC$2,'INPUT SUMATIF'!$A$2:$CH$2,0)),""),
IFERROR(INDEX('INPUT SUMATIF'!$A:$CH,MATCH($D30,'INPUT SUMATIF'!$D:$D,0),MATCH($AD$2,'INPUT SUMATIF'!$A$2:$CH$2,0)),"")
),"")</f>
        <v>75</v>
      </c>
      <c r="AD30" s="180" t="s">
        <v>238</v>
      </c>
      <c r="AE30" s="227">
        <f t="array" ref="AE30">iferror(AVERAGE(
IFERROR(INDEX('INPUT SUMATIF'!$A:$CH,MATCH($D30,'INPUT SUMATIF'!$D:$D,0),MATCH($AE$2,'INPUT SUMATIF'!$A$2:$CH$2,0)),""),
IFERROR(INDEX('INPUT SUMATIF'!$A:$CH,MATCH($D30,'INPUT SUMATIF'!$D:$D,0),MATCH($AF$2,'INPUT SUMATIF'!$A$2:$CH$2,0)),"")
),"")</f>
        <v>75</v>
      </c>
      <c r="AF30" s="180" t="s">
        <v>239</v>
      </c>
      <c r="AG30" s="237" t="str">
        <f t="array" ref="AG30">iferror(AVERAGE(
IFERROR(INDEX('INPUT SUMATIF'!$A:$CH,MATCH($D30,'INPUT SUMATIF'!$D:$D,0),MATCH($AG$2,'INPUT SUMATIF'!$A$2:$CH$2,0)),""),
IFERROR(INDEX('INPUT SUMATIF'!$A:$CH,MATCH($D30,'INPUT SUMATIF'!$D:$D,0),MATCH($AH$2,'INPUT SUMATIF'!$A$2:$CH$2,0)),"")
),"")</f>
        <v/>
      </c>
      <c r="AH30" s="180"/>
      <c r="AI30" s="237" t="str">
        <f t="array" ref="AI30">iferror(AVERAGE(
IFERROR(INDEX('INPUT SUMATIF'!$A:$CH,MATCH($D30,'INPUT SUMATIF'!$D:$D,0),MATCH($AI$2,'INPUT SUMATIF'!$A$2:$CH$2,0)),""),
IFERROR(INDEX('INPUT SUMATIF'!$A:$CH,MATCH($D30,'INPUT SUMATIF'!$D:$D,0),MATCH($AJ$2,'INPUT SUMATIF'!$A$2:$CH$2,0)),"")
),"")</f>
        <v/>
      </c>
      <c r="AJ30" s="180"/>
      <c r="AK30" s="186" t="str">
        <f t="array" ref="AK30">iferror(AVERAGE(
IFERROR(INDEX('INPUT SUMATIF'!$A:$CH,MATCH($D30,'INPUT SUMATIF'!$D:$D,0),MATCH($AK$2,'INPUT SUMATIF'!$A$2:$CH$2,0)),""),
IFERROR(INDEX('INPUT SUMATIF'!$A:$CH,MATCH($D30,'INPUT SUMATIF'!$D:$D,0),MATCH($AL$2,'INPUT SUMATIF'!$A$2:$CH$2,0)),"")
),"")</f>
        <v/>
      </c>
      <c r="AL30" s="244"/>
      <c r="AM30" s="293" t="s">
        <v>245</v>
      </c>
      <c r="AN30" s="255"/>
      <c r="AO30" s="253"/>
      <c r="AP30" s="253"/>
      <c r="AQ30" s="260"/>
      <c r="AR30" s="263"/>
      <c r="AS30" s="265"/>
      <c r="AT30" s="265"/>
      <c r="AU30" s="265"/>
      <c r="AV30" s="265"/>
      <c r="AW30" s="265"/>
      <c r="AX30" s="265" t="s">
        <v>213</v>
      </c>
      <c r="AY30" s="265" t="s">
        <v>190</v>
      </c>
      <c r="AZ30" s="265" t="s">
        <v>190</v>
      </c>
      <c r="BA30" s="267" t="s">
        <v>241</v>
      </c>
      <c r="BB30" s="268" t="s">
        <v>248</v>
      </c>
    </row>
    <row r="31" ht="15.75" customHeight="1">
      <c r="A31" s="270">
        <f>IFERROR(__xludf.DUMMYFUNCTION("""COMPUTED_VALUE"""),28.0)</f>
        <v>28</v>
      </c>
      <c r="B31" s="270" t="str">
        <f>IFERROR(__xludf.DUMMYFUNCTION("""COMPUTED_VALUE"""),"2526100441")</f>
        <v>2526100441</v>
      </c>
      <c r="C31" s="270" t="str">
        <f>IFERROR(__xludf.DUMMYFUNCTION("""COMPUTED_VALUE"""),"0089904752")</f>
        <v>0089904752</v>
      </c>
      <c r="D31" s="274" t="str">
        <f>IFERROR(__xludf.DUMMYFUNCTION("""COMPUTED_VALUE"""),"MUHAMMAD GOZALI")</f>
        <v>MUHAMMAD GOZALI</v>
      </c>
      <c r="E31" s="277" t="str">
        <f>IFERROR(__xludf.DUMMYFUNCTION("""COMPUTED_VALUE"""),"X TO 4")</f>
        <v>X TO 4</v>
      </c>
      <c r="F31" s="277" t="s">
        <v>220</v>
      </c>
      <c r="G31" s="175">
        <f t="array" ref="G31">IFERROR(AVERAGE(
IFERROR(INDEX('INPUT SUMATIF'!$A:$CH,MATCH($D31,'INPUT SUMATIF'!$D:$D,0),MATCH($G$2,'INPUT SUMATIF'!$A$2:$CH$2,0)),""),
IFERROR(INDEX('INPUT SUMATIF'!$A:$CH,MATCH($D31,'INPUT SUMATIF'!$D:$D,0),MATCH($H$2,'INPUT SUMATIF'!$A$2:$CH$2,0)),"")
),"")</f>
        <v>77.5</v>
      </c>
      <c r="H31" s="180" t="s">
        <v>215</v>
      </c>
      <c r="I31" s="186">
        <f t="array" ref="I31">iferror(AVERAGE(
IFERROR(INDEX('INPUT SUMATIF'!$A:$CH,MATCH($D31,'INPUT SUMATIF'!$D:$D,0),MATCH($I$2,'INPUT SUMATIF'!$A$2:$CH$2,0)),""),
IFERROR(INDEX('INPUT SUMATIF'!$A:$CH,MATCH($D31,'INPUT SUMATIF'!$D:$D,0),MATCH($J$2,'INPUT SUMATIF'!$A$2:$CH$2,0)),"")
),"")</f>
        <v>82.75</v>
      </c>
      <c r="J31" s="180" t="s">
        <v>448</v>
      </c>
      <c r="K31" s="192">
        <f t="array" ref="K31">iferror(AVERAGE(
IFERROR(INDEX('INPUT SUMATIF'!$A:$CH,MATCH($D31,'INPUT SUMATIF'!$D:$D,0),MATCH($K$2,'INPUT SUMATIF'!$A$2:$CH$2,0)),""),
IFERROR(INDEX('INPUT SUMATIF'!$A:$CH,MATCH($D31,'INPUT SUMATIF'!$D:$D,0),MATCH($L$2,'INPUT SUMATIF'!$A$2:$CH$2,0)),"")
),"")</f>
        <v>84.16666667</v>
      </c>
      <c r="L31" s="180" t="s">
        <v>219</v>
      </c>
      <c r="M31" s="196">
        <f t="array" ref="M31">iferror(AVERAGE(
IFERROR(INDEX('INPUT SUMATIF'!$A:$CH,MATCH($D31,'INPUT SUMATIF'!$D:$D,0),MATCH($M$2,'INPUT SUMATIF'!$A$2:$CH$2,0)),""),
IFERROR(INDEX('INPUT SUMATIF'!$A:$CH,MATCH($D31,'INPUT SUMATIF'!$D:$D,0),MATCH($N$2,'INPUT SUMATIF'!$A$2:$CH$2,0)),"")
),"")</f>
        <v>91</v>
      </c>
      <c r="N31" s="201" t="s">
        <v>221</v>
      </c>
      <c r="O31" s="206">
        <f t="array" ref="O31">iferror(AVERAGE(
IFERROR(INDEX('INPUT SUMATIF'!$A:$CH,MATCH($D31,'INPUT SUMATIF'!$D:$D,0),MATCH($O$2,'INPUT SUMATIF'!$A$2:$CH$2,0)),""),
IFERROR(INDEX('INPUT SUMATIF'!$A:$CH,MATCH($D31,'INPUT SUMATIF'!$D:$D,0),MATCH($P$2,'INPUT SUMATIF'!$A$2:$CH$2,0)),"")
),"")</f>
        <v>83</v>
      </c>
      <c r="P31" s="180" t="s">
        <v>222</v>
      </c>
      <c r="Q31" s="210">
        <f t="array" ref="Q31">iferror(AVERAGE(
IFERROR(INDEX('INPUT SUMATIF'!$A:$CH,MATCH($D31,'INPUT SUMATIF'!$D:$D,0),MATCH($Q$2,'INPUT SUMATIF'!$A$2:$CH$2,0)),""),
IFERROR(INDEX('INPUT SUMATIF'!$A:$CH,MATCH($D31,'INPUT SUMATIF'!$D:$D,0),MATCH($R$2,'INPUT SUMATIF'!$A$2:$CH$2,0)),"")
),"")</f>
        <v>89.66666667</v>
      </c>
      <c r="R31" s="180" t="s">
        <v>229</v>
      </c>
      <c r="S31" s="215">
        <f t="array" ref="S31">iferror(AVERAGE(
IFERROR(INDEX('INPUT SUMATIF'!$A:$CH,MATCH($D31,'INPUT SUMATIF'!$D:$D,0),MATCH($S$2,'INPUT SUMATIF'!$A$2:$CH$2,0)),""),
IFERROR(INDEX('INPUT SUMATIF'!$A:$CH,MATCH($D31,'INPUT SUMATIF'!$D:$D,0),MATCH($T$2,'INPUT SUMATIF'!$A$2:$CH$2,0)),"")
),"")</f>
        <v>85.66666667</v>
      </c>
      <c r="T31" s="180" t="s">
        <v>233</v>
      </c>
      <c r="U31" s="221">
        <f t="array" ref="U31">iferror(AVERAGE(
IFERROR(INDEX('INPUT SUMATIF'!$A:$CH,MATCH($D31,'INPUT SUMATIF'!$D:$D,0),MATCH($U$2,'INPUT SUMATIF'!$A$2:$CH$2,0)),""),
IFERROR(INDEX('INPUT SUMATIF'!$A:$CH,MATCH($D31,'INPUT SUMATIF'!$D:$D,0),MATCH($V$2,'INPUT SUMATIF'!$A$2:$CH$2,0)),"")
),"")</f>
        <v>75</v>
      </c>
      <c r="V31" s="180" t="s">
        <v>234</v>
      </c>
      <c r="W31" s="175">
        <f t="array" ref="W31">iferror(AVERAGE(
IFERROR(INDEX('INPUT SUMATIF'!$A:$CH,MATCH($D31,'INPUT SUMATIF'!$D:$D,0),MATCH($W$2,'INPUT SUMATIF'!$A$2:$CH$2,0)),""),
IFERROR(INDEX('INPUT SUMATIF'!$A:$CH,MATCH($D31,'INPUT SUMATIF'!$D:$D,0),MATCH($X$2,'INPUT SUMATIF'!$A$2:$CH$2,0)),"")
),"")</f>
        <v>77</v>
      </c>
      <c r="X31" s="224" t="s">
        <v>235</v>
      </c>
      <c r="Y31" s="227">
        <f t="array" ref="Y31">iferror(AVERAGE(
IFERROR(INDEX('INPUT SUMATIF'!$A:$CH,MATCH($D31,'INPUT SUMATIF'!$D:$D,0),MATCH($Y$2,'INPUT SUMATIF'!$A$2:$CH$2,0)),""),
IFERROR(INDEX('INPUT SUMATIF'!$A:$CH,MATCH($D31,'INPUT SUMATIF'!$D:$D,0),MATCH($Z$2,'INPUT SUMATIF'!$A$2:$CH$2,0)),"")
),"")</f>
        <v>80</v>
      </c>
      <c r="Z31" s="228" t="s">
        <v>236</v>
      </c>
      <c r="AA31" s="227">
        <f t="array" ref="AA31">iferror(AVERAGE(
IFERROR(INDEX('INPUT SUMATIF'!$A:$CH,MATCH($D31,'INPUT SUMATIF'!$D:$D,0),MATCH($AA$2,'INPUT SUMATIF'!$A$2:$CH$2,0)),""),
IFERROR(INDEX('INPUT SUMATIF'!$A:$CH,MATCH($D31,'INPUT SUMATIF'!$D:$D,0),MATCH($AB$2,'INPUT SUMATIF'!$A$2:$CH$2,0)),"")
),"")</f>
        <v>82.83333333</v>
      </c>
      <c r="AB31" s="180" t="s">
        <v>237</v>
      </c>
      <c r="AC31" s="227">
        <f t="array" ref="AC31">iferror(AVERAGE(
IFERROR(INDEX('INPUT SUMATIF'!$A:$CH,MATCH($D31,'INPUT SUMATIF'!$D:$D,0),MATCH($AC$2,'INPUT SUMATIF'!$A$2:$CH$2,0)),""),
IFERROR(INDEX('INPUT SUMATIF'!$A:$CH,MATCH($D31,'INPUT SUMATIF'!$D:$D,0),MATCH($AD$2,'INPUT SUMATIF'!$A$2:$CH$2,0)),"")
),"")</f>
        <v>80.5</v>
      </c>
      <c r="AD31" s="180" t="s">
        <v>238</v>
      </c>
      <c r="AE31" s="227">
        <f t="array" ref="AE31">iferror(AVERAGE(
IFERROR(INDEX('INPUT SUMATIF'!$A:$CH,MATCH($D31,'INPUT SUMATIF'!$D:$D,0),MATCH($AE$2,'INPUT SUMATIF'!$A$2:$CH$2,0)),""),
IFERROR(INDEX('INPUT SUMATIF'!$A:$CH,MATCH($D31,'INPUT SUMATIF'!$D:$D,0),MATCH($AF$2,'INPUT SUMATIF'!$A$2:$CH$2,0)),"")
),"")</f>
        <v>78</v>
      </c>
      <c r="AF31" s="289" t="s">
        <v>239</v>
      </c>
      <c r="AG31" s="237" t="str">
        <f t="array" ref="AG31">iferror(AVERAGE(
IFERROR(INDEX('INPUT SUMATIF'!$A:$CH,MATCH($D31,'INPUT SUMATIF'!$D:$D,0),MATCH($AG$2,'INPUT SUMATIF'!$A$2:$CH$2,0)),""),
IFERROR(INDEX('INPUT SUMATIF'!$A:$CH,MATCH($D31,'INPUT SUMATIF'!$D:$D,0),MATCH($AH$2,'INPUT SUMATIF'!$A$2:$CH$2,0)),"")
),"")</f>
        <v/>
      </c>
      <c r="AH31" s="289"/>
      <c r="AI31" s="237" t="str">
        <f t="array" ref="AI31">iferror(AVERAGE(
IFERROR(INDEX('INPUT SUMATIF'!$A:$CH,MATCH($D31,'INPUT SUMATIF'!$D:$D,0),MATCH($AI$2,'INPUT SUMATIF'!$A$2:$CH$2,0)),""),
IFERROR(INDEX('INPUT SUMATIF'!$A:$CH,MATCH($D31,'INPUT SUMATIF'!$D:$D,0),MATCH($AJ$2,'INPUT SUMATIF'!$A$2:$CH$2,0)),"")
),"")</f>
        <v/>
      </c>
      <c r="AJ31" s="289"/>
      <c r="AK31" s="186" t="str">
        <f t="array" ref="AK31">iferror(AVERAGE(
IFERROR(INDEX('INPUT SUMATIF'!$A:$CH,MATCH($D31,'INPUT SUMATIF'!$D:$D,0),MATCH($AK$2,'INPUT SUMATIF'!$A$2:$CH$2,0)),""),
IFERROR(INDEX('INPUT SUMATIF'!$A:$CH,MATCH($D31,'INPUT SUMATIF'!$D:$D,0),MATCH($AL$2,'INPUT SUMATIF'!$A$2:$CH$2,0)),"")
),"")</f>
        <v/>
      </c>
      <c r="AL31" s="292"/>
      <c r="AM31" s="253" t="s">
        <v>240</v>
      </c>
      <c r="AN31" s="294"/>
      <c r="AO31" s="293"/>
      <c r="AP31" s="293"/>
      <c r="AQ31" s="296"/>
      <c r="AR31" s="298" t="s">
        <v>357</v>
      </c>
      <c r="AS31" s="267"/>
      <c r="AT31" s="267" t="s">
        <v>358</v>
      </c>
      <c r="AU31" s="267"/>
      <c r="AV31" s="265" t="s">
        <v>359</v>
      </c>
      <c r="AW31" s="267"/>
      <c r="AX31" s="267" t="s">
        <v>213</v>
      </c>
      <c r="AY31" s="267" t="s">
        <v>213</v>
      </c>
      <c r="AZ31" s="267" t="s">
        <v>213</v>
      </c>
      <c r="BA31" s="267" t="s">
        <v>241</v>
      </c>
      <c r="BB31" s="302" t="s">
        <v>248</v>
      </c>
    </row>
    <row r="32" ht="15.75" customHeight="1">
      <c r="A32" s="159">
        <f>IFERROR(__xludf.DUMMYFUNCTION("""COMPUTED_VALUE"""),29.0)</f>
        <v>29</v>
      </c>
      <c r="B32" s="159" t="str">
        <f>IFERROR(__xludf.DUMMYFUNCTION("""COMPUTED_VALUE"""),"2526100442")</f>
        <v>2526100442</v>
      </c>
      <c r="C32" s="159" t="str">
        <f>IFERROR(__xludf.DUMMYFUNCTION("""COMPUTED_VALUE"""),"0093764470")</f>
        <v>0093764470</v>
      </c>
      <c r="D32" s="164" t="str">
        <f>IFERROR(__xludf.DUMMYFUNCTION("""COMPUTED_VALUE"""),"MUHAMMAD HADAD AT'TOILLAH")</f>
        <v>MUHAMMAD HADAD AT'TOILLAH</v>
      </c>
      <c r="E32" s="165" t="str">
        <f>IFERROR(__xludf.DUMMYFUNCTION("""COMPUTED_VALUE"""),"X TO 4")</f>
        <v>X TO 4</v>
      </c>
      <c r="F32" s="165" t="s">
        <v>220</v>
      </c>
      <c r="G32" s="175">
        <f t="array" ref="G32">IFERROR(AVERAGE(
IFERROR(INDEX('INPUT SUMATIF'!$A:$CH,MATCH($D32,'INPUT SUMATIF'!$D:$D,0),MATCH($G$2,'INPUT SUMATIF'!$A$2:$CH$2,0)),""),
IFERROR(INDEX('INPUT SUMATIF'!$A:$CH,MATCH($D32,'INPUT SUMATIF'!$D:$D,0),MATCH($H$2,'INPUT SUMATIF'!$A$2:$CH$2,0)),"")
),"")</f>
        <v>78.5</v>
      </c>
      <c r="H32" s="180" t="s">
        <v>215</v>
      </c>
      <c r="I32" s="186">
        <f t="array" ref="I32">iferror(AVERAGE(
IFERROR(INDEX('INPUT SUMATIF'!$A:$CH,MATCH($D32,'INPUT SUMATIF'!$D:$D,0),MATCH($I$2,'INPUT SUMATIF'!$A$2:$CH$2,0)),""),
IFERROR(INDEX('INPUT SUMATIF'!$A:$CH,MATCH($D32,'INPUT SUMATIF'!$D:$D,0),MATCH($J$2,'INPUT SUMATIF'!$A$2:$CH$2,0)),"")
),"")</f>
        <v>81.25</v>
      </c>
      <c r="J32" s="180" t="s">
        <v>462</v>
      </c>
      <c r="K32" s="192">
        <f t="array" ref="K32">iferror(AVERAGE(
IFERROR(INDEX('INPUT SUMATIF'!$A:$CH,MATCH($D32,'INPUT SUMATIF'!$D:$D,0),MATCH($K$2,'INPUT SUMATIF'!$A$2:$CH$2,0)),""),
IFERROR(INDEX('INPUT SUMATIF'!$A:$CH,MATCH($D32,'INPUT SUMATIF'!$D:$D,0),MATCH($L$2,'INPUT SUMATIF'!$A$2:$CH$2,0)),"")
),"")</f>
        <v>80.5</v>
      </c>
      <c r="L32" s="180" t="s">
        <v>219</v>
      </c>
      <c r="M32" s="196">
        <f t="array" ref="M32">iferror(AVERAGE(
IFERROR(INDEX('INPUT SUMATIF'!$A:$CH,MATCH($D32,'INPUT SUMATIF'!$D:$D,0),MATCH($M$2,'INPUT SUMATIF'!$A$2:$CH$2,0)),""),
IFERROR(INDEX('INPUT SUMATIF'!$A:$CH,MATCH($D32,'INPUT SUMATIF'!$D:$D,0),MATCH($N$2,'INPUT SUMATIF'!$A$2:$CH$2,0)),"")
),"")</f>
        <v>81.25</v>
      </c>
      <c r="N32" s="201" t="s">
        <v>221</v>
      </c>
      <c r="O32" s="206">
        <f t="array" ref="O32">iferror(AVERAGE(
IFERROR(INDEX('INPUT SUMATIF'!$A:$CH,MATCH($D32,'INPUT SUMATIF'!$D:$D,0),MATCH($O$2,'INPUT SUMATIF'!$A$2:$CH$2,0)),""),
IFERROR(INDEX('INPUT SUMATIF'!$A:$CH,MATCH($D32,'INPUT SUMATIF'!$D:$D,0),MATCH($P$2,'INPUT SUMATIF'!$A$2:$CH$2,0)),"")
),"")</f>
        <v>80</v>
      </c>
      <c r="P32" s="180" t="s">
        <v>222</v>
      </c>
      <c r="Q32" s="210">
        <f t="array" ref="Q32">iferror(AVERAGE(
IFERROR(INDEX('INPUT SUMATIF'!$A:$CH,MATCH($D32,'INPUT SUMATIF'!$D:$D,0),MATCH($Q$2,'INPUT SUMATIF'!$A$2:$CH$2,0)),""),
IFERROR(INDEX('INPUT SUMATIF'!$A:$CH,MATCH($D32,'INPUT SUMATIF'!$D:$D,0),MATCH($R$2,'INPUT SUMATIF'!$A$2:$CH$2,0)),"")
),"")</f>
        <v>90</v>
      </c>
      <c r="R32" s="180" t="s">
        <v>229</v>
      </c>
      <c r="S32" s="215">
        <f t="array" ref="S32">iferror(AVERAGE(
IFERROR(INDEX('INPUT SUMATIF'!$A:$CH,MATCH($D32,'INPUT SUMATIF'!$D:$D,0),MATCH($S$2,'INPUT SUMATIF'!$A$2:$CH$2,0)),""),
IFERROR(INDEX('INPUT SUMATIF'!$A:$CH,MATCH($D32,'INPUT SUMATIF'!$D:$D,0),MATCH($T$2,'INPUT SUMATIF'!$A$2:$CH$2,0)),"")
),"")</f>
        <v>80</v>
      </c>
      <c r="T32" s="180" t="s">
        <v>233</v>
      </c>
      <c r="U32" s="221">
        <f t="array" ref="U32">iferror(AVERAGE(
IFERROR(INDEX('INPUT SUMATIF'!$A:$CH,MATCH($D32,'INPUT SUMATIF'!$D:$D,0),MATCH($U$2,'INPUT SUMATIF'!$A$2:$CH$2,0)),""),
IFERROR(INDEX('INPUT SUMATIF'!$A:$CH,MATCH($D32,'INPUT SUMATIF'!$D:$D,0),MATCH($V$2,'INPUT SUMATIF'!$A$2:$CH$2,0)),"")
),"")</f>
        <v>72</v>
      </c>
      <c r="V32" s="180" t="s">
        <v>234</v>
      </c>
      <c r="W32" s="175">
        <f t="array" ref="W32">iferror(AVERAGE(
IFERROR(INDEX('INPUT SUMATIF'!$A:$CH,MATCH($D32,'INPUT SUMATIF'!$D:$D,0),MATCH($W$2,'INPUT SUMATIF'!$A$2:$CH$2,0)),""),
IFERROR(INDEX('INPUT SUMATIF'!$A:$CH,MATCH($D32,'INPUT SUMATIF'!$D:$D,0),MATCH($X$2,'INPUT SUMATIF'!$A$2:$CH$2,0)),"")
),"")</f>
        <v>75</v>
      </c>
      <c r="X32" s="224" t="s">
        <v>235</v>
      </c>
      <c r="Y32" s="227">
        <f t="array" ref="Y32">iferror(AVERAGE(
IFERROR(INDEX('INPUT SUMATIF'!$A:$CH,MATCH($D32,'INPUT SUMATIF'!$D:$D,0),MATCH($Y$2,'INPUT SUMATIF'!$A$2:$CH$2,0)),""),
IFERROR(INDEX('INPUT SUMATIF'!$A:$CH,MATCH($D32,'INPUT SUMATIF'!$D:$D,0),MATCH($Z$2,'INPUT SUMATIF'!$A$2:$CH$2,0)),"")
),"")</f>
        <v>80</v>
      </c>
      <c r="Z32" s="228" t="s">
        <v>236</v>
      </c>
      <c r="AA32" s="227">
        <f t="array" ref="AA32">iferror(AVERAGE(
IFERROR(INDEX('INPUT SUMATIF'!$A:$CH,MATCH($D32,'INPUT SUMATIF'!$D:$D,0),MATCH($AA$2,'INPUT SUMATIF'!$A$2:$CH$2,0)),""),
IFERROR(INDEX('INPUT SUMATIF'!$A:$CH,MATCH($D32,'INPUT SUMATIF'!$D:$D,0),MATCH($AB$2,'INPUT SUMATIF'!$A$2:$CH$2,0)),"")
),"")</f>
        <v>82.33333333</v>
      </c>
      <c r="AB32" s="180" t="s">
        <v>237</v>
      </c>
      <c r="AC32" s="227">
        <f t="array" ref="AC32">iferror(AVERAGE(
IFERROR(INDEX('INPUT SUMATIF'!$A:$CH,MATCH($D32,'INPUT SUMATIF'!$D:$D,0),MATCH($AC$2,'INPUT SUMATIF'!$A$2:$CH$2,0)),""),
IFERROR(INDEX('INPUT SUMATIF'!$A:$CH,MATCH($D32,'INPUT SUMATIF'!$D:$D,0),MATCH($AD$2,'INPUT SUMATIF'!$A$2:$CH$2,0)),"")
),"")</f>
        <v>80.83333333</v>
      </c>
      <c r="AD32" s="180" t="s">
        <v>238</v>
      </c>
      <c r="AE32" s="227">
        <f t="array" ref="AE32">iferror(AVERAGE(
IFERROR(INDEX('INPUT SUMATIF'!$A:$CH,MATCH($D32,'INPUT SUMATIF'!$D:$D,0),MATCH($AE$2,'INPUT SUMATIF'!$A$2:$CH$2,0)),""),
IFERROR(INDEX('INPUT SUMATIF'!$A:$CH,MATCH($D32,'INPUT SUMATIF'!$D:$D,0),MATCH($AF$2,'INPUT SUMATIF'!$A$2:$CH$2,0)),"")
),"")</f>
        <v>77.66666667</v>
      </c>
      <c r="AF32" s="180" t="s">
        <v>239</v>
      </c>
      <c r="AG32" s="237" t="str">
        <f t="array" ref="AG32">iferror(AVERAGE(
IFERROR(INDEX('INPUT SUMATIF'!$A:$CH,MATCH($D32,'INPUT SUMATIF'!$D:$D,0),MATCH($AG$2,'INPUT SUMATIF'!$A$2:$CH$2,0)),""),
IFERROR(INDEX('INPUT SUMATIF'!$A:$CH,MATCH($D32,'INPUT SUMATIF'!$D:$D,0),MATCH($AH$2,'INPUT SUMATIF'!$A$2:$CH$2,0)),"")
),"")</f>
        <v/>
      </c>
      <c r="AH32" s="180"/>
      <c r="AI32" s="237" t="str">
        <f t="array" ref="AI32">iferror(AVERAGE(
IFERROR(INDEX('INPUT SUMATIF'!$A:$CH,MATCH($D32,'INPUT SUMATIF'!$D:$D,0),MATCH($AI$2,'INPUT SUMATIF'!$A$2:$CH$2,0)),""),
IFERROR(INDEX('INPUT SUMATIF'!$A:$CH,MATCH($D32,'INPUT SUMATIF'!$D:$D,0),MATCH($AJ$2,'INPUT SUMATIF'!$A$2:$CH$2,0)),"")
),"")</f>
        <v/>
      </c>
      <c r="AJ32" s="180"/>
      <c r="AK32" s="186" t="str">
        <f t="array" ref="AK32">iferror(AVERAGE(
IFERROR(INDEX('INPUT SUMATIF'!$A:$CH,MATCH($D32,'INPUT SUMATIF'!$D:$D,0),MATCH($AK$2,'INPUT SUMATIF'!$A$2:$CH$2,0)),""),
IFERROR(INDEX('INPUT SUMATIF'!$A:$CH,MATCH($D32,'INPUT SUMATIF'!$D:$D,0),MATCH($AL$2,'INPUT SUMATIF'!$A$2:$CH$2,0)),"")
),"")</f>
        <v/>
      </c>
      <c r="AL32" s="244"/>
      <c r="AM32" s="253" t="s">
        <v>277</v>
      </c>
      <c r="AN32" s="255"/>
      <c r="AO32" s="253"/>
      <c r="AP32" s="253"/>
      <c r="AQ32" s="260"/>
      <c r="AR32" s="263"/>
      <c r="AS32" s="265"/>
      <c r="AT32" s="265"/>
      <c r="AU32" s="265"/>
      <c r="AV32" s="265"/>
      <c r="AW32" s="265"/>
      <c r="AX32" s="265" t="s">
        <v>213</v>
      </c>
      <c r="AY32" s="265" t="s">
        <v>213</v>
      </c>
      <c r="AZ32" s="265" t="s">
        <v>213</v>
      </c>
      <c r="BA32" s="267" t="s">
        <v>241</v>
      </c>
      <c r="BB32" s="268" t="s">
        <v>248</v>
      </c>
    </row>
    <row r="33" ht="15.75" customHeight="1">
      <c r="A33" s="270">
        <f>IFERROR(__xludf.DUMMYFUNCTION("""COMPUTED_VALUE"""),30.0)</f>
        <v>30</v>
      </c>
      <c r="B33" s="270" t="str">
        <f>IFERROR(__xludf.DUMMYFUNCTION("""COMPUTED_VALUE"""),"2526100443")</f>
        <v>2526100443</v>
      </c>
      <c r="C33" s="270" t="str">
        <f>IFERROR(__xludf.DUMMYFUNCTION("""COMPUTED_VALUE"""),"0092995954")</f>
        <v>0092995954</v>
      </c>
      <c r="D33" s="274" t="str">
        <f>IFERROR(__xludf.DUMMYFUNCTION("""COMPUTED_VALUE"""),"MUHAMMAD ILHAM")</f>
        <v>MUHAMMAD ILHAM</v>
      </c>
      <c r="E33" s="277" t="str">
        <f>IFERROR(__xludf.DUMMYFUNCTION("""COMPUTED_VALUE"""),"X TO 4")</f>
        <v>X TO 4</v>
      </c>
      <c r="F33" s="277" t="s">
        <v>220</v>
      </c>
      <c r="G33" s="175">
        <f t="array" ref="G33">IFERROR(AVERAGE(
IFERROR(INDEX('INPUT SUMATIF'!$A:$CH,MATCH($D33,'INPUT SUMATIF'!$D:$D,0),MATCH($G$2,'INPUT SUMATIF'!$A$2:$CH$2,0)),""),
IFERROR(INDEX('INPUT SUMATIF'!$A:$CH,MATCH($D33,'INPUT SUMATIF'!$D:$D,0),MATCH($H$2,'INPUT SUMATIF'!$A$2:$CH$2,0)),"")
),"")</f>
        <v>80.25</v>
      </c>
      <c r="H33" s="180" t="s">
        <v>215</v>
      </c>
      <c r="I33" s="186">
        <f t="array" ref="I33">iferror(AVERAGE(
IFERROR(INDEX('INPUT SUMATIF'!$A:$CH,MATCH($D33,'INPUT SUMATIF'!$D:$D,0),MATCH($I$2,'INPUT SUMATIF'!$A$2:$CH$2,0)),""),
IFERROR(INDEX('INPUT SUMATIF'!$A:$CH,MATCH($D33,'INPUT SUMATIF'!$D:$D,0),MATCH($J$2,'INPUT SUMATIF'!$A$2:$CH$2,0)),"")
),"")</f>
        <v>82.25</v>
      </c>
      <c r="J33" s="180" t="s">
        <v>463</v>
      </c>
      <c r="K33" s="192">
        <f t="array" ref="K33">iferror(AVERAGE(
IFERROR(INDEX('INPUT SUMATIF'!$A:$CH,MATCH($D33,'INPUT SUMATIF'!$D:$D,0),MATCH($K$2,'INPUT SUMATIF'!$A$2:$CH$2,0)),""),
IFERROR(INDEX('INPUT SUMATIF'!$A:$CH,MATCH($D33,'INPUT SUMATIF'!$D:$D,0),MATCH($L$2,'INPUT SUMATIF'!$A$2:$CH$2,0)),"")
),"")</f>
        <v>79.66666667</v>
      </c>
      <c r="L33" s="180" t="s">
        <v>219</v>
      </c>
      <c r="M33" s="196">
        <f t="array" ref="M33">iferror(AVERAGE(
IFERROR(INDEX('INPUT SUMATIF'!$A:$CH,MATCH($D33,'INPUT SUMATIF'!$D:$D,0),MATCH($M$2,'INPUT SUMATIF'!$A$2:$CH$2,0)),""),
IFERROR(INDEX('INPUT SUMATIF'!$A:$CH,MATCH($D33,'INPUT SUMATIF'!$D:$D,0),MATCH($N$2,'INPUT SUMATIF'!$A$2:$CH$2,0)),"")
),"")</f>
        <v>82.75</v>
      </c>
      <c r="N33" s="201" t="s">
        <v>221</v>
      </c>
      <c r="O33" s="206">
        <f t="array" ref="O33">iferror(AVERAGE(
IFERROR(INDEX('INPUT SUMATIF'!$A:$CH,MATCH($D33,'INPUT SUMATIF'!$D:$D,0),MATCH($O$2,'INPUT SUMATIF'!$A$2:$CH$2,0)),""),
IFERROR(INDEX('INPUT SUMATIF'!$A:$CH,MATCH($D33,'INPUT SUMATIF'!$D:$D,0),MATCH($P$2,'INPUT SUMATIF'!$A$2:$CH$2,0)),"")
),"")</f>
        <v>67</v>
      </c>
      <c r="P33" s="180" t="s">
        <v>222</v>
      </c>
      <c r="Q33" s="210">
        <f t="array" ref="Q33">iferror(AVERAGE(
IFERROR(INDEX('INPUT SUMATIF'!$A:$CH,MATCH($D33,'INPUT SUMATIF'!$D:$D,0),MATCH($Q$2,'INPUT SUMATIF'!$A$2:$CH$2,0)),""),
IFERROR(INDEX('INPUT SUMATIF'!$A:$CH,MATCH($D33,'INPUT SUMATIF'!$D:$D,0),MATCH($R$2,'INPUT SUMATIF'!$A$2:$CH$2,0)),"")
),"")</f>
        <v>89.83333333</v>
      </c>
      <c r="R33" s="180" t="s">
        <v>229</v>
      </c>
      <c r="S33" s="215">
        <f t="array" ref="S33">iferror(AVERAGE(
IFERROR(INDEX('INPUT SUMATIF'!$A:$CH,MATCH($D33,'INPUT SUMATIF'!$D:$D,0),MATCH($S$2,'INPUT SUMATIF'!$A$2:$CH$2,0)),""),
IFERROR(INDEX('INPUT SUMATIF'!$A:$CH,MATCH($D33,'INPUT SUMATIF'!$D:$D,0),MATCH($T$2,'INPUT SUMATIF'!$A$2:$CH$2,0)),"")
),"")</f>
        <v>21.66666667</v>
      </c>
      <c r="T33" s="180" t="s">
        <v>233</v>
      </c>
      <c r="U33" s="221">
        <f t="array" ref="U33">iferror(AVERAGE(
IFERROR(INDEX('INPUT SUMATIF'!$A:$CH,MATCH($D33,'INPUT SUMATIF'!$D:$D,0),MATCH($U$2,'INPUT SUMATIF'!$A$2:$CH$2,0)),""),
IFERROR(INDEX('INPUT SUMATIF'!$A:$CH,MATCH($D33,'INPUT SUMATIF'!$D:$D,0),MATCH($V$2,'INPUT SUMATIF'!$A$2:$CH$2,0)),"")
),"")</f>
        <v>72</v>
      </c>
      <c r="V33" s="180" t="s">
        <v>234</v>
      </c>
      <c r="W33" s="175">
        <f t="array" ref="W33">iferror(AVERAGE(
IFERROR(INDEX('INPUT SUMATIF'!$A:$CH,MATCH($D33,'INPUT SUMATIF'!$D:$D,0),MATCH($W$2,'INPUT SUMATIF'!$A$2:$CH$2,0)),""),
IFERROR(INDEX('INPUT SUMATIF'!$A:$CH,MATCH($D33,'INPUT SUMATIF'!$D:$D,0),MATCH($X$2,'INPUT SUMATIF'!$A$2:$CH$2,0)),"")
),"")</f>
        <v>72</v>
      </c>
      <c r="X33" s="224" t="s">
        <v>235</v>
      </c>
      <c r="Y33" s="227">
        <f t="array" ref="Y33">iferror(AVERAGE(
IFERROR(INDEX('INPUT SUMATIF'!$A:$CH,MATCH($D33,'INPUT SUMATIF'!$D:$D,0),MATCH($Y$2,'INPUT SUMATIF'!$A$2:$CH$2,0)),""),
IFERROR(INDEX('INPUT SUMATIF'!$A:$CH,MATCH($D33,'INPUT SUMATIF'!$D:$D,0),MATCH($Z$2,'INPUT SUMATIF'!$A$2:$CH$2,0)),"")
),"")</f>
        <v>80</v>
      </c>
      <c r="Z33" s="228" t="s">
        <v>236</v>
      </c>
      <c r="AA33" s="227">
        <f t="array" ref="AA33">iferror(AVERAGE(
IFERROR(INDEX('INPUT SUMATIF'!$A:$CH,MATCH($D33,'INPUT SUMATIF'!$D:$D,0),MATCH($AA$2,'INPUT SUMATIF'!$A$2:$CH$2,0)),""),
IFERROR(INDEX('INPUT SUMATIF'!$A:$CH,MATCH($D33,'INPUT SUMATIF'!$D:$D,0),MATCH($AB$2,'INPUT SUMATIF'!$A$2:$CH$2,0)),"")
),"")</f>
        <v>54.16666667</v>
      </c>
      <c r="AB33" s="180" t="s">
        <v>237</v>
      </c>
      <c r="AC33" s="227">
        <f t="array" ref="AC33">iferror(AVERAGE(
IFERROR(INDEX('INPUT SUMATIF'!$A:$CH,MATCH($D33,'INPUT SUMATIF'!$D:$D,0),MATCH($AC$2,'INPUT SUMATIF'!$A$2:$CH$2,0)),""),
IFERROR(INDEX('INPUT SUMATIF'!$A:$CH,MATCH($D33,'INPUT SUMATIF'!$D:$D,0),MATCH($AD$2,'INPUT SUMATIF'!$A$2:$CH$2,0)),"")
),"")</f>
        <v>80.5</v>
      </c>
      <c r="AD33" s="180" t="s">
        <v>238</v>
      </c>
      <c r="AE33" s="227">
        <f t="array" ref="AE33">iferror(AVERAGE(
IFERROR(INDEX('INPUT SUMATIF'!$A:$CH,MATCH($D33,'INPUT SUMATIF'!$D:$D,0),MATCH($AE$2,'INPUT SUMATIF'!$A$2:$CH$2,0)),""),
IFERROR(INDEX('INPUT SUMATIF'!$A:$CH,MATCH($D33,'INPUT SUMATIF'!$D:$D,0),MATCH($AF$2,'INPUT SUMATIF'!$A$2:$CH$2,0)),"")
),"")</f>
        <v>79.33333333</v>
      </c>
      <c r="AF33" s="289" t="s">
        <v>239</v>
      </c>
      <c r="AG33" s="237" t="str">
        <f t="array" ref="AG33">iferror(AVERAGE(
IFERROR(INDEX('INPUT SUMATIF'!$A:$CH,MATCH($D33,'INPUT SUMATIF'!$D:$D,0),MATCH($AG$2,'INPUT SUMATIF'!$A$2:$CH$2,0)),""),
IFERROR(INDEX('INPUT SUMATIF'!$A:$CH,MATCH($D33,'INPUT SUMATIF'!$D:$D,0),MATCH($AH$2,'INPUT SUMATIF'!$A$2:$CH$2,0)),"")
),"")</f>
        <v/>
      </c>
      <c r="AH33" s="289"/>
      <c r="AI33" s="237" t="str">
        <f t="array" ref="AI33">iferror(AVERAGE(
IFERROR(INDEX('INPUT SUMATIF'!$A:$CH,MATCH($D33,'INPUT SUMATIF'!$D:$D,0),MATCH($AI$2,'INPUT SUMATIF'!$A$2:$CH$2,0)),""),
IFERROR(INDEX('INPUT SUMATIF'!$A:$CH,MATCH($D33,'INPUT SUMATIF'!$D:$D,0),MATCH($AJ$2,'INPUT SUMATIF'!$A$2:$CH$2,0)),"")
),"")</f>
        <v/>
      </c>
      <c r="AJ33" s="289"/>
      <c r="AK33" s="186" t="str">
        <f t="array" ref="AK33">iferror(AVERAGE(
IFERROR(INDEX('INPUT SUMATIF'!$A:$CH,MATCH($D33,'INPUT SUMATIF'!$D:$D,0),MATCH($AK$2,'INPUT SUMATIF'!$A$2:$CH$2,0)),""),
IFERROR(INDEX('INPUT SUMATIF'!$A:$CH,MATCH($D33,'INPUT SUMATIF'!$D:$D,0),MATCH($AL$2,'INPUT SUMATIF'!$A$2:$CH$2,0)),"")
),"")</f>
        <v/>
      </c>
      <c r="AL33" s="292"/>
      <c r="AM33" s="293" t="s">
        <v>245</v>
      </c>
      <c r="AN33" s="294"/>
      <c r="AO33" s="293"/>
      <c r="AP33" s="293"/>
      <c r="AQ33" s="296"/>
      <c r="AR33" s="298"/>
      <c r="AS33" s="267"/>
      <c r="AT33" s="267"/>
      <c r="AU33" s="267"/>
      <c r="AV33" s="267"/>
      <c r="AW33" s="267"/>
      <c r="AX33" s="267" t="s">
        <v>150</v>
      </c>
      <c r="AY33" s="267" t="s">
        <v>213</v>
      </c>
      <c r="AZ33" s="267" t="s">
        <v>213</v>
      </c>
      <c r="BA33" s="267" t="s">
        <v>241</v>
      </c>
      <c r="BB33" s="302" t="s">
        <v>248</v>
      </c>
    </row>
    <row r="34" ht="15.75" customHeight="1">
      <c r="A34" s="159">
        <f>IFERROR(__xludf.DUMMYFUNCTION("""COMPUTED_VALUE"""),31.0)</f>
        <v>31</v>
      </c>
      <c r="B34" s="159" t="str">
        <f>IFERROR(__xludf.DUMMYFUNCTION("""COMPUTED_VALUE"""),"2526100444")</f>
        <v>2526100444</v>
      </c>
      <c r="C34" s="159" t="str">
        <f>IFERROR(__xludf.DUMMYFUNCTION("""COMPUTED_VALUE"""),"0091433917")</f>
        <v>0091433917</v>
      </c>
      <c r="D34" s="164" t="str">
        <f>IFERROR(__xludf.DUMMYFUNCTION("""COMPUTED_VALUE"""),"M. IRPAN SAEPUL IBRAHIM ")</f>
        <v>M. IRPAN SAEPUL IBRAHIM </v>
      </c>
      <c r="E34" s="165" t="str">
        <f>IFERROR(__xludf.DUMMYFUNCTION("""COMPUTED_VALUE"""),"X TO 4")</f>
        <v>X TO 4</v>
      </c>
      <c r="F34" s="165" t="s">
        <v>220</v>
      </c>
      <c r="G34" s="175">
        <f t="array" ref="G34">IFERROR(AVERAGE(
IFERROR(INDEX('INPUT SUMATIF'!$A:$CH,MATCH($D34,'INPUT SUMATIF'!$D:$D,0),MATCH($G$2,'INPUT SUMATIF'!$A$2:$CH$2,0)),""),
IFERROR(INDEX('INPUT SUMATIF'!$A:$CH,MATCH($D34,'INPUT SUMATIF'!$D:$D,0),MATCH($H$2,'INPUT SUMATIF'!$A$2:$CH$2,0)),"")
),"")</f>
        <v>76.5</v>
      </c>
      <c r="H34" s="180" t="s">
        <v>215</v>
      </c>
      <c r="I34" s="186" t="str">
        <f t="array" ref="I34">iferror(AVERAGE(
IFERROR(INDEX('INPUT SUMATIF'!$A:$CH,MATCH($D34,'INPUT SUMATIF'!$D:$D,0),MATCH($I$2,'INPUT SUMATIF'!$A$2:$CH$2,0)),""),
IFERROR(INDEX('INPUT SUMATIF'!$A:$CH,MATCH($D34,'INPUT SUMATIF'!$D:$D,0),MATCH($J$2,'INPUT SUMATIF'!$A$2:$CH$2,0)),"")
),"")</f>
        <v/>
      </c>
      <c r="J34" s="180" t="s">
        <v>464</v>
      </c>
      <c r="K34" s="192">
        <f t="array" ref="K34">iferror(AVERAGE(
IFERROR(INDEX('INPUT SUMATIF'!$A:$CH,MATCH($D34,'INPUT SUMATIF'!$D:$D,0),MATCH($K$2,'INPUT SUMATIF'!$A$2:$CH$2,0)),""),
IFERROR(INDEX('INPUT SUMATIF'!$A:$CH,MATCH($D34,'INPUT SUMATIF'!$D:$D,0),MATCH($L$2,'INPUT SUMATIF'!$A$2:$CH$2,0)),"")
),"")</f>
        <v>34.16666667</v>
      </c>
      <c r="L34" s="180" t="s">
        <v>219</v>
      </c>
      <c r="M34" s="196">
        <f t="array" ref="M34">iferror(AVERAGE(
IFERROR(INDEX('INPUT SUMATIF'!$A:$CH,MATCH($D34,'INPUT SUMATIF'!$D:$D,0),MATCH($M$2,'INPUT SUMATIF'!$A$2:$CH$2,0)),""),
IFERROR(INDEX('INPUT SUMATIF'!$A:$CH,MATCH($D34,'INPUT SUMATIF'!$D:$D,0),MATCH($N$2,'INPUT SUMATIF'!$A$2:$CH$2,0)),"")
),"")</f>
        <v>77.5</v>
      </c>
      <c r="N34" s="201" t="s">
        <v>221</v>
      </c>
      <c r="O34" s="206">
        <f t="array" ref="O34">iferror(AVERAGE(
IFERROR(INDEX('INPUT SUMATIF'!$A:$CH,MATCH($D34,'INPUT SUMATIF'!$D:$D,0),MATCH($O$2,'INPUT SUMATIF'!$A$2:$CH$2,0)),""),
IFERROR(INDEX('INPUT SUMATIF'!$A:$CH,MATCH($D34,'INPUT SUMATIF'!$D:$D,0),MATCH($P$2,'INPUT SUMATIF'!$A$2:$CH$2,0)),"")
),"")</f>
        <v>72</v>
      </c>
      <c r="P34" s="180" t="s">
        <v>222</v>
      </c>
      <c r="Q34" s="210">
        <f t="array" ref="Q34">iferror(AVERAGE(
IFERROR(INDEX('INPUT SUMATIF'!$A:$CH,MATCH($D34,'INPUT SUMATIF'!$D:$D,0),MATCH($Q$2,'INPUT SUMATIF'!$A$2:$CH$2,0)),""),
IFERROR(INDEX('INPUT SUMATIF'!$A:$CH,MATCH($D34,'INPUT SUMATIF'!$D:$D,0),MATCH($R$2,'INPUT SUMATIF'!$A$2:$CH$2,0)),"")
),"")</f>
        <v>90</v>
      </c>
      <c r="R34" s="180" t="s">
        <v>229</v>
      </c>
      <c r="S34" s="215">
        <f t="array" ref="S34">iferror(AVERAGE(
IFERROR(INDEX('INPUT SUMATIF'!$A:$CH,MATCH($D34,'INPUT SUMATIF'!$D:$D,0),MATCH($S$2,'INPUT SUMATIF'!$A$2:$CH$2,0)),""),
IFERROR(INDEX('INPUT SUMATIF'!$A:$CH,MATCH($D34,'INPUT SUMATIF'!$D:$D,0),MATCH($T$2,'INPUT SUMATIF'!$A$2:$CH$2,0)),"")
),"")</f>
        <v>71.33333333</v>
      </c>
      <c r="T34" s="180" t="s">
        <v>233</v>
      </c>
      <c r="U34" s="221">
        <f t="array" ref="U34">iferror(AVERAGE(
IFERROR(INDEX('INPUT SUMATIF'!$A:$CH,MATCH($D34,'INPUT SUMATIF'!$D:$D,0),MATCH($U$2,'INPUT SUMATIF'!$A$2:$CH$2,0)),""),
IFERROR(INDEX('INPUT SUMATIF'!$A:$CH,MATCH($D34,'INPUT SUMATIF'!$D:$D,0),MATCH($V$2,'INPUT SUMATIF'!$A$2:$CH$2,0)),"")
),"")</f>
        <v>72</v>
      </c>
      <c r="V34" s="180" t="s">
        <v>234</v>
      </c>
      <c r="W34" s="175">
        <f t="array" ref="W34">iferror(AVERAGE(
IFERROR(INDEX('INPUT SUMATIF'!$A:$CH,MATCH($D34,'INPUT SUMATIF'!$D:$D,0),MATCH($W$2,'INPUT SUMATIF'!$A$2:$CH$2,0)),""),
IFERROR(INDEX('INPUT SUMATIF'!$A:$CH,MATCH($D34,'INPUT SUMATIF'!$D:$D,0),MATCH($X$2,'INPUT SUMATIF'!$A$2:$CH$2,0)),"")
),"")</f>
        <v>73.66666667</v>
      </c>
      <c r="X34" s="224" t="s">
        <v>235</v>
      </c>
      <c r="Y34" s="227">
        <f t="array" ref="Y34">iferror(AVERAGE(
IFERROR(INDEX('INPUT SUMATIF'!$A:$CH,MATCH($D34,'INPUT SUMATIF'!$D:$D,0),MATCH($Y$2,'INPUT SUMATIF'!$A$2:$CH$2,0)),""),
IFERROR(INDEX('INPUT SUMATIF'!$A:$CH,MATCH($D34,'INPUT SUMATIF'!$D:$D,0),MATCH($Z$2,'INPUT SUMATIF'!$A$2:$CH$2,0)),"")
),"")</f>
        <v>80</v>
      </c>
      <c r="Z34" s="228" t="s">
        <v>236</v>
      </c>
      <c r="AA34" s="227">
        <f t="array" ref="AA34">iferror(AVERAGE(
IFERROR(INDEX('INPUT SUMATIF'!$A:$CH,MATCH($D34,'INPUT SUMATIF'!$D:$D,0),MATCH($AA$2,'INPUT SUMATIF'!$A$2:$CH$2,0)),""),
IFERROR(INDEX('INPUT SUMATIF'!$A:$CH,MATCH($D34,'INPUT SUMATIF'!$D:$D,0),MATCH($AB$2,'INPUT SUMATIF'!$A$2:$CH$2,0)),"")
),"")</f>
        <v>53.33333333</v>
      </c>
      <c r="AB34" s="180" t="s">
        <v>237</v>
      </c>
      <c r="AC34" s="227">
        <f t="array" ref="AC34">iferror(AVERAGE(
IFERROR(INDEX('INPUT SUMATIF'!$A:$CH,MATCH($D34,'INPUT SUMATIF'!$D:$D,0),MATCH($AC$2,'INPUT SUMATIF'!$A$2:$CH$2,0)),""),
IFERROR(INDEX('INPUT SUMATIF'!$A:$CH,MATCH($D34,'INPUT SUMATIF'!$D:$D,0),MATCH($AD$2,'INPUT SUMATIF'!$A$2:$CH$2,0)),"")
),"")</f>
        <v>80</v>
      </c>
      <c r="AD34" s="180" t="s">
        <v>238</v>
      </c>
      <c r="AE34" s="227">
        <f t="array" ref="AE34">iferror(AVERAGE(
IFERROR(INDEX('INPUT SUMATIF'!$A:$CH,MATCH($D34,'INPUT SUMATIF'!$D:$D,0),MATCH($AE$2,'INPUT SUMATIF'!$A$2:$CH$2,0)),""),
IFERROR(INDEX('INPUT SUMATIF'!$A:$CH,MATCH($D34,'INPUT SUMATIF'!$D:$D,0),MATCH($AF$2,'INPUT SUMATIF'!$A$2:$CH$2,0)),"")
),"")</f>
        <v>77.33333333</v>
      </c>
      <c r="AF34" s="180" t="s">
        <v>239</v>
      </c>
      <c r="AG34" s="237" t="str">
        <f t="array" ref="AG34">iferror(AVERAGE(
IFERROR(INDEX('INPUT SUMATIF'!$A:$CH,MATCH($D34,'INPUT SUMATIF'!$D:$D,0),MATCH($AG$2,'INPUT SUMATIF'!$A$2:$CH$2,0)),""),
IFERROR(INDEX('INPUT SUMATIF'!$A:$CH,MATCH($D34,'INPUT SUMATIF'!$D:$D,0),MATCH($AH$2,'INPUT SUMATIF'!$A$2:$CH$2,0)),"")
),"")</f>
        <v/>
      </c>
      <c r="AH34" s="180"/>
      <c r="AI34" s="237" t="str">
        <f t="array" ref="AI34">iferror(AVERAGE(
IFERROR(INDEX('INPUT SUMATIF'!$A:$CH,MATCH($D34,'INPUT SUMATIF'!$D:$D,0),MATCH($AI$2,'INPUT SUMATIF'!$A$2:$CH$2,0)),""),
IFERROR(INDEX('INPUT SUMATIF'!$A:$CH,MATCH($D34,'INPUT SUMATIF'!$D:$D,0),MATCH($AJ$2,'INPUT SUMATIF'!$A$2:$CH$2,0)),"")
),"")</f>
        <v/>
      </c>
      <c r="AJ34" s="180"/>
      <c r="AK34" s="186" t="str">
        <f t="array" ref="AK34">iferror(AVERAGE(
IFERROR(INDEX('INPUT SUMATIF'!$A:$CH,MATCH($D34,'INPUT SUMATIF'!$D:$D,0),MATCH($AK$2,'INPUT SUMATIF'!$A$2:$CH$2,0)),""),
IFERROR(INDEX('INPUT SUMATIF'!$A:$CH,MATCH($D34,'INPUT SUMATIF'!$D:$D,0),MATCH($AL$2,'INPUT SUMATIF'!$A$2:$CH$2,0)),"")
),"")</f>
        <v/>
      </c>
      <c r="AL34" s="244"/>
      <c r="AM34" s="293" t="s">
        <v>245</v>
      </c>
      <c r="AN34" s="255"/>
      <c r="AO34" s="253"/>
      <c r="AP34" s="253"/>
      <c r="AQ34" s="260"/>
      <c r="AR34" s="263"/>
      <c r="AS34" s="265"/>
      <c r="AT34" s="265"/>
      <c r="AU34" s="265"/>
      <c r="AV34" s="265"/>
      <c r="AW34" s="265"/>
      <c r="AX34" s="265" t="s">
        <v>162</v>
      </c>
      <c r="AY34" s="265" t="s">
        <v>213</v>
      </c>
      <c r="AZ34" s="265" t="s">
        <v>143</v>
      </c>
      <c r="BA34" s="267" t="s">
        <v>241</v>
      </c>
      <c r="BB34" s="268" t="s">
        <v>248</v>
      </c>
    </row>
    <row r="35" ht="15.75" customHeight="1">
      <c r="A35" s="270">
        <f>IFERROR(__xludf.DUMMYFUNCTION("""COMPUTED_VALUE"""),32.0)</f>
        <v>32</v>
      </c>
      <c r="B35" s="270" t="str">
        <f>IFERROR(__xludf.DUMMYFUNCTION("""COMPUTED_VALUE"""),"2526100445")</f>
        <v>2526100445</v>
      </c>
      <c r="C35" s="270" t="str">
        <f>IFERROR(__xludf.DUMMYFUNCTION("""COMPUTED_VALUE"""),"0093505472")</f>
        <v>0093505472</v>
      </c>
      <c r="D35" s="274" t="str">
        <f>IFERROR(__xludf.DUMMYFUNCTION("""COMPUTED_VALUE"""),"MUHAMMAD NAZIL SIBTHURRIDHO")</f>
        <v>MUHAMMAD NAZIL SIBTHURRIDHO</v>
      </c>
      <c r="E35" s="277" t="str">
        <f>IFERROR(__xludf.DUMMYFUNCTION("""COMPUTED_VALUE"""),"X TO 4")</f>
        <v>X TO 4</v>
      </c>
      <c r="F35" s="277" t="s">
        <v>220</v>
      </c>
      <c r="G35" s="175">
        <f t="array" ref="G35">IFERROR(AVERAGE(
IFERROR(INDEX('INPUT SUMATIF'!$A:$CH,MATCH($D35,'INPUT SUMATIF'!$D:$D,0),MATCH($G$2,'INPUT SUMATIF'!$A$2:$CH$2,0)),""),
IFERROR(INDEX('INPUT SUMATIF'!$A:$CH,MATCH($D35,'INPUT SUMATIF'!$D:$D,0),MATCH($H$2,'INPUT SUMATIF'!$A$2:$CH$2,0)),"")
),"")</f>
        <v>80.5</v>
      </c>
      <c r="H35" s="180" t="s">
        <v>215</v>
      </c>
      <c r="I35" s="186" t="str">
        <f t="array" ref="I35">iferror(AVERAGE(
IFERROR(INDEX('INPUT SUMATIF'!$A:$CH,MATCH($D35,'INPUT SUMATIF'!$D:$D,0),MATCH($I$2,'INPUT SUMATIF'!$A$2:$CH$2,0)),""),
IFERROR(INDEX('INPUT SUMATIF'!$A:$CH,MATCH($D35,'INPUT SUMATIF'!$D:$D,0),MATCH($J$2,'INPUT SUMATIF'!$A$2:$CH$2,0)),"")
),"")</f>
        <v/>
      </c>
      <c r="J35" s="180" t="s">
        <v>465</v>
      </c>
      <c r="K35" s="192">
        <f t="array" ref="K35">iferror(AVERAGE(
IFERROR(INDEX('INPUT SUMATIF'!$A:$CH,MATCH($D35,'INPUT SUMATIF'!$D:$D,0),MATCH($K$2,'INPUT SUMATIF'!$A$2:$CH$2,0)),""),
IFERROR(INDEX('INPUT SUMATIF'!$A:$CH,MATCH($D35,'INPUT SUMATIF'!$D:$D,0),MATCH($L$2,'INPUT SUMATIF'!$A$2:$CH$2,0)),"")
),"")</f>
        <v>73.66666667</v>
      </c>
      <c r="L35" s="180" t="s">
        <v>219</v>
      </c>
      <c r="M35" s="196">
        <f t="array" ref="M35">iferror(AVERAGE(
IFERROR(INDEX('INPUT SUMATIF'!$A:$CH,MATCH($D35,'INPUT SUMATIF'!$D:$D,0),MATCH($M$2,'INPUT SUMATIF'!$A$2:$CH$2,0)),""),
IFERROR(INDEX('INPUT SUMATIF'!$A:$CH,MATCH($D35,'INPUT SUMATIF'!$D:$D,0),MATCH($N$2,'INPUT SUMATIF'!$A$2:$CH$2,0)),"")
),"")</f>
        <v>88.5</v>
      </c>
      <c r="N35" s="201" t="s">
        <v>221</v>
      </c>
      <c r="O35" s="206">
        <f t="array" ref="O35">iferror(AVERAGE(
IFERROR(INDEX('INPUT SUMATIF'!$A:$CH,MATCH($D35,'INPUT SUMATIF'!$D:$D,0),MATCH($O$2,'INPUT SUMATIF'!$A$2:$CH$2,0)),""),
IFERROR(INDEX('INPUT SUMATIF'!$A:$CH,MATCH($D35,'INPUT SUMATIF'!$D:$D,0),MATCH($P$2,'INPUT SUMATIF'!$A$2:$CH$2,0)),"")
),"")</f>
        <v>47</v>
      </c>
      <c r="P35" s="180" t="s">
        <v>222</v>
      </c>
      <c r="Q35" s="210">
        <f t="array" ref="Q35">iferror(AVERAGE(
IFERROR(INDEX('INPUT SUMATIF'!$A:$CH,MATCH($D35,'INPUT SUMATIF'!$D:$D,0),MATCH($Q$2,'INPUT SUMATIF'!$A$2:$CH$2,0)),""),
IFERROR(INDEX('INPUT SUMATIF'!$A:$CH,MATCH($D35,'INPUT SUMATIF'!$D:$D,0),MATCH($R$2,'INPUT SUMATIF'!$A$2:$CH$2,0)),"")
),"")</f>
        <v>89.16666667</v>
      </c>
      <c r="R35" s="180" t="s">
        <v>229</v>
      </c>
      <c r="S35" s="215">
        <f t="array" ref="S35">iferror(AVERAGE(
IFERROR(INDEX('INPUT SUMATIF'!$A:$CH,MATCH($D35,'INPUT SUMATIF'!$D:$D,0),MATCH($S$2,'INPUT SUMATIF'!$A$2:$CH$2,0)),""),
IFERROR(INDEX('INPUT SUMATIF'!$A:$CH,MATCH($D35,'INPUT SUMATIF'!$D:$D,0),MATCH($T$2,'INPUT SUMATIF'!$A$2:$CH$2,0)),"")
),"")</f>
        <v>18.33333333</v>
      </c>
      <c r="T35" s="180" t="s">
        <v>233</v>
      </c>
      <c r="U35" s="221">
        <f t="array" ref="U35">iferror(AVERAGE(
IFERROR(INDEX('INPUT SUMATIF'!$A:$CH,MATCH($D35,'INPUT SUMATIF'!$D:$D,0),MATCH($U$2,'INPUT SUMATIF'!$A$2:$CH$2,0)),""),
IFERROR(INDEX('INPUT SUMATIF'!$A:$CH,MATCH($D35,'INPUT SUMATIF'!$D:$D,0),MATCH($V$2,'INPUT SUMATIF'!$A$2:$CH$2,0)),"")
),"")</f>
        <v>72</v>
      </c>
      <c r="V35" s="180" t="s">
        <v>234</v>
      </c>
      <c r="W35" s="175" t="str">
        <f t="array" ref="W35">iferror(AVERAGE(
IFERROR(INDEX('INPUT SUMATIF'!$A:$CH,MATCH($D35,'INPUT SUMATIF'!$D:$D,0),MATCH($W$2,'INPUT SUMATIF'!$A$2:$CH$2,0)),""),
IFERROR(INDEX('INPUT SUMATIF'!$A:$CH,MATCH($D35,'INPUT SUMATIF'!$D:$D,0),MATCH($X$2,'INPUT SUMATIF'!$A$2:$CH$2,0)),"")
),"")</f>
        <v/>
      </c>
      <c r="X35" s="224"/>
      <c r="Y35" s="227">
        <f t="array" ref="Y35">iferror(AVERAGE(
IFERROR(INDEX('INPUT SUMATIF'!$A:$CH,MATCH($D35,'INPUT SUMATIF'!$D:$D,0),MATCH($Y$2,'INPUT SUMATIF'!$A$2:$CH$2,0)),""),
IFERROR(INDEX('INPUT SUMATIF'!$A:$CH,MATCH($D35,'INPUT SUMATIF'!$D:$D,0),MATCH($Z$2,'INPUT SUMATIF'!$A$2:$CH$2,0)),"")
),"")</f>
        <v>80</v>
      </c>
      <c r="Z35" s="228" t="s">
        <v>236</v>
      </c>
      <c r="AA35" s="227">
        <f t="array" ref="AA35">iferror(AVERAGE(
IFERROR(INDEX('INPUT SUMATIF'!$A:$CH,MATCH($D35,'INPUT SUMATIF'!$D:$D,0),MATCH($AA$2,'INPUT SUMATIF'!$A$2:$CH$2,0)),""),
IFERROR(INDEX('INPUT SUMATIF'!$A:$CH,MATCH($D35,'INPUT SUMATIF'!$D:$D,0),MATCH($AB$2,'INPUT SUMATIF'!$A$2:$CH$2,0)),"")
),"")</f>
        <v>52.66666667</v>
      </c>
      <c r="AB35" s="180" t="s">
        <v>237</v>
      </c>
      <c r="AC35" s="227">
        <f t="array" ref="AC35">iferror(AVERAGE(
IFERROR(INDEX('INPUT SUMATIF'!$A:$CH,MATCH($D35,'INPUT SUMATIF'!$D:$D,0),MATCH($AC$2,'INPUT SUMATIF'!$A$2:$CH$2,0)),""),
IFERROR(INDEX('INPUT SUMATIF'!$A:$CH,MATCH($D35,'INPUT SUMATIF'!$D:$D,0),MATCH($AD$2,'INPUT SUMATIF'!$A$2:$CH$2,0)),"")
),"")</f>
        <v>78.33333333</v>
      </c>
      <c r="AD35" s="180" t="s">
        <v>238</v>
      </c>
      <c r="AE35" s="227">
        <f t="array" ref="AE35">iferror(AVERAGE(
IFERROR(INDEX('INPUT SUMATIF'!$A:$CH,MATCH($D35,'INPUT SUMATIF'!$D:$D,0),MATCH($AE$2,'INPUT SUMATIF'!$A$2:$CH$2,0)),""),
IFERROR(INDEX('INPUT SUMATIF'!$A:$CH,MATCH($D35,'INPUT SUMATIF'!$D:$D,0),MATCH($AF$2,'INPUT SUMATIF'!$A$2:$CH$2,0)),"")
),"")</f>
        <v>77.66666667</v>
      </c>
      <c r="AF35" s="289" t="s">
        <v>239</v>
      </c>
      <c r="AG35" s="237" t="str">
        <f t="array" ref="AG35">iferror(AVERAGE(
IFERROR(INDEX('INPUT SUMATIF'!$A:$CH,MATCH($D35,'INPUT SUMATIF'!$D:$D,0),MATCH($AG$2,'INPUT SUMATIF'!$A$2:$CH$2,0)),""),
IFERROR(INDEX('INPUT SUMATIF'!$A:$CH,MATCH($D35,'INPUT SUMATIF'!$D:$D,0),MATCH($AH$2,'INPUT SUMATIF'!$A$2:$CH$2,0)),"")
),"")</f>
        <v/>
      </c>
      <c r="AH35" s="289"/>
      <c r="AI35" s="237" t="str">
        <f t="array" ref="AI35">iferror(AVERAGE(
IFERROR(INDEX('INPUT SUMATIF'!$A:$CH,MATCH($D35,'INPUT SUMATIF'!$D:$D,0),MATCH($AI$2,'INPUT SUMATIF'!$A$2:$CH$2,0)),""),
IFERROR(INDEX('INPUT SUMATIF'!$A:$CH,MATCH($D35,'INPUT SUMATIF'!$D:$D,0),MATCH($AJ$2,'INPUT SUMATIF'!$A$2:$CH$2,0)),"")
),"")</f>
        <v/>
      </c>
      <c r="AJ35" s="289"/>
      <c r="AK35" s="186" t="str">
        <f t="array" ref="AK35">iferror(AVERAGE(
IFERROR(INDEX('INPUT SUMATIF'!$A:$CH,MATCH($D35,'INPUT SUMATIF'!$D:$D,0),MATCH($AK$2,'INPUT SUMATIF'!$A$2:$CH$2,0)),""),
IFERROR(INDEX('INPUT SUMATIF'!$A:$CH,MATCH($D35,'INPUT SUMATIF'!$D:$D,0),MATCH($AL$2,'INPUT SUMATIF'!$A$2:$CH$2,0)),"")
),"")</f>
        <v/>
      </c>
      <c r="AL35" s="292"/>
      <c r="AM35" s="293" t="s">
        <v>245</v>
      </c>
      <c r="AN35" s="294"/>
      <c r="AO35" s="293"/>
      <c r="AP35" s="293"/>
      <c r="AQ35" s="296"/>
      <c r="AR35" s="298" t="s">
        <v>470</v>
      </c>
      <c r="AS35" s="267"/>
      <c r="AT35" s="267" t="s">
        <v>358</v>
      </c>
      <c r="AU35" s="267"/>
      <c r="AV35" s="267" t="s">
        <v>471</v>
      </c>
      <c r="AW35" s="267"/>
      <c r="AX35" s="267" t="s">
        <v>145</v>
      </c>
      <c r="AY35" s="267" t="s">
        <v>143</v>
      </c>
      <c r="AZ35" s="267" t="s">
        <v>150</v>
      </c>
      <c r="BA35" s="267" t="s">
        <v>241</v>
      </c>
      <c r="BB35" s="302" t="s">
        <v>248</v>
      </c>
    </row>
    <row r="36" ht="15.75" customHeight="1">
      <c r="A36" s="159">
        <f>IFERROR(__xludf.DUMMYFUNCTION("""COMPUTED_VALUE"""),33.0)</f>
        <v>33</v>
      </c>
      <c r="B36" s="159" t="str">
        <f>IFERROR(__xludf.DUMMYFUNCTION("""COMPUTED_VALUE"""),"2526100446")</f>
        <v>2526100446</v>
      </c>
      <c r="C36" s="159" t="str">
        <f>IFERROR(__xludf.DUMMYFUNCTION("""COMPUTED_VALUE"""),"0078810983")</f>
        <v>0078810983</v>
      </c>
      <c r="D36" s="164" t="str">
        <f>IFERROR(__xludf.DUMMYFUNCTION("""COMPUTED_VALUE"""),"MUHAMMAD RAGIL")</f>
        <v>MUHAMMAD RAGIL</v>
      </c>
      <c r="E36" s="165" t="str">
        <f>IFERROR(__xludf.DUMMYFUNCTION("""COMPUTED_VALUE"""),"X TO 4")</f>
        <v>X TO 4</v>
      </c>
      <c r="F36" s="165" t="s">
        <v>220</v>
      </c>
      <c r="G36" s="175">
        <f t="array" ref="G36">IFERROR(AVERAGE(
IFERROR(INDEX('INPUT SUMATIF'!$A:$CH,MATCH($D36,'INPUT SUMATIF'!$D:$D,0),MATCH($G$2,'INPUT SUMATIF'!$A$2:$CH$2,0)),""),
IFERROR(INDEX('INPUT SUMATIF'!$A:$CH,MATCH($D36,'INPUT SUMATIF'!$D:$D,0),MATCH($H$2,'INPUT SUMATIF'!$A$2:$CH$2,0)),"")
),"")</f>
        <v>80.5</v>
      </c>
      <c r="H36" s="180" t="s">
        <v>215</v>
      </c>
      <c r="I36" s="186">
        <f t="array" ref="I36">iferror(AVERAGE(
IFERROR(INDEX('INPUT SUMATIF'!$A:$CH,MATCH($D36,'INPUT SUMATIF'!$D:$D,0),MATCH($I$2,'INPUT SUMATIF'!$A$2:$CH$2,0)),""),
IFERROR(INDEX('INPUT SUMATIF'!$A:$CH,MATCH($D36,'INPUT SUMATIF'!$D:$D,0),MATCH($J$2,'INPUT SUMATIF'!$A$2:$CH$2,0)),"")
),"")</f>
        <v>77.25</v>
      </c>
      <c r="J36" s="180" t="s">
        <v>475</v>
      </c>
      <c r="K36" s="192">
        <f t="array" ref="K36">iferror(AVERAGE(
IFERROR(INDEX('INPUT SUMATIF'!$A:$CH,MATCH($D36,'INPUT SUMATIF'!$D:$D,0),MATCH($K$2,'INPUT SUMATIF'!$A$2:$CH$2,0)),""),
IFERROR(INDEX('INPUT SUMATIF'!$A:$CH,MATCH($D36,'INPUT SUMATIF'!$D:$D,0),MATCH($L$2,'INPUT SUMATIF'!$A$2:$CH$2,0)),"")
),"")</f>
        <v>82.16666667</v>
      </c>
      <c r="L36" s="180" t="s">
        <v>219</v>
      </c>
      <c r="M36" s="196">
        <f t="array" ref="M36">iferror(AVERAGE(
IFERROR(INDEX('INPUT SUMATIF'!$A:$CH,MATCH($D36,'INPUT SUMATIF'!$D:$D,0),MATCH($M$2,'INPUT SUMATIF'!$A$2:$CH$2,0)),""),
IFERROR(INDEX('INPUT SUMATIF'!$A:$CH,MATCH($D36,'INPUT SUMATIF'!$D:$D,0),MATCH($N$2,'INPUT SUMATIF'!$A$2:$CH$2,0)),"")
),"")</f>
        <v>83.5</v>
      </c>
      <c r="N36" s="201" t="s">
        <v>221</v>
      </c>
      <c r="O36" s="206">
        <f t="array" ref="O36">iferror(AVERAGE(
IFERROR(INDEX('INPUT SUMATIF'!$A:$CH,MATCH($D36,'INPUT SUMATIF'!$D:$D,0),MATCH($O$2,'INPUT SUMATIF'!$A$2:$CH$2,0)),""),
IFERROR(INDEX('INPUT SUMATIF'!$A:$CH,MATCH($D36,'INPUT SUMATIF'!$D:$D,0),MATCH($P$2,'INPUT SUMATIF'!$A$2:$CH$2,0)),"")
),"")</f>
        <v>79</v>
      </c>
      <c r="P36" s="180" t="s">
        <v>222</v>
      </c>
      <c r="Q36" s="210">
        <f t="array" ref="Q36">iferror(AVERAGE(
IFERROR(INDEX('INPUT SUMATIF'!$A:$CH,MATCH($D36,'INPUT SUMATIF'!$D:$D,0),MATCH($Q$2,'INPUT SUMATIF'!$A$2:$CH$2,0)),""),
IFERROR(INDEX('INPUT SUMATIF'!$A:$CH,MATCH($D36,'INPUT SUMATIF'!$D:$D,0),MATCH($R$2,'INPUT SUMATIF'!$A$2:$CH$2,0)),"")
),"")</f>
        <v>89.83333333</v>
      </c>
      <c r="R36" s="180" t="s">
        <v>229</v>
      </c>
      <c r="S36" s="215">
        <f t="array" ref="S36">iferror(AVERAGE(
IFERROR(INDEX('INPUT SUMATIF'!$A:$CH,MATCH($D36,'INPUT SUMATIF'!$D:$D,0),MATCH($S$2,'INPUT SUMATIF'!$A$2:$CH$2,0)),""),
IFERROR(INDEX('INPUT SUMATIF'!$A:$CH,MATCH($D36,'INPUT SUMATIF'!$D:$D,0),MATCH($T$2,'INPUT SUMATIF'!$A$2:$CH$2,0)),"")
),"")</f>
        <v>79.16666667</v>
      </c>
      <c r="T36" s="180" t="s">
        <v>233</v>
      </c>
      <c r="U36" s="221">
        <f t="array" ref="U36">iferror(AVERAGE(
IFERROR(INDEX('INPUT SUMATIF'!$A:$CH,MATCH($D36,'INPUT SUMATIF'!$D:$D,0),MATCH($U$2,'INPUT SUMATIF'!$A$2:$CH$2,0)),""),
IFERROR(INDEX('INPUT SUMATIF'!$A:$CH,MATCH($D36,'INPUT SUMATIF'!$D:$D,0),MATCH($V$2,'INPUT SUMATIF'!$A$2:$CH$2,0)),"")
),"")</f>
        <v>81</v>
      </c>
      <c r="V36" s="180" t="s">
        <v>234</v>
      </c>
      <c r="W36" s="175">
        <f t="array" ref="W36">iferror(AVERAGE(
IFERROR(INDEX('INPUT SUMATIF'!$A:$CH,MATCH($D36,'INPUT SUMATIF'!$D:$D,0),MATCH($W$2,'INPUT SUMATIF'!$A$2:$CH$2,0)),""),
IFERROR(INDEX('INPUT SUMATIF'!$A:$CH,MATCH($D36,'INPUT SUMATIF'!$D:$D,0),MATCH($X$2,'INPUT SUMATIF'!$A$2:$CH$2,0)),"")
),"")</f>
        <v>75.5</v>
      </c>
      <c r="X36" s="224" t="s">
        <v>235</v>
      </c>
      <c r="Y36" s="227">
        <f t="array" ref="Y36">iferror(AVERAGE(
IFERROR(INDEX('INPUT SUMATIF'!$A:$CH,MATCH($D36,'INPUT SUMATIF'!$D:$D,0),MATCH($Y$2,'INPUT SUMATIF'!$A$2:$CH$2,0)),""),
IFERROR(INDEX('INPUT SUMATIF'!$A:$CH,MATCH($D36,'INPUT SUMATIF'!$D:$D,0),MATCH($Z$2,'INPUT SUMATIF'!$A$2:$CH$2,0)),"")
),"")</f>
        <v>80</v>
      </c>
      <c r="Z36" s="228" t="s">
        <v>236</v>
      </c>
      <c r="AA36" s="227">
        <f t="array" ref="AA36">iferror(AVERAGE(
IFERROR(INDEX('INPUT SUMATIF'!$A:$CH,MATCH($D36,'INPUT SUMATIF'!$D:$D,0),MATCH($AA$2,'INPUT SUMATIF'!$A$2:$CH$2,0)),""),
IFERROR(INDEX('INPUT SUMATIF'!$A:$CH,MATCH($D36,'INPUT SUMATIF'!$D:$D,0),MATCH($AB$2,'INPUT SUMATIF'!$A$2:$CH$2,0)),"")
),"")</f>
        <v>55.83333333</v>
      </c>
      <c r="AB36" s="180" t="s">
        <v>237</v>
      </c>
      <c r="AC36" s="227">
        <f t="array" ref="AC36">iferror(AVERAGE(
IFERROR(INDEX('INPUT SUMATIF'!$A:$CH,MATCH($D36,'INPUT SUMATIF'!$D:$D,0),MATCH($AC$2,'INPUT SUMATIF'!$A$2:$CH$2,0)),""),
IFERROR(INDEX('INPUT SUMATIF'!$A:$CH,MATCH($D36,'INPUT SUMATIF'!$D:$D,0),MATCH($AD$2,'INPUT SUMATIF'!$A$2:$CH$2,0)),"")
),"")</f>
        <v>80.33333333</v>
      </c>
      <c r="AD36" s="180" t="s">
        <v>238</v>
      </c>
      <c r="AE36" s="227">
        <f t="array" ref="AE36">iferror(AVERAGE(
IFERROR(INDEX('INPUT SUMATIF'!$A:$CH,MATCH($D36,'INPUT SUMATIF'!$D:$D,0),MATCH($AE$2,'INPUT SUMATIF'!$A$2:$CH$2,0)),""),
IFERROR(INDEX('INPUT SUMATIF'!$A:$CH,MATCH($D36,'INPUT SUMATIF'!$D:$D,0),MATCH($AF$2,'INPUT SUMATIF'!$A$2:$CH$2,0)),"")
),"")</f>
        <v>79.33333333</v>
      </c>
      <c r="AF36" s="180" t="s">
        <v>239</v>
      </c>
      <c r="AG36" s="237" t="str">
        <f t="array" ref="AG36">iferror(AVERAGE(
IFERROR(INDEX('INPUT SUMATIF'!$A:$CH,MATCH($D36,'INPUT SUMATIF'!$D:$D,0),MATCH($AG$2,'INPUT SUMATIF'!$A$2:$CH$2,0)),""),
IFERROR(INDEX('INPUT SUMATIF'!$A:$CH,MATCH($D36,'INPUT SUMATIF'!$D:$D,0),MATCH($AH$2,'INPUT SUMATIF'!$A$2:$CH$2,0)),"")
),"")</f>
        <v/>
      </c>
      <c r="AH36" s="180"/>
      <c r="AI36" s="237" t="str">
        <f t="array" ref="AI36">iferror(AVERAGE(
IFERROR(INDEX('INPUT SUMATIF'!$A:$CH,MATCH($D36,'INPUT SUMATIF'!$D:$D,0),MATCH($AI$2,'INPUT SUMATIF'!$A$2:$CH$2,0)),""),
IFERROR(INDEX('INPUT SUMATIF'!$A:$CH,MATCH($D36,'INPUT SUMATIF'!$D:$D,0),MATCH($AJ$2,'INPUT SUMATIF'!$A$2:$CH$2,0)),"")
),"")</f>
        <v/>
      </c>
      <c r="AJ36" s="180"/>
      <c r="AK36" s="186" t="str">
        <f t="array" ref="AK36">iferror(AVERAGE(
IFERROR(INDEX('INPUT SUMATIF'!$A:$CH,MATCH($D36,'INPUT SUMATIF'!$D:$D,0),MATCH($AK$2,'INPUT SUMATIF'!$A$2:$CH$2,0)),""),
IFERROR(INDEX('INPUT SUMATIF'!$A:$CH,MATCH($D36,'INPUT SUMATIF'!$D:$D,0),MATCH($AL$2,'INPUT SUMATIF'!$A$2:$CH$2,0)),"")
),"")</f>
        <v/>
      </c>
      <c r="AL36" s="244"/>
      <c r="AM36" s="253" t="s">
        <v>277</v>
      </c>
      <c r="AN36" s="255"/>
      <c r="AO36" s="253"/>
      <c r="AP36" s="253"/>
      <c r="AQ36" s="260"/>
      <c r="AR36" s="263"/>
      <c r="AS36" s="265"/>
      <c r="AT36" s="265"/>
      <c r="AU36" s="265"/>
      <c r="AV36" s="265"/>
      <c r="AW36" s="265"/>
      <c r="AX36" s="265" t="s">
        <v>143</v>
      </c>
      <c r="AY36" s="265" t="s">
        <v>213</v>
      </c>
      <c r="AZ36" s="265" t="s">
        <v>213</v>
      </c>
      <c r="BA36" s="267" t="s">
        <v>241</v>
      </c>
      <c r="BB36" s="268" t="s">
        <v>248</v>
      </c>
    </row>
    <row r="37" ht="15.75" customHeight="1">
      <c r="A37" s="270">
        <f>IFERROR(__xludf.DUMMYFUNCTION("""COMPUTED_VALUE"""),34.0)</f>
        <v>34</v>
      </c>
      <c r="B37" s="270" t="str">
        <f>IFERROR(__xludf.DUMMYFUNCTION("""COMPUTED_VALUE"""),"2526100447")</f>
        <v>2526100447</v>
      </c>
      <c r="C37" s="270" t="str">
        <f>IFERROR(__xludf.DUMMYFUNCTION("""COMPUTED_VALUE"""),"0098041660")</f>
        <v>0098041660</v>
      </c>
      <c r="D37" s="274" t="str">
        <f>IFERROR(__xludf.DUMMYFUNCTION("""COMPUTED_VALUE"""),"NAJMI ERIANA")</f>
        <v>NAJMI ERIANA</v>
      </c>
      <c r="E37" s="277" t="str">
        <f>IFERROR(__xludf.DUMMYFUNCTION("""COMPUTED_VALUE"""),"X TO 4")</f>
        <v>X TO 4</v>
      </c>
      <c r="F37" s="277" t="s">
        <v>220</v>
      </c>
      <c r="G37" s="175">
        <f t="array" ref="G37">IFERROR(AVERAGE(
IFERROR(INDEX('INPUT SUMATIF'!$A:$CH,MATCH($D37,'INPUT SUMATIF'!$D:$D,0),MATCH($G$2,'INPUT SUMATIF'!$A$2:$CH$2,0)),""),
IFERROR(INDEX('INPUT SUMATIF'!$A:$CH,MATCH($D37,'INPUT SUMATIF'!$D:$D,0),MATCH($H$2,'INPUT SUMATIF'!$A$2:$CH$2,0)),"")
),"")</f>
        <v>79</v>
      </c>
      <c r="H37" s="180" t="s">
        <v>215</v>
      </c>
      <c r="I37" s="186">
        <f t="array" ref="I37">iferror(AVERAGE(
IFERROR(INDEX('INPUT SUMATIF'!$A:$CH,MATCH($D37,'INPUT SUMATIF'!$D:$D,0),MATCH($I$2,'INPUT SUMATIF'!$A$2:$CH$2,0)),""),
IFERROR(INDEX('INPUT SUMATIF'!$A:$CH,MATCH($D37,'INPUT SUMATIF'!$D:$D,0),MATCH($J$2,'INPUT SUMATIF'!$A$2:$CH$2,0)),"")
),"")</f>
        <v>83.25</v>
      </c>
      <c r="J37" s="180" t="s">
        <v>500</v>
      </c>
      <c r="K37" s="192">
        <f t="array" ref="K37">iferror(AVERAGE(
IFERROR(INDEX('INPUT SUMATIF'!$A:$CH,MATCH($D37,'INPUT SUMATIF'!$D:$D,0),MATCH($K$2,'INPUT SUMATIF'!$A$2:$CH$2,0)),""),
IFERROR(INDEX('INPUT SUMATIF'!$A:$CH,MATCH($D37,'INPUT SUMATIF'!$D:$D,0),MATCH($L$2,'INPUT SUMATIF'!$A$2:$CH$2,0)),"")
),"")</f>
        <v>83</v>
      </c>
      <c r="L37" s="180" t="s">
        <v>219</v>
      </c>
      <c r="M37" s="196">
        <f t="array" ref="M37">iferror(AVERAGE(
IFERROR(INDEX('INPUT SUMATIF'!$A:$CH,MATCH($D37,'INPUT SUMATIF'!$D:$D,0),MATCH($M$2,'INPUT SUMATIF'!$A$2:$CH$2,0)),""),
IFERROR(INDEX('INPUT SUMATIF'!$A:$CH,MATCH($D37,'INPUT SUMATIF'!$D:$D,0),MATCH($N$2,'INPUT SUMATIF'!$A$2:$CH$2,0)),"")
),"")</f>
        <v>83.25</v>
      </c>
      <c r="N37" s="201" t="s">
        <v>221</v>
      </c>
      <c r="O37" s="206">
        <f t="array" ref="O37">iferror(AVERAGE(
IFERROR(INDEX('INPUT SUMATIF'!$A:$CH,MATCH($D37,'INPUT SUMATIF'!$D:$D,0),MATCH($O$2,'INPUT SUMATIF'!$A$2:$CH$2,0)),""),
IFERROR(INDEX('INPUT SUMATIF'!$A:$CH,MATCH($D37,'INPUT SUMATIF'!$D:$D,0),MATCH($P$2,'INPUT SUMATIF'!$A$2:$CH$2,0)),"")
),"")</f>
        <v>80</v>
      </c>
      <c r="P37" s="180" t="s">
        <v>222</v>
      </c>
      <c r="Q37" s="210">
        <f t="array" ref="Q37">iferror(AVERAGE(
IFERROR(INDEX('INPUT SUMATIF'!$A:$CH,MATCH($D37,'INPUT SUMATIF'!$D:$D,0),MATCH($Q$2,'INPUT SUMATIF'!$A$2:$CH$2,0)),""),
IFERROR(INDEX('INPUT SUMATIF'!$A:$CH,MATCH($D37,'INPUT SUMATIF'!$D:$D,0),MATCH($R$2,'INPUT SUMATIF'!$A$2:$CH$2,0)),"")
),"")</f>
        <v>89.83333333</v>
      </c>
      <c r="R37" s="180" t="s">
        <v>229</v>
      </c>
      <c r="S37" s="215">
        <f t="array" ref="S37">iferror(AVERAGE(
IFERROR(INDEX('INPUT SUMATIF'!$A:$CH,MATCH($D37,'INPUT SUMATIF'!$D:$D,0),MATCH($S$2,'INPUT SUMATIF'!$A$2:$CH$2,0)),""),
IFERROR(INDEX('INPUT SUMATIF'!$A:$CH,MATCH($D37,'INPUT SUMATIF'!$D:$D,0),MATCH($T$2,'INPUT SUMATIF'!$A$2:$CH$2,0)),"")
),"")</f>
        <v>75</v>
      </c>
      <c r="T37" s="180" t="s">
        <v>233</v>
      </c>
      <c r="U37" s="221">
        <f t="array" ref="U37">iferror(AVERAGE(
IFERROR(INDEX('INPUT SUMATIF'!$A:$CH,MATCH($D37,'INPUT SUMATIF'!$D:$D,0),MATCH($U$2,'INPUT SUMATIF'!$A$2:$CH$2,0)),""),
IFERROR(INDEX('INPUT SUMATIF'!$A:$CH,MATCH($D37,'INPUT SUMATIF'!$D:$D,0),MATCH($V$2,'INPUT SUMATIF'!$A$2:$CH$2,0)),"")
),"")</f>
        <v>81</v>
      </c>
      <c r="V37" s="180" t="s">
        <v>234</v>
      </c>
      <c r="W37" s="175">
        <f t="array" ref="W37">iferror(AVERAGE(
IFERROR(INDEX('INPUT SUMATIF'!$A:$CH,MATCH($D37,'INPUT SUMATIF'!$D:$D,0),MATCH($W$2,'INPUT SUMATIF'!$A$2:$CH$2,0)),""),
IFERROR(INDEX('INPUT SUMATIF'!$A:$CH,MATCH($D37,'INPUT SUMATIF'!$D:$D,0),MATCH($X$2,'INPUT SUMATIF'!$A$2:$CH$2,0)),"")
),"")</f>
        <v>76.33333333</v>
      </c>
      <c r="X37" s="224" t="s">
        <v>235</v>
      </c>
      <c r="Y37" s="227">
        <f t="array" ref="Y37">iferror(AVERAGE(
IFERROR(INDEX('INPUT SUMATIF'!$A:$CH,MATCH($D37,'INPUT SUMATIF'!$D:$D,0),MATCH($Y$2,'INPUT SUMATIF'!$A$2:$CH$2,0)),""),
IFERROR(INDEX('INPUT SUMATIF'!$A:$CH,MATCH($D37,'INPUT SUMATIF'!$D:$D,0),MATCH($Z$2,'INPUT SUMATIF'!$A$2:$CH$2,0)),"")
),"")</f>
        <v>80</v>
      </c>
      <c r="Z37" s="228" t="s">
        <v>236</v>
      </c>
      <c r="AA37" s="227">
        <f t="array" ref="AA37">iferror(AVERAGE(
IFERROR(INDEX('INPUT SUMATIF'!$A:$CH,MATCH($D37,'INPUT SUMATIF'!$D:$D,0),MATCH($AA$2,'INPUT SUMATIF'!$A$2:$CH$2,0)),""),
IFERROR(INDEX('INPUT SUMATIF'!$A:$CH,MATCH($D37,'INPUT SUMATIF'!$D:$D,0),MATCH($AB$2,'INPUT SUMATIF'!$A$2:$CH$2,0)),"")
),"")</f>
        <v>82.16666667</v>
      </c>
      <c r="AB37" s="180" t="s">
        <v>237</v>
      </c>
      <c r="AC37" s="227">
        <f t="array" ref="AC37">iferror(AVERAGE(
IFERROR(INDEX('INPUT SUMATIF'!$A:$CH,MATCH($D37,'INPUT SUMATIF'!$D:$D,0),MATCH($AC$2,'INPUT SUMATIF'!$A$2:$CH$2,0)),""),
IFERROR(INDEX('INPUT SUMATIF'!$A:$CH,MATCH($D37,'INPUT SUMATIF'!$D:$D,0),MATCH($AD$2,'INPUT SUMATIF'!$A$2:$CH$2,0)),"")
),"")</f>
        <v>80.66666667</v>
      </c>
      <c r="AD37" s="180" t="s">
        <v>238</v>
      </c>
      <c r="AE37" s="227">
        <f t="array" ref="AE37">iferror(AVERAGE(
IFERROR(INDEX('INPUT SUMATIF'!$A:$CH,MATCH($D37,'INPUT SUMATIF'!$D:$D,0),MATCH($AE$2,'INPUT SUMATIF'!$A$2:$CH$2,0)),""),
IFERROR(INDEX('INPUT SUMATIF'!$A:$CH,MATCH($D37,'INPUT SUMATIF'!$D:$D,0),MATCH($AF$2,'INPUT SUMATIF'!$A$2:$CH$2,0)),"")
),"")</f>
        <v>77</v>
      </c>
      <c r="AF37" s="289" t="s">
        <v>239</v>
      </c>
      <c r="AG37" s="237" t="str">
        <f t="array" ref="AG37">iferror(AVERAGE(
IFERROR(INDEX('INPUT SUMATIF'!$A:$CH,MATCH($D37,'INPUT SUMATIF'!$D:$D,0),MATCH($AG$2,'INPUT SUMATIF'!$A$2:$CH$2,0)),""),
IFERROR(INDEX('INPUT SUMATIF'!$A:$CH,MATCH($D37,'INPUT SUMATIF'!$D:$D,0),MATCH($AH$2,'INPUT SUMATIF'!$A$2:$CH$2,0)),"")
),"")</f>
        <v/>
      </c>
      <c r="AH37" s="289"/>
      <c r="AI37" s="237" t="str">
        <f t="array" ref="AI37">iferror(AVERAGE(
IFERROR(INDEX('INPUT SUMATIF'!$A:$CH,MATCH($D37,'INPUT SUMATIF'!$D:$D,0),MATCH($AI$2,'INPUT SUMATIF'!$A$2:$CH$2,0)),""),
IFERROR(INDEX('INPUT SUMATIF'!$A:$CH,MATCH($D37,'INPUT SUMATIF'!$D:$D,0),MATCH($AJ$2,'INPUT SUMATIF'!$A$2:$CH$2,0)),"")
),"")</f>
        <v/>
      </c>
      <c r="AJ37" s="289"/>
      <c r="AK37" s="186" t="str">
        <f t="array" ref="AK37">iferror(AVERAGE(
IFERROR(INDEX('INPUT SUMATIF'!$A:$CH,MATCH($D37,'INPUT SUMATIF'!$D:$D,0),MATCH($AK$2,'INPUT SUMATIF'!$A$2:$CH$2,0)),""),
IFERROR(INDEX('INPUT SUMATIF'!$A:$CH,MATCH($D37,'INPUT SUMATIF'!$D:$D,0),MATCH($AL$2,'INPUT SUMATIF'!$A$2:$CH$2,0)),"")
),"")</f>
        <v/>
      </c>
      <c r="AL37" s="292"/>
      <c r="AM37" s="293" t="s">
        <v>245</v>
      </c>
      <c r="AN37" s="294"/>
      <c r="AO37" s="293"/>
      <c r="AP37" s="293"/>
      <c r="AQ37" s="296"/>
      <c r="AR37" s="298" t="s">
        <v>528</v>
      </c>
      <c r="AS37" s="267" t="s">
        <v>357</v>
      </c>
      <c r="AT37" s="267" t="s">
        <v>358</v>
      </c>
      <c r="AU37" s="267" t="s">
        <v>358</v>
      </c>
      <c r="AV37" s="267" t="s">
        <v>529</v>
      </c>
      <c r="AW37" s="265" t="s">
        <v>359</v>
      </c>
      <c r="AX37" s="267" t="s">
        <v>155</v>
      </c>
      <c r="AY37" s="267" t="s">
        <v>213</v>
      </c>
      <c r="AZ37" s="267" t="s">
        <v>213</v>
      </c>
      <c r="BA37" s="267" t="s">
        <v>241</v>
      </c>
      <c r="BB37" s="302" t="s">
        <v>248</v>
      </c>
    </row>
    <row r="38" ht="15.75" customHeight="1">
      <c r="A38" s="159">
        <f>IFERROR(__xludf.DUMMYFUNCTION("""COMPUTED_VALUE"""),35.0)</f>
        <v>35</v>
      </c>
      <c r="B38" s="159" t="str">
        <f>IFERROR(__xludf.DUMMYFUNCTION("""COMPUTED_VALUE"""),"2526100448")</f>
        <v>2526100448</v>
      </c>
      <c r="C38" s="159" t="str">
        <f>IFERROR(__xludf.DUMMYFUNCTION("""COMPUTED_VALUE"""),"0094411174")</f>
        <v>0094411174</v>
      </c>
      <c r="D38" s="164" t="str">
        <f>IFERROR(__xludf.DUMMYFUNCTION("""COMPUTED_VALUE"""),"PANO PAIZAL")</f>
        <v>PANO PAIZAL</v>
      </c>
      <c r="E38" s="165" t="str">
        <f>IFERROR(__xludf.DUMMYFUNCTION("""COMPUTED_VALUE"""),"X TO 4")</f>
        <v>X TO 4</v>
      </c>
      <c r="F38" s="165" t="s">
        <v>220</v>
      </c>
      <c r="G38" s="175">
        <f t="array" ref="G38">IFERROR(AVERAGE(
IFERROR(INDEX('INPUT SUMATIF'!$A:$CH,MATCH($D38,'INPUT SUMATIF'!$D:$D,0),MATCH($G$2,'INPUT SUMATIF'!$A$2:$CH$2,0)),""),
IFERROR(INDEX('INPUT SUMATIF'!$A:$CH,MATCH($D38,'INPUT SUMATIF'!$D:$D,0),MATCH($H$2,'INPUT SUMATIF'!$A$2:$CH$2,0)),"")
),"")</f>
        <v>79</v>
      </c>
      <c r="H38" s="180" t="s">
        <v>215</v>
      </c>
      <c r="I38" s="186">
        <f t="array" ref="I38">iferror(AVERAGE(
IFERROR(INDEX('INPUT SUMATIF'!$A:$CH,MATCH($D38,'INPUT SUMATIF'!$D:$D,0),MATCH($I$2,'INPUT SUMATIF'!$A$2:$CH$2,0)),""),
IFERROR(INDEX('INPUT SUMATIF'!$A:$CH,MATCH($D38,'INPUT SUMATIF'!$D:$D,0),MATCH($J$2,'INPUT SUMATIF'!$A$2:$CH$2,0)),"")
),"")</f>
        <v>82.25</v>
      </c>
      <c r="J38" s="180" t="s">
        <v>533</v>
      </c>
      <c r="K38" s="192">
        <f t="array" ref="K38">iferror(AVERAGE(
IFERROR(INDEX('INPUT SUMATIF'!$A:$CH,MATCH($D38,'INPUT SUMATIF'!$D:$D,0),MATCH($K$2,'INPUT SUMATIF'!$A$2:$CH$2,0)),""),
IFERROR(INDEX('INPUT SUMATIF'!$A:$CH,MATCH($D38,'INPUT SUMATIF'!$D:$D,0),MATCH($L$2,'INPUT SUMATIF'!$A$2:$CH$2,0)),"")
),"")</f>
        <v>82.5</v>
      </c>
      <c r="L38" s="180" t="s">
        <v>219</v>
      </c>
      <c r="M38" s="196">
        <f t="array" ref="M38">iferror(AVERAGE(
IFERROR(INDEX('INPUT SUMATIF'!$A:$CH,MATCH($D38,'INPUT SUMATIF'!$D:$D,0),MATCH($M$2,'INPUT SUMATIF'!$A$2:$CH$2,0)),""),
IFERROR(INDEX('INPUT SUMATIF'!$A:$CH,MATCH($D38,'INPUT SUMATIF'!$D:$D,0),MATCH($N$2,'INPUT SUMATIF'!$A$2:$CH$2,0)),"")
),"")</f>
        <v>86.75</v>
      </c>
      <c r="N38" s="201" t="s">
        <v>221</v>
      </c>
      <c r="O38" s="206">
        <f t="array" ref="O38">iferror(AVERAGE(
IFERROR(INDEX('INPUT SUMATIF'!$A:$CH,MATCH($D38,'INPUT SUMATIF'!$D:$D,0),MATCH($O$2,'INPUT SUMATIF'!$A$2:$CH$2,0)),""),
IFERROR(INDEX('INPUT SUMATIF'!$A:$CH,MATCH($D38,'INPUT SUMATIF'!$D:$D,0),MATCH($P$2,'INPUT SUMATIF'!$A$2:$CH$2,0)),"")
),"")</f>
        <v>79</v>
      </c>
      <c r="P38" s="180" t="s">
        <v>222</v>
      </c>
      <c r="Q38" s="210">
        <f t="array" ref="Q38">iferror(AVERAGE(
IFERROR(INDEX('INPUT SUMATIF'!$A:$CH,MATCH($D38,'INPUT SUMATIF'!$D:$D,0),MATCH($Q$2,'INPUT SUMATIF'!$A$2:$CH$2,0)),""),
IFERROR(INDEX('INPUT SUMATIF'!$A:$CH,MATCH($D38,'INPUT SUMATIF'!$D:$D,0),MATCH($R$2,'INPUT SUMATIF'!$A$2:$CH$2,0)),"")
),"")</f>
        <v>88.66666667</v>
      </c>
      <c r="R38" s="180" t="s">
        <v>229</v>
      </c>
      <c r="S38" s="215">
        <f t="array" ref="S38">iferror(AVERAGE(
IFERROR(INDEX('INPUT SUMATIF'!$A:$CH,MATCH($D38,'INPUT SUMATIF'!$D:$D,0),MATCH($S$2,'INPUT SUMATIF'!$A$2:$CH$2,0)),""),
IFERROR(INDEX('INPUT SUMATIF'!$A:$CH,MATCH($D38,'INPUT SUMATIF'!$D:$D,0),MATCH($T$2,'INPUT SUMATIF'!$A$2:$CH$2,0)),"")
),"")</f>
        <v>77.16666667</v>
      </c>
      <c r="T38" s="180" t="s">
        <v>233</v>
      </c>
      <c r="U38" s="221">
        <f t="array" ref="U38">iferror(AVERAGE(
IFERROR(INDEX('INPUT SUMATIF'!$A:$CH,MATCH($D38,'INPUT SUMATIF'!$D:$D,0),MATCH($U$2,'INPUT SUMATIF'!$A$2:$CH$2,0)),""),
IFERROR(INDEX('INPUT SUMATIF'!$A:$CH,MATCH($D38,'INPUT SUMATIF'!$D:$D,0),MATCH($V$2,'INPUT SUMATIF'!$A$2:$CH$2,0)),"")
),"")</f>
        <v>75</v>
      </c>
      <c r="V38" s="180" t="s">
        <v>234</v>
      </c>
      <c r="W38" s="175">
        <f t="array" ref="W38">iferror(AVERAGE(
IFERROR(INDEX('INPUT SUMATIF'!$A:$CH,MATCH($D38,'INPUT SUMATIF'!$D:$D,0),MATCH($W$2,'INPUT SUMATIF'!$A$2:$CH$2,0)),""),
IFERROR(INDEX('INPUT SUMATIF'!$A:$CH,MATCH($D38,'INPUT SUMATIF'!$D:$D,0),MATCH($X$2,'INPUT SUMATIF'!$A$2:$CH$2,0)),"")
),"")</f>
        <v>72.83333333</v>
      </c>
      <c r="X38" s="224" t="s">
        <v>235</v>
      </c>
      <c r="Y38" s="227">
        <f t="array" ref="Y38">iferror(AVERAGE(
IFERROR(INDEX('INPUT SUMATIF'!$A:$CH,MATCH($D38,'INPUT SUMATIF'!$D:$D,0),MATCH($Y$2,'INPUT SUMATIF'!$A$2:$CH$2,0)),""),
IFERROR(INDEX('INPUT SUMATIF'!$A:$CH,MATCH($D38,'INPUT SUMATIF'!$D:$D,0),MATCH($Z$2,'INPUT SUMATIF'!$A$2:$CH$2,0)),"")
),"")</f>
        <v>80</v>
      </c>
      <c r="Z38" s="228" t="s">
        <v>236</v>
      </c>
      <c r="AA38" s="227">
        <f t="array" ref="AA38">iferror(AVERAGE(
IFERROR(INDEX('INPUT SUMATIF'!$A:$CH,MATCH($D38,'INPUT SUMATIF'!$D:$D,0),MATCH($AA$2,'INPUT SUMATIF'!$A$2:$CH$2,0)),""),
IFERROR(INDEX('INPUT SUMATIF'!$A:$CH,MATCH($D38,'INPUT SUMATIF'!$D:$D,0),MATCH($AB$2,'INPUT SUMATIF'!$A$2:$CH$2,0)),"")
),"")</f>
        <v>53.33333333</v>
      </c>
      <c r="AB38" s="180" t="s">
        <v>237</v>
      </c>
      <c r="AC38" s="227">
        <f t="array" ref="AC38">iferror(AVERAGE(
IFERROR(INDEX('INPUT SUMATIF'!$A:$CH,MATCH($D38,'INPUT SUMATIF'!$D:$D,0),MATCH($AC$2,'INPUT SUMATIF'!$A$2:$CH$2,0)),""),
IFERROR(INDEX('INPUT SUMATIF'!$A:$CH,MATCH($D38,'INPUT SUMATIF'!$D:$D,0),MATCH($AD$2,'INPUT SUMATIF'!$A$2:$CH$2,0)),"")
),"")</f>
        <v>80.5</v>
      </c>
      <c r="AD38" s="180" t="s">
        <v>238</v>
      </c>
      <c r="AE38" s="227">
        <f t="array" ref="AE38">iferror(AVERAGE(
IFERROR(INDEX('INPUT SUMATIF'!$A:$CH,MATCH($D38,'INPUT SUMATIF'!$D:$D,0),MATCH($AE$2,'INPUT SUMATIF'!$A$2:$CH$2,0)),""),
IFERROR(INDEX('INPUT SUMATIF'!$A:$CH,MATCH($D38,'INPUT SUMATIF'!$D:$D,0),MATCH($AF$2,'INPUT SUMATIF'!$A$2:$CH$2,0)),"")
),"")</f>
        <v>77.66666667</v>
      </c>
      <c r="AF38" s="180" t="s">
        <v>239</v>
      </c>
      <c r="AG38" s="237" t="str">
        <f t="array" ref="AG38">iferror(AVERAGE(
IFERROR(INDEX('INPUT SUMATIF'!$A:$CH,MATCH($D38,'INPUT SUMATIF'!$D:$D,0),MATCH($AG$2,'INPUT SUMATIF'!$A$2:$CH$2,0)),""),
IFERROR(INDEX('INPUT SUMATIF'!$A:$CH,MATCH($D38,'INPUT SUMATIF'!$D:$D,0),MATCH($AH$2,'INPUT SUMATIF'!$A$2:$CH$2,0)),"")
),"")</f>
        <v/>
      </c>
      <c r="AH38" s="180"/>
      <c r="AI38" s="237" t="str">
        <f t="array" ref="AI38">iferror(AVERAGE(
IFERROR(INDEX('INPUT SUMATIF'!$A:$CH,MATCH($D38,'INPUT SUMATIF'!$D:$D,0),MATCH($AI$2,'INPUT SUMATIF'!$A$2:$CH$2,0)),""),
IFERROR(INDEX('INPUT SUMATIF'!$A:$CH,MATCH($D38,'INPUT SUMATIF'!$D:$D,0),MATCH($AJ$2,'INPUT SUMATIF'!$A$2:$CH$2,0)),"")
),"")</f>
        <v/>
      </c>
      <c r="AJ38" s="180"/>
      <c r="AK38" s="186" t="str">
        <f t="array" ref="AK38">iferror(AVERAGE(
IFERROR(INDEX('INPUT SUMATIF'!$A:$CH,MATCH($D38,'INPUT SUMATIF'!$D:$D,0),MATCH($AK$2,'INPUT SUMATIF'!$A$2:$CH$2,0)),""),
IFERROR(INDEX('INPUT SUMATIF'!$A:$CH,MATCH($D38,'INPUT SUMATIF'!$D:$D,0),MATCH($AL$2,'INPUT SUMATIF'!$A$2:$CH$2,0)),"")
),"")</f>
        <v/>
      </c>
      <c r="AL38" s="244"/>
      <c r="AM38" s="253" t="s">
        <v>277</v>
      </c>
      <c r="AN38" s="255"/>
      <c r="AO38" s="253"/>
      <c r="AP38" s="253"/>
      <c r="AQ38" s="260"/>
      <c r="AR38" s="263" t="s">
        <v>470</v>
      </c>
      <c r="AS38" s="265"/>
      <c r="AT38" s="265" t="s">
        <v>358</v>
      </c>
      <c r="AU38" s="265"/>
      <c r="AV38" s="267" t="s">
        <v>471</v>
      </c>
      <c r="AW38" s="265"/>
      <c r="AX38" s="265" t="s">
        <v>146</v>
      </c>
      <c r="AY38" s="265" t="s">
        <v>213</v>
      </c>
      <c r="AZ38" s="265" t="s">
        <v>213</v>
      </c>
      <c r="BA38" s="267" t="s">
        <v>241</v>
      </c>
      <c r="BB38" s="268" t="s">
        <v>248</v>
      </c>
    </row>
    <row r="39" ht="15.75" customHeight="1">
      <c r="A39" s="270">
        <f>IFERROR(__xludf.DUMMYFUNCTION("""COMPUTED_VALUE"""),36.0)</f>
        <v>36</v>
      </c>
      <c r="B39" s="270" t="str">
        <f>IFERROR(__xludf.DUMMYFUNCTION("""COMPUTED_VALUE"""),"2526100449")</f>
        <v>2526100449</v>
      </c>
      <c r="C39" s="270" t="str">
        <f>IFERROR(__xludf.DUMMYFUNCTION("""COMPUTED_VALUE"""),"3104749923")</f>
        <v>3104749923</v>
      </c>
      <c r="D39" s="274" t="str">
        <f>IFERROR(__xludf.DUMMYFUNCTION("""COMPUTED_VALUE"""),"PIRMAN ADRIYANI PUTRA")</f>
        <v>PIRMAN ADRIYANI PUTRA</v>
      </c>
      <c r="E39" s="277" t="str">
        <f>IFERROR(__xludf.DUMMYFUNCTION("""COMPUTED_VALUE"""),"X TO 4")</f>
        <v>X TO 4</v>
      </c>
      <c r="F39" s="277" t="s">
        <v>220</v>
      </c>
      <c r="G39" s="175">
        <f t="array" ref="G39">IFERROR(AVERAGE(
IFERROR(INDEX('INPUT SUMATIF'!$A:$CH,MATCH($D39,'INPUT SUMATIF'!$D:$D,0),MATCH($G$2,'INPUT SUMATIF'!$A$2:$CH$2,0)),""),
IFERROR(INDEX('INPUT SUMATIF'!$A:$CH,MATCH($D39,'INPUT SUMATIF'!$D:$D,0),MATCH($H$2,'INPUT SUMATIF'!$A$2:$CH$2,0)),"")
),"")</f>
        <v>78.5</v>
      </c>
      <c r="H39" s="180" t="s">
        <v>215</v>
      </c>
      <c r="I39" s="186">
        <f t="array" ref="I39">iferror(AVERAGE(
IFERROR(INDEX('INPUT SUMATIF'!$A:$CH,MATCH($D39,'INPUT SUMATIF'!$D:$D,0),MATCH($I$2,'INPUT SUMATIF'!$A$2:$CH$2,0)),""),
IFERROR(INDEX('INPUT SUMATIF'!$A:$CH,MATCH($D39,'INPUT SUMATIF'!$D:$D,0),MATCH($J$2,'INPUT SUMATIF'!$A$2:$CH$2,0)),"")
),"")</f>
        <v>77.75</v>
      </c>
      <c r="J39" s="180" t="s">
        <v>574</v>
      </c>
      <c r="K39" s="192">
        <f t="array" ref="K39">iferror(AVERAGE(
IFERROR(INDEX('INPUT SUMATIF'!$A:$CH,MATCH($D39,'INPUT SUMATIF'!$D:$D,0),MATCH($K$2,'INPUT SUMATIF'!$A$2:$CH$2,0)),""),
IFERROR(INDEX('INPUT SUMATIF'!$A:$CH,MATCH($D39,'INPUT SUMATIF'!$D:$D,0),MATCH($L$2,'INPUT SUMATIF'!$A$2:$CH$2,0)),"")
),"")</f>
        <v>82.16666667</v>
      </c>
      <c r="L39" s="180" t="s">
        <v>219</v>
      </c>
      <c r="M39" s="196">
        <f t="array" ref="M39">iferror(AVERAGE(
IFERROR(INDEX('INPUT SUMATIF'!$A:$CH,MATCH($D39,'INPUT SUMATIF'!$D:$D,0),MATCH($M$2,'INPUT SUMATIF'!$A$2:$CH$2,0)),""),
IFERROR(INDEX('INPUT SUMATIF'!$A:$CH,MATCH($D39,'INPUT SUMATIF'!$D:$D,0),MATCH($N$2,'INPUT SUMATIF'!$A$2:$CH$2,0)),"")
),"")</f>
        <v>83</v>
      </c>
      <c r="N39" s="201" t="s">
        <v>221</v>
      </c>
      <c r="O39" s="206">
        <f t="array" ref="O39">iferror(AVERAGE(
IFERROR(INDEX('INPUT SUMATIF'!$A:$CH,MATCH($D39,'INPUT SUMATIF'!$D:$D,0),MATCH($O$2,'INPUT SUMATIF'!$A$2:$CH$2,0)),""),
IFERROR(INDEX('INPUT SUMATIF'!$A:$CH,MATCH($D39,'INPUT SUMATIF'!$D:$D,0),MATCH($P$2,'INPUT SUMATIF'!$A$2:$CH$2,0)),"")
),"")</f>
        <v>78</v>
      </c>
      <c r="P39" s="180" t="s">
        <v>222</v>
      </c>
      <c r="Q39" s="210">
        <f t="array" ref="Q39">iferror(AVERAGE(
IFERROR(INDEX('INPUT SUMATIF'!$A:$CH,MATCH($D39,'INPUT SUMATIF'!$D:$D,0),MATCH($Q$2,'INPUT SUMATIF'!$A$2:$CH$2,0)),""),
IFERROR(INDEX('INPUT SUMATIF'!$A:$CH,MATCH($D39,'INPUT SUMATIF'!$D:$D,0),MATCH($R$2,'INPUT SUMATIF'!$A$2:$CH$2,0)),"")
),"")</f>
        <v>89.33333333</v>
      </c>
      <c r="R39" s="180" t="s">
        <v>229</v>
      </c>
      <c r="S39" s="215">
        <f t="array" ref="S39">iferror(AVERAGE(
IFERROR(INDEX('INPUT SUMATIF'!$A:$CH,MATCH($D39,'INPUT SUMATIF'!$D:$D,0),MATCH($S$2,'INPUT SUMATIF'!$A$2:$CH$2,0)),""),
IFERROR(INDEX('INPUT SUMATIF'!$A:$CH,MATCH($D39,'INPUT SUMATIF'!$D:$D,0),MATCH($T$2,'INPUT SUMATIF'!$A$2:$CH$2,0)),"")
),"")</f>
        <v>76.5</v>
      </c>
      <c r="T39" s="180" t="s">
        <v>233</v>
      </c>
      <c r="U39" s="221">
        <f t="array" ref="U39">iferror(AVERAGE(
IFERROR(INDEX('INPUT SUMATIF'!$A:$CH,MATCH($D39,'INPUT SUMATIF'!$D:$D,0),MATCH($U$2,'INPUT SUMATIF'!$A$2:$CH$2,0)),""),
IFERROR(INDEX('INPUT SUMATIF'!$A:$CH,MATCH($D39,'INPUT SUMATIF'!$D:$D,0),MATCH($V$2,'INPUT SUMATIF'!$A$2:$CH$2,0)),"")
),"")</f>
        <v>72</v>
      </c>
      <c r="V39" s="180" t="s">
        <v>234</v>
      </c>
      <c r="W39" s="175">
        <f t="array" ref="W39">iferror(AVERAGE(
IFERROR(INDEX('INPUT SUMATIF'!$A:$CH,MATCH($D39,'INPUT SUMATIF'!$D:$D,0),MATCH($W$2,'INPUT SUMATIF'!$A$2:$CH$2,0)),""),
IFERROR(INDEX('INPUT SUMATIF'!$A:$CH,MATCH($D39,'INPUT SUMATIF'!$D:$D,0),MATCH($X$2,'INPUT SUMATIF'!$A$2:$CH$2,0)),"")
),"")</f>
        <v>73.5</v>
      </c>
      <c r="X39" s="224" t="s">
        <v>235</v>
      </c>
      <c r="Y39" s="227">
        <f t="array" ref="Y39">iferror(AVERAGE(
IFERROR(INDEX('INPUT SUMATIF'!$A:$CH,MATCH($D39,'INPUT SUMATIF'!$D:$D,0),MATCH($Y$2,'INPUT SUMATIF'!$A$2:$CH$2,0)),""),
IFERROR(INDEX('INPUT SUMATIF'!$A:$CH,MATCH($D39,'INPUT SUMATIF'!$D:$D,0),MATCH($Z$2,'INPUT SUMATIF'!$A$2:$CH$2,0)),"")
),"")</f>
        <v>80</v>
      </c>
      <c r="Z39" s="228" t="s">
        <v>236</v>
      </c>
      <c r="AA39" s="227">
        <f t="array" ref="AA39">iferror(AVERAGE(
IFERROR(INDEX('INPUT SUMATIF'!$A:$CH,MATCH($D39,'INPUT SUMATIF'!$D:$D,0),MATCH($AA$2,'INPUT SUMATIF'!$A$2:$CH$2,0)),""),
IFERROR(INDEX('INPUT SUMATIF'!$A:$CH,MATCH($D39,'INPUT SUMATIF'!$D:$D,0),MATCH($AB$2,'INPUT SUMATIF'!$A$2:$CH$2,0)),"")
),"")</f>
        <v>53.16666667</v>
      </c>
      <c r="AB39" s="180" t="s">
        <v>237</v>
      </c>
      <c r="AC39" s="227">
        <f t="array" ref="AC39">iferror(AVERAGE(
IFERROR(INDEX('INPUT SUMATIF'!$A:$CH,MATCH($D39,'INPUT SUMATIF'!$D:$D,0),MATCH($AC$2,'INPUT SUMATIF'!$A$2:$CH$2,0)),""),
IFERROR(INDEX('INPUT SUMATIF'!$A:$CH,MATCH($D39,'INPUT SUMATIF'!$D:$D,0),MATCH($AD$2,'INPUT SUMATIF'!$A$2:$CH$2,0)),"")
),"")</f>
        <v>80.83333333</v>
      </c>
      <c r="AD39" s="180" t="s">
        <v>238</v>
      </c>
      <c r="AE39" s="227">
        <f t="array" ref="AE39">iferror(AVERAGE(
IFERROR(INDEX('INPUT SUMATIF'!$A:$CH,MATCH($D39,'INPUT SUMATIF'!$D:$D,0),MATCH($AE$2,'INPUT SUMATIF'!$A$2:$CH$2,0)),""),
IFERROR(INDEX('INPUT SUMATIF'!$A:$CH,MATCH($D39,'INPUT SUMATIF'!$D:$D,0),MATCH($AF$2,'INPUT SUMATIF'!$A$2:$CH$2,0)),"")
),"")</f>
        <v>77.66666667</v>
      </c>
      <c r="AF39" s="289" t="s">
        <v>239</v>
      </c>
      <c r="AG39" s="237" t="str">
        <f t="array" ref="AG39">iferror(AVERAGE(
IFERROR(INDEX('INPUT SUMATIF'!$A:$CH,MATCH($D39,'INPUT SUMATIF'!$D:$D,0),MATCH($AG$2,'INPUT SUMATIF'!$A$2:$CH$2,0)),""),
IFERROR(INDEX('INPUT SUMATIF'!$A:$CH,MATCH($D39,'INPUT SUMATIF'!$D:$D,0),MATCH($AH$2,'INPUT SUMATIF'!$A$2:$CH$2,0)),"")
),"")</f>
        <v/>
      </c>
      <c r="AH39" s="289"/>
      <c r="AI39" s="237" t="str">
        <f t="array" ref="AI39">iferror(AVERAGE(
IFERROR(INDEX('INPUT SUMATIF'!$A:$CH,MATCH($D39,'INPUT SUMATIF'!$D:$D,0),MATCH($AI$2,'INPUT SUMATIF'!$A$2:$CH$2,0)),""),
IFERROR(INDEX('INPUT SUMATIF'!$A:$CH,MATCH($D39,'INPUT SUMATIF'!$D:$D,0),MATCH($AJ$2,'INPUT SUMATIF'!$A$2:$CH$2,0)),"")
),"")</f>
        <v/>
      </c>
      <c r="AJ39" s="289"/>
      <c r="AK39" s="186" t="str">
        <f t="array" ref="AK39">iferror(AVERAGE(
IFERROR(INDEX('INPUT SUMATIF'!$A:$CH,MATCH($D39,'INPUT SUMATIF'!$D:$D,0),MATCH($AK$2,'INPUT SUMATIF'!$A$2:$CH$2,0)),""),
IFERROR(INDEX('INPUT SUMATIF'!$A:$CH,MATCH($D39,'INPUT SUMATIF'!$D:$D,0),MATCH($AL$2,'INPUT SUMATIF'!$A$2:$CH$2,0)),"")
),"")</f>
        <v/>
      </c>
      <c r="AL39" s="292"/>
      <c r="AM39" s="253" t="s">
        <v>277</v>
      </c>
      <c r="AN39" s="294"/>
      <c r="AO39" s="293"/>
      <c r="AP39" s="293"/>
      <c r="AQ39" s="296"/>
      <c r="AR39" s="298"/>
      <c r="AS39" s="267"/>
      <c r="AT39" s="267"/>
      <c r="AU39" s="267"/>
      <c r="AV39" s="267"/>
      <c r="AW39" s="267"/>
      <c r="AX39" s="267" t="s">
        <v>135</v>
      </c>
      <c r="AY39" s="267" t="s">
        <v>213</v>
      </c>
      <c r="AZ39" s="267" t="s">
        <v>135</v>
      </c>
      <c r="BA39" s="267" t="s">
        <v>241</v>
      </c>
      <c r="BB39" s="302" t="s">
        <v>248</v>
      </c>
    </row>
    <row r="40" ht="15.75" customHeight="1">
      <c r="A40" s="159">
        <f>IFERROR(__xludf.DUMMYFUNCTION("""COMPUTED_VALUE"""),37.0)</f>
        <v>37</v>
      </c>
      <c r="B40" s="159" t="str">
        <f>IFERROR(__xludf.DUMMYFUNCTION("""COMPUTED_VALUE"""),"2526100450")</f>
        <v>2526100450</v>
      </c>
      <c r="C40" s="159" t="str">
        <f>IFERROR(__xludf.DUMMYFUNCTION("""COMPUTED_VALUE"""),"0106511353")</f>
        <v>0106511353</v>
      </c>
      <c r="D40" s="164" t="str">
        <f>IFERROR(__xludf.DUMMYFUNCTION("""COMPUTED_VALUE"""),"RAFFA RAMADHAN")</f>
        <v>RAFFA RAMADHAN</v>
      </c>
      <c r="E40" s="165" t="str">
        <f>IFERROR(__xludf.DUMMYFUNCTION("""COMPUTED_VALUE"""),"X TO 4")</f>
        <v>X TO 4</v>
      </c>
      <c r="F40" s="165" t="s">
        <v>220</v>
      </c>
      <c r="G40" s="175">
        <f t="array" ref="G40">IFERROR(AVERAGE(
IFERROR(INDEX('INPUT SUMATIF'!$A:$CH,MATCH($D40,'INPUT SUMATIF'!$D:$D,0),MATCH($G$2,'INPUT SUMATIF'!$A$2:$CH$2,0)),""),
IFERROR(INDEX('INPUT SUMATIF'!$A:$CH,MATCH($D40,'INPUT SUMATIF'!$D:$D,0),MATCH($H$2,'INPUT SUMATIF'!$A$2:$CH$2,0)),"")
),"")</f>
        <v>80.75</v>
      </c>
      <c r="H40" s="180" t="s">
        <v>215</v>
      </c>
      <c r="I40" s="186">
        <f t="array" ref="I40">iferror(AVERAGE(
IFERROR(INDEX('INPUT SUMATIF'!$A:$CH,MATCH($D40,'INPUT SUMATIF'!$D:$D,0),MATCH($I$2,'INPUT SUMATIF'!$A$2:$CH$2,0)),""),
IFERROR(INDEX('INPUT SUMATIF'!$A:$CH,MATCH($D40,'INPUT SUMATIF'!$D:$D,0),MATCH($J$2,'INPUT SUMATIF'!$A$2:$CH$2,0)),"")
),"")</f>
        <v>82.75</v>
      </c>
      <c r="J40" s="180" t="s">
        <v>596</v>
      </c>
      <c r="K40" s="192">
        <f t="array" ref="K40">iferror(AVERAGE(
IFERROR(INDEX('INPUT SUMATIF'!$A:$CH,MATCH($D40,'INPUT SUMATIF'!$D:$D,0),MATCH($K$2,'INPUT SUMATIF'!$A$2:$CH$2,0)),""),
IFERROR(INDEX('INPUT SUMATIF'!$A:$CH,MATCH($D40,'INPUT SUMATIF'!$D:$D,0),MATCH($L$2,'INPUT SUMATIF'!$A$2:$CH$2,0)),"")
),"")</f>
        <v>84.66666667</v>
      </c>
      <c r="L40" s="180" t="s">
        <v>219</v>
      </c>
      <c r="M40" s="196">
        <f t="array" ref="M40">iferror(AVERAGE(
IFERROR(INDEX('INPUT SUMATIF'!$A:$CH,MATCH($D40,'INPUT SUMATIF'!$D:$D,0),MATCH($M$2,'INPUT SUMATIF'!$A$2:$CH$2,0)),""),
IFERROR(INDEX('INPUT SUMATIF'!$A:$CH,MATCH($D40,'INPUT SUMATIF'!$D:$D,0),MATCH($N$2,'INPUT SUMATIF'!$A$2:$CH$2,0)),"")
),"")</f>
        <v>89.75</v>
      </c>
      <c r="N40" s="201" t="s">
        <v>221</v>
      </c>
      <c r="O40" s="206">
        <f t="array" ref="O40">iferror(AVERAGE(
IFERROR(INDEX('INPUT SUMATIF'!$A:$CH,MATCH($D40,'INPUT SUMATIF'!$D:$D,0),MATCH($O$2,'INPUT SUMATIF'!$A$2:$CH$2,0)),""),
IFERROR(INDEX('INPUT SUMATIF'!$A:$CH,MATCH($D40,'INPUT SUMATIF'!$D:$D,0),MATCH($P$2,'INPUT SUMATIF'!$A$2:$CH$2,0)),"")
),"")</f>
        <v>85</v>
      </c>
      <c r="P40" s="180" t="s">
        <v>222</v>
      </c>
      <c r="Q40" s="210">
        <f t="array" ref="Q40">iferror(AVERAGE(
IFERROR(INDEX('INPUT SUMATIF'!$A:$CH,MATCH($D40,'INPUT SUMATIF'!$D:$D,0),MATCH($Q$2,'INPUT SUMATIF'!$A$2:$CH$2,0)),""),
IFERROR(INDEX('INPUT SUMATIF'!$A:$CH,MATCH($D40,'INPUT SUMATIF'!$D:$D,0),MATCH($R$2,'INPUT SUMATIF'!$A$2:$CH$2,0)),"")
),"")</f>
        <v>89</v>
      </c>
      <c r="R40" s="180" t="s">
        <v>229</v>
      </c>
      <c r="S40" s="215">
        <f t="array" ref="S40">iferror(AVERAGE(
IFERROR(INDEX('INPUT SUMATIF'!$A:$CH,MATCH($D40,'INPUT SUMATIF'!$D:$D,0),MATCH($S$2,'INPUT SUMATIF'!$A$2:$CH$2,0)),""),
IFERROR(INDEX('INPUT SUMATIF'!$A:$CH,MATCH($D40,'INPUT SUMATIF'!$D:$D,0),MATCH($T$2,'INPUT SUMATIF'!$A$2:$CH$2,0)),"")
),"")</f>
        <v>87.83333333</v>
      </c>
      <c r="T40" s="180" t="s">
        <v>233</v>
      </c>
      <c r="U40" s="221">
        <f t="array" ref="U40">iferror(AVERAGE(
IFERROR(INDEX('INPUT SUMATIF'!$A:$CH,MATCH($D40,'INPUT SUMATIF'!$D:$D,0),MATCH($U$2,'INPUT SUMATIF'!$A$2:$CH$2,0)),""),
IFERROR(INDEX('INPUT SUMATIF'!$A:$CH,MATCH($D40,'INPUT SUMATIF'!$D:$D,0),MATCH($V$2,'INPUT SUMATIF'!$A$2:$CH$2,0)),"")
),"")</f>
        <v>80</v>
      </c>
      <c r="V40" s="180" t="s">
        <v>234</v>
      </c>
      <c r="W40" s="175">
        <f t="array" ref="W40">iferror(AVERAGE(
IFERROR(INDEX('INPUT SUMATIF'!$A:$CH,MATCH($D40,'INPUT SUMATIF'!$D:$D,0),MATCH($W$2,'INPUT SUMATIF'!$A$2:$CH$2,0)),""),
IFERROR(INDEX('INPUT SUMATIF'!$A:$CH,MATCH($D40,'INPUT SUMATIF'!$D:$D,0),MATCH($X$2,'INPUT SUMATIF'!$A$2:$CH$2,0)),"")
),"")</f>
        <v>83</v>
      </c>
      <c r="X40" s="224" t="s">
        <v>235</v>
      </c>
      <c r="Y40" s="227">
        <f t="array" ref="Y40">iferror(AVERAGE(
IFERROR(INDEX('INPUT SUMATIF'!$A:$CH,MATCH($D40,'INPUT SUMATIF'!$D:$D,0),MATCH($Y$2,'INPUT SUMATIF'!$A$2:$CH$2,0)),""),
IFERROR(INDEX('INPUT SUMATIF'!$A:$CH,MATCH($D40,'INPUT SUMATIF'!$D:$D,0),MATCH($Z$2,'INPUT SUMATIF'!$A$2:$CH$2,0)),"")
),"")</f>
        <v>80</v>
      </c>
      <c r="Z40" s="228" t="s">
        <v>236</v>
      </c>
      <c r="AA40" s="227">
        <f t="array" ref="AA40">iferror(AVERAGE(
IFERROR(INDEX('INPUT SUMATIF'!$A:$CH,MATCH($D40,'INPUT SUMATIF'!$D:$D,0),MATCH($AA$2,'INPUT SUMATIF'!$A$2:$CH$2,0)),""),
IFERROR(INDEX('INPUT SUMATIF'!$A:$CH,MATCH($D40,'INPUT SUMATIF'!$D:$D,0),MATCH($AB$2,'INPUT SUMATIF'!$A$2:$CH$2,0)),"")
),"")</f>
        <v>83</v>
      </c>
      <c r="AB40" s="180" t="s">
        <v>237</v>
      </c>
      <c r="AC40" s="227">
        <f t="array" ref="AC40">iferror(AVERAGE(
IFERROR(INDEX('INPUT SUMATIF'!$A:$CH,MATCH($D40,'INPUT SUMATIF'!$D:$D,0),MATCH($AC$2,'INPUT SUMATIF'!$A$2:$CH$2,0)),""),
IFERROR(INDEX('INPUT SUMATIF'!$A:$CH,MATCH($D40,'INPUT SUMATIF'!$D:$D,0),MATCH($AD$2,'INPUT SUMATIF'!$A$2:$CH$2,0)),"")
),"")</f>
        <v>80.83333333</v>
      </c>
      <c r="AD40" s="180" t="s">
        <v>238</v>
      </c>
      <c r="AE40" s="227">
        <f t="array" ref="AE40">iferror(AVERAGE(
IFERROR(INDEX('INPUT SUMATIF'!$A:$CH,MATCH($D40,'INPUT SUMATIF'!$D:$D,0),MATCH($AE$2,'INPUT SUMATIF'!$A$2:$CH$2,0)),""),
IFERROR(INDEX('INPUT SUMATIF'!$A:$CH,MATCH($D40,'INPUT SUMATIF'!$D:$D,0),MATCH($AF$2,'INPUT SUMATIF'!$A$2:$CH$2,0)),"")
),"")</f>
        <v>79.33333333</v>
      </c>
      <c r="AF40" s="180" t="s">
        <v>239</v>
      </c>
      <c r="AG40" s="237" t="str">
        <f t="array" ref="AG40">iferror(AVERAGE(
IFERROR(INDEX('INPUT SUMATIF'!$A:$CH,MATCH($D40,'INPUT SUMATIF'!$D:$D,0),MATCH($AG$2,'INPUT SUMATIF'!$A$2:$CH$2,0)),""),
IFERROR(INDEX('INPUT SUMATIF'!$A:$CH,MATCH($D40,'INPUT SUMATIF'!$D:$D,0),MATCH($AH$2,'INPUT SUMATIF'!$A$2:$CH$2,0)),"")
),"")</f>
        <v/>
      </c>
      <c r="AH40" s="180"/>
      <c r="AI40" s="237" t="str">
        <f t="array" ref="AI40">iferror(AVERAGE(
IFERROR(INDEX('INPUT SUMATIF'!$A:$CH,MATCH($D40,'INPUT SUMATIF'!$D:$D,0),MATCH($AI$2,'INPUT SUMATIF'!$A$2:$CH$2,0)),""),
IFERROR(INDEX('INPUT SUMATIF'!$A:$CH,MATCH($D40,'INPUT SUMATIF'!$D:$D,0),MATCH($AJ$2,'INPUT SUMATIF'!$A$2:$CH$2,0)),"")
),"")</f>
        <v/>
      </c>
      <c r="AJ40" s="180"/>
      <c r="AK40" s="186" t="str">
        <f t="array" ref="AK40">iferror(AVERAGE(
IFERROR(INDEX('INPUT SUMATIF'!$A:$CH,MATCH($D40,'INPUT SUMATIF'!$D:$D,0),MATCH($AK$2,'INPUT SUMATIF'!$A$2:$CH$2,0)),""),
IFERROR(INDEX('INPUT SUMATIF'!$A:$CH,MATCH($D40,'INPUT SUMATIF'!$D:$D,0),MATCH($AL$2,'INPUT SUMATIF'!$A$2:$CH$2,0)),"")
),"")</f>
        <v/>
      </c>
      <c r="AL40" s="244"/>
      <c r="AM40" s="253" t="s">
        <v>240</v>
      </c>
      <c r="AN40" s="255"/>
      <c r="AO40" s="253"/>
      <c r="AP40" s="253"/>
      <c r="AQ40" s="260"/>
      <c r="AR40" s="263"/>
      <c r="AS40" s="265"/>
      <c r="AT40" s="265"/>
      <c r="AU40" s="265"/>
      <c r="AV40" s="265"/>
      <c r="AW40" s="265"/>
      <c r="AX40" s="265" t="s">
        <v>143</v>
      </c>
      <c r="AY40" s="265" t="s">
        <v>213</v>
      </c>
      <c r="AZ40" s="265" t="s">
        <v>213</v>
      </c>
      <c r="BA40" s="265" t="s">
        <v>611</v>
      </c>
      <c r="BB40" s="268" t="s">
        <v>248</v>
      </c>
    </row>
    <row r="41" ht="15.75" customHeight="1">
      <c r="A41" s="270">
        <f>IFERROR(__xludf.DUMMYFUNCTION("""COMPUTED_VALUE"""),38.0)</f>
        <v>38</v>
      </c>
      <c r="B41" s="270" t="str">
        <f>IFERROR(__xludf.DUMMYFUNCTION("""COMPUTED_VALUE"""),"2526100451")</f>
        <v>2526100451</v>
      </c>
      <c r="C41" s="270" t="str">
        <f>IFERROR(__xludf.DUMMYFUNCTION("""COMPUTED_VALUE"""),"3100673583")</f>
        <v>3100673583</v>
      </c>
      <c r="D41" s="274" t="str">
        <f>IFERROR(__xludf.DUMMYFUNCTION("""COMPUTED_VALUE"""),"RAFQA NUZULUL AKBAR SETIANA")</f>
        <v>RAFQA NUZULUL AKBAR SETIANA</v>
      </c>
      <c r="E41" s="277" t="str">
        <f>IFERROR(__xludf.DUMMYFUNCTION("""COMPUTED_VALUE"""),"X TO 4")</f>
        <v>X TO 4</v>
      </c>
      <c r="F41" s="277" t="s">
        <v>220</v>
      </c>
      <c r="G41" s="175">
        <f t="array" ref="G41">IFERROR(AVERAGE(
IFERROR(INDEX('INPUT SUMATIF'!$A:$CH,MATCH($D41,'INPUT SUMATIF'!$D:$D,0),MATCH($G$2,'INPUT SUMATIF'!$A$2:$CH$2,0)),""),
IFERROR(INDEX('INPUT SUMATIF'!$A:$CH,MATCH($D41,'INPUT SUMATIF'!$D:$D,0),MATCH($H$2,'INPUT SUMATIF'!$A$2:$CH$2,0)),"")
),"")</f>
        <v>81</v>
      </c>
      <c r="H41" s="180" t="s">
        <v>215</v>
      </c>
      <c r="I41" s="186">
        <f t="array" ref="I41">iferror(AVERAGE(
IFERROR(INDEX('INPUT SUMATIF'!$A:$CH,MATCH($D41,'INPUT SUMATIF'!$D:$D,0),MATCH($I$2,'INPUT SUMATIF'!$A$2:$CH$2,0)),""),
IFERROR(INDEX('INPUT SUMATIF'!$A:$CH,MATCH($D41,'INPUT SUMATIF'!$D:$D,0),MATCH($J$2,'INPUT SUMATIF'!$A$2:$CH$2,0)),"")
),"")</f>
        <v>81.75</v>
      </c>
      <c r="J41" s="180" t="s">
        <v>613</v>
      </c>
      <c r="K41" s="192">
        <f t="array" ref="K41">iferror(AVERAGE(
IFERROR(INDEX('INPUT SUMATIF'!$A:$CH,MATCH($D41,'INPUT SUMATIF'!$D:$D,0),MATCH($K$2,'INPUT SUMATIF'!$A$2:$CH$2,0)),""),
IFERROR(INDEX('INPUT SUMATIF'!$A:$CH,MATCH($D41,'INPUT SUMATIF'!$D:$D,0),MATCH($L$2,'INPUT SUMATIF'!$A$2:$CH$2,0)),"")
),"")</f>
        <v>83.66666667</v>
      </c>
      <c r="L41" s="180" t="s">
        <v>219</v>
      </c>
      <c r="M41" s="196">
        <f t="array" ref="M41">iferror(AVERAGE(
IFERROR(INDEX('INPUT SUMATIF'!$A:$CH,MATCH($D41,'INPUT SUMATIF'!$D:$D,0),MATCH($M$2,'INPUT SUMATIF'!$A$2:$CH$2,0)),""),
IFERROR(INDEX('INPUT SUMATIF'!$A:$CH,MATCH($D41,'INPUT SUMATIF'!$D:$D,0),MATCH($N$2,'INPUT SUMATIF'!$A$2:$CH$2,0)),"")
),"")</f>
        <v>86.25</v>
      </c>
      <c r="N41" s="201" t="s">
        <v>221</v>
      </c>
      <c r="O41" s="206">
        <f t="array" ref="O41">iferror(AVERAGE(
IFERROR(INDEX('INPUT SUMATIF'!$A:$CH,MATCH($D41,'INPUT SUMATIF'!$D:$D,0),MATCH($O$2,'INPUT SUMATIF'!$A$2:$CH$2,0)),""),
IFERROR(INDEX('INPUT SUMATIF'!$A:$CH,MATCH($D41,'INPUT SUMATIF'!$D:$D,0),MATCH($P$2,'INPUT SUMATIF'!$A$2:$CH$2,0)),"")
),"")</f>
        <v>83</v>
      </c>
      <c r="P41" s="180" t="s">
        <v>222</v>
      </c>
      <c r="Q41" s="210">
        <f t="array" ref="Q41">iferror(AVERAGE(
IFERROR(INDEX('INPUT SUMATIF'!$A:$CH,MATCH($D41,'INPUT SUMATIF'!$D:$D,0),MATCH($Q$2,'INPUT SUMATIF'!$A$2:$CH$2,0)),""),
IFERROR(INDEX('INPUT SUMATIF'!$A:$CH,MATCH($D41,'INPUT SUMATIF'!$D:$D,0),MATCH($R$2,'INPUT SUMATIF'!$A$2:$CH$2,0)),"")
),"")</f>
        <v>90</v>
      </c>
      <c r="R41" s="180" t="s">
        <v>229</v>
      </c>
      <c r="S41" s="215">
        <f t="array" ref="S41">iferror(AVERAGE(
IFERROR(INDEX('INPUT SUMATIF'!$A:$CH,MATCH($D41,'INPUT SUMATIF'!$D:$D,0),MATCH($S$2,'INPUT SUMATIF'!$A$2:$CH$2,0)),""),
IFERROR(INDEX('INPUT SUMATIF'!$A:$CH,MATCH($D41,'INPUT SUMATIF'!$D:$D,0),MATCH($T$2,'INPUT SUMATIF'!$A$2:$CH$2,0)),"")
),"")</f>
        <v>86.33333333</v>
      </c>
      <c r="T41" s="180" t="s">
        <v>233</v>
      </c>
      <c r="U41" s="221">
        <f t="array" ref="U41">iferror(AVERAGE(
IFERROR(INDEX('INPUT SUMATIF'!$A:$CH,MATCH($D41,'INPUT SUMATIF'!$D:$D,0),MATCH($U$2,'INPUT SUMATIF'!$A$2:$CH$2,0)),""),
IFERROR(INDEX('INPUT SUMATIF'!$A:$CH,MATCH($D41,'INPUT SUMATIF'!$D:$D,0),MATCH($V$2,'INPUT SUMATIF'!$A$2:$CH$2,0)),"")
),"")</f>
        <v>82</v>
      </c>
      <c r="V41" s="180" t="s">
        <v>234</v>
      </c>
      <c r="W41" s="175">
        <f t="array" ref="W41">iferror(AVERAGE(
IFERROR(INDEX('INPUT SUMATIF'!$A:$CH,MATCH($D41,'INPUT SUMATIF'!$D:$D,0),MATCH($W$2,'INPUT SUMATIF'!$A$2:$CH$2,0)),""),
IFERROR(INDEX('INPUT SUMATIF'!$A:$CH,MATCH($D41,'INPUT SUMATIF'!$D:$D,0),MATCH($X$2,'INPUT SUMATIF'!$A$2:$CH$2,0)),"")
),"")</f>
        <v>81.66666667</v>
      </c>
      <c r="X41" s="224" t="s">
        <v>235</v>
      </c>
      <c r="Y41" s="227">
        <f t="array" ref="Y41">iferror(AVERAGE(
IFERROR(INDEX('INPUT SUMATIF'!$A:$CH,MATCH($D41,'INPUT SUMATIF'!$D:$D,0),MATCH($Y$2,'INPUT SUMATIF'!$A$2:$CH$2,0)),""),
IFERROR(INDEX('INPUT SUMATIF'!$A:$CH,MATCH($D41,'INPUT SUMATIF'!$D:$D,0),MATCH($Z$2,'INPUT SUMATIF'!$A$2:$CH$2,0)),"")
),"")</f>
        <v>80</v>
      </c>
      <c r="Z41" s="228" t="s">
        <v>236</v>
      </c>
      <c r="AA41" s="227">
        <f t="array" ref="AA41">iferror(AVERAGE(
IFERROR(INDEX('INPUT SUMATIF'!$A:$CH,MATCH($D41,'INPUT SUMATIF'!$D:$D,0),MATCH($AA$2,'INPUT SUMATIF'!$A$2:$CH$2,0)),""),
IFERROR(INDEX('INPUT SUMATIF'!$A:$CH,MATCH($D41,'INPUT SUMATIF'!$D:$D,0),MATCH($AB$2,'INPUT SUMATIF'!$A$2:$CH$2,0)),"")
),"")</f>
        <v>84.66666667</v>
      </c>
      <c r="AB41" s="180" t="s">
        <v>237</v>
      </c>
      <c r="AC41" s="227">
        <f t="array" ref="AC41">iferror(AVERAGE(
IFERROR(INDEX('INPUT SUMATIF'!$A:$CH,MATCH($D41,'INPUT SUMATIF'!$D:$D,0),MATCH($AC$2,'INPUT SUMATIF'!$A$2:$CH$2,0)),""),
IFERROR(INDEX('INPUT SUMATIF'!$A:$CH,MATCH($D41,'INPUT SUMATIF'!$D:$D,0),MATCH($AD$2,'INPUT SUMATIF'!$A$2:$CH$2,0)),"")
),"")</f>
        <v>85</v>
      </c>
      <c r="AD41" s="180" t="s">
        <v>238</v>
      </c>
      <c r="AE41" s="227">
        <f t="array" ref="AE41">iferror(AVERAGE(
IFERROR(INDEX('INPUT SUMATIF'!$A:$CH,MATCH($D41,'INPUT SUMATIF'!$D:$D,0),MATCH($AE$2,'INPUT SUMATIF'!$A$2:$CH$2,0)),""),
IFERROR(INDEX('INPUT SUMATIF'!$A:$CH,MATCH($D41,'INPUT SUMATIF'!$D:$D,0),MATCH($AF$2,'INPUT SUMATIF'!$A$2:$CH$2,0)),"")
),"")</f>
        <v>79.66666667</v>
      </c>
      <c r="AF41" s="289" t="s">
        <v>239</v>
      </c>
      <c r="AG41" s="237" t="str">
        <f t="array" ref="AG41">iferror(AVERAGE(
IFERROR(INDEX('INPUT SUMATIF'!$A:$CH,MATCH($D41,'INPUT SUMATIF'!$D:$D,0),MATCH($AG$2,'INPUT SUMATIF'!$A$2:$CH$2,0)),""),
IFERROR(INDEX('INPUT SUMATIF'!$A:$CH,MATCH($D41,'INPUT SUMATIF'!$D:$D,0),MATCH($AH$2,'INPUT SUMATIF'!$A$2:$CH$2,0)),"")
),"")</f>
        <v/>
      </c>
      <c r="AH41" s="289"/>
      <c r="AI41" s="237" t="str">
        <f t="array" ref="AI41">iferror(AVERAGE(
IFERROR(INDEX('INPUT SUMATIF'!$A:$CH,MATCH($D41,'INPUT SUMATIF'!$D:$D,0),MATCH($AI$2,'INPUT SUMATIF'!$A$2:$CH$2,0)),""),
IFERROR(INDEX('INPUT SUMATIF'!$A:$CH,MATCH($D41,'INPUT SUMATIF'!$D:$D,0),MATCH($AJ$2,'INPUT SUMATIF'!$A$2:$CH$2,0)),"")
),"")</f>
        <v/>
      </c>
      <c r="AJ41" s="289"/>
      <c r="AK41" s="186" t="str">
        <f t="array" ref="AK41">iferror(AVERAGE(
IFERROR(INDEX('INPUT SUMATIF'!$A:$CH,MATCH($D41,'INPUT SUMATIF'!$D:$D,0),MATCH($AK$2,'INPUT SUMATIF'!$A$2:$CH$2,0)),""),
IFERROR(INDEX('INPUT SUMATIF'!$A:$CH,MATCH($D41,'INPUT SUMATIF'!$D:$D,0),MATCH($AL$2,'INPUT SUMATIF'!$A$2:$CH$2,0)),"")
),"")</f>
        <v/>
      </c>
      <c r="AL41" s="292"/>
      <c r="AM41" s="253" t="s">
        <v>240</v>
      </c>
      <c r="AN41" s="294"/>
      <c r="AO41" s="293"/>
      <c r="AP41" s="293"/>
      <c r="AQ41" s="296"/>
      <c r="AR41" s="298"/>
      <c r="AS41" s="267"/>
      <c r="AT41" s="267"/>
      <c r="AU41" s="267"/>
      <c r="AV41" s="267"/>
      <c r="AW41" s="267"/>
      <c r="AX41" s="267" t="s">
        <v>143</v>
      </c>
      <c r="AY41" s="267" t="s">
        <v>213</v>
      </c>
      <c r="AZ41" s="267" t="s">
        <v>213</v>
      </c>
      <c r="BA41" s="267" t="s">
        <v>241</v>
      </c>
      <c r="BB41" s="302" t="s">
        <v>248</v>
      </c>
    </row>
    <row r="42" ht="15.75" customHeight="1">
      <c r="A42" s="159">
        <f>IFERROR(__xludf.DUMMYFUNCTION("""COMPUTED_VALUE"""),39.0)</f>
        <v>39</v>
      </c>
      <c r="B42" s="159" t="str">
        <f>IFERROR(__xludf.DUMMYFUNCTION("""COMPUTED_VALUE"""),"2526100452")</f>
        <v>2526100452</v>
      </c>
      <c r="C42" s="159" t="str">
        <f>IFERROR(__xludf.DUMMYFUNCTION("""COMPUTED_VALUE"""),"0098144365")</f>
        <v>0098144365</v>
      </c>
      <c r="D42" s="164" t="str">
        <f>IFERROR(__xludf.DUMMYFUNCTION("""COMPUTED_VALUE"""),"RIDO MUHAMAD NUR FADILAH")</f>
        <v>RIDO MUHAMAD NUR FADILAH</v>
      </c>
      <c r="E42" s="165" t="str">
        <f>IFERROR(__xludf.DUMMYFUNCTION("""COMPUTED_VALUE"""),"X TO 4")</f>
        <v>X TO 4</v>
      </c>
      <c r="F42" s="165" t="s">
        <v>220</v>
      </c>
      <c r="G42" s="175">
        <f t="array" ref="G42">IFERROR(AVERAGE(
IFERROR(INDEX('INPUT SUMATIF'!$A:$CH,MATCH($D42,'INPUT SUMATIF'!$D:$D,0),MATCH($G$2,'INPUT SUMATIF'!$A$2:$CH$2,0)),""),
IFERROR(INDEX('INPUT SUMATIF'!$A:$CH,MATCH($D42,'INPUT SUMATIF'!$D:$D,0),MATCH($H$2,'INPUT SUMATIF'!$A$2:$CH$2,0)),"")
),"")</f>
        <v>79</v>
      </c>
      <c r="H42" s="180" t="s">
        <v>215</v>
      </c>
      <c r="I42" s="186">
        <f t="array" ref="I42">iferror(AVERAGE(
IFERROR(INDEX('INPUT SUMATIF'!$A:$CH,MATCH($D42,'INPUT SUMATIF'!$D:$D,0),MATCH($I$2,'INPUT SUMATIF'!$A$2:$CH$2,0)),""),
IFERROR(INDEX('INPUT SUMATIF'!$A:$CH,MATCH($D42,'INPUT SUMATIF'!$D:$D,0),MATCH($J$2,'INPUT SUMATIF'!$A$2:$CH$2,0)),"")
),"")</f>
        <v>80.75</v>
      </c>
      <c r="J42" s="180" t="s">
        <v>625</v>
      </c>
      <c r="K42" s="192">
        <f t="array" ref="K42">iferror(AVERAGE(
IFERROR(INDEX('INPUT SUMATIF'!$A:$CH,MATCH($D42,'INPUT SUMATIF'!$D:$D,0),MATCH($K$2,'INPUT SUMATIF'!$A$2:$CH$2,0)),""),
IFERROR(INDEX('INPUT SUMATIF'!$A:$CH,MATCH($D42,'INPUT SUMATIF'!$D:$D,0),MATCH($L$2,'INPUT SUMATIF'!$A$2:$CH$2,0)),"")
),"")</f>
        <v>79.66666667</v>
      </c>
      <c r="L42" s="180" t="s">
        <v>219</v>
      </c>
      <c r="M42" s="196">
        <f t="array" ref="M42">iferror(AVERAGE(
IFERROR(INDEX('INPUT SUMATIF'!$A:$CH,MATCH($D42,'INPUT SUMATIF'!$D:$D,0),MATCH($M$2,'INPUT SUMATIF'!$A$2:$CH$2,0)),""),
IFERROR(INDEX('INPUT SUMATIF'!$A:$CH,MATCH($D42,'INPUT SUMATIF'!$D:$D,0),MATCH($N$2,'INPUT SUMATIF'!$A$2:$CH$2,0)),"")
),"")</f>
        <v>92.5</v>
      </c>
      <c r="N42" s="201" t="s">
        <v>221</v>
      </c>
      <c r="O42" s="206">
        <f t="array" ref="O42">iferror(AVERAGE(
IFERROR(INDEX('INPUT SUMATIF'!$A:$CH,MATCH($D42,'INPUT SUMATIF'!$D:$D,0),MATCH($O$2,'INPUT SUMATIF'!$A$2:$CH$2,0)),""),
IFERROR(INDEX('INPUT SUMATIF'!$A:$CH,MATCH($D42,'INPUT SUMATIF'!$D:$D,0),MATCH($P$2,'INPUT SUMATIF'!$A$2:$CH$2,0)),"")
),"")</f>
        <v>37</v>
      </c>
      <c r="P42" s="180" t="s">
        <v>222</v>
      </c>
      <c r="Q42" s="210">
        <f t="array" ref="Q42">iferror(AVERAGE(
IFERROR(INDEX('INPUT SUMATIF'!$A:$CH,MATCH($D42,'INPUT SUMATIF'!$D:$D,0),MATCH($Q$2,'INPUT SUMATIF'!$A$2:$CH$2,0)),""),
IFERROR(INDEX('INPUT SUMATIF'!$A:$CH,MATCH($D42,'INPUT SUMATIF'!$D:$D,0),MATCH($R$2,'INPUT SUMATIF'!$A$2:$CH$2,0)),"")
),"")</f>
        <v>90</v>
      </c>
      <c r="R42" s="180" t="s">
        <v>229</v>
      </c>
      <c r="S42" s="215">
        <f t="array" ref="S42">iferror(AVERAGE(
IFERROR(INDEX('INPUT SUMATIF'!$A:$CH,MATCH($D42,'INPUT SUMATIF'!$D:$D,0),MATCH($S$2,'INPUT SUMATIF'!$A$2:$CH$2,0)),""),
IFERROR(INDEX('INPUT SUMATIF'!$A:$CH,MATCH($D42,'INPUT SUMATIF'!$D:$D,0),MATCH($T$2,'INPUT SUMATIF'!$A$2:$CH$2,0)),"")
),"")</f>
        <v>19.16666667</v>
      </c>
      <c r="T42" s="180" t="s">
        <v>233</v>
      </c>
      <c r="U42" s="221">
        <f t="array" ref="U42">iferror(AVERAGE(
IFERROR(INDEX('INPUT SUMATIF'!$A:$CH,MATCH($D42,'INPUT SUMATIF'!$D:$D,0),MATCH($U$2,'INPUT SUMATIF'!$A$2:$CH$2,0)),""),
IFERROR(INDEX('INPUT SUMATIF'!$A:$CH,MATCH($D42,'INPUT SUMATIF'!$D:$D,0),MATCH($V$2,'INPUT SUMATIF'!$A$2:$CH$2,0)),"")
),"")</f>
        <v>78</v>
      </c>
      <c r="V42" s="180" t="s">
        <v>234</v>
      </c>
      <c r="W42" s="175">
        <f t="array" ref="W42">iferror(AVERAGE(
IFERROR(INDEX('INPUT SUMATIF'!$A:$CH,MATCH($D42,'INPUT SUMATIF'!$D:$D,0),MATCH($W$2,'INPUT SUMATIF'!$A$2:$CH$2,0)),""),
IFERROR(INDEX('INPUT SUMATIF'!$A:$CH,MATCH($D42,'INPUT SUMATIF'!$D:$D,0),MATCH($X$2,'INPUT SUMATIF'!$A$2:$CH$2,0)),"")
),"")</f>
        <v>73.33333333</v>
      </c>
      <c r="X42" s="224" t="s">
        <v>235</v>
      </c>
      <c r="Y42" s="227">
        <f t="array" ref="Y42">iferror(AVERAGE(
IFERROR(INDEX('INPUT SUMATIF'!$A:$CH,MATCH($D42,'INPUT SUMATIF'!$D:$D,0),MATCH($Y$2,'INPUT SUMATIF'!$A$2:$CH$2,0)),""),
IFERROR(INDEX('INPUT SUMATIF'!$A:$CH,MATCH($D42,'INPUT SUMATIF'!$D:$D,0),MATCH($Z$2,'INPUT SUMATIF'!$A$2:$CH$2,0)),"")
),"")</f>
        <v>80</v>
      </c>
      <c r="Z42" s="228" t="s">
        <v>236</v>
      </c>
      <c r="AA42" s="227">
        <f t="array" ref="AA42">iferror(AVERAGE(
IFERROR(INDEX('INPUT SUMATIF'!$A:$CH,MATCH($D42,'INPUT SUMATIF'!$D:$D,0),MATCH($AA$2,'INPUT SUMATIF'!$A$2:$CH$2,0)),""),
IFERROR(INDEX('INPUT SUMATIF'!$A:$CH,MATCH($D42,'INPUT SUMATIF'!$D:$D,0),MATCH($AB$2,'INPUT SUMATIF'!$A$2:$CH$2,0)),"")
),"")</f>
        <v>55.33333333</v>
      </c>
      <c r="AB42" s="180" t="s">
        <v>237</v>
      </c>
      <c r="AC42" s="227">
        <f t="array" ref="AC42">iferror(AVERAGE(
IFERROR(INDEX('INPUT SUMATIF'!$A:$CH,MATCH($D42,'INPUT SUMATIF'!$D:$D,0),MATCH($AC$2,'INPUT SUMATIF'!$A$2:$CH$2,0)),""),
IFERROR(INDEX('INPUT SUMATIF'!$A:$CH,MATCH($D42,'INPUT SUMATIF'!$D:$D,0),MATCH($AD$2,'INPUT SUMATIF'!$A$2:$CH$2,0)),"")
),"")</f>
        <v>80.5</v>
      </c>
      <c r="AD42" s="180" t="s">
        <v>238</v>
      </c>
      <c r="AE42" s="227">
        <f t="array" ref="AE42">iferror(AVERAGE(
IFERROR(INDEX('INPUT SUMATIF'!$A:$CH,MATCH($D42,'INPUT SUMATIF'!$D:$D,0),MATCH($AE$2,'INPUT SUMATIF'!$A$2:$CH$2,0)),""),
IFERROR(INDEX('INPUT SUMATIF'!$A:$CH,MATCH($D42,'INPUT SUMATIF'!$D:$D,0),MATCH($AF$2,'INPUT SUMATIF'!$A$2:$CH$2,0)),"")
),"")</f>
        <v>78.33333333</v>
      </c>
      <c r="AF42" s="180" t="s">
        <v>239</v>
      </c>
      <c r="AG42" s="237" t="str">
        <f t="array" ref="AG42">iferror(AVERAGE(
IFERROR(INDEX('INPUT SUMATIF'!$A:$CH,MATCH($D42,'INPUT SUMATIF'!$D:$D,0),MATCH($AG$2,'INPUT SUMATIF'!$A$2:$CH$2,0)),""),
IFERROR(INDEX('INPUT SUMATIF'!$A:$CH,MATCH($D42,'INPUT SUMATIF'!$D:$D,0),MATCH($AH$2,'INPUT SUMATIF'!$A$2:$CH$2,0)),"")
),"")</f>
        <v/>
      </c>
      <c r="AH42" s="180"/>
      <c r="AI42" s="237" t="str">
        <f t="array" ref="AI42">iferror(AVERAGE(
IFERROR(INDEX('INPUT SUMATIF'!$A:$CH,MATCH($D42,'INPUT SUMATIF'!$D:$D,0),MATCH($AI$2,'INPUT SUMATIF'!$A$2:$CH$2,0)),""),
IFERROR(INDEX('INPUT SUMATIF'!$A:$CH,MATCH($D42,'INPUT SUMATIF'!$D:$D,0),MATCH($AJ$2,'INPUT SUMATIF'!$A$2:$CH$2,0)),"")
),"")</f>
        <v/>
      </c>
      <c r="AJ42" s="180"/>
      <c r="AK42" s="186" t="str">
        <f t="array" ref="AK42">iferror(AVERAGE(
IFERROR(INDEX('INPUT SUMATIF'!$A:$CH,MATCH($D42,'INPUT SUMATIF'!$D:$D,0),MATCH($AK$2,'INPUT SUMATIF'!$A$2:$CH$2,0)),""),
IFERROR(INDEX('INPUT SUMATIF'!$A:$CH,MATCH($D42,'INPUT SUMATIF'!$D:$D,0),MATCH($AL$2,'INPUT SUMATIF'!$A$2:$CH$2,0)),"")
),"")</f>
        <v/>
      </c>
      <c r="AL42" s="244"/>
      <c r="AM42" s="293" t="s">
        <v>245</v>
      </c>
      <c r="AN42" s="255"/>
      <c r="AO42" s="253"/>
      <c r="AP42" s="253"/>
      <c r="AQ42" s="260"/>
      <c r="AR42" s="263"/>
      <c r="AS42" s="265"/>
      <c r="AT42" s="265"/>
      <c r="AU42" s="265"/>
      <c r="AV42" s="265"/>
      <c r="AW42" s="265"/>
      <c r="AX42" s="265" t="s">
        <v>213</v>
      </c>
      <c r="AY42" s="265" t="s">
        <v>143</v>
      </c>
      <c r="AZ42" s="265" t="s">
        <v>145</v>
      </c>
      <c r="BA42" s="267" t="s">
        <v>241</v>
      </c>
      <c r="BB42" s="268" t="s">
        <v>248</v>
      </c>
    </row>
    <row r="43" ht="15.75" customHeight="1">
      <c r="A43" s="270">
        <f>IFERROR(__xludf.DUMMYFUNCTION("""COMPUTED_VALUE"""),40.0)</f>
        <v>40</v>
      </c>
      <c r="B43" s="270" t="str">
        <f>IFERROR(__xludf.DUMMYFUNCTION("""COMPUTED_VALUE"""),"2526100453")</f>
        <v>2526100453</v>
      </c>
      <c r="C43" s="270" t="str">
        <f>IFERROR(__xludf.DUMMYFUNCTION("""COMPUTED_VALUE"""),"0101384399")</f>
        <v>0101384399</v>
      </c>
      <c r="D43" s="274" t="str">
        <f>IFERROR(__xludf.DUMMYFUNCTION("""COMPUTED_VALUE"""),"RIFAL KAMILUL AJHAR")</f>
        <v>RIFAL KAMILUL AJHAR</v>
      </c>
      <c r="E43" s="277" t="str">
        <f>IFERROR(__xludf.DUMMYFUNCTION("""COMPUTED_VALUE"""),"X TO 4")</f>
        <v>X TO 4</v>
      </c>
      <c r="F43" s="277" t="s">
        <v>220</v>
      </c>
      <c r="G43" s="175">
        <f t="array" ref="G43">IFERROR(AVERAGE(
IFERROR(INDEX('INPUT SUMATIF'!$A:$CH,MATCH($D43,'INPUT SUMATIF'!$D:$D,0),MATCH($G$2,'INPUT SUMATIF'!$A$2:$CH$2,0)),""),
IFERROR(INDEX('INPUT SUMATIF'!$A:$CH,MATCH($D43,'INPUT SUMATIF'!$D:$D,0),MATCH($H$2,'INPUT SUMATIF'!$A$2:$CH$2,0)),"")
),"")</f>
        <v>80.25</v>
      </c>
      <c r="H43" s="180" t="s">
        <v>215</v>
      </c>
      <c r="I43" s="186">
        <f t="array" ref="I43">iferror(AVERAGE(
IFERROR(INDEX('INPUT SUMATIF'!$A:$CH,MATCH($D43,'INPUT SUMATIF'!$D:$D,0),MATCH($I$2,'INPUT SUMATIF'!$A$2:$CH$2,0)),""),
IFERROR(INDEX('INPUT SUMATIF'!$A:$CH,MATCH($D43,'INPUT SUMATIF'!$D:$D,0),MATCH($J$2,'INPUT SUMATIF'!$A$2:$CH$2,0)),"")
),"")</f>
        <v>82.25</v>
      </c>
      <c r="J43" s="180" t="s">
        <v>633</v>
      </c>
      <c r="K43" s="192">
        <f t="array" ref="K43">iferror(AVERAGE(
IFERROR(INDEX('INPUT SUMATIF'!$A:$CH,MATCH($D43,'INPUT SUMATIF'!$D:$D,0),MATCH($K$2,'INPUT SUMATIF'!$A$2:$CH$2,0)),""),
IFERROR(INDEX('INPUT SUMATIF'!$A:$CH,MATCH($D43,'INPUT SUMATIF'!$D:$D,0),MATCH($L$2,'INPUT SUMATIF'!$A$2:$CH$2,0)),"")
),"")</f>
        <v>79.66666667</v>
      </c>
      <c r="L43" s="180" t="s">
        <v>219</v>
      </c>
      <c r="M43" s="196">
        <f t="array" ref="M43">iferror(AVERAGE(
IFERROR(INDEX('INPUT SUMATIF'!$A:$CH,MATCH($D43,'INPUT SUMATIF'!$D:$D,0),MATCH($M$2,'INPUT SUMATIF'!$A$2:$CH$2,0)),""),
IFERROR(INDEX('INPUT SUMATIF'!$A:$CH,MATCH($D43,'INPUT SUMATIF'!$D:$D,0),MATCH($N$2,'INPUT SUMATIF'!$A$2:$CH$2,0)),"")
),"")</f>
        <v>92.25</v>
      </c>
      <c r="N43" s="201" t="s">
        <v>221</v>
      </c>
      <c r="O43" s="206">
        <f t="array" ref="O43">iferror(AVERAGE(
IFERROR(INDEX('INPUT SUMATIF'!$A:$CH,MATCH($D43,'INPUT SUMATIF'!$D:$D,0),MATCH($O$2,'INPUT SUMATIF'!$A$2:$CH$2,0)),""),
IFERROR(INDEX('INPUT SUMATIF'!$A:$CH,MATCH($D43,'INPUT SUMATIF'!$D:$D,0),MATCH($P$2,'INPUT SUMATIF'!$A$2:$CH$2,0)),"")
),"")</f>
        <v>83</v>
      </c>
      <c r="P43" s="180" t="s">
        <v>222</v>
      </c>
      <c r="Q43" s="210">
        <f t="array" ref="Q43">iferror(AVERAGE(
IFERROR(INDEX('INPUT SUMATIF'!$A:$CH,MATCH($D43,'INPUT SUMATIF'!$D:$D,0),MATCH($Q$2,'INPUT SUMATIF'!$A$2:$CH$2,0)),""),
IFERROR(INDEX('INPUT SUMATIF'!$A:$CH,MATCH($D43,'INPUT SUMATIF'!$D:$D,0),MATCH($R$2,'INPUT SUMATIF'!$A$2:$CH$2,0)),"")
),"")</f>
        <v>89.83333333</v>
      </c>
      <c r="R43" s="180" t="s">
        <v>229</v>
      </c>
      <c r="S43" s="215">
        <f t="array" ref="S43">iferror(AVERAGE(
IFERROR(INDEX('INPUT SUMATIF'!$A:$CH,MATCH($D43,'INPUT SUMATIF'!$D:$D,0),MATCH($S$2,'INPUT SUMATIF'!$A$2:$CH$2,0)),""),
IFERROR(INDEX('INPUT SUMATIF'!$A:$CH,MATCH($D43,'INPUT SUMATIF'!$D:$D,0),MATCH($T$2,'INPUT SUMATIF'!$A$2:$CH$2,0)),"")
),"")</f>
        <v>86.33333333</v>
      </c>
      <c r="T43" s="180" t="s">
        <v>233</v>
      </c>
      <c r="U43" s="221">
        <f t="array" ref="U43">iferror(AVERAGE(
IFERROR(INDEX('INPUT SUMATIF'!$A:$CH,MATCH($D43,'INPUT SUMATIF'!$D:$D,0),MATCH($U$2,'INPUT SUMATIF'!$A$2:$CH$2,0)),""),
IFERROR(INDEX('INPUT SUMATIF'!$A:$CH,MATCH($D43,'INPUT SUMATIF'!$D:$D,0),MATCH($V$2,'INPUT SUMATIF'!$A$2:$CH$2,0)),"")
),"")</f>
        <v>78</v>
      </c>
      <c r="V43" s="180" t="s">
        <v>234</v>
      </c>
      <c r="W43" s="175">
        <f t="array" ref="W43">iferror(AVERAGE(
IFERROR(INDEX('INPUT SUMATIF'!$A:$CH,MATCH($D43,'INPUT SUMATIF'!$D:$D,0),MATCH($W$2,'INPUT SUMATIF'!$A$2:$CH$2,0)),""),
IFERROR(INDEX('INPUT SUMATIF'!$A:$CH,MATCH($D43,'INPUT SUMATIF'!$D:$D,0),MATCH($X$2,'INPUT SUMATIF'!$A$2:$CH$2,0)),"")
),"")</f>
        <v>73.33333333</v>
      </c>
      <c r="X43" s="224" t="s">
        <v>235</v>
      </c>
      <c r="Y43" s="227">
        <f t="array" ref="Y43">iferror(AVERAGE(
IFERROR(INDEX('INPUT SUMATIF'!$A:$CH,MATCH($D43,'INPUT SUMATIF'!$D:$D,0),MATCH($Y$2,'INPUT SUMATIF'!$A$2:$CH$2,0)),""),
IFERROR(INDEX('INPUT SUMATIF'!$A:$CH,MATCH($D43,'INPUT SUMATIF'!$D:$D,0),MATCH($Z$2,'INPUT SUMATIF'!$A$2:$CH$2,0)),"")
),"")</f>
        <v>80</v>
      </c>
      <c r="Z43" s="228" t="s">
        <v>236</v>
      </c>
      <c r="AA43" s="227">
        <f t="array" ref="AA43">iferror(AVERAGE(
IFERROR(INDEX('INPUT SUMATIF'!$A:$CH,MATCH($D43,'INPUT SUMATIF'!$D:$D,0),MATCH($AA$2,'INPUT SUMATIF'!$A$2:$CH$2,0)),""),
IFERROR(INDEX('INPUT SUMATIF'!$A:$CH,MATCH($D43,'INPUT SUMATIF'!$D:$D,0),MATCH($AB$2,'INPUT SUMATIF'!$A$2:$CH$2,0)),"")
),"")</f>
        <v>52.83333333</v>
      </c>
      <c r="AB43" s="180" t="s">
        <v>237</v>
      </c>
      <c r="AC43" s="227">
        <f t="array" ref="AC43">iferror(AVERAGE(
IFERROR(INDEX('INPUT SUMATIF'!$A:$CH,MATCH($D43,'INPUT SUMATIF'!$D:$D,0),MATCH($AC$2,'INPUT SUMATIF'!$A$2:$CH$2,0)),""),
IFERROR(INDEX('INPUT SUMATIF'!$A:$CH,MATCH($D43,'INPUT SUMATIF'!$D:$D,0),MATCH($AD$2,'INPUT SUMATIF'!$A$2:$CH$2,0)),"")
),"")</f>
        <v>80.83333333</v>
      </c>
      <c r="AD43" s="180" t="s">
        <v>238</v>
      </c>
      <c r="AE43" s="227">
        <f t="array" ref="AE43">iferror(AVERAGE(
IFERROR(INDEX('INPUT SUMATIF'!$A:$CH,MATCH($D43,'INPUT SUMATIF'!$D:$D,0),MATCH($AE$2,'INPUT SUMATIF'!$A$2:$CH$2,0)),""),
IFERROR(INDEX('INPUT SUMATIF'!$A:$CH,MATCH($D43,'INPUT SUMATIF'!$D:$D,0),MATCH($AF$2,'INPUT SUMATIF'!$A$2:$CH$2,0)),"")
),"")</f>
        <v>78.66666667</v>
      </c>
      <c r="AF43" s="289" t="s">
        <v>239</v>
      </c>
      <c r="AG43" s="237" t="str">
        <f t="array" ref="AG43">iferror(AVERAGE(
IFERROR(INDEX('INPUT SUMATIF'!$A:$CH,MATCH($D43,'INPUT SUMATIF'!$D:$D,0),MATCH($AG$2,'INPUT SUMATIF'!$A$2:$CH$2,0)),""),
IFERROR(INDEX('INPUT SUMATIF'!$A:$CH,MATCH($D43,'INPUT SUMATIF'!$D:$D,0),MATCH($AH$2,'INPUT SUMATIF'!$A$2:$CH$2,0)),"")
),"")</f>
        <v/>
      </c>
      <c r="AH43" s="289"/>
      <c r="AI43" s="237" t="str">
        <f t="array" ref="AI43">iferror(AVERAGE(
IFERROR(INDEX('INPUT SUMATIF'!$A:$CH,MATCH($D43,'INPUT SUMATIF'!$D:$D,0),MATCH($AI$2,'INPUT SUMATIF'!$A$2:$CH$2,0)),""),
IFERROR(INDEX('INPUT SUMATIF'!$A:$CH,MATCH($D43,'INPUT SUMATIF'!$D:$D,0),MATCH($AJ$2,'INPUT SUMATIF'!$A$2:$CH$2,0)),"")
),"")</f>
        <v/>
      </c>
      <c r="AJ43" s="289"/>
      <c r="AK43" s="186" t="str">
        <f t="array" ref="AK43">iferror(AVERAGE(
IFERROR(INDEX('INPUT SUMATIF'!$A:$CH,MATCH($D43,'INPUT SUMATIF'!$D:$D,0),MATCH($AK$2,'INPUT SUMATIF'!$A$2:$CH$2,0)),""),
IFERROR(INDEX('INPUT SUMATIF'!$A:$CH,MATCH($D43,'INPUT SUMATIF'!$D:$D,0),MATCH($AL$2,'INPUT SUMATIF'!$A$2:$CH$2,0)),"")
),"")</f>
        <v/>
      </c>
      <c r="AL43" s="292"/>
      <c r="AM43" s="253" t="s">
        <v>240</v>
      </c>
      <c r="AN43" s="294"/>
      <c r="AO43" s="293"/>
      <c r="AP43" s="293"/>
      <c r="AQ43" s="296"/>
      <c r="AR43" s="298"/>
      <c r="AS43" s="267"/>
      <c r="AT43" s="267"/>
      <c r="AU43" s="267"/>
      <c r="AV43" s="267"/>
      <c r="AW43" s="267"/>
      <c r="AX43" s="267" t="s">
        <v>143</v>
      </c>
      <c r="AY43" s="267" t="s">
        <v>213</v>
      </c>
      <c r="AZ43" s="267" t="s">
        <v>213</v>
      </c>
      <c r="BA43" s="267" t="s">
        <v>241</v>
      </c>
      <c r="BB43" s="302" t="s">
        <v>248</v>
      </c>
    </row>
    <row r="44" ht="15.75" customHeight="1">
      <c r="A44" s="159">
        <f>IFERROR(__xludf.DUMMYFUNCTION("""COMPUTED_VALUE"""),41.0)</f>
        <v>41</v>
      </c>
      <c r="B44" s="159" t="str">
        <f>IFERROR(__xludf.DUMMYFUNCTION("""COMPUTED_VALUE"""),"2526100454")</f>
        <v>2526100454</v>
      </c>
      <c r="C44" s="159" t="str">
        <f>IFERROR(__xludf.DUMMYFUNCTION("""COMPUTED_VALUE"""),"0095007656")</f>
        <v>0095007656</v>
      </c>
      <c r="D44" s="164" t="str">
        <f>IFERROR(__xludf.DUMMYFUNCTION("""COMPUTED_VALUE"""),"RIVALDI MAULANA")</f>
        <v>RIVALDI MAULANA</v>
      </c>
      <c r="E44" s="165" t="str">
        <f>IFERROR(__xludf.DUMMYFUNCTION("""COMPUTED_VALUE"""),"X TO 4")</f>
        <v>X TO 4</v>
      </c>
      <c r="F44" s="165" t="s">
        <v>220</v>
      </c>
      <c r="G44" s="175" t="str">
        <f t="array" ref="G44">IFERROR(AVERAGE(
IFERROR(INDEX('INPUT SUMATIF'!$A:$CH,MATCH($D44,'INPUT SUMATIF'!$D:$D,0),MATCH($G$2,'INPUT SUMATIF'!$A$2:$CH$2,0)),""),
IFERROR(INDEX('INPUT SUMATIF'!$A:$CH,MATCH($D44,'INPUT SUMATIF'!$D:$D,0),MATCH($H$2,'INPUT SUMATIF'!$A$2:$CH$2,0)),"")
),"")</f>
        <v/>
      </c>
      <c r="H44" s="180" t="s">
        <v>215</v>
      </c>
      <c r="I44" s="186" t="str">
        <f t="array" ref="I44">iferror(AVERAGE(
IFERROR(INDEX('INPUT SUMATIF'!$A:$CH,MATCH($D44,'INPUT SUMATIF'!$D:$D,0),MATCH($I$2,'INPUT SUMATIF'!$A$2:$CH$2,0)),""),
IFERROR(INDEX('INPUT SUMATIF'!$A:$CH,MATCH($D44,'INPUT SUMATIF'!$D:$D,0),MATCH($J$2,'INPUT SUMATIF'!$A$2:$CH$2,0)),"")
),"")</f>
        <v/>
      </c>
      <c r="J44" s="180" t="s">
        <v>767</v>
      </c>
      <c r="K44" s="192">
        <f t="array" ref="K44">iferror(AVERAGE(
IFERROR(INDEX('INPUT SUMATIF'!$A:$CH,MATCH($D44,'INPUT SUMATIF'!$D:$D,0),MATCH($K$2,'INPUT SUMATIF'!$A$2:$CH$2,0)),""),
IFERROR(INDEX('INPUT SUMATIF'!$A:$CH,MATCH($D44,'INPUT SUMATIF'!$D:$D,0),MATCH($L$2,'INPUT SUMATIF'!$A$2:$CH$2,0)),"")
),"")</f>
        <v>34.33333333</v>
      </c>
      <c r="L44" s="180" t="s">
        <v>219</v>
      </c>
      <c r="M44" s="196">
        <f t="array" ref="M44">iferror(AVERAGE(
IFERROR(INDEX('INPUT SUMATIF'!$A:$CH,MATCH($D44,'INPUT SUMATIF'!$D:$D,0),MATCH($M$2,'INPUT SUMATIF'!$A$2:$CH$2,0)),""),
IFERROR(INDEX('INPUT SUMATIF'!$A:$CH,MATCH($D44,'INPUT SUMATIF'!$D:$D,0),MATCH($N$2,'INPUT SUMATIF'!$A$2:$CH$2,0)),"")
),"")</f>
        <v>77.5</v>
      </c>
      <c r="N44" s="201" t="s">
        <v>221</v>
      </c>
      <c r="O44" s="206">
        <f t="array" ref="O44">iferror(AVERAGE(
IFERROR(INDEX('INPUT SUMATIF'!$A:$CH,MATCH($D44,'INPUT SUMATIF'!$D:$D,0),MATCH($O$2,'INPUT SUMATIF'!$A$2:$CH$2,0)),""),
IFERROR(INDEX('INPUT SUMATIF'!$A:$CH,MATCH($D44,'INPUT SUMATIF'!$D:$D,0),MATCH($P$2,'INPUT SUMATIF'!$A$2:$CH$2,0)),"")
),"")</f>
        <v>67</v>
      </c>
      <c r="P44" s="180" t="s">
        <v>222</v>
      </c>
      <c r="Q44" s="210">
        <f t="array" ref="Q44">iferror(AVERAGE(
IFERROR(INDEX('INPUT SUMATIF'!$A:$CH,MATCH($D44,'INPUT SUMATIF'!$D:$D,0),MATCH($Q$2,'INPUT SUMATIF'!$A$2:$CH$2,0)),""),
IFERROR(INDEX('INPUT SUMATIF'!$A:$CH,MATCH($D44,'INPUT SUMATIF'!$D:$D,0),MATCH($R$2,'INPUT SUMATIF'!$A$2:$CH$2,0)),"")
),"")</f>
        <v>89.16666667</v>
      </c>
      <c r="R44" s="180" t="s">
        <v>229</v>
      </c>
      <c r="S44" s="215">
        <f t="array" ref="S44">iferror(AVERAGE(
IFERROR(INDEX('INPUT SUMATIF'!$A:$CH,MATCH($D44,'INPUT SUMATIF'!$D:$D,0),MATCH($S$2,'INPUT SUMATIF'!$A$2:$CH$2,0)),""),
IFERROR(INDEX('INPUT SUMATIF'!$A:$CH,MATCH($D44,'INPUT SUMATIF'!$D:$D,0),MATCH($T$2,'INPUT SUMATIF'!$A$2:$CH$2,0)),"")
),"")</f>
        <v>11.66666667</v>
      </c>
      <c r="T44" s="180" t="s">
        <v>233</v>
      </c>
      <c r="U44" s="221">
        <f t="array" ref="U44">iferror(AVERAGE(
IFERROR(INDEX('INPUT SUMATIF'!$A:$CH,MATCH($D44,'INPUT SUMATIF'!$D:$D,0),MATCH($U$2,'INPUT SUMATIF'!$A$2:$CH$2,0)),""),
IFERROR(INDEX('INPUT SUMATIF'!$A:$CH,MATCH($D44,'INPUT SUMATIF'!$D:$D,0),MATCH($V$2,'INPUT SUMATIF'!$A$2:$CH$2,0)),"")
),"")</f>
        <v>72</v>
      </c>
      <c r="V44" s="180" t="s">
        <v>234</v>
      </c>
      <c r="W44" s="175">
        <f t="array" ref="W44">iferror(AVERAGE(
IFERROR(INDEX('INPUT SUMATIF'!$A:$CH,MATCH($D44,'INPUT SUMATIF'!$D:$D,0),MATCH($W$2,'INPUT SUMATIF'!$A$2:$CH$2,0)),""),
IFERROR(INDEX('INPUT SUMATIF'!$A:$CH,MATCH($D44,'INPUT SUMATIF'!$D:$D,0),MATCH($X$2,'INPUT SUMATIF'!$A$2:$CH$2,0)),"")
),"")</f>
        <v>72.16666667</v>
      </c>
      <c r="X44" s="224" t="s">
        <v>235</v>
      </c>
      <c r="Y44" s="227">
        <f t="array" ref="Y44">iferror(AVERAGE(
IFERROR(INDEX('INPUT SUMATIF'!$A:$CH,MATCH($D44,'INPUT SUMATIF'!$D:$D,0),MATCH($Y$2,'INPUT SUMATIF'!$A$2:$CH$2,0)),""),
IFERROR(INDEX('INPUT SUMATIF'!$A:$CH,MATCH($D44,'INPUT SUMATIF'!$D:$D,0),MATCH($Z$2,'INPUT SUMATIF'!$A$2:$CH$2,0)),"")
),"")</f>
        <v>80</v>
      </c>
      <c r="Z44" s="228" t="s">
        <v>236</v>
      </c>
      <c r="AA44" s="227">
        <f t="array" ref="AA44">iferror(AVERAGE(
IFERROR(INDEX('INPUT SUMATIF'!$A:$CH,MATCH($D44,'INPUT SUMATIF'!$D:$D,0),MATCH($AA$2,'INPUT SUMATIF'!$A$2:$CH$2,0)),""),
IFERROR(INDEX('INPUT SUMATIF'!$A:$CH,MATCH($D44,'INPUT SUMATIF'!$D:$D,0),MATCH($AB$2,'INPUT SUMATIF'!$A$2:$CH$2,0)),"")
),"")</f>
        <v>0</v>
      </c>
      <c r="AB44" s="180" t="s">
        <v>237</v>
      </c>
      <c r="AC44" s="227">
        <f t="array" ref="AC44">iferror(AVERAGE(
IFERROR(INDEX('INPUT SUMATIF'!$A:$CH,MATCH($D44,'INPUT SUMATIF'!$D:$D,0),MATCH($AC$2,'INPUT SUMATIF'!$A$2:$CH$2,0)),""),
IFERROR(INDEX('INPUT SUMATIF'!$A:$CH,MATCH($D44,'INPUT SUMATIF'!$D:$D,0),MATCH($AD$2,'INPUT SUMATIF'!$A$2:$CH$2,0)),"")
),"")</f>
        <v>50</v>
      </c>
      <c r="AD44" s="180" t="s">
        <v>238</v>
      </c>
      <c r="AE44" s="227">
        <f t="array" ref="AE44">iferror(AVERAGE(
IFERROR(INDEX('INPUT SUMATIF'!$A:$CH,MATCH($D44,'INPUT SUMATIF'!$D:$D,0),MATCH($AE$2,'INPUT SUMATIF'!$A$2:$CH$2,0)),""),
IFERROR(INDEX('INPUT SUMATIF'!$A:$CH,MATCH($D44,'INPUT SUMATIF'!$D:$D,0),MATCH($AF$2,'INPUT SUMATIF'!$A$2:$CH$2,0)),"")
),"")</f>
        <v>46.66666667</v>
      </c>
      <c r="AF44" s="180" t="s">
        <v>239</v>
      </c>
      <c r="AG44" s="237" t="str">
        <f t="array" ref="AG44">iferror(AVERAGE(
IFERROR(INDEX('INPUT SUMATIF'!$A:$CH,MATCH($D44,'INPUT SUMATIF'!$D:$D,0),MATCH($AG$2,'INPUT SUMATIF'!$A$2:$CH$2,0)),""),
IFERROR(INDEX('INPUT SUMATIF'!$A:$CH,MATCH($D44,'INPUT SUMATIF'!$D:$D,0),MATCH($AH$2,'INPUT SUMATIF'!$A$2:$CH$2,0)),"")
),"")</f>
        <v/>
      </c>
      <c r="AH44" s="180"/>
      <c r="AI44" s="237" t="str">
        <f t="array" ref="AI44">iferror(AVERAGE(
IFERROR(INDEX('INPUT SUMATIF'!$A:$CH,MATCH($D44,'INPUT SUMATIF'!$D:$D,0),MATCH($AI$2,'INPUT SUMATIF'!$A$2:$CH$2,0)),""),
IFERROR(INDEX('INPUT SUMATIF'!$A:$CH,MATCH($D44,'INPUT SUMATIF'!$D:$D,0),MATCH($AJ$2,'INPUT SUMATIF'!$A$2:$CH$2,0)),"")
),"")</f>
        <v/>
      </c>
      <c r="AJ44" s="180"/>
      <c r="AK44" s="186" t="str">
        <f t="array" ref="AK44">iferror(AVERAGE(
IFERROR(INDEX('INPUT SUMATIF'!$A:$CH,MATCH($D44,'INPUT SUMATIF'!$D:$D,0),MATCH($AK$2,'INPUT SUMATIF'!$A$2:$CH$2,0)),""),
IFERROR(INDEX('INPUT SUMATIF'!$A:$CH,MATCH($D44,'INPUT SUMATIF'!$D:$D,0),MATCH($AL$2,'INPUT SUMATIF'!$A$2:$CH$2,0)),"")
),"")</f>
        <v/>
      </c>
      <c r="AL44" s="244"/>
      <c r="AM44" s="293" t="s">
        <v>245</v>
      </c>
      <c r="AN44" s="255"/>
      <c r="AO44" s="253"/>
      <c r="AP44" s="253"/>
      <c r="AQ44" s="260"/>
      <c r="AR44" s="263"/>
      <c r="AS44" s="265"/>
      <c r="AT44" s="265"/>
      <c r="AU44" s="265"/>
      <c r="AV44" s="265"/>
      <c r="AW44" s="265"/>
      <c r="AX44" s="265" t="s">
        <v>157</v>
      </c>
      <c r="AY44" s="265" t="s">
        <v>135</v>
      </c>
      <c r="AZ44" s="265" t="s">
        <v>173</v>
      </c>
      <c r="BA44" s="267" t="s">
        <v>241</v>
      </c>
      <c r="BB44" s="268" t="s">
        <v>248</v>
      </c>
    </row>
    <row r="45" ht="15.75" customHeight="1">
      <c r="A45" s="270">
        <f>IFERROR(__xludf.DUMMYFUNCTION("""COMPUTED_VALUE"""),42.0)</f>
        <v>42</v>
      </c>
      <c r="B45" s="270" t="str">
        <f>IFERROR(__xludf.DUMMYFUNCTION("""COMPUTED_VALUE"""),"2526100455")</f>
        <v>2526100455</v>
      </c>
      <c r="C45" s="270" t="str">
        <f>IFERROR(__xludf.DUMMYFUNCTION("""COMPUTED_VALUE"""),"3095900062")</f>
        <v>3095900062</v>
      </c>
      <c r="D45" s="274" t="str">
        <f>IFERROR(__xludf.DUMMYFUNCTION("""COMPUTED_VALUE"""),"RIZAL RISMAYANDI")</f>
        <v>RIZAL RISMAYANDI</v>
      </c>
      <c r="E45" s="277" t="str">
        <f>IFERROR(__xludf.DUMMYFUNCTION("""COMPUTED_VALUE"""),"X TO 4")</f>
        <v>X TO 4</v>
      </c>
      <c r="F45" s="277" t="s">
        <v>220</v>
      </c>
      <c r="G45" s="175">
        <f t="array" ref="G45">IFERROR(AVERAGE(
IFERROR(INDEX('INPUT SUMATIF'!$A:$CH,MATCH($D45,'INPUT SUMATIF'!$D:$D,0),MATCH($G$2,'INPUT SUMATIF'!$A$2:$CH$2,0)),""),
IFERROR(INDEX('INPUT SUMATIF'!$A:$CH,MATCH($D45,'INPUT SUMATIF'!$D:$D,0),MATCH($H$2,'INPUT SUMATIF'!$A$2:$CH$2,0)),"")
),"")</f>
        <v>78.25</v>
      </c>
      <c r="H45" s="180" t="s">
        <v>215</v>
      </c>
      <c r="I45" s="186">
        <f t="array" ref="I45">iferror(AVERAGE(
IFERROR(INDEX('INPUT SUMATIF'!$A:$CH,MATCH($D45,'INPUT SUMATIF'!$D:$D,0),MATCH($I$2,'INPUT SUMATIF'!$A$2:$CH$2,0)),""),
IFERROR(INDEX('INPUT SUMATIF'!$A:$CH,MATCH($D45,'INPUT SUMATIF'!$D:$D,0),MATCH($J$2,'INPUT SUMATIF'!$A$2:$CH$2,0)),"")
),"")</f>
        <v>81.75</v>
      </c>
      <c r="J45" s="180" t="s">
        <v>848</v>
      </c>
      <c r="K45" s="192">
        <f t="array" ref="K45">iferror(AVERAGE(
IFERROR(INDEX('INPUT SUMATIF'!$A:$CH,MATCH($D45,'INPUT SUMATIF'!$D:$D,0),MATCH($K$2,'INPUT SUMATIF'!$A$2:$CH$2,0)),""),
IFERROR(INDEX('INPUT SUMATIF'!$A:$CH,MATCH($D45,'INPUT SUMATIF'!$D:$D,0),MATCH($L$2,'INPUT SUMATIF'!$A$2:$CH$2,0)),"")
),"")</f>
        <v>79.33333333</v>
      </c>
      <c r="L45" s="180" t="s">
        <v>219</v>
      </c>
      <c r="M45" s="196">
        <f t="array" ref="M45">iferror(AVERAGE(
IFERROR(INDEX('INPUT SUMATIF'!$A:$CH,MATCH($D45,'INPUT SUMATIF'!$D:$D,0),MATCH($M$2,'INPUT SUMATIF'!$A$2:$CH$2,0)),""),
IFERROR(INDEX('INPUT SUMATIF'!$A:$CH,MATCH($D45,'INPUT SUMATIF'!$D:$D,0),MATCH($N$2,'INPUT SUMATIF'!$A$2:$CH$2,0)),"")
),"")</f>
        <v>85</v>
      </c>
      <c r="N45" s="201" t="s">
        <v>221</v>
      </c>
      <c r="O45" s="206">
        <f t="array" ref="O45">iferror(AVERAGE(
IFERROR(INDEX('INPUT SUMATIF'!$A:$CH,MATCH($D45,'INPUT SUMATIF'!$D:$D,0),MATCH($O$2,'INPUT SUMATIF'!$A$2:$CH$2,0)),""),
IFERROR(INDEX('INPUT SUMATIF'!$A:$CH,MATCH($D45,'INPUT SUMATIF'!$D:$D,0),MATCH($P$2,'INPUT SUMATIF'!$A$2:$CH$2,0)),"")
),"")</f>
        <v>67</v>
      </c>
      <c r="P45" s="180" t="s">
        <v>222</v>
      </c>
      <c r="Q45" s="210">
        <f t="array" ref="Q45">iferror(AVERAGE(
IFERROR(INDEX('INPUT SUMATIF'!$A:$CH,MATCH($D45,'INPUT SUMATIF'!$D:$D,0),MATCH($Q$2,'INPUT SUMATIF'!$A$2:$CH$2,0)),""),
IFERROR(INDEX('INPUT SUMATIF'!$A:$CH,MATCH($D45,'INPUT SUMATIF'!$D:$D,0),MATCH($R$2,'INPUT SUMATIF'!$A$2:$CH$2,0)),"")
),"")</f>
        <v>89.66666667</v>
      </c>
      <c r="R45" s="180" t="s">
        <v>229</v>
      </c>
      <c r="S45" s="215">
        <f t="array" ref="S45">iferror(AVERAGE(
IFERROR(INDEX('INPUT SUMATIF'!$A:$CH,MATCH($D45,'INPUT SUMATIF'!$D:$D,0),MATCH($S$2,'INPUT SUMATIF'!$A$2:$CH$2,0)),""),
IFERROR(INDEX('INPUT SUMATIF'!$A:$CH,MATCH($D45,'INPUT SUMATIF'!$D:$D,0),MATCH($T$2,'INPUT SUMATIF'!$A$2:$CH$2,0)),"")
),"")</f>
        <v>21.66666667</v>
      </c>
      <c r="T45" s="180" t="s">
        <v>233</v>
      </c>
      <c r="U45" s="221">
        <f t="array" ref="U45">iferror(AVERAGE(
IFERROR(INDEX('INPUT SUMATIF'!$A:$CH,MATCH($D45,'INPUT SUMATIF'!$D:$D,0),MATCH($U$2,'INPUT SUMATIF'!$A$2:$CH$2,0)),""),
IFERROR(INDEX('INPUT SUMATIF'!$A:$CH,MATCH($D45,'INPUT SUMATIF'!$D:$D,0),MATCH($V$2,'INPUT SUMATIF'!$A$2:$CH$2,0)),"")
),"")</f>
        <v>72</v>
      </c>
      <c r="V45" s="180" t="s">
        <v>234</v>
      </c>
      <c r="W45" s="175">
        <f t="array" ref="W45">iferror(AVERAGE(
IFERROR(INDEX('INPUT SUMATIF'!$A:$CH,MATCH($D45,'INPUT SUMATIF'!$D:$D,0),MATCH($W$2,'INPUT SUMATIF'!$A$2:$CH$2,0)),""),
IFERROR(INDEX('INPUT SUMATIF'!$A:$CH,MATCH($D45,'INPUT SUMATIF'!$D:$D,0),MATCH($X$2,'INPUT SUMATIF'!$A$2:$CH$2,0)),"")
),"")</f>
        <v>73</v>
      </c>
      <c r="X45" s="224" t="s">
        <v>235</v>
      </c>
      <c r="Y45" s="227">
        <f t="array" ref="Y45">iferror(AVERAGE(
IFERROR(INDEX('INPUT SUMATIF'!$A:$CH,MATCH($D45,'INPUT SUMATIF'!$D:$D,0),MATCH($Y$2,'INPUT SUMATIF'!$A$2:$CH$2,0)),""),
IFERROR(INDEX('INPUT SUMATIF'!$A:$CH,MATCH($D45,'INPUT SUMATIF'!$D:$D,0),MATCH($Z$2,'INPUT SUMATIF'!$A$2:$CH$2,0)),"")
),"")</f>
        <v>80</v>
      </c>
      <c r="Z45" s="228" t="s">
        <v>236</v>
      </c>
      <c r="AA45" s="227">
        <f t="array" ref="AA45">iferror(AVERAGE(
IFERROR(INDEX('INPUT SUMATIF'!$A:$CH,MATCH($D45,'INPUT SUMATIF'!$D:$D,0),MATCH($AA$2,'INPUT SUMATIF'!$A$2:$CH$2,0)),""),
IFERROR(INDEX('INPUT SUMATIF'!$A:$CH,MATCH($D45,'INPUT SUMATIF'!$D:$D,0),MATCH($AB$2,'INPUT SUMATIF'!$A$2:$CH$2,0)),"")
),"")</f>
        <v>52.16666667</v>
      </c>
      <c r="AB45" s="180" t="s">
        <v>237</v>
      </c>
      <c r="AC45" s="227">
        <f t="array" ref="AC45">iferror(AVERAGE(
IFERROR(INDEX('INPUT SUMATIF'!$A:$CH,MATCH($D45,'INPUT SUMATIF'!$D:$D,0),MATCH($AC$2,'INPUT SUMATIF'!$A$2:$CH$2,0)),""),
IFERROR(INDEX('INPUT SUMATIF'!$A:$CH,MATCH($D45,'INPUT SUMATIF'!$D:$D,0),MATCH($AD$2,'INPUT SUMATIF'!$A$2:$CH$2,0)),"")
),"")</f>
        <v>79.66666667</v>
      </c>
      <c r="AD45" s="180" t="s">
        <v>238</v>
      </c>
      <c r="AE45" s="227">
        <f t="array" ref="AE45">iferror(AVERAGE(
IFERROR(INDEX('INPUT SUMATIF'!$A:$CH,MATCH($D45,'INPUT SUMATIF'!$D:$D,0),MATCH($AE$2,'INPUT SUMATIF'!$A$2:$CH$2,0)),""),
IFERROR(INDEX('INPUT SUMATIF'!$A:$CH,MATCH($D45,'INPUT SUMATIF'!$D:$D,0),MATCH($AF$2,'INPUT SUMATIF'!$A$2:$CH$2,0)),"")
),"")</f>
        <v>78.66666667</v>
      </c>
      <c r="AF45" s="289" t="s">
        <v>239</v>
      </c>
      <c r="AG45" s="237" t="str">
        <f t="array" ref="AG45">iferror(AVERAGE(
IFERROR(INDEX('INPUT SUMATIF'!$A:$CH,MATCH($D45,'INPUT SUMATIF'!$D:$D,0),MATCH($AG$2,'INPUT SUMATIF'!$A$2:$CH$2,0)),""),
IFERROR(INDEX('INPUT SUMATIF'!$A:$CH,MATCH($D45,'INPUT SUMATIF'!$D:$D,0),MATCH($AH$2,'INPUT SUMATIF'!$A$2:$CH$2,0)),"")
),"")</f>
        <v/>
      </c>
      <c r="AH45" s="289"/>
      <c r="AI45" s="237" t="str">
        <f t="array" ref="AI45">iferror(AVERAGE(
IFERROR(INDEX('INPUT SUMATIF'!$A:$CH,MATCH($D45,'INPUT SUMATIF'!$D:$D,0),MATCH($AI$2,'INPUT SUMATIF'!$A$2:$CH$2,0)),""),
IFERROR(INDEX('INPUT SUMATIF'!$A:$CH,MATCH($D45,'INPUT SUMATIF'!$D:$D,0),MATCH($AJ$2,'INPUT SUMATIF'!$A$2:$CH$2,0)),"")
),"")</f>
        <v/>
      </c>
      <c r="AJ45" s="289"/>
      <c r="AK45" s="186" t="str">
        <f t="array" ref="AK45">iferror(AVERAGE(
IFERROR(INDEX('INPUT SUMATIF'!$A:$CH,MATCH($D45,'INPUT SUMATIF'!$D:$D,0),MATCH($AK$2,'INPUT SUMATIF'!$A$2:$CH$2,0)),""),
IFERROR(INDEX('INPUT SUMATIF'!$A:$CH,MATCH($D45,'INPUT SUMATIF'!$D:$D,0),MATCH($AL$2,'INPUT SUMATIF'!$A$2:$CH$2,0)),"")
),"")</f>
        <v/>
      </c>
      <c r="AL45" s="292"/>
      <c r="AM45" s="293" t="s">
        <v>245</v>
      </c>
      <c r="AN45" s="294"/>
      <c r="AO45" s="293"/>
      <c r="AP45" s="293"/>
      <c r="AQ45" s="296"/>
      <c r="AR45" s="298"/>
      <c r="AS45" s="267"/>
      <c r="AT45" s="267"/>
      <c r="AU45" s="267"/>
      <c r="AV45" s="267"/>
      <c r="AW45" s="267"/>
      <c r="AX45" s="267" t="s">
        <v>164</v>
      </c>
      <c r="AY45" s="267" t="s">
        <v>213</v>
      </c>
      <c r="AZ45" s="267" t="s">
        <v>135</v>
      </c>
      <c r="BA45" s="267" t="s">
        <v>241</v>
      </c>
      <c r="BB45" s="302" t="s">
        <v>248</v>
      </c>
    </row>
    <row r="46" ht="15.75" customHeight="1">
      <c r="A46" s="159">
        <f>IFERROR(__xludf.DUMMYFUNCTION("""COMPUTED_VALUE"""),43.0)</f>
        <v>43</v>
      </c>
      <c r="B46" s="159" t="str">
        <f>IFERROR(__xludf.DUMMYFUNCTION("""COMPUTED_VALUE"""),"2526100456")</f>
        <v>2526100456</v>
      </c>
      <c r="C46" s="159" t="str">
        <f>IFERROR(__xludf.DUMMYFUNCTION("""COMPUTED_VALUE"""),"0097206975")</f>
        <v>0097206975</v>
      </c>
      <c r="D46" s="164" t="str">
        <f>IFERROR(__xludf.DUMMYFUNCTION("""COMPUTED_VALUE"""),"RIZKI ADITIA PRATAMA")</f>
        <v>RIZKI ADITIA PRATAMA</v>
      </c>
      <c r="E46" s="165" t="str">
        <f>IFERROR(__xludf.DUMMYFUNCTION("""COMPUTED_VALUE"""),"X TO 4")</f>
        <v>X TO 4</v>
      </c>
      <c r="F46" s="165" t="s">
        <v>220</v>
      </c>
      <c r="G46" s="175">
        <f t="array" ref="G46">IFERROR(AVERAGE(
IFERROR(INDEX('INPUT SUMATIF'!$A:$CH,MATCH($D46,'INPUT SUMATIF'!$D:$D,0),MATCH($G$2,'INPUT SUMATIF'!$A$2:$CH$2,0)),""),
IFERROR(INDEX('INPUT SUMATIF'!$A:$CH,MATCH($D46,'INPUT SUMATIF'!$D:$D,0),MATCH($H$2,'INPUT SUMATIF'!$A$2:$CH$2,0)),"")
),"")</f>
        <v>78.75</v>
      </c>
      <c r="H46" s="180" t="s">
        <v>215</v>
      </c>
      <c r="I46" s="186">
        <f t="array" ref="I46">iferror(AVERAGE(
IFERROR(INDEX('INPUT SUMATIF'!$A:$CH,MATCH($D46,'INPUT SUMATIF'!$D:$D,0),MATCH($I$2,'INPUT SUMATIF'!$A$2:$CH$2,0)),""),
IFERROR(INDEX('INPUT SUMATIF'!$A:$CH,MATCH($D46,'INPUT SUMATIF'!$D:$D,0),MATCH($J$2,'INPUT SUMATIF'!$A$2:$CH$2,0)),"")
),"")</f>
        <v>83.25</v>
      </c>
      <c r="J46" s="180" t="s">
        <v>930</v>
      </c>
      <c r="K46" s="192">
        <f t="array" ref="K46">iferror(AVERAGE(
IFERROR(INDEX('INPUT SUMATIF'!$A:$CH,MATCH($D46,'INPUT SUMATIF'!$D:$D,0),MATCH($K$2,'INPUT SUMATIF'!$A$2:$CH$2,0)),""),
IFERROR(INDEX('INPUT SUMATIF'!$A:$CH,MATCH($D46,'INPUT SUMATIF'!$D:$D,0),MATCH($L$2,'INPUT SUMATIF'!$A$2:$CH$2,0)),"")
),"")</f>
        <v>75.66666667</v>
      </c>
      <c r="L46" s="180" t="s">
        <v>219</v>
      </c>
      <c r="M46" s="196">
        <f t="array" ref="M46">iferror(AVERAGE(
IFERROR(INDEX('INPUT SUMATIF'!$A:$CH,MATCH($D46,'INPUT SUMATIF'!$D:$D,0),MATCH($M$2,'INPUT SUMATIF'!$A$2:$CH$2,0)),""),
IFERROR(INDEX('INPUT SUMATIF'!$A:$CH,MATCH($D46,'INPUT SUMATIF'!$D:$D,0),MATCH($N$2,'INPUT SUMATIF'!$A$2:$CH$2,0)),"")
),"")</f>
        <v>90.5</v>
      </c>
      <c r="N46" s="201" t="s">
        <v>221</v>
      </c>
      <c r="O46" s="206">
        <f t="array" ref="O46">iferror(AVERAGE(
IFERROR(INDEX('INPUT SUMATIF'!$A:$CH,MATCH($D46,'INPUT SUMATIF'!$D:$D,0),MATCH($O$2,'INPUT SUMATIF'!$A$2:$CH$2,0)),""),
IFERROR(INDEX('INPUT SUMATIF'!$A:$CH,MATCH($D46,'INPUT SUMATIF'!$D:$D,0),MATCH($P$2,'INPUT SUMATIF'!$A$2:$CH$2,0)),"")
),"")</f>
        <v>78</v>
      </c>
      <c r="P46" s="180" t="s">
        <v>222</v>
      </c>
      <c r="Q46" s="210">
        <f t="array" ref="Q46">iferror(AVERAGE(
IFERROR(INDEX('INPUT SUMATIF'!$A:$CH,MATCH($D46,'INPUT SUMATIF'!$D:$D,0),MATCH($Q$2,'INPUT SUMATIF'!$A$2:$CH$2,0)),""),
IFERROR(INDEX('INPUT SUMATIF'!$A:$CH,MATCH($D46,'INPUT SUMATIF'!$D:$D,0),MATCH($R$2,'INPUT SUMATIF'!$A$2:$CH$2,0)),"")
),"")</f>
        <v>90</v>
      </c>
      <c r="R46" s="180" t="s">
        <v>229</v>
      </c>
      <c r="S46" s="215">
        <f t="array" ref="S46">iferror(AVERAGE(
IFERROR(INDEX('INPUT SUMATIF'!$A:$CH,MATCH($D46,'INPUT SUMATIF'!$D:$D,0),MATCH($S$2,'INPUT SUMATIF'!$A$2:$CH$2,0)),""),
IFERROR(INDEX('INPUT SUMATIF'!$A:$CH,MATCH($D46,'INPUT SUMATIF'!$D:$D,0),MATCH($T$2,'INPUT SUMATIF'!$A$2:$CH$2,0)),"")
),"")</f>
        <v>78.33333333</v>
      </c>
      <c r="T46" s="180" t="s">
        <v>233</v>
      </c>
      <c r="U46" s="221">
        <f t="array" ref="U46">iferror(AVERAGE(
IFERROR(INDEX('INPUT SUMATIF'!$A:$CH,MATCH($D46,'INPUT SUMATIF'!$D:$D,0),MATCH($U$2,'INPUT SUMATIF'!$A$2:$CH$2,0)),""),
IFERROR(INDEX('INPUT SUMATIF'!$A:$CH,MATCH($D46,'INPUT SUMATIF'!$D:$D,0),MATCH($V$2,'INPUT SUMATIF'!$A$2:$CH$2,0)),"")
),"")</f>
        <v>72</v>
      </c>
      <c r="V46" s="180" t="s">
        <v>234</v>
      </c>
      <c r="W46" s="175">
        <f t="array" ref="W46">iferror(AVERAGE(
IFERROR(INDEX('INPUT SUMATIF'!$A:$CH,MATCH($D46,'INPUT SUMATIF'!$D:$D,0),MATCH($W$2,'INPUT SUMATIF'!$A$2:$CH$2,0)),""),
IFERROR(INDEX('INPUT SUMATIF'!$A:$CH,MATCH($D46,'INPUT SUMATIF'!$D:$D,0),MATCH($X$2,'INPUT SUMATIF'!$A$2:$CH$2,0)),"")
),"")</f>
        <v>73</v>
      </c>
      <c r="X46" s="224" t="s">
        <v>235</v>
      </c>
      <c r="Y46" s="227">
        <f t="array" ref="Y46">iferror(AVERAGE(
IFERROR(INDEX('INPUT SUMATIF'!$A:$CH,MATCH($D46,'INPUT SUMATIF'!$D:$D,0),MATCH($Y$2,'INPUT SUMATIF'!$A$2:$CH$2,0)),""),
IFERROR(INDEX('INPUT SUMATIF'!$A:$CH,MATCH($D46,'INPUT SUMATIF'!$D:$D,0),MATCH($Z$2,'INPUT SUMATIF'!$A$2:$CH$2,0)),"")
),"")</f>
        <v>80</v>
      </c>
      <c r="Z46" s="228" t="s">
        <v>236</v>
      </c>
      <c r="AA46" s="227">
        <f t="array" ref="AA46">iferror(AVERAGE(
IFERROR(INDEX('INPUT SUMATIF'!$A:$CH,MATCH($D46,'INPUT SUMATIF'!$D:$D,0),MATCH($AA$2,'INPUT SUMATIF'!$A$2:$CH$2,0)),""),
IFERROR(INDEX('INPUT SUMATIF'!$A:$CH,MATCH($D46,'INPUT SUMATIF'!$D:$D,0),MATCH($AB$2,'INPUT SUMATIF'!$A$2:$CH$2,0)),"")
),"")</f>
        <v>52.33333333</v>
      </c>
      <c r="AB46" s="180" t="s">
        <v>237</v>
      </c>
      <c r="AC46" s="227">
        <f t="array" ref="AC46">iferror(AVERAGE(
IFERROR(INDEX('INPUT SUMATIF'!$A:$CH,MATCH($D46,'INPUT SUMATIF'!$D:$D,0),MATCH($AC$2,'INPUT SUMATIF'!$A$2:$CH$2,0)),""),
IFERROR(INDEX('INPUT SUMATIF'!$A:$CH,MATCH($D46,'INPUT SUMATIF'!$D:$D,0),MATCH($AD$2,'INPUT SUMATIF'!$A$2:$CH$2,0)),"")
),"")</f>
        <v>80</v>
      </c>
      <c r="AD46" s="180" t="s">
        <v>238</v>
      </c>
      <c r="AE46" s="227">
        <f t="array" ref="AE46">iferror(AVERAGE(
IFERROR(INDEX('INPUT SUMATIF'!$A:$CH,MATCH($D46,'INPUT SUMATIF'!$D:$D,0),MATCH($AE$2,'INPUT SUMATIF'!$A$2:$CH$2,0)),""),
IFERROR(INDEX('INPUT SUMATIF'!$A:$CH,MATCH($D46,'INPUT SUMATIF'!$D:$D,0),MATCH($AF$2,'INPUT SUMATIF'!$A$2:$CH$2,0)),"")
),"")</f>
        <v>78</v>
      </c>
      <c r="AF46" s="180" t="s">
        <v>239</v>
      </c>
      <c r="AG46" s="237" t="str">
        <f t="array" ref="AG46">iferror(AVERAGE(
IFERROR(INDEX('INPUT SUMATIF'!$A:$CH,MATCH($D46,'INPUT SUMATIF'!$D:$D,0),MATCH($AG$2,'INPUT SUMATIF'!$A$2:$CH$2,0)),""),
IFERROR(INDEX('INPUT SUMATIF'!$A:$CH,MATCH($D46,'INPUT SUMATIF'!$D:$D,0),MATCH($AH$2,'INPUT SUMATIF'!$A$2:$CH$2,0)),"")
),"")</f>
        <v/>
      </c>
      <c r="AH46" s="180"/>
      <c r="AI46" s="237" t="str">
        <f t="array" ref="AI46">iferror(AVERAGE(
IFERROR(INDEX('INPUT SUMATIF'!$A:$CH,MATCH($D46,'INPUT SUMATIF'!$D:$D,0),MATCH($AI$2,'INPUT SUMATIF'!$A$2:$CH$2,0)),""),
IFERROR(INDEX('INPUT SUMATIF'!$A:$CH,MATCH($D46,'INPUT SUMATIF'!$D:$D,0),MATCH($AJ$2,'INPUT SUMATIF'!$A$2:$CH$2,0)),"")
),"")</f>
        <v/>
      </c>
      <c r="AJ46" s="180"/>
      <c r="AK46" s="186" t="str">
        <f t="array" ref="AK46">iferror(AVERAGE(
IFERROR(INDEX('INPUT SUMATIF'!$A:$CH,MATCH($D46,'INPUT SUMATIF'!$D:$D,0),MATCH($AK$2,'INPUT SUMATIF'!$A$2:$CH$2,0)),""),
IFERROR(INDEX('INPUT SUMATIF'!$A:$CH,MATCH($D46,'INPUT SUMATIF'!$D:$D,0),MATCH($AL$2,'INPUT SUMATIF'!$A$2:$CH$2,0)),"")
),"")</f>
        <v/>
      </c>
      <c r="AL46" s="244"/>
      <c r="AM46" s="253" t="s">
        <v>277</v>
      </c>
      <c r="AN46" s="255"/>
      <c r="AO46" s="253"/>
      <c r="AP46" s="253"/>
      <c r="AQ46" s="260"/>
      <c r="AR46" s="263"/>
      <c r="AS46" s="265"/>
      <c r="AT46" s="265"/>
      <c r="AU46" s="265"/>
      <c r="AV46" s="265"/>
      <c r="AW46" s="265"/>
      <c r="AX46" s="265" t="s">
        <v>143</v>
      </c>
      <c r="AY46" s="265" t="s">
        <v>213</v>
      </c>
      <c r="AZ46" s="265" t="s">
        <v>135</v>
      </c>
      <c r="BA46" s="267" t="s">
        <v>241</v>
      </c>
      <c r="BB46" s="268" t="s">
        <v>248</v>
      </c>
    </row>
    <row r="47" ht="15.75" customHeight="1">
      <c r="A47" s="270">
        <f>IFERROR(__xludf.DUMMYFUNCTION("""COMPUTED_VALUE"""),44.0)</f>
        <v>44</v>
      </c>
      <c r="B47" s="270" t="str">
        <f>IFERROR(__xludf.DUMMYFUNCTION("""COMPUTED_VALUE"""),"2526100457")</f>
        <v>2526100457</v>
      </c>
      <c r="C47" s="270" t="str">
        <f>IFERROR(__xludf.DUMMYFUNCTION("""COMPUTED_VALUE"""),"0099911084")</f>
        <v>0099911084</v>
      </c>
      <c r="D47" s="274" t="str">
        <f>IFERROR(__xludf.DUMMYFUNCTION("""COMPUTED_VALUE"""),"SURYA BAGJA JUNIOR")</f>
        <v>SURYA BAGJA JUNIOR</v>
      </c>
      <c r="E47" s="277" t="str">
        <f>IFERROR(__xludf.DUMMYFUNCTION("""COMPUTED_VALUE"""),"X TO 4")</f>
        <v>X TO 4</v>
      </c>
      <c r="F47" s="277" t="s">
        <v>220</v>
      </c>
      <c r="G47" s="175">
        <f t="array" ref="G47">IFERROR(AVERAGE(
IFERROR(INDEX('INPUT SUMATIF'!$A:$CH,MATCH($D47,'INPUT SUMATIF'!$D:$D,0),MATCH($G$2,'INPUT SUMATIF'!$A$2:$CH$2,0)),""),
IFERROR(INDEX('INPUT SUMATIF'!$A:$CH,MATCH($D47,'INPUT SUMATIF'!$D:$D,0),MATCH($H$2,'INPUT SUMATIF'!$A$2:$CH$2,0)),"")
),"")</f>
        <v>78.25</v>
      </c>
      <c r="H47" s="180" t="s">
        <v>215</v>
      </c>
      <c r="I47" s="186">
        <f t="array" ref="I47">iferror(AVERAGE(
IFERROR(INDEX('INPUT SUMATIF'!$A:$CH,MATCH($D47,'INPUT SUMATIF'!$D:$D,0),MATCH($I$2,'INPUT SUMATIF'!$A$2:$CH$2,0)),""),
IFERROR(INDEX('INPUT SUMATIF'!$A:$CH,MATCH($D47,'INPUT SUMATIF'!$D:$D,0),MATCH($J$2,'INPUT SUMATIF'!$A$2:$CH$2,0)),"")
),"")</f>
        <v>82.75</v>
      </c>
      <c r="J47" s="180" t="s">
        <v>1025</v>
      </c>
      <c r="K47" s="192">
        <f t="array" ref="K47">iferror(AVERAGE(
IFERROR(INDEX('INPUT SUMATIF'!$A:$CH,MATCH($D47,'INPUT SUMATIF'!$D:$D,0),MATCH($K$2,'INPUT SUMATIF'!$A$2:$CH$2,0)),""),
IFERROR(INDEX('INPUT SUMATIF'!$A:$CH,MATCH($D47,'INPUT SUMATIF'!$D:$D,0),MATCH($L$2,'INPUT SUMATIF'!$A$2:$CH$2,0)),"")
),"")</f>
        <v>73.66666667</v>
      </c>
      <c r="L47" s="180" t="s">
        <v>219</v>
      </c>
      <c r="M47" s="196">
        <f t="array" ref="M47">iferror(AVERAGE(
IFERROR(INDEX('INPUT SUMATIF'!$A:$CH,MATCH($D47,'INPUT SUMATIF'!$D:$D,0),MATCH($M$2,'INPUT SUMATIF'!$A$2:$CH$2,0)),""),
IFERROR(INDEX('INPUT SUMATIF'!$A:$CH,MATCH($D47,'INPUT SUMATIF'!$D:$D,0),MATCH($N$2,'INPUT SUMATIF'!$A$2:$CH$2,0)),"")
),"")</f>
        <v>84.5</v>
      </c>
      <c r="N47" s="201" t="s">
        <v>221</v>
      </c>
      <c r="O47" s="206">
        <f t="array" ref="O47">iferror(AVERAGE(
IFERROR(INDEX('INPUT SUMATIF'!$A:$CH,MATCH($D47,'INPUT SUMATIF'!$D:$D,0),MATCH($O$2,'INPUT SUMATIF'!$A$2:$CH$2,0)),""),
IFERROR(INDEX('INPUT SUMATIF'!$A:$CH,MATCH($D47,'INPUT SUMATIF'!$D:$D,0),MATCH($P$2,'INPUT SUMATIF'!$A$2:$CH$2,0)),"")
),"")</f>
        <v>78</v>
      </c>
      <c r="P47" s="180" t="s">
        <v>222</v>
      </c>
      <c r="Q47" s="210">
        <f t="array" ref="Q47">iferror(AVERAGE(
IFERROR(INDEX('INPUT SUMATIF'!$A:$CH,MATCH($D47,'INPUT SUMATIF'!$D:$D,0),MATCH($Q$2,'INPUT SUMATIF'!$A$2:$CH$2,0)),""),
IFERROR(INDEX('INPUT SUMATIF'!$A:$CH,MATCH($D47,'INPUT SUMATIF'!$D:$D,0),MATCH($R$2,'INPUT SUMATIF'!$A$2:$CH$2,0)),"")
),"")</f>
        <v>89.33333333</v>
      </c>
      <c r="R47" s="180" t="s">
        <v>229</v>
      </c>
      <c r="S47" s="215">
        <f t="array" ref="S47">iferror(AVERAGE(
IFERROR(INDEX('INPUT SUMATIF'!$A:$CH,MATCH($D47,'INPUT SUMATIF'!$D:$D,0),MATCH($S$2,'INPUT SUMATIF'!$A$2:$CH$2,0)),""),
IFERROR(INDEX('INPUT SUMATIF'!$A:$CH,MATCH($D47,'INPUT SUMATIF'!$D:$D,0),MATCH($T$2,'INPUT SUMATIF'!$A$2:$CH$2,0)),"")
),"")</f>
        <v>78.16666667</v>
      </c>
      <c r="T47" s="180" t="s">
        <v>233</v>
      </c>
      <c r="U47" s="221">
        <f t="array" ref="U47">iferror(AVERAGE(
IFERROR(INDEX('INPUT SUMATIF'!$A:$CH,MATCH($D47,'INPUT SUMATIF'!$D:$D,0),MATCH($U$2,'INPUT SUMATIF'!$A$2:$CH$2,0)),""),
IFERROR(INDEX('INPUT SUMATIF'!$A:$CH,MATCH($D47,'INPUT SUMATIF'!$D:$D,0),MATCH($V$2,'INPUT SUMATIF'!$A$2:$CH$2,0)),"")
),"")</f>
        <v>72</v>
      </c>
      <c r="V47" s="180" t="s">
        <v>234</v>
      </c>
      <c r="W47" s="175">
        <f t="array" ref="W47">iferror(AVERAGE(
IFERROR(INDEX('INPUT SUMATIF'!$A:$CH,MATCH($D47,'INPUT SUMATIF'!$D:$D,0),MATCH($W$2,'INPUT SUMATIF'!$A$2:$CH$2,0)),""),
IFERROR(INDEX('INPUT SUMATIF'!$A:$CH,MATCH($D47,'INPUT SUMATIF'!$D:$D,0),MATCH($X$2,'INPUT SUMATIF'!$A$2:$CH$2,0)),"")
),"")</f>
        <v>72</v>
      </c>
      <c r="X47" s="224" t="s">
        <v>235</v>
      </c>
      <c r="Y47" s="227">
        <f t="array" ref="Y47">iferror(AVERAGE(
IFERROR(INDEX('INPUT SUMATIF'!$A:$CH,MATCH($D47,'INPUT SUMATIF'!$D:$D,0),MATCH($Y$2,'INPUT SUMATIF'!$A$2:$CH$2,0)),""),
IFERROR(INDEX('INPUT SUMATIF'!$A:$CH,MATCH($D47,'INPUT SUMATIF'!$D:$D,0),MATCH($Z$2,'INPUT SUMATIF'!$A$2:$CH$2,0)),"")
),"")</f>
        <v>80</v>
      </c>
      <c r="Z47" s="228" t="s">
        <v>236</v>
      </c>
      <c r="AA47" s="227">
        <f t="array" ref="AA47">iferror(AVERAGE(
IFERROR(INDEX('INPUT SUMATIF'!$A:$CH,MATCH($D47,'INPUT SUMATIF'!$D:$D,0),MATCH($AA$2,'INPUT SUMATIF'!$A$2:$CH$2,0)),""),
IFERROR(INDEX('INPUT SUMATIF'!$A:$CH,MATCH($D47,'INPUT SUMATIF'!$D:$D,0),MATCH($AB$2,'INPUT SUMATIF'!$A$2:$CH$2,0)),"")
),"")</f>
        <v>52.33333333</v>
      </c>
      <c r="AB47" s="180" t="s">
        <v>237</v>
      </c>
      <c r="AC47" s="227">
        <f t="array" ref="AC47">iferror(AVERAGE(
IFERROR(INDEX('INPUT SUMATIF'!$A:$CH,MATCH($D47,'INPUT SUMATIF'!$D:$D,0),MATCH($AC$2,'INPUT SUMATIF'!$A$2:$CH$2,0)),""),
IFERROR(INDEX('INPUT SUMATIF'!$A:$CH,MATCH($D47,'INPUT SUMATIF'!$D:$D,0),MATCH($AD$2,'INPUT SUMATIF'!$A$2:$CH$2,0)),"")
),"")</f>
        <v>79.83333333</v>
      </c>
      <c r="AD47" s="180" t="s">
        <v>238</v>
      </c>
      <c r="AE47" s="227">
        <f t="array" ref="AE47">iferror(AVERAGE(
IFERROR(INDEX('INPUT SUMATIF'!$A:$CH,MATCH($D47,'INPUT SUMATIF'!$D:$D,0),MATCH($AE$2,'INPUT SUMATIF'!$A$2:$CH$2,0)),""),
IFERROR(INDEX('INPUT SUMATIF'!$A:$CH,MATCH($D47,'INPUT SUMATIF'!$D:$D,0),MATCH($AF$2,'INPUT SUMATIF'!$A$2:$CH$2,0)),"")
),"")</f>
        <v>78</v>
      </c>
      <c r="AF47" s="289" t="s">
        <v>239</v>
      </c>
      <c r="AG47" s="237" t="str">
        <f t="array" ref="AG47">iferror(AVERAGE(
IFERROR(INDEX('INPUT SUMATIF'!$A:$CH,MATCH($D47,'INPUT SUMATIF'!$D:$D,0),MATCH($AG$2,'INPUT SUMATIF'!$A$2:$CH$2,0)),""),
IFERROR(INDEX('INPUT SUMATIF'!$A:$CH,MATCH($D47,'INPUT SUMATIF'!$D:$D,0),MATCH($AH$2,'INPUT SUMATIF'!$A$2:$CH$2,0)),"")
),"")</f>
        <v/>
      </c>
      <c r="AH47" s="289"/>
      <c r="AI47" s="237" t="str">
        <f t="array" ref="AI47">iferror(AVERAGE(
IFERROR(INDEX('INPUT SUMATIF'!$A:$CH,MATCH($D47,'INPUT SUMATIF'!$D:$D,0),MATCH($AI$2,'INPUT SUMATIF'!$A$2:$CH$2,0)),""),
IFERROR(INDEX('INPUT SUMATIF'!$A:$CH,MATCH($D47,'INPUT SUMATIF'!$D:$D,0),MATCH($AJ$2,'INPUT SUMATIF'!$A$2:$CH$2,0)),"")
),"")</f>
        <v/>
      </c>
      <c r="AJ47" s="289"/>
      <c r="AK47" s="186" t="str">
        <f t="array" ref="AK47">iferror(AVERAGE(
IFERROR(INDEX('INPUT SUMATIF'!$A:$CH,MATCH($D47,'INPUT SUMATIF'!$D:$D,0),MATCH($AK$2,'INPUT SUMATIF'!$A$2:$CH$2,0)),""),
IFERROR(INDEX('INPUT SUMATIF'!$A:$CH,MATCH($D47,'INPUT SUMATIF'!$D:$D,0),MATCH($AL$2,'INPUT SUMATIF'!$A$2:$CH$2,0)),"")
),"")</f>
        <v/>
      </c>
      <c r="AL47" s="292"/>
      <c r="AM47" s="293" t="s">
        <v>245</v>
      </c>
      <c r="AN47" s="294"/>
      <c r="AO47" s="293"/>
      <c r="AP47" s="293"/>
      <c r="AQ47" s="296"/>
      <c r="AR47" s="298"/>
      <c r="AS47" s="267"/>
      <c r="AT47" s="267"/>
      <c r="AU47" s="267"/>
      <c r="AV47" s="267"/>
      <c r="AW47" s="267"/>
      <c r="AX47" s="267" t="s">
        <v>161</v>
      </c>
      <c r="AY47" s="267" t="s">
        <v>213</v>
      </c>
      <c r="AZ47" s="267" t="s">
        <v>145</v>
      </c>
      <c r="BA47" s="267" t="s">
        <v>241</v>
      </c>
      <c r="BB47" s="302" t="s">
        <v>248</v>
      </c>
    </row>
    <row r="48" ht="15.75" customHeight="1">
      <c r="A48" s="159">
        <f>IFERROR(__xludf.DUMMYFUNCTION("""COMPUTED_VALUE"""),45.0)</f>
        <v>45</v>
      </c>
      <c r="B48" s="159" t="str">
        <f>IFERROR(__xludf.DUMMYFUNCTION("""COMPUTED_VALUE"""),"2526100458")</f>
        <v>2526100458</v>
      </c>
      <c r="C48" s="159" t="str">
        <f>IFERROR(__xludf.DUMMYFUNCTION("""COMPUTED_VALUE"""),"3096786504")</f>
        <v>3096786504</v>
      </c>
      <c r="D48" s="164" t="str">
        <f>IFERROR(__xludf.DUMMYFUNCTION("""COMPUTED_VALUE"""),"WILDAN RIPAI")</f>
        <v>WILDAN RIPAI</v>
      </c>
      <c r="E48" s="165" t="str">
        <f>IFERROR(__xludf.DUMMYFUNCTION("""COMPUTED_VALUE"""),"X TO 4")</f>
        <v>X TO 4</v>
      </c>
      <c r="F48" s="165" t="s">
        <v>220</v>
      </c>
      <c r="G48" s="175">
        <f t="array" ref="G48">IFERROR(AVERAGE(
IFERROR(INDEX('INPUT SUMATIF'!$A:$CH,MATCH($D48,'INPUT SUMATIF'!$D:$D,0),MATCH($G$2,'INPUT SUMATIF'!$A$2:$CH$2,0)),""),
IFERROR(INDEX('INPUT SUMATIF'!$A:$CH,MATCH($D48,'INPUT SUMATIF'!$D:$D,0),MATCH($H$2,'INPUT SUMATIF'!$A$2:$CH$2,0)),"")
),"")</f>
        <v>80.75</v>
      </c>
      <c r="H48" s="180" t="s">
        <v>215</v>
      </c>
      <c r="I48" s="186">
        <f t="array" ref="I48">iferror(AVERAGE(
IFERROR(INDEX('INPUT SUMATIF'!$A:$CH,MATCH($D48,'INPUT SUMATIF'!$D:$D,0),MATCH($I$2,'INPUT SUMATIF'!$A$2:$CH$2,0)),""),
IFERROR(INDEX('INPUT SUMATIF'!$A:$CH,MATCH($D48,'INPUT SUMATIF'!$D:$D,0),MATCH($J$2,'INPUT SUMATIF'!$A$2:$CH$2,0)),"")
),"")</f>
        <v>81.75</v>
      </c>
      <c r="J48" s="180" t="s">
        <v>1026</v>
      </c>
      <c r="K48" s="192">
        <f t="array" ref="K48">iferror(AVERAGE(
IFERROR(INDEX('INPUT SUMATIF'!$A:$CH,MATCH($D48,'INPUT SUMATIF'!$D:$D,0),MATCH($K$2,'INPUT SUMATIF'!$A$2:$CH$2,0)),""),
IFERROR(INDEX('INPUT SUMATIF'!$A:$CH,MATCH($D48,'INPUT SUMATIF'!$D:$D,0),MATCH($L$2,'INPUT SUMATIF'!$A$2:$CH$2,0)),"")
),"")</f>
        <v>83</v>
      </c>
      <c r="L48" s="180" t="s">
        <v>219</v>
      </c>
      <c r="M48" s="196">
        <f t="array" ref="M48">iferror(AVERAGE(
IFERROR(INDEX('INPUT SUMATIF'!$A:$CH,MATCH($D48,'INPUT SUMATIF'!$D:$D,0),MATCH($M$2,'INPUT SUMATIF'!$A$2:$CH$2,0)),""),
IFERROR(INDEX('INPUT SUMATIF'!$A:$CH,MATCH($D48,'INPUT SUMATIF'!$D:$D,0),MATCH($N$2,'INPUT SUMATIF'!$A$2:$CH$2,0)),"")
),"")</f>
        <v>81.75</v>
      </c>
      <c r="N48" s="201" t="s">
        <v>221</v>
      </c>
      <c r="O48" s="206">
        <f t="array" ref="O48">iferror(AVERAGE(
IFERROR(INDEX('INPUT SUMATIF'!$A:$CH,MATCH($D48,'INPUT SUMATIF'!$D:$D,0),MATCH($O$2,'INPUT SUMATIF'!$A$2:$CH$2,0)),""),
IFERROR(INDEX('INPUT SUMATIF'!$A:$CH,MATCH($D48,'INPUT SUMATIF'!$D:$D,0),MATCH($P$2,'INPUT SUMATIF'!$A$2:$CH$2,0)),"")
),"")</f>
        <v>85</v>
      </c>
      <c r="P48" s="180" t="s">
        <v>222</v>
      </c>
      <c r="Q48" s="210">
        <f t="array" ref="Q48">iferror(AVERAGE(
IFERROR(INDEX('INPUT SUMATIF'!$A:$CH,MATCH($D48,'INPUT SUMATIF'!$D:$D,0),MATCH($Q$2,'INPUT SUMATIF'!$A$2:$CH$2,0)),""),
IFERROR(INDEX('INPUT SUMATIF'!$A:$CH,MATCH($D48,'INPUT SUMATIF'!$D:$D,0),MATCH($R$2,'INPUT SUMATIF'!$A$2:$CH$2,0)),"")
),"")</f>
        <v>89.16666667</v>
      </c>
      <c r="R48" s="180" t="s">
        <v>229</v>
      </c>
      <c r="S48" s="215">
        <f t="array" ref="S48">iferror(AVERAGE(
IFERROR(INDEX('INPUT SUMATIF'!$A:$CH,MATCH($D48,'INPUT SUMATIF'!$D:$D,0),MATCH($S$2,'INPUT SUMATIF'!$A$2:$CH$2,0)),""),
IFERROR(INDEX('INPUT SUMATIF'!$A:$CH,MATCH($D48,'INPUT SUMATIF'!$D:$D,0),MATCH($T$2,'INPUT SUMATIF'!$A$2:$CH$2,0)),"")
),"")</f>
        <v>87.83333333</v>
      </c>
      <c r="T48" s="180" t="s">
        <v>233</v>
      </c>
      <c r="U48" s="221">
        <f t="array" ref="U48">iferror(AVERAGE(
IFERROR(INDEX('INPUT SUMATIF'!$A:$CH,MATCH($D48,'INPUT SUMATIF'!$D:$D,0),MATCH($U$2,'INPUT SUMATIF'!$A$2:$CH$2,0)),""),
IFERROR(INDEX('INPUT SUMATIF'!$A:$CH,MATCH($D48,'INPUT SUMATIF'!$D:$D,0),MATCH($V$2,'INPUT SUMATIF'!$A$2:$CH$2,0)),"")
),"")</f>
        <v>83</v>
      </c>
      <c r="V48" s="180" t="s">
        <v>234</v>
      </c>
      <c r="W48" s="175">
        <f t="array" ref="W48">iferror(AVERAGE(
IFERROR(INDEX('INPUT SUMATIF'!$A:$CH,MATCH($D48,'INPUT SUMATIF'!$D:$D,0),MATCH($W$2,'INPUT SUMATIF'!$A$2:$CH$2,0)),""),
IFERROR(INDEX('INPUT SUMATIF'!$A:$CH,MATCH($D48,'INPUT SUMATIF'!$D:$D,0),MATCH($X$2,'INPUT SUMATIF'!$A$2:$CH$2,0)),"")
),"")</f>
        <v>79</v>
      </c>
      <c r="X48" s="224" t="s">
        <v>235</v>
      </c>
      <c r="Y48" s="227">
        <f t="array" ref="Y48">iferror(AVERAGE(
IFERROR(INDEX('INPUT SUMATIF'!$A:$CH,MATCH($D48,'INPUT SUMATIF'!$D:$D,0),MATCH($Y$2,'INPUT SUMATIF'!$A$2:$CH$2,0)),""),
IFERROR(INDEX('INPUT SUMATIF'!$A:$CH,MATCH($D48,'INPUT SUMATIF'!$D:$D,0),MATCH($Z$2,'INPUT SUMATIF'!$A$2:$CH$2,0)),"")
),"")</f>
        <v>80</v>
      </c>
      <c r="Z48" s="228" t="s">
        <v>236</v>
      </c>
      <c r="AA48" s="227">
        <f t="array" ref="AA48">iferror(AVERAGE(
IFERROR(INDEX('INPUT SUMATIF'!$A:$CH,MATCH($D48,'INPUT SUMATIF'!$D:$D,0),MATCH($AA$2,'INPUT SUMATIF'!$A$2:$CH$2,0)),""),
IFERROR(INDEX('INPUT SUMATIF'!$A:$CH,MATCH($D48,'INPUT SUMATIF'!$D:$D,0),MATCH($AB$2,'INPUT SUMATIF'!$A$2:$CH$2,0)),"")
),"")</f>
        <v>82.16666667</v>
      </c>
      <c r="AB48" s="180" t="s">
        <v>237</v>
      </c>
      <c r="AC48" s="227">
        <f t="array" ref="AC48">iferror(AVERAGE(
IFERROR(INDEX('INPUT SUMATIF'!$A:$CH,MATCH($D48,'INPUT SUMATIF'!$D:$D,0),MATCH($AC$2,'INPUT SUMATIF'!$A$2:$CH$2,0)),""),
IFERROR(INDEX('INPUT SUMATIF'!$A:$CH,MATCH($D48,'INPUT SUMATIF'!$D:$D,0),MATCH($AD$2,'INPUT SUMATIF'!$A$2:$CH$2,0)),"")
),"")</f>
        <v>80</v>
      </c>
      <c r="AD48" s="180" t="s">
        <v>238</v>
      </c>
      <c r="AE48" s="227">
        <f t="array" ref="AE48">iferror(AVERAGE(
IFERROR(INDEX('INPUT SUMATIF'!$A:$CH,MATCH($D48,'INPUT SUMATIF'!$D:$D,0),MATCH($AE$2,'INPUT SUMATIF'!$A$2:$CH$2,0)),""),
IFERROR(INDEX('INPUT SUMATIF'!$A:$CH,MATCH($D48,'INPUT SUMATIF'!$D:$D,0),MATCH($AF$2,'INPUT SUMATIF'!$A$2:$CH$2,0)),"")
),"")</f>
        <v>80.66666667</v>
      </c>
      <c r="AF48" s="180" t="s">
        <v>239</v>
      </c>
      <c r="AG48" s="237" t="str">
        <f t="array" ref="AG48">iferror(AVERAGE(
IFERROR(INDEX('INPUT SUMATIF'!$A:$CH,MATCH($D48,'INPUT SUMATIF'!$D:$D,0),MATCH($AG$2,'INPUT SUMATIF'!$A$2:$CH$2,0)),""),
IFERROR(INDEX('INPUT SUMATIF'!$A:$CH,MATCH($D48,'INPUT SUMATIF'!$D:$D,0),MATCH($AH$2,'INPUT SUMATIF'!$A$2:$CH$2,0)),"")
),"")</f>
        <v/>
      </c>
      <c r="AH48" s="180"/>
      <c r="AI48" s="237" t="str">
        <f t="array" ref="AI48">iferror(AVERAGE(
IFERROR(INDEX('INPUT SUMATIF'!$A:$CH,MATCH($D48,'INPUT SUMATIF'!$D:$D,0),MATCH($AI$2,'INPUT SUMATIF'!$A$2:$CH$2,0)),""),
IFERROR(INDEX('INPUT SUMATIF'!$A:$CH,MATCH($D48,'INPUT SUMATIF'!$D:$D,0),MATCH($AJ$2,'INPUT SUMATIF'!$A$2:$CH$2,0)),"")
),"")</f>
        <v/>
      </c>
      <c r="AJ48" s="180"/>
      <c r="AK48" s="186" t="str">
        <f t="array" ref="AK48">iferror(AVERAGE(
IFERROR(INDEX('INPUT SUMATIF'!$A:$CH,MATCH($D48,'INPUT SUMATIF'!$D:$D,0),MATCH($AK$2,'INPUT SUMATIF'!$A$2:$CH$2,0)),""),
IFERROR(INDEX('INPUT SUMATIF'!$A:$CH,MATCH($D48,'INPUT SUMATIF'!$D:$D,0),MATCH($AL$2,'INPUT SUMATIF'!$A$2:$CH$2,0)),"")
),"")</f>
        <v/>
      </c>
      <c r="AL48" s="244"/>
      <c r="AM48" s="253" t="s">
        <v>240</v>
      </c>
      <c r="AN48" s="255"/>
      <c r="AO48" s="253"/>
      <c r="AP48" s="253"/>
      <c r="AQ48" s="260"/>
      <c r="AR48" s="263" t="s">
        <v>441</v>
      </c>
      <c r="AS48" s="265"/>
      <c r="AT48" s="265" t="s">
        <v>442</v>
      </c>
      <c r="AU48" s="265" t="s">
        <v>443</v>
      </c>
      <c r="AV48" s="265"/>
      <c r="AW48" s="265"/>
      <c r="AX48" s="265" t="s">
        <v>150</v>
      </c>
      <c r="AY48" s="265" t="s">
        <v>213</v>
      </c>
      <c r="AZ48" s="265" t="s">
        <v>213</v>
      </c>
      <c r="BA48" s="267" t="s">
        <v>1027</v>
      </c>
      <c r="BB48" s="268" t="s">
        <v>248</v>
      </c>
    </row>
    <row r="49" ht="15.75" customHeight="1">
      <c r="A49" s="270">
        <f>IFERROR(__xludf.DUMMYFUNCTION("""COMPUTED_VALUE"""),46.0)</f>
        <v>46</v>
      </c>
      <c r="B49" s="270" t="str">
        <f>IFERROR(__xludf.DUMMYFUNCTION("""COMPUTED_VALUE"""),"2526100459")</f>
        <v>2526100459</v>
      </c>
      <c r="C49" s="270" t="str">
        <f>IFERROR(__xludf.DUMMYFUNCTION("""COMPUTED_VALUE"""),"3100392230")</f>
        <v>3100392230</v>
      </c>
      <c r="D49" s="274" t="str">
        <f>IFERROR(__xludf.DUMMYFUNCTION("""COMPUTED_VALUE"""),"YUDHA PRASETYO")</f>
        <v>YUDHA PRASETYO</v>
      </c>
      <c r="E49" s="277" t="str">
        <f>IFERROR(__xludf.DUMMYFUNCTION("""COMPUTED_VALUE"""),"X TO 4")</f>
        <v>X TO 4</v>
      </c>
      <c r="F49" s="277" t="s">
        <v>220</v>
      </c>
      <c r="G49" s="175">
        <f t="array" ref="G49">IFERROR(AVERAGE(
IFERROR(INDEX('INPUT SUMATIF'!$A:$CH,MATCH($D49,'INPUT SUMATIF'!$D:$D,0),MATCH($G$2,'INPUT SUMATIF'!$A$2:$CH$2,0)),""),
IFERROR(INDEX('INPUT SUMATIF'!$A:$CH,MATCH($D49,'INPUT SUMATIF'!$D:$D,0),MATCH($H$2,'INPUT SUMATIF'!$A$2:$CH$2,0)),"")
),"")</f>
        <v>78.25</v>
      </c>
      <c r="H49" s="180" t="s">
        <v>215</v>
      </c>
      <c r="I49" s="186">
        <f t="array" ref="I49">iferror(AVERAGE(
IFERROR(INDEX('INPUT SUMATIF'!$A:$CH,MATCH($D49,'INPUT SUMATIF'!$D:$D,0),MATCH($I$2,'INPUT SUMATIF'!$A$2:$CH$2,0)),""),
IFERROR(INDEX('INPUT SUMATIF'!$A:$CH,MATCH($D49,'INPUT SUMATIF'!$D:$D,0),MATCH($J$2,'INPUT SUMATIF'!$A$2:$CH$2,0)),"")
),"")</f>
        <v>80.25</v>
      </c>
      <c r="J49" s="180" t="s">
        <v>1028</v>
      </c>
      <c r="K49" s="192">
        <f t="array" ref="K49">iferror(AVERAGE(
IFERROR(INDEX('INPUT SUMATIF'!$A:$CH,MATCH($D49,'INPUT SUMATIF'!$D:$D,0),MATCH($K$2,'INPUT SUMATIF'!$A$2:$CH$2,0)),""),
IFERROR(INDEX('INPUT SUMATIF'!$A:$CH,MATCH($D49,'INPUT SUMATIF'!$D:$D,0),MATCH($L$2,'INPUT SUMATIF'!$A$2:$CH$2,0)),"")
),"")</f>
        <v>73.5</v>
      </c>
      <c r="L49" s="180" t="s">
        <v>219</v>
      </c>
      <c r="M49" s="196">
        <f t="array" ref="M49">iferror(AVERAGE(
IFERROR(INDEX('INPUT SUMATIF'!$A:$CH,MATCH($D49,'INPUT SUMATIF'!$D:$D,0),MATCH($M$2,'INPUT SUMATIF'!$A$2:$CH$2,0)),""),
IFERROR(INDEX('INPUT SUMATIF'!$A:$CH,MATCH($D49,'INPUT SUMATIF'!$D:$D,0),MATCH($N$2,'INPUT SUMATIF'!$A$2:$CH$2,0)),"")
),"")</f>
        <v>81</v>
      </c>
      <c r="N49" s="201" t="s">
        <v>221</v>
      </c>
      <c r="O49" s="206">
        <f t="array" ref="O49">iferror(AVERAGE(
IFERROR(INDEX('INPUT SUMATIF'!$A:$CH,MATCH($D49,'INPUT SUMATIF'!$D:$D,0),MATCH($O$2,'INPUT SUMATIF'!$A$2:$CH$2,0)),""),
IFERROR(INDEX('INPUT SUMATIF'!$A:$CH,MATCH($D49,'INPUT SUMATIF'!$D:$D,0),MATCH($P$2,'INPUT SUMATIF'!$A$2:$CH$2,0)),"")
),"")</f>
        <v>78</v>
      </c>
      <c r="P49" s="180" t="s">
        <v>222</v>
      </c>
      <c r="Q49" s="210">
        <f t="array" ref="Q49">iferror(AVERAGE(
IFERROR(INDEX('INPUT SUMATIF'!$A:$CH,MATCH($D49,'INPUT SUMATIF'!$D:$D,0),MATCH($Q$2,'INPUT SUMATIF'!$A$2:$CH$2,0)),""),
IFERROR(INDEX('INPUT SUMATIF'!$A:$CH,MATCH($D49,'INPUT SUMATIF'!$D:$D,0),MATCH($R$2,'INPUT SUMATIF'!$A$2:$CH$2,0)),"")
),"")</f>
        <v>89.33333333</v>
      </c>
      <c r="R49" s="180" t="s">
        <v>229</v>
      </c>
      <c r="S49" s="215">
        <f t="array" ref="S49">iferror(AVERAGE(
IFERROR(INDEX('INPUT SUMATIF'!$A:$CH,MATCH($D49,'INPUT SUMATIF'!$D:$D,0),MATCH($S$2,'INPUT SUMATIF'!$A$2:$CH$2,0)),""),
IFERROR(INDEX('INPUT SUMATIF'!$A:$CH,MATCH($D49,'INPUT SUMATIF'!$D:$D,0),MATCH($T$2,'INPUT SUMATIF'!$A$2:$CH$2,0)),"")
),"")</f>
        <v>78.16666667</v>
      </c>
      <c r="T49" s="180" t="s">
        <v>233</v>
      </c>
      <c r="U49" s="221">
        <f t="array" ref="U49">iferror(AVERAGE(
IFERROR(INDEX('INPUT SUMATIF'!$A:$CH,MATCH($D49,'INPUT SUMATIF'!$D:$D,0),MATCH($U$2,'INPUT SUMATIF'!$A$2:$CH$2,0)),""),
IFERROR(INDEX('INPUT SUMATIF'!$A:$CH,MATCH($D49,'INPUT SUMATIF'!$D:$D,0),MATCH($V$2,'INPUT SUMATIF'!$A$2:$CH$2,0)),"")
),"")</f>
        <v>72</v>
      </c>
      <c r="V49" s="180" t="s">
        <v>234</v>
      </c>
      <c r="W49" s="175">
        <f t="array" ref="W49">iferror(AVERAGE(
IFERROR(INDEX('INPUT SUMATIF'!$A:$CH,MATCH($D49,'INPUT SUMATIF'!$D:$D,0),MATCH($W$2,'INPUT SUMATIF'!$A$2:$CH$2,0)),""),
IFERROR(INDEX('INPUT SUMATIF'!$A:$CH,MATCH($D49,'INPUT SUMATIF'!$D:$D,0),MATCH($X$2,'INPUT SUMATIF'!$A$2:$CH$2,0)),"")
),"")</f>
        <v>72</v>
      </c>
      <c r="X49" s="224" t="s">
        <v>235</v>
      </c>
      <c r="Y49" s="227">
        <f t="array" ref="Y49">iferror(AVERAGE(
IFERROR(INDEX('INPUT SUMATIF'!$A:$CH,MATCH($D49,'INPUT SUMATIF'!$D:$D,0),MATCH($Y$2,'INPUT SUMATIF'!$A$2:$CH$2,0)),""),
IFERROR(INDEX('INPUT SUMATIF'!$A:$CH,MATCH($D49,'INPUT SUMATIF'!$D:$D,0),MATCH($Z$2,'INPUT SUMATIF'!$A$2:$CH$2,0)),"")
),"")</f>
        <v>80</v>
      </c>
      <c r="Z49" s="228" t="s">
        <v>236</v>
      </c>
      <c r="AA49" s="227">
        <f t="array" ref="AA49">iferror(AVERAGE(
IFERROR(INDEX('INPUT SUMATIF'!$A:$CH,MATCH($D49,'INPUT SUMATIF'!$D:$D,0),MATCH($AA$2,'INPUT SUMATIF'!$A$2:$CH$2,0)),""),
IFERROR(INDEX('INPUT SUMATIF'!$A:$CH,MATCH($D49,'INPUT SUMATIF'!$D:$D,0),MATCH($AB$2,'INPUT SUMATIF'!$A$2:$CH$2,0)),"")
),"")</f>
        <v>52.16666667</v>
      </c>
      <c r="AB49" s="180" t="s">
        <v>237</v>
      </c>
      <c r="AC49" s="227">
        <f t="array" ref="AC49">iferror(AVERAGE(
IFERROR(INDEX('INPUT SUMATIF'!$A:$CH,MATCH($D49,'INPUT SUMATIF'!$D:$D,0),MATCH($AC$2,'INPUT SUMATIF'!$A$2:$CH$2,0)),""),
IFERROR(INDEX('INPUT SUMATIF'!$A:$CH,MATCH($D49,'INPUT SUMATIF'!$D:$D,0),MATCH($AD$2,'INPUT SUMATIF'!$A$2:$CH$2,0)),"")
),"")</f>
        <v>80</v>
      </c>
      <c r="AD49" s="180" t="s">
        <v>238</v>
      </c>
      <c r="AE49" s="227">
        <f t="array" ref="AE49">iferror(AVERAGE(
IFERROR(INDEX('INPUT SUMATIF'!$A:$CH,MATCH($D49,'INPUT SUMATIF'!$D:$D,0),MATCH($AE$2,'INPUT SUMATIF'!$A$2:$CH$2,0)),""),
IFERROR(INDEX('INPUT SUMATIF'!$A:$CH,MATCH($D49,'INPUT SUMATIF'!$D:$D,0),MATCH($AF$2,'INPUT SUMATIF'!$A$2:$CH$2,0)),"")
),"")</f>
        <v>79.33333333</v>
      </c>
      <c r="AF49" s="289" t="s">
        <v>239</v>
      </c>
      <c r="AG49" s="237" t="str">
        <f t="array" ref="AG49">iferror(AVERAGE(
IFERROR(INDEX('INPUT SUMATIF'!$A:$CH,MATCH($D49,'INPUT SUMATIF'!$D:$D,0),MATCH($AG$2,'INPUT SUMATIF'!$A$2:$CH$2,0)),""),
IFERROR(INDEX('INPUT SUMATIF'!$A:$CH,MATCH($D49,'INPUT SUMATIF'!$D:$D,0),MATCH($AH$2,'INPUT SUMATIF'!$A$2:$CH$2,0)),"")
),"")</f>
        <v/>
      </c>
      <c r="AH49" s="289"/>
      <c r="AI49" s="237" t="str">
        <f t="array" ref="AI49">iferror(AVERAGE(
IFERROR(INDEX('INPUT SUMATIF'!$A:$CH,MATCH($D49,'INPUT SUMATIF'!$D:$D,0),MATCH($AI$2,'INPUT SUMATIF'!$A$2:$CH$2,0)),""),
IFERROR(INDEX('INPUT SUMATIF'!$A:$CH,MATCH($D49,'INPUT SUMATIF'!$D:$D,0),MATCH($AJ$2,'INPUT SUMATIF'!$A$2:$CH$2,0)),"")
),"")</f>
        <v/>
      </c>
      <c r="AJ49" s="289"/>
      <c r="AK49" s="186" t="str">
        <f t="array" ref="AK49">iferror(AVERAGE(
IFERROR(INDEX('INPUT SUMATIF'!$A:$CH,MATCH($D49,'INPUT SUMATIF'!$D:$D,0),MATCH($AK$2,'INPUT SUMATIF'!$A$2:$CH$2,0)),""),
IFERROR(INDEX('INPUT SUMATIF'!$A:$CH,MATCH($D49,'INPUT SUMATIF'!$D:$D,0),MATCH($AL$2,'INPUT SUMATIF'!$A$2:$CH$2,0)),"")
),"")</f>
        <v/>
      </c>
      <c r="AL49" s="292"/>
      <c r="AM49" s="293" t="s">
        <v>245</v>
      </c>
      <c r="AN49" s="294"/>
      <c r="AO49" s="293"/>
      <c r="AP49" s="293"/>
      <c r="AQ49" s="296"/>
      <c r="AR49" s="298"/>
      <c r="AS49" s="267"/>
      <c r="AT49" s="267"/>
      <c r="AU49" s="267"/>
      <c r="AV49" s="267"/>
      <c r="AW49" s="267"/>
      <c r="AX49" s="267" t="s">
        <v>213</v>
      </c>
      <c r="AY49" s="267" t="s">
        <v>143</v>
      </c>
      <c r="AZ49" s="267" t="s">
        <v>135</v>
      </c>
      <c r="BA49" s="267" t="s">
        <v>241</v>
      </c>
      <c r="BB49" s="302" t="s">
        <v>248</v>
      </c>
    </row>
    <row r="50" ht="15.75" customHeight="1">
      <c r="A50" s="159"/>
      <c r="B50" s="159"/>
      <c r="C50" s="159"/>
      <c r="D50" s="164"/>
      <c r="E50" s="165"/>
      <c r="F50" s="165" t="s">
        <v>244</v>
      </c>
      <c r="G50" s="175" t="str">
        <f t="array" ref="G50">IFERROR(AVERAGE(
IFERROR(INDEX('INPUT SUMATIF'!$A:$CH,MATCH($D50,'INPUT SUMATIF'!$D:$D,0),MATCH($G$2,'INPUT SUMATIF'!$A$2:$CH$2,0)),""),
IFERROR(INDEX('INPUT SUMATIF'!$A:$CH,MATCH($D50,'INPUT SUMATIF'!$D:$D,0),MATCH($H$2,'INPUT SUMATIF'!$A$2:$CH$2,0)),"")
),"")</f>
        <v/>
      </c>
      <c r="H50" s="180"/>
      <c r="I50" s="186" t="str">
        <f t="array" ref="I50">iferror(AVERAGE(
IFERROR(INDEX('INPUT SUMATIF'!$A:$CH,MATCH($D50,'INPUT SUMATIF'!$D:$D,0),MATCH($I$2,'INPUT SUMATIF'!$A$2:$CH$2,0)),""),
IFERROR(INDEX('INPUT SUMATIF'!$A:$CH,MATCH($D50,'INPUT SUMATIF'!$D:$D,0),MATCH($J$2,'INPUT SUMATIF'!$A$2:$CH$2,0)),"")
),"")</f>
        <v/>
      </c>
      <c r="J50" s="180"/>
      <c r="K50" s="192" t="str">
        <f t="array" ref="K50">iferror(AVERAGE(
IFERROR(INDEX('INPUT SUMATIF'!$A:$CH,MATCH($D50,'INPUT SUMATIF'!$D:$D,0),MATCH($K$2,'INPUT SUMATIF'!$A$2:$CH$2,0)),""),
IFERROR(INDEX('INPUT SUMATIF'!$A:$CH,MATCH($D50,'INPUT SUMATIF'!$D:$D,0),MATCH($L$2,'INPUT SUMATIF'!$A$2:$CH$2,0)),"")
),"")</f>
        <v/>
      </c>
      <c r="L50" s="180"/>
      <c r="M50" s="196" t="str">
        <f t="array" ref="M50">iferror(AVERAGE(
IFERROR(INDEX('INPUT SUMATIF'!$A:$CH,MATCH($D50,'INPUT SUMATIF'!$D:$D,0),MATCH($M$2,'INPUT SUMATIF'!$A$2:$CH$2,0)),""),
IFERROR(INDEX('INPUT SUMATIF'!$A:$CH,MATCH($D50,'INPUT SUMATIF'!$D:$D,0),MATCH($N$2,'INPUT SUMATIF'!$A$2:$CH$2,0)),"")
),"")</f>
        <v/>
      </c>
      <c r="N50" s="180"/>
      <c r="O50" s="206" t="str">
        <f t="array" ref="O50">iferror(AVERAGE(
IFERROR(INDEX('INPUT SUMATIF'!$A:$CH,MATCH($D50,'INPUT SUMATIF'!$D:$D,0),MATCH($O$2,'INPUT SUMATIF'!$A$2:$CH$2,0)),""),
IFERROR(INDEX('INPUT SUMATIF'!$A:$CH,MATCH($D50,'INPUT SUMATIF'!$D:$D,0),MATCH($P$2,'INPUT SUMATIF'!$A$2:$CH$2,0)),"")
),"")</f>
        <v/>
      </c>
      <c r="P50" s="180"/>
      <c r="Q50" s="210" t="str">
        <f t="array" ref="Q50">iferror(AVERAGE(
IFERROR(INDEX('INPUT SUMATIF'!$A:$CH,MATCH($D50,'INPUT SUMATIF'!$D:$D,0),MATCH($Q$2,'INPUT SUMATIF'!$A$2:$CH$2,0)),""),
IFERROR(INDEX('INPUT SUMATIF'!$A:$CH,MATCH($D50,'INPUT SUMATIF'!$D:$D,0),MATCH($R$2,'INPUT SUMATIF'!$A$2:$CH$2,0)),"")
),"")</f>
        <v/>
      </c>
      <c r="R50" s="180"/>
      <c r="S50" s="215" t="str">
        <f t="array" ref="S50">iferror(AVERAGE(
IFERROR(INDEX('INPUT SUMATIF'!$A:$CH,MATCH($D50,'INPUT SUMATIF'!$D:$D,0),MATCH($S$2,'INPUT SUMATIF'!$A$2:$CH$2,0)),""),
IFERROR(INDEX('INPUT SUMATIF'!$A:$CH,MATCH($D50,'INPUT SUMATIF'!$D:$D,0),MATCH($T$2,'INPUT SUMATIF'!$A$2:$CH$2,0)),"")
),"")</f>
        <v/>
      </c>
      <c r="T50" s="180"/>
      <c r="U50" s="221" t="str">
        <f t="array" ref="U50">iferror(AVERAGE(
IFERROR(INDEX('INPUT SUMATIF'!$A:$CH,MATCH($D50,'INPUT SUMATIF'!$D:$D,0),MATCH($U$2,'INPUT SUMATIF'!$A$2:$CH$2,0)),""),
IFERROR(INDEX('INPUT SUMATIF'!$A:$CH,MATCH($D50,'INPUT SUMATIF'!$D:$D,0),MATCH($V$2,'INPUT SUMATIF'!$A$2:$CH$2,0)),"")
),"")</f>
        <v/>
      </c>
      <c r="V50" s="180"/>
      <c r="W50" s="175" t="str">
        <f t="array" ref="W50">iferror(AVERAGE(
IFERROR(INDEX('INPUT SUMATIF'!$A:$CH,MATCH($D50,'INPUT SUMATIF'!$D:$D,0),MATCH($W$2,'INPUT SUMATIF'!$A$2:$CH$2,0)),""),
IFERROR(INDEX('INPUT SUMATIF'!$A:$CH,MATCH($D50,'INPUT SUMATIF'!$D:$D,0),MATCH($X$2,'INPUT SUMATIF'!$A$2:$CH$2,0)),"")
),"")</f>
        <v/>
      </c>
      <c r="X50" s="180"/>
      <c r="Y50" s="227" t="str">
        <f t="array" ref="Y50">iferror(AVERAGE(
IFERROR(INDEX('INPUT SUMATIF'!$A:$CH,MATCH($D50,'INPUT SUMATIF'!$D:$D,0),MATCH($Y$2,'INPUT SUMATIF'!$A$2:$CH$2,0)),""),
IFERROR(INDEX('INPUT SUMATIF'!$A:$CH,MATCH($D50,'INPUT SUMATIF'!$D:$D,0),MATCH($Z$2,'INPUT SUMATIF'!$A$2:$CH$2,0)),"")
),"")</f>
        <v/>
      </c>
      <c r="Z50" s="180"/>
      <c r="AA50" s="227" t="str">
        <f t="array" ref="AA50">iferror(AVERAGE(
IFERROR(INDEX('INPUT SUMATIF'!$A:$CH,MATCH($D50,'INPUT SUMATIF'!$D:$D,0),MATCH($AA$2,'INPUT SUMATIF'!$A$2:$CH$2,0)),""),
IFERROR(INDEX('INPUT SUMATIF'!$A:$CH,MATCH($D50,'INPUT SUMATIF'!$D:$D,0),MATCH($AB$2,'INPUT SUMATIF'!$A$2:$CH$2,0)),"")
),"")</f>
        <v/>
      </c>
      <c r="AB50" s="180"/>
      <c r="AC50" s="227" t="str">
        <f t="array" ref="AC50">iferror(AVERAGE(
IFERROR(INDEX('INPUT SUMATIF'!$A:$CH,MATCH($D50,'INPUT SUMATIF'!$D:$D,0),MATCH($AC$2,'INPUT SUMATIF'!$A$2:$CH$2,0)),""),
IFERROR(INDEX('INPUT SUMATIF'!$A:$CH,MATCH($D50,'INPUT SUMATIF'!$D:$D,0),MATCH($AD$2,'INPUT SUMATIF'!$A$2:$CH$2,0)),"")
),"")</f>
        <v/>
      </c>
      <c r="AD50" s="180"/>
      <c r="AE50" s="227" t="str">
        <f t="array" ref="AE50">iferror(AVERAGE(
IFERROR(INDEX('INPUT SUMATIF'!$A:$CH,MATCH($D50,'INPUT SUMATIF'!$D:$D,0),MATCH($AE$2,'INPUT SUMATIF'!$A$2:$CH$2,0)),""),
IFERROR(INDEX('INPUT SUMATIF'!$A:$CH,MATCH($D50,'INPUT SUMATIF'!$D:$D,0),MATCH($AF$2,'INPUT SUMATIF'!$A$2:$CH$2,0)),"")
),"")</f>
        <v/>
      </c>
      <c r="AF50" s="180"/>
      <c r="AG50" s="237" t="str">
        <f t="array" ref="AG50">iferror(AVERAGE(
IFERROR(INDEX('INPUT SUMATIF'!$A:$CH,MATCH($D50,'INPUT SUMATIF'!$D:$D,0),MATCH($AG$2,'INPUT SUMATIF'!$A$2:$CH$2,0)),""),
IFERROR(INDEX('INPUT SUMATIF'!$A:$CH,MATCH($D50,'INPUT SUMATIF'!$D:$D,0),MATCH($AH$2,'INPUT SUMATIF'!$A$2:$CH$2,0)),"")
),"")</f>
        <v/>
      </c>
      <c r="AH50" s="180"/>
      <c r="AI50" s="237" t="str">
        <f t="array" ref="AI50">iferror(AVERAGE(
IFERROR(INDEX('INPUT SUMATIF'!$A:$CH,MATCH($D50,'INPUT SUMATIF'!$D:$D,0),MATCH($AI$2,'INPUT SUMATIF'!$A$2:$CH$2,0)),""),
IFERROR(INDEX('INPUT SUMATIF'!$A:$CH,MATCH($D50,'INPUT SUMATIF'!$D:$D,0),MATCH($AJ$2,'INPUT SUMATIF'!$A$2:$CH$2,0)),"")
),"")</f>
        <v/>
      </c>
      <c r="AJ50" s="180"/>
      <c r="AK50" s="186" t="str">
        <f t="array" ref="AK50">iferror(AVERAGE(
IFERROR(INDEX('INPUT SUMATIF'!$A:$CH,MATCH($D50,'INPUT SUMATIF'!$D:$D,0),MATCH($AK$2,'INPUT SUMATIF'!$A$2:$CH$2,0)),""),
IFERROR(INDEX('INPUT SUMATIF'!$A:$CH,MATCH($D50,'INPUT SUMATIF'!$D:$D,0),MATCH($AL$2,'INPUT SUMATIF'!$A$2:$CH$2,0)),"")
),"")</f>
        <v/>
      </c>
      <c r="AL50" s="244"/>
      <c r="AM50" s="293"/>
      <c r="AN50" s="255"/>
      <c r="AO50" s="253"/>
      <c r="AP50" s="253"/>
      <c r="AQ50" s="260"/>
      <c r="AR50" s="263"/>
      <c r="AS50" s="265"/>
      <c r="AT50" s="265"/>
      <c r="AU50" s="265"/>
      <c r="AV50" s="265"/>
      <c r="AW50" s="265"/>
      <c r="AX50" s="265"/>
      <c r="AY50" s="265"/>
      <c r="AZ50" s="265"/>
      <c r="BA50" s="265"/>
      <c r="BB50" s="268" t="s">
        <v>248</v>
      </c>
    </row>
    <row r="51" ht="15.75" customHeight="1">
      <c r="A51" s="270"/>
      <c r="B51" s="270"/>
      <c r="C51" s="270"/>
      <c r="D51" s="274"/>
      <c r="E51" s="277"/>
      <c r="F51" s="277" t="s">
        <v>244</v>
      </c>
      <c r="G51" s="175" t="str">
        <f t="array" ref="G51">IFERROR(AVERAGE(
IFERROR(INDEX('INPUT SUMATIF'!$A:$CH,MATCH($D51,'INPUT SUMATIF'!$D:$D,0),MATCH($G$2,'INPUT SUMATIF'!$A$2:$CH$2,0)),""),
IFERROR(INDEX('INPUT SUMATIF'!$A:$CH,MATCH($D51,'INPUT SUMATIF'!$D:$D,0),MATCH($H$2,'INPUT SUMATIF'!$A$2:$CH$2,0)),"")
),"")</f>
        <v/>
      </c>
      <c r="H51" s="289"/>
      <c r="I51" s="186" t="str">
        <f t="array" ref="I51">iferror(AVERAGE(
IFERROR(INDEX('INPUT SUMATIF'!$A:$CH,MATCH($D51,'INPUT SUMATIF'!$D:$D,0),MATCH($I$2,'INPUT SUMATIF'!$A$2:$CH$2,0)),""),
IFERROR(INDEX('INPUT SUMATIF'!$A:$CH,MATCH($D51,'INPUT SUMATIF'!$D:$D,0),MATCH($J$2,'INPUT SUMATIF'!$A$2:$CH$2,0)),"")
),"")</f>
        <v/>
      </c>
      <c r="J51" s="289"/>
      <c r="K51" s="192" t="str">
        <f t="array" ref="K51">iferror(AVERAGE(
IFERROR(INDEX('INPUT SUMATIF'!$A:$CH,MATCH($D51,'INPUT SUMATIF'!$D:$D,0),MATCH($K$2,'INPUT SUMATIF'!$A$2:$CH$2,0)),""),
IFERROR(INDEX('INPUT SUMATIF'!$A:$CH,MATCH($D51,'INPUT SUMATIF'!$D:$D,0),MATCH($L$2,'INPUT SUMATIF'!$A$2:$CH$2,0)),"")
),"")</f>
        <v/>
      </c>
      <c r="L51" s="289"/>
      <c r="M51" s="196" t="str">
        <f t="array" ref="M51">iferror(AVERAGE(
IFERROR(INDEX('INPUT SUMATIF'!$A:$CH,MATCH($D51,'INPUT SUMATIF'!$D:$D,0),MATCH($M$2,'INPUT SUMATIF'!$A$2:$CH$2,0)),""),
IFERROR(INDEX('INPUT SUMATIF'!$A:$CH,MATCH($D51,'INPUT SUMATIF'!$D:$D,0),MATCH($N$2,'INPUT SUMATIF'!$A$2:$CH$2,0)),"")
),"")</f>
        <v/>
      </c>
      <c r="N51" s="289"/>
      <c r="O51" s="206" t="str">
        <f t="array" ref="O51">iferror(AVERAGE(
IFERROR(INDEX('INPUT SUMATIF'!$A:$CH,MATCH($D51,'INPUT SUMATIF'!$D:$D,0),MATCH($O$2,'INPUT SUMATIF'!$A$2:$CH$2,0)),""),
IFERROR(INDEX('INPUT SUMATIF'!$A:$CH,MATCH($D51,'INPUT SUMATIF'!$D:$D,0),MATCH($P$2,'INPUT SUMATIF'!$A$2:$CH$2,0)),"")
),"")</f>
        <v/>
      </c>
      <c r="P51" s="289"/>
      <c r="Q51" s="210" t="str">
        <f t="array" ref="Q51">iferror(AVERAGE(
IFERROR(INDEX('INPUT SUMATIF'!$A:$CH,MATCH($D51,'INPUT SUMATIF'!$D:$D,0),MATCH($Q$2,'INPUT SUMATIF'!$A$2:$CH$2,0)),""),
IFERROR(INDEX('INPUT SUMATIF'!$A:$CH,MATCH($D51,'INPUT SUMATIF'!$D:$D,0),MATCH($R$2,'INPUT SUMATIF'!$A$2:$CH$2,0)),"")
),"")</f>
        <v/>
      </c>
      <c r="R51" s="289"/>
      <c r="S51" s="215" t="str">
        <f t="array" ref="S51">iferror(AVERAGE(
IFERROR(INDEX('INPUT SUMATIF'!$A:$CH,MATCH($D51,'INPUT SUMATIF'!$D:$D,0),MATCH($S$2,'INPUT SUMATIF'!$A$2:$CH$2,0)),""),
IFERROR(INDEX('INPUT SUMATIF'!$A:$CH,MATCH($D51,'INPUT SUMATIF'!$D:$D,0),MATCH($T$2,'INPUT SUMATIF'!$A$2:$CH$2,0)),"")
),"")</f>
        <v/>
      </c>
      <c r="T51" s="289"/>
      <c r="U51" s="221" t="str">
        <f t="array" ref="U51">iferror(AVERAGE(
IFERROR(INDEX('INPUT SUMATIF'!$A:$CH,MATCH($D51,'INPUT SUMATIF'!$D:$D,0),MATCH($U$2,'INPUT SUMATIF'!$A$2:$CH$2,0)),""),
IFERROR(INDEX('INPUT SUMATIF'!$A:$CH,MATCH($D51,'INPUT SUMATIF'!$D:$D,0),MATCH($V$2,'INPUT SUMATIF'!$A$2:$CH$2,0)),"")
),"")</f>
        <v/>
      </c>
      <c r="V51" s="289"/>
      <c r="W51" s="175" t="str">
        <f t="array" ref="W51">iferror(AVERAGE(
IFERROR(INDEX('INPUT SUMATIF'!$A:$CH,MATCH($D51,'INPUT SUMATIF'!$D:$D,0),MATCH($W$2,'INPUT SUMATIF'!$A$2:$CH$2,0)),""),
IFERROR(INDEX('INPUT SUMATIF'!$A:$CH,MATCH($D51,'INPUT SUMATIF'!$D:$D,0),MATCH($X$2,'INPUT SUMATIF'!$A$2:$CH$2,0)),"")
),"")</f>
        <v/>
      </c>
      <c r="X51" s="289"/>
      <c r="Y51" s="227" t="str">
        <f t="array" ref="Y51">iferror(AVERAGE(
IFERROR(INDEX('INPUT SUMATIF'!$A:$CH,MATCH($D51,'INPUT SUMATIF'!$D:$D,0),MATCH($Y$2,'INPUT SUMATIF'!$A$2:$CH$2,0)),""),
IFERROR(INDEX('INPUT SUMATIF'!$A:$CH,MATCH($D51,'INPUT SUMATIF'!$D:$D,0),MATCH($Z$2,'INPUT SUMATIF'!$A$2:$CH$2,0)),"")
),"")</f>
        <v/>
      </c>
      <c r="Z51" s="289"/>
      <c r="AA51" s="227" t="str">
        <f t="array" ref="AA51">iferror(AVERAGE(
IFERROR(INDEX('INPUT SUMATIF'!$A:$CH,MATCH($D51,'INPUT SUMATIF'!$D:$D,0),MATCH($AA$2,'INPUT SUMATIF'!$A$2:$CH$2,0)),""),
IFERROR(INDEX('INPUT SUMATIF'!$A:$CH,MATCH($D51,'INPUT SUMATIF'!$D:$D,0),MATCH($AB$2,'INPUT SUMATIF'!$A$2:$CH$2,0)),"")
),"")</f>
        <v/>
      </c>
      <c r="AB51" s="289"/>
      <c r="AC51" s="227" t="str">
        <f t="array" ref="AC51">iferror(AVERAGE(
IFERROR(INDEX('INPUT SUMATIF'!$A:$CH,MATCH($D51,'INPUT SUMATIF'!$D:$D,0),MATCH($AC$2,'INPUT SUMATIF'!$A$2:$CH$2,0)),""),
IFERROR(INDEX('INPUT SUMATIF'!$A:$CH,MATCH($D51,'INPUT SUMATIF'!$D:$D,0),MATCH($AD$2,'INPUT SUMATIF'!$A$2:$CH$2,0)),"")
),"")</f>
        <v/>
      </c>
      <c r="AD51" s="289"/>
      <c r="AE51" s="227" t="str">
        <f t="array" ref="AE51">iferror(AVERAGE(
IFERROR(INDEX('INPUT SUMATIF'!$A:$CH,MATCH($D51,'INPUT SUMATIF'!$D:$D,0),MATCH($AE$2,'INPUT SUMATIF'!$A$2:$CH$2,0)),""),
IFERROR(INDEX('INPUT SUMATIF'!$A:$CH,MATCH($D51,'INPUT SUMATIF'!$D:$D,0),MATCH($AF$2,'INPUT SUMATIF'!$A$2:$CH$2,0)),"")
),"")</f>
        <v/>
      </c>
      <c r="AF51" s="289"/>
      <c r="AG51" s="237" t="str">
        <f t="array" ref="AG51">iferror(AVERAGE(
IFERROR(INDEX('INPUT SUMATIF'!$A:$CH,MATCH($D51,'INPUT SUMATIF'!$D:$D,0),MATCH($AG$2,'INPUT SUMATIF'!$A$2:$CH$2,0)),""),
IFERROR(INDEX('INPUT SUMATIF'!$A:$CH,MATCH($D51,'INPUT SUMATIF'!$D:$D,0),MATCH($AH$2,'INPUT SUMATIF'!$A$2:$CH$2,0)),"")
),"")</f>
        <v/>
      </c>
      <c r="AH51" s="289"/>
      <c r="AI51" s="237" t="str">
        <f t="array" ref="AI51">iferror(AVERAGE(
IFERROR(INDEX('INPUT SUMATIF'!$A:$CH,MATCH($D51,'INPUT SUMATIF'!$D:$D,0),MATCH($AI$2,'INPUT SUMATIF'!$A$2:$CH$2,0)),""),
IFERROR(INDEX('INPUT SUMATIF'!$A:$CH,MATCH($D51,'INPUT SUMATIF'!$D:$D,0),MATCH($AJ$2,'INPUT SUMATIF'!$A$2:$CH$2,0)),"")
),"")</f>
        <v/>
      </c>
      <c r="AJ51" s="289"/>
      <c r="AK51" s="186" t="str">
        <f t="array" ref="AK51">iferror(AVERAGE(
IFERROR(INDEX('INPUT SUMATIF'!$A:$CH,MATCH($D51,'INPUT SUMATIF'!$D:$D,0),MATCH($AK$2,'INPUT SUMATIF'!$A$2:$CH$2,0)),""),
IFERROR(INDEX('INPUT SUMATIF'!$A:$CH,MATCH($D51,'INPUT SUMATIF'!$D:$D,0),MATCH($AL$2,'INPUT SUMATIF'!$A$2:$CH$2,0)),"")
),"")</f>
        <v/>
      </c>
      <c r="AL51" s="292"/>
      <c r="AM51" s="293"/>
      <c r="AN51" s="294"/>
      <c r="AO51" s="293"/>
      <c r="AP51" s="293"/>
      <c r="AQ51" s="296"/>
      <c r="AR51" s="298"/>
      <c r="AS51" s="267"/>
      <c r="AT51" s="267"/>
      <c r="AU51" s="267"/>
      <c r="AV51" s="267"/>
      <c r="AW51" s="267"/>
      <c r="AX51" s="267"/>
      <c r="AY51" s="267"/>
      <c r="AZ51" s="267"/>
      <c r="BA51" s="267"/>
      <c r="BB51" s="302" t="s">
        <v>248</v>
      </c>
    </row>
    <row r="52" ht="15.75" customHeight="1">
      <c r="A52" s="159"/>
      <c r="B52" s="159"/>
      <c r="C52" s="159"/>
      <c r="D52" s="164"/>
      <c r="E52" s="165"/>
      <c r="F52" s="165" t="s">
        <v>244</v>
      </c>
      <c r="G52" s="175" t="str">
        <f t="array" ref="G52">IFERROR(AVERAGE(
IFERROR(INDEX('INPUT SUMATIF'!$A:$CH,MATCH($D52,'INPUT SUMATIF'!$D:$D,0),MATCH($G$2,'INPUT SUMATIF'!$A$2:$CH$2,0)),""),
IFERROR(INDEX('INPUT SUMATIF'!$A:$CH,MATCH($D52,'INPUT SUMATIF'!$D:$D,0),MATCH($H$2,'INPUT SUMATIF'!$A$2:$CH$2,0)),"")
),"")</f>
        <v/>
      </c>
      <c r="H52" s="180"/>
      <c r="I52" s="186" t="str">
        <f t="array" ref="I52">iferror(AVERAGE(
IFERROR(INDEX('INPUT SUMATIF'!$A:$CH,MATCH($D52,'INPUT SUMATIF'!$D:$D,0),MATCH($I$2,'INPUT SUMATIF'!$A$2:$CH$2,0)),""),
IFERROR(INDEX('INPUT SUMATIF'!$A:$CH,MATCH($D52,'INPUT SUMATIF'!$D:$D,0),MATCH($J$2,'INPUT SUMATIF'!$A$2:$CH$2,0)),"")
),"")</f>
        <v/>
      </c>
      <c r="J52" s="180"/>
      <c r="K52" s="192" t="str">
        <f t="array" ref="K52">iferror(AVERAGE(
IFERROR(INDEX('INPUT SUMATIF'!$A:$CH,MATCH($D52,'INPUT SUMATIF'!$D:$D,0),MATCH($K$2,'INPUT SUMATIF'!$A$2:$CH$2,0)),""),
IFERROR(INDEX('INPUT SUMATIF'!$A:$CH,MATCH($D52,'INPUT SUMATIF'!$D:$D,0),MATCH($L$2,'INPUT SUMATIF'!$A$2:$CH$2,0)),"")
),"")</f>
        <v/>
      </c>
      <c r="L52" s="180"/>
      <c r="M52" s="196" t="str">
        <f t="array" ref="M52">iferror(AVERAGE(
IFERROR(INDEX('INPUT SUMATIF'!$A:$CH,MATCH($D52,'INPUT SUMATIF'!$D:$D,0),MATCH($M$2,'INPUT SUMATIF'!$A$2:$CH$2,0)),""),
IFERROR(INDEX('INPUT SUMATIF'!$A:$CH,MATCH($D52,'INPUT SUMATIF'!$D:$D,0),MATCH($N$2,'INPUT SUMATIF'!$A$2:$CH$2,0)),"")
),"")</f>
        <v/>
      </c>
      <c r="N52" s="180"/>
      <c r="O52" s="206" t="str">
        <f t="array" ref="O52">iferror(AVERAGE(
IFERROR(INDEX('INPUT SUMATIF'!$A:$CH,MATCH($D52,'INPUT SUMATIF'!$D:$D,0),MATCH($O$2,'INPUT SUMATIF'!$A$2:$CH$2,0)),""),
IFERROR(INDEX('INPUT SUMATIF'!$A:$CH,MATCH($D52,'INPUT SUMATIF'!$D:$D,0),MATCH($P$2,'INPUT SUMATIF'!$A$2:$CH$2,0)),"")
),"")</f>
        <v/>
      </c>
      <c r="P52" s="180"/>
      <c r="Q52" s="210" t="str">
        <f t="array" ref="Q52">iferror(AVERAGE(
IFERROR(INDEX('INPUT SUMATIF'!$A:$CH,MATCH($D52,'INPUT SUMATIF'!$D:$D,0),MATCH($Q$2,'INPUT SUMATIF'!$A$2:$CH$2,0)),""),
IFERROR(INDEX('INPUT SUMATIF'!$A:$CH,MATCH($D52,'INPUT SUMATIF'!$D:$D,0),MATCH($R$2,'INPUT SUMATIF'!$A$2:$CH$2,0)),"")
),"")</f>
        <v/>
      </c>
      <c r="R52" s="180"/>
      <c r="S52" s="215" t="str">
        <f t="array" ref="S52">iferror(AVERAGE(
IFERROR(INDEX('INPUT SUMATIF'!$A:$CH,MATCH($D52,'INPUT SUMATIF'!$D:$D,0),MATCH($S$2,'INPUT SUMATIF'!$A$2:$CH$2,0)),""),
IFERROR(INDEX('INPUT SUMATIF'!$A:$CH,MATCH($D52,'INPUT SUMATIF'!$D:$D,0),MATCH($T$2,'INPUT SUMATIF'!$A$2:$CH$2,0)),"")
),"")</f>
        <v/>
      </c>
      <c r="T52" s="180"/>
      <c r="U52" s="221" t="str">
        <f t="array" ref="U52">iferror(AVERAGE(
IFERROR(INDEX('INPUT SUMATIF'!$A:$CH,MATCH($D52,'INPUT SUMATIF'!$D:$D,0),MATCH($U$2,'INPUT SUMATIF'!$A$2:$CH$2,0)),""),
IFERROR(INDEX('INPUT SUMATIF'!$A:$CH,MATCH($D52,'INPUT SUMATIF'!$D:$D,0),MATCH($V$2,'INPUT SUMATIF'!$A$2:$CH$2,0)),"")
),"")</f>
        <v/>
      </c>
      <c r="V52" s="180"/>
      <c r="W52" s="175" t="str">
        <f t="array" ref="W52">iferror(AVERAGE(
IFERROR(INDEX('INPUT SUMATIF'!$A:$CH,MATCH($D52,'INPUT SUMATIF'!$D:$D,0),MATCH($W$2,'INPUT SUMATIF'!$A$2:$CH$2,0)),""),
IFERROR(INDEX('INPUT SUMATIF'!$A:$CH,MATCH($D52,'INPUT SUMATIF'!$D:$D,0),MATCH($X$2,'INPUT SUMATIF'!$A$2:$CH$2,0)),"")
),"")</f>
        <v/>
      </c>
      <c r="X52" s="180"/>
      <c r="Y52" s="227" t="str">
        <f t="array" ref="Y52">iferror(AVERAGE(
IFERROR(INDEX('INPUT SUMATIF'!$A:$CH,MATCH($D52,'INPUT SUMATIF'!$D:$D,0),MATCH($Y$2,'INPUT SUMATIF'!$A$2:$CH$2,0)),""),
IFERROR(INDEX('INPUT SUMATIF'!$A:$CH,MATCH($D52,'INPUT SUMATIF'!$D:$D,0),MATCH($Z$2,'INPUT SUMATIF'!$A$2:$CH$2,0)),"")
),"")</f>
        <v/>
      </c>
      <c r="Z52" s="180"/>
      <c r="AA52" s="227" t="str">
        <f t="array" ref="AA52">iferror(AVERAGE(
IFERROR(INDEX('INPUT SUMATIF'!$A:$CH,MATCH($D52,'INPUT SUMATIF'!$D:$D,0),MATCH($AA$2,'INPUT SUMATIF'!$A$2:$CH$2,0)),""),
IFERROR(INDEX('INPUT SUMATIF'!$A:$CH,MATCH($D52,'INPUT SUMATIF'!$D:$D,0),MATCH($AB$2,'INPUT SUMATIF'!$A$2:$CH$2,0)),"")
),"")</f>
        <v/>
      </c>
      <c r="AB52" s="180"/>
      <c r="AC52" s="227" t="str">
        <f t="array" ref="AC52">iferror(AVERAGE(
IFERROR(INDEX('INPUT SUMATIF'!$A:$CH,MATCH($D52,'INPUT SUMATIF'!$D:$D,0),MATCH($AC$2,'INPUT SUMATIF'!$A$2:$CH$2,0)),""),
IFERROR(INDEX('INPUT SUMATIF'!$A:$CH,MATCH($D52,'INPUT SUMATIF'!$D:$D,0),MATCH($AD$2,'INPUT SUMATIF'!$A$2:$CH$2,0)),"")
),"")</f>
        <v/>
      </c>
      <c r="AD52" s="180"/>
      <c r="AE52" s="227" t="str">
        <f t="array" ref="AE52">iferror(AVERAGE(
IFERROR(INDEX('INPUT SUMATIF'!$A:$CH,MATCH($D52,'INPUT SUMATIF'!$D:$D,0),MATCH($AE$2,'INPUT SUMATIF'!$A$2:$CH$2,0)),""),
IFERROR(INDEX('INPUT SUMATIF'!$A:$CH,MATCH($D52,'INPUT SUMATIF'!$D:$D,0),MATCH($AF$2,'INPUT SUMATIF'!$A$2:$CH$2,0)),"")
),"")</f>
        <v/>
      </c>
      <c r="AF52" s="180"/>
      <c r="AG52" s="237" t="str">
        <f t="array" ref="AG52">iferror(AVERAGE(
IFERROR(INDEX('INPUT SUMATIF'!$A:$CH,MATCH($D52,'INPUT SUMATIF'!$D:$D,0),MATCH($AG$2,'INPUT SUMATIF'!$A$2:$CH$2,0)),""),
IFERROR(INDEX('INPUT SUMATIF'!$A:$CH,MATCH($D52,'INPUT SUMATIF'!$D:$D,0),MATCH($AH$2,'INPUT SUMATIF'!$A$2:$CH$2,0)),"")
),"")</f>
        <v/>
      </c>
      <c r="AH52" s="180"/>
      <c r="AI52" s="237" t="str">
        <f t="array" ref="AI52">iferror(AVERAGE(
IFERROR(INDEX('INPUT SUMATIF'!$A:$CH,MATCH($D52,'INPUT SUMATIF'!$D:$D,0),MATCH($AI$2,'INPUT SUMATIF'!$A$2:$CH$2,0)),""),
IFERROR(INDEX('INPUT SUMATIF'!$A:$CH,MATCH($D52,'INPUT SUMATIF'!$D:$D,0),MATCH($AJ$2,'INPUT SUMATIF'!$A$2:$CH$2,0)),"")
),"")</f>
        <v/>
      </c>
      <c r="AJ52" s="180"/>
      <c r="AK52" s="186" t="str">
        <f t="array" ref="AK52">iferror(AVERAGE(
IFERROR(INDEX('INPUT SUMATIF'!$A:$CH,MATCH($D52,'INPUT SUMATIF'!$D:$D,0),MATCH($AK$2,'INPUT SUMATIF'!$A$2:$CH$2,0)),""),
IFERROR(INDEX('INPUT SUMATIF'!$A:$CH,MATCH($D52,'INPUT SUMATIF'!$D:$D,0),MATCH($AL$2,'INPUT SUMATIF'!$A$2:$CH$2,0)),"")
),"")</f>
        <v/>
      </c>
      <c r="AL52" s="244"/>
      <c r="AM52" s="293"/>
      <c r="AN52" s="255"/>
      <c r="AO52" s="253"/>
      <c r="AP52" s="253"/>
      <c r="AQ52" s="260"/>
      <c r="AR52" s="263"/>
      <c r="AS52" s="265"/>
      <c r="AT52" s="265"/>
      <c r="AU52" s="265"/>
      <c r="AV52" s="265"/>
      <c r="AW52" s="265"/>
      <c r="AX52" s="265"/>
      <c r="AY52" s="265"/>
      <c r="AZ52" s="265"/>
      <c r="BA52" s="265"/>
      <c r="BB52" s="268" t="s">
        <v>248</v>
      </c>
    </row>
    <row r="53" ht="15.75" customHeight="1">
      <c r="A53" s="1019"/>
      <c r="B53" s="1019"/>
      <c r="C53" s="1019"/>
      <c r="D53" s="1020"/>
      <c r="E53" s="1021"/>
      <c r="F53" s="1021" t="s">
        <v>244</v>
      </c>
      <c r="G53" s="1022" t="str">
        <f t="array" ref="G53">IFERROR(AVERAGE(
IFERROR(INDEX('INPUT SUMATIF'!$A:$CH,MATCH($D53,'INPUT SUMATIF'!$D:$D,0),MATCH($G$2,'INPUT SUMATIF'!$A$2:$CH$2,0)),""),
IFERROR(INDEX('INPUT SUMATIF'!$A:$CH,MATCH($D53,'INPUT SUMATIF'!$D:$D,0),MATCH($H$2,'INPUT SUMATIF'!$A$2:$CH$2,0)),"")
),"")</f>
        <v/>
      </c>
      <c r="H53" s="1023"/>
      <c r="I53" s="1024" t="str">
        <f t="array" ref="I53">iferror(AVERAGE(
IFERROR(INDEX('INPUT SUMATIF'!$A:$CH,MATCH($D53,'INPUT SUMATIF'!$D:$D,0),MATCH($I$2,'INPUT SUMATIF'!$A$2:$CH$2,0)),""),
IFERROR(INDEX('INPUT SUMATIF'!$A:$CH,MATCH($D53,'INPUT SUMATIF'!$D:$D,0),MATCH($J$2,'INPUT SUMATIF'!$A$2:$CH$2,0)),"")
),"")</f>
        <v/>
      </c>
      <c r="J53" s="1023"/>
      <c r="K53" s="1025" t="str">
        <f t="array" ref="K53">iferror(AVERAGE(
IFERROR(INDEX('INPUT SUMATIF'!$A:$CH,MATCH($D53,'INPUT SUMATIF'!$D:$D,0),MATCH($K$2,'INPUT SUMATIF'!$A$2:$CH$2,0)),""),
IFERROR(INDEX('INPUT SUMATIF'!$A:$CH,MATCH($D53,'INPUT SUMATIF'!$D:$D,0),MATCH($L$2,'INPUT SUMATIF'!$A$2:$CH$2,0)),"")
),"")</f>
        <v/>
      </c>
      <c r="L53" s="1023"/>
      <c r="M53" s="1026" t="str">
        <f t="array" ref="M53">iferror(AVERAGE(
IFERROR(INDEX('INPUT SUMATIF'!$A:$CH,MATCH($D53,'INPUT SUMATIF'!$D:$D,0),MATCH($M$2,'INPUT SUMATIF'!$A$2:$CH$2,0)),""),
IFERROR(INDEX('INPUT SUMATIF'!$A:$CH,MATCH($D53,'INPUT SUMATIF'!$D:$D,0),MATCH($N$2,'INPUT SUMATIF'!$A$2:$CH$2,0)),"")
),"")</f>
        <v/>
      </c>
      <c r="N53" s="1023"/>
      <c r="O53" s="1027" t="str">
        <f t="array" ref="O53">iferror(AVERAGE(
IFERROR(INDEX('INPUT SUMATIF'!$A:$CH,MATCH($D53,'INPUT SUMATIF'!$D:$D,0),MATCH($O$2,'INPUT SUMATIF'!$A$2:$CH$2,0)),""),
IFERROR(INDEX('INPUT SUMATIF'!$A:$CH,MATCH($D53,'INPUT SUMATIF'!$D:$D,0),MATCH($P$2,'INPUT SUMATIF'!$A$2:$CH$2,0)),"")
),"")</f>
        <v/>
      </c>
      <c r="P53" s="1023"/>
      <c r="Q53" s="1028" t="str">
        <f t="array" ref="Q53">iferror(AVERAGE(
IFERROR(INDEX('INPUT SUMATIF'!$A:$CH,MATCH($D53,'INPUT SUMATIF'!$D:$D,0),MATCH($Q$2,'INPUT SUMATIF'!$A$2:$CH$2,0)),""),
IFERROR(INDEX('INPUT SUMATIF'!$A:$CH,MATCH($D53,'INPUT SUMATIF'!$D:$D,0),MATCH($R$2,'INPUT SUMATIF'!$A$2:$CH$2,0)),"")
),"")</f>
        <v/>
      </c>
      <c r="R53" s="1023"/>
      <c r="S53" s="1029" t="str">
        <f t="array" ref="S53">iferror(AVERAGE(
IFERROR(INDEX('INPUT SUMATIF'!$A:$CH,MATCH($D53,'INPUT SUMATIF'!$D:$D,0),MATCH($S$2,'INPUT SUMATIF'!$A$2:$CH$2,0)),""),
IFERROR(INDEX('INPUT SUMATIF'!$A:$CH,MATCH($D53,'INPUT SUMATIF'!$D:$D,0),MATCH($T$2,'INPUT SUMATIF'!$A$2:$CH$2,0)),"")
),"")</f>
        <v/>
      </c>
      <c r="T53" s="1023"/>
      <c r="U53" s="1030" t="str">
        <f t="array" ref="U53">iferror(AVERAGE(
IFERROR(INDEX('INPUT SUMATIF'!$A:$CH,MATCH($D53,'INPUT SUMATIF'!$D:$D,0),MATCH($U$2,'INPUT SUMATIF'!$A$2:$CH$2,0)),""),
IFERROR(INDEX('INPUT SUMATIF'!$A:$CH,MATCH($D53,'INPUT SUMATIF'!$D:$D,0),MATCH($V$2,'INPUT SUMATIF'!$A$2:$CH$2,0)),"")
),"")</f>
        <v/>
      </c>
      <c r="V53" s="1023"/>
      <c r="W53" s="1022" t="str">
        <f t="array" ref="W53">iferror(AVERAGE(
IFERROR(INDEX('INPUT SUMATIF'!$A:$CH,MATCH($D53,'INPUT SUMATIF'!$D:$D,0),MATCH($W$2,'INPUT SUMATIF'!$A$2:$CH$2,0)),""),
IFERROR(INDEX('INPUT SUMATIF'!$A:$CH,MATCH($D53,'INPUT SUMATIF'!$D:$D,0),MATCH($X$2,'INPUT SUMATIF'!$A$2:$CH$2,0)),"")
),"")</f>
        <v/>
      </c>
      <c r="X53" s="1023"/>
      <c r="Y53" s="1031" t="str">
        <f t="array" ref="Y53">iferror(AVERAGE(
IFERROR(INDEX('INPUT SUMATIF'!$A:$CH,MATCH($D53,'INPUT SUMATIF'!$D:$D,0),MATCH($Y$2,'INPUT SUMATIF'!$A$2:$CH$2,0)),""),
IFERROR(INDEX('INPUT SUMATIF'!$A:$CH,MATCH($D53,'INPUT SUMATIF'!$D:$D,0),MATCH($Z$2,'INPUT SUMATIF'!$A$2:$CH$2,0)),"")
),"")</f>
        <v/>
      </c>
      <c r="Z53" s="1023"/>
      <c r="AA53" s="1031" t="str">
        <f t="array" ref="AA53">iferror(AVERAGE(
IFERROR(INDEX('INPUT SUMATIF'!$A:$CH,MATCH($D53,'INPUT SUMATIF'!$D:$D,0),MATCH($AA$2,'INPUT SUMATIF'!$A$2:$CH$2,0)),""),
IFERROR(INDEX('INPUT SUMATIF'!$A:$CH,MATCH($D53,'INPUT SUMATIF'!$D:$D,0),MATCH($AB$2,'INPUT SUMATIF'!$A$2:$CH$2,0)),"")
),"")</f>
        <v/>
      </c>
      <c r="AB53" s="1023"/>
      <c r="AC53" s="1031" t="str">
        <f t="array" ref="AC53">iferror(AVERAGE(
IFERROR(INDEX('INPUT SUMATIF'!$A:$CH,MATCH($D53,'INPUT SUMATIF'!$D:$D,0),MATCH($AC$2,'INPUT SUMATIF'!$A$2:$CH$2,0)),""),
IFERROR(INDEX('INPUT SUMATIF'!$A:$CH,MATCH($D53,'INPUT SUMATIF'!$D:$D,0),MATCH($AD$2,'INPUT SUMATIF'!$A$2:$CH$2,0)),"")
),"")</f>
        <v/>
      </c>
      <c r="AD53" s="1023"/>
      <c r="AE53" s="1031" t="str">
        <f t="array" ref="AE53">iferror(AVERAGE(
IFERROR(INDEX('INPUT SUMATIF'!$A:$CH,MATCH($D53,'INPUT SUMATIF'!$D:$D,0),MATCH($AE$2,'INPUT SUMATIF'!$A$2:$CH$2,0)),""),
IFERROR(INDEX('INPUT SUMATIF'!$A:$CH,MATCH($D53,'INPUT SUMATIF'!$D:$D,0),MATCH($AF$2,'INPUT SUMATIF'!$A$2:$CH$2,0)),"")
),"")</f>
        <v/>
      </c>
      <c r="AF53" s="1023"/>
      <c r="AG53" s="1032" t="str">
        <f t="array" ref="AG53">iferror(AVERAGE(
IFERROR(INDEX('INPUT SUMATIF'!$A:$CH,MATCH($D53,'INPUT SUMATIF'!$D:$D,0),MATCH($AG$2,'INPUT SUMATIF'!$A$2:$CH$2,0)),""),
IFERROR(INDEX('INPUT SUMATIF'!$A:$CH,MATCH($D53,'INPUT SUMATIF'!$D:$D,0),MATCH($AH$2,'INPUT SUMATIF'!$A$2:$CH$2,0)),"")
),"")</f>
        <v/>
      </c>
      <c r="AH53" s="1023"/>
      <c r="AI53" s="1032" t="str">
        <f t="array" ref="AI53">iferror(AVERAGE(
IFERROR(INDEX('INPUT SUMATIF'!$A:$CH,MATCH($D53,'INPUT SUMATIF'!$D:$D,0),MATCH($AI$2,'INPUT SUMATIF'!$A$2:$CH$2,0)),""),
IFERROR(INDEX('INPUT SUMATIF'!$A:$CH,MATCH($D53,'INPUT SUMATIF'!$D:$D,0),MATCH($AJ$2,'INPUT SUMATIF'!$A$2:$CH$2,0)),"")
),"")</f>
        <v/>
      </c>
      <c r="AJ53" s="1023"/>
      <c r="AK53" s="1024" t="str">
        <f t="array" ref="AK53">iferror(AVERAGE(
IFERROR(INDEX('INPUT SUMATIF'!$A:$CH,MATCH($D53,'INPUT SUMATIF'!$D:$D,0),MATCH($AK$2,'INPUT SUMATIF'!$A$2:$CH$2,0)),""),
IFERROR(INDEX('INPUT SUMATIF'!$A:$CH,MATCH($D53,'INPUT SUMATIF'!$D:$D,0),MATCH($AL$2,'INPUT SUMATIF'!$A$2:$CH$2,0)),"")
),"")</f>
        <v/>
      </c>
      <c r="AL53" s="1033"/>
      <c r="AM53" s="293"/>
      <c r="AN53" s="1034"/>
      <c r="AO53" s="1035"/>
      <c r="AP53" s="1035"/>
      <c r="AQ53" s="1036"/>
      <c r="AR53" s="1037"/>
      <c r="AS53" s="1038"/>
      <c r="AT53" s="1038"/>
      <c r="AU53" s="1038"/>
      <c r="AV53" s="1038"/>
      <c r="AW53" s="1038"/>
      <c r="AX53" s="1038"/>
      <c r="AY53" s="1038"/>
      <c r="AZ53" s="1038"/>
      <c r="BA53" s="1038"/>
      <c r="BB53" s="1039" t="s">
        <v>248</v>
      </c>
    </row>
  </sheetData>
  <dataValidations>
    <dataValidation type="list" allowBlank="1" showErrorMessage="1" sqref="BB4:BB53">
      <formula1>"NAIK,TINGGAL,LULUS,TIDAK LULUS"</formula1>
    </dataValidation>
  </dataValidations>
  <printOptions/>
  <pageMargins bottom="0.0" footer="0.0" header="0.0" left="0.5118110236220472" right="0.0" top="0.2362204724409449"/>
  <pageSetup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4.43"/>
    <col customWidth="1" hidden="1" min="2" max="3" width="18.14"/>
    <col customWidth="1" min="4" max="4" width="28.57"/>
    <col customWidth="1" min="5" max="5" width="13.14"/>
    <col customWidth="1" min="6" max="6" width="15.57"/>
    <col customWidth="1" min="7" max="7" width="9.71"/>
    <col customWidth="1" min="8" max="8" width="23.86"/>
    <col customWidth="1" min="9" max="9" width="65.0"/>
    <col customWidth="1" min="10" max="10" width="10.57"/>
    <col customWidth="1" min="11" max="11" width="23.86"/>
    <col customWidth="1" min="12" max="12" width="65.0"/>
    <col customWidth="1" min="13" max="13" width="11.86"/>
    <col customWidth="1" min="14" max="14" width="23.86"/>
    <col customWidth="1" min="15" max="15" width="65.0"/>
    <col customWidth="1" min="16" max="16" width="4.0"/>
    <col customWidth="1" min="17" max="17" width="5.0"/>
    <col customWidth="1" min="18" max="18" width="55.43"/>
    <col customWidth="1" min="19" max="19" width="0.14"/>
    <col customWidth="1" min="20" max="20" width="21.43"/>
  </cols>
  <sheetData>
    <row r="1" ht="12.75" hidden="1" customHeight="1">
      <c r="A1" s="12">
        <v>1.0</v>
      </c>
      <c r="B1" s="5">
        <v>2.0</v>
      </c>
      <c r="C1" s="12">
        <v>3.0</v>
      </c>
      <c r="D1" s="5">
        <v>4.0</v>
      </c>
      <c r="E1" s="12">
        <v>5.0</v>
      </c>
      <c r="F1" s="5">
        <v>6.0</v>
      </c>
      <c r="G1" s="12">
        <v>7.0</v>
      </c>
      <c r="H1" s="5">
        <v>8.0</v>
      </c>
      <c r="I1" s="12">
        <v>9.0</v>
      </c>
      <c r="J1" s="5">
        <v>10.0</v>
      </c>
      <c r="K1" s="12">
        <v>11.0</v>
      </c>
      <c r="L1" s="5">
        <v>12.0</v>
      </c>
      <c r="M1" s="12">
        <v>13.0</v>
      </c>
      <c r="N1" s="5">
        <v>14.0</v>
      </c>
      <c r="O1" s="12">
        <v>15.0</v>
      </c>
      <c r="P1" s="5">
        <v>16.0</v>
      </c>
      <c r="Q1" s="12">
        <v>17.0</v>
      </c>
      <c r="R1" s="5">
        <v>18.0</v>
      </c>
      <c r="S1" s="12">
        <v>19.0</v>
      </c>
      <c r="T1" s="5">
        <v>20.0</v>
      </c>
      <c r="U1" s="15"/>
      <c r="V1" s="15"/>
      <c r="W1" s="15"/>
      <c r="X1" s="15"/>
      <c r="Y1" s="15"/>
      <c r="Z1" s="15"/>
      <c r="AA1" s="15"/>
      <c r="AB1" s="15"/>
    </row>
    <row r="2" ht="28.5" hidden="1" customHeight="1">
      <c r="A2" s="16" t="str">
        <f t="shared" ref="A2:F2" si="1">A3</f>
        <v>NO</v>
      </c>
      <c r="B2" s="16" t="str">
        <f t="shared" si="1"/>
        <v>NIS</v>
      </c>
      <c r="C2" s="16" t="str">
        <f t="shared" si="1"/>
        <v>NISN</v>
      </c>
      <c r="D2" s="16" t="str">
        <f t="shared" si="1"/>
        <v>NAMA</v>
      </c>
      <c r="E2" s="16" t="str">
        <f t="shared" si="1"/>
        <v>KELAS</v>
      </c>
      <c r="F2" s="16" t="str">
        <f t="shared" si="1"/>
        <v>SEMESTER</v>
      </c>
      <c r="G2" s="17" t="str">
        <f t="shared" ref="G2:I2" si="2">$G$4&amp;G5</f>
        <v>MandiriNilai</v>
      </c>
      <c r="H2" s="17" t="str">
        <f t="shared" si="2"/>
        <v>MandiriArtinya</v>
      </c>
      <c r="I2" s="17" t="str">
        <f t="shared" si="2"/>
        <v>MandiriKeterangan</v>
      </c>
      <c r="J2" s="17" t="str">
        <f t="shared" ref="J2:L2" si="3">$J$4&amp;J5</f>
        <v>KreatifNilai</v>
      </c>
      <c r="K2" s="17" t="str">
        <f t="shared" si="3"/>
        <v>KreatifArtinya</v>
      </c>
      <c r="L2" s="17" t="str">
        <f t="shared" si="3"/>
        <v>KreatifKeterangan</v>
      </c>
      <c r="M2" s="17" t="str">
        <f t="shared" ref="M2:O2" si="4">$M$4&amp;M5</f>
        <v>Bergotong RoyongNilai</v>
      </c>
      <c r="N2" s="17" t="str">
        <f t="shared" si="4"/>
        <v>Bergotong RoyongArtinya</v>
      </c>
      <c r="O2" s="17" t="str">
        <f t="shared" si="4"/>
        <v>Bergotong Royongketerangan</v>
      </c>
      <c r="P2" s="19"/>
      <c r="Q2" s="19"/>
      <c r="R2" s="19"/>
      <c r="S2" s="19"/>
      <c r="T2" s="19"/>
      <c r="U2" s="19"/>
      <c r="V2" s="19"/>
      <c r="W2" s="19"/>
      <c r="X2" s="19"/>
      <c r="Y2" s="19"/>
      <c r="Z2" s="19"/>
      <c r="AA2" s="19"/>
      <c r="AB2" s="19"/>
    </row>
    <row r="3" ht="28.5" customHeight="1">
      <c r="A3" s="20" t="s">
        <v>0</v>
      </c>
      <c r="B3" s="21" t="s">
        <v>1</v>
      </c>
      <c r="C3" s="21" t="s">
        <v>2</v>
      </c>
      <c r="D3" s="22" t="s">
        <v>3</v>
      </c>
      <c r="E3" s="21" t="s">
        <v>4</v>
      </c>
      <c r="F3" s="21" t="s">
        <v>5</v>
      </c>
      <c r="G3" s="25" t="s">
        <v>194</v>
      </c>
      <c r="H3" s="27"/>
      <c r="I3" s="27"/>
      <c r="J3" s="27"/>
      <c r="K3" s="27"/>
      <c r="L3" s="27"/>
      <c r="M3" s="27"/>
      <c r="N3" s="27"/>
      <c r="O3" s="29"/>
      <c r="P3" s="19"/>
      <c r="Q3" s="19"/>
      <c r="R3" s="19"/>
      <c r="S3" s="19"/>
      <c r="T3" s="19"/>
      <c r="U3" s="19"/>
      <c r="V3" s="19"/>
      <c r="W3" s="19"/>
      <c r="X3" s="19"/>
      <c r="Y3" s="19"/>
      <c r="Z3" s="19"/>
      <c r="AA3" s="19"/>
      <c r="AB3" s="19"/>
    </row>
    <row r="4" ht="28.5" customHeight="1">
      <c r="A4" s="31"/>
      <c r="B4" s="31"/>
      <c r="C4" s="31"/>
      <c r="D4" s="31"/>
      <c r="E4" s="31"/>
      <c r="F4" s="31"/>
      <c r="G4" s="33" t="s">
        <v>195</v>
      </c>
      <c r="H4" s="34"/>
      <c r="I4" s="35"/>
      <c r="J4" s="38" t="s">
        <v>196</v>
      </c>
      <c r="K4" s="42"/>
      <c r="L4" s="43"/>
      <c r="M4" s="49" t="s">
        <v>198</v>
      </c>
      <c r="N4" s="54"/>
      <c r="O4" s="59"/>
      <c r="P4" s="19"/>
      <c r="Q4" s="19"/>
      <c r="R4" s="19"/>
      <c r="S4" s="19"/>
      <c r="T4" s="19"/>
      <c r="U4" s="19"/>
      <c r="V4" s="19"/>
      <c r="W4" s="19"/>
      <c r="X4" s="19"/>
      <c r="Y4" s="19"/>
      <c r="Z4" s="19"/>
      <c r="AA4" s="19"/>
      <c r="AB4" s="19"/>
    </row>
    <row r="5" ht="28.5" customHeight="1">
      <c r="A5" s="63"/>
      <c r="B5" s="63"/>
      <c r="C5" s="63"/>
      <c r="D5" s="63"/>
      <c r="E5" s="63"/>
      <c r="F5" s="63"/>
      <c r="G5" s="67" t="s">
        <v>199</v>
      </c>
      <c r="H5" s="71" t="s">
        <v>200</v>
      </c>
      <c r="I5" s="75" t="s">
        <v>201</v>
      </c>
      <c r="J5" s="81" t="s">
        <v>199</v>
      </c>
      <c r="K5" s="86" t="s">
        <v>200</v>
      </c>
      <c r="L5" s="92" t="s">
        <v>201</v>
      </c>
      <c r="M5" s="94" t="s">
        <v>199</v>
      </c>
      <c r="N5" s="98" t="s">
        <v>200</v>
      </c>
      <c r="O5" s="102" t="s">
        <v>202</v>
      </c>
      <c r="P5" s="104" t="s">
        <v>203</v>
      </c>
      <c r="Q5" s="109" t="s">
        <v>199</v>
      </c>
      <c r="R5" s="109" t="s">
        <v>204</v>
      </c>
      <c r="S5" s="109" t="s">
        <v>199</v>
      </c>
      <c r="T5" s="111" t="s">
        <v>204</v>
      </c>
      <c r="U5" s="19"/>
      <c r="V5" s="19"/>
      <c r="W5" s="19"/>
      <c r="X5" s="19"/>
      <c r="Y5" s="19"/>
      <c r="Z5" s="19"/>
      <c r="AA5" s="19"/>
      <c r="AB5" s="19"/>
    </row>
    <row r="6" ht="15.75" customHeight="1">
      <c r="A6" s="115">
        <f>IFERROR(__xludf.DUMMYFUNCTION("QUERY(SETTING!$E$3:$I$56, ""SELECT * WHERE Col1 IS NOT NULL"")
"),1.0)</f>
        <v>1</v>
      </c>
      <c r="B6" s="119" t="str">
        <f>IFERROR(__xludf.DUMMYFUNCTION("""COMPUTED_VALUE"""),"2526100414")</f>
        <v>2526100414</v>
      </c>
      <c r="C6" s="119" t="str">
        <f>IFERROR(__xludf.DUMMYFUNCTION("""COMPUTED_VALUE"""),"0098742051")</f>
        <v>0098742051</v>
      </c>
      <c r="D6" s="122" t="str">
        <f>IFERROR(__xludf.DUMMYFUNCTION("""COMPUTED_VALUE"""),"AHMAD FAUZI")</f>
        <v>AHMAD FAUZI</v>
      </c>
      <c r="E6" s="119" t="str">
        <f>IFERROR(__xludf.DUMMYFUNCTION("""COMPUTED_VALUE"""),"X TO 4")</f>
        <v>X TO 4</v>
      </c>
      <c r="F6" s="132" t="str">
        <f t="array" ref="F6:F55">IF(D6:D55&lt;&gt;"",SETTING!$C$3,"")</f>
        <v>Ganjil</v>
      </c>
      <c r="G6" s="138"/>
      <c r="H6" s="144" t="b">
        <f t="shared" ref="H6:H55" si="5">IF(G6="BB",VLOOKUP(G6,$S$6:$T$9,2,3),IF(G6="MB",VLOOKUP(G6,$S$6:$T$9,2,3),IF(G6="BSH",VLOOKUP(G6,$S$6:$T$9,2,0),IF(G6="SB",VLOOKUP(G6,$S$6:$T$9,2,3)))))</f>
        <v>0</v>
      </c>
      <c r="I6" s="149" t="b">
        <f t="shared" ref="I6:I55" si="6">IF(G6="BB",VLOOKUP(G6,$Q$6:$R$9,2,3),IF(G6="MB",VLOOKUP(G6,$Q$6:$R$9,2,3),IF(G6="BSH",VLOOKUP(G6,$Q$6:$R$9,2,0),IF(G6="SB",VLOOKUP(G6,$Q$6:$R$9,2,3)))))</f>
        <v>0</v>
      </c>
      <c r="J6" s="138"/>
      <c r="K6" s="153" t="b">
        <f t="shared" ref="K6:K55" si="7">IF(J6="BB",VLOOKUP(J6,$S$6:$T$9,2,3),IF(J6="MB",VLOOKUP(J6,$S$6:$T$9,2,3),IF(J6="BSH",VLOOKUP(J6,$S$6:$T$9,2,0),IF(J6="SB",VLOOKUP(J6,$S$6:$T$9,2,3)))))</f>
        <v>0</v>
      </c>
      <c r="L6" s="158" t="b">
        <f t="shared" ref="L6:L55" si="8">IF(J6="BB",VLOOKUP(J6,$Q$6:$R$9,2,3),IF(J6="MB",VLOOKUP(J6,$Q$6:$R$9,2,3),IF(J6="BSH",VLOOKUP(J6,$Q$6:$R$9,2,0),IF(J6="SB",VLOOKUP(J6,$Q$6:$R$9,2,3)))))</f>
        <v>0</v>
      </c>
      <c r="M6" s="138"/>
      <c r="N6" s="163" t="b">
        <f t="shared" ref="N6:N55" si="9">IF(M6="BB",VLOOKUP(M6,$S$6:$T$9,2,3),IF(M6="MB",VLOOKUP(M6,$S$6:$T$9,2,3),IF(M6="BSH",VLOOKUP(M6,$S$6:$T$9,2,0),IF(M6="SB",VLOOKUP(M6,$S$6:$T$9,2,3)))))</f>
        <v>0</v>
      </c>
      <c r="O6" s="167" t="b">
        <f t="shared" ref="O6:O55" si="10">IF(M6="BB",VLOOKUP(M6,$Q$6:$R$9,2,3),IF(M6="MB",VLOOKUP(M6,$Q$6:$R$9,2,3),IF(M6="BSH",VLOOKUP(M6,$Q$6:$R$9,2,0),IF(M6="SB",VLOOKUP(M6,$Q$6:$R$9,2,3)))))</f>
        <v>0</v>
      </c>
      <c r="P6" s="172">
        <v>1.0</v>
      </c>
      <c r="Q6" s="177" t="s">
        <v>214</v>
      </c>
      <c r="R6" s="181" t="s">
        <v>216</v>
      </c>
      <c r="S6" s="177" t="s">
        <v>214</v>
      </c>
      <c r="T6" s="184" t="s">
        <v>217</v>
      </c>
      <c r="U6" s="187"/>
      <c r="V6" s="187"/>
      <c r="W6" s="187"/>
      <c r="X6" s="187"/>
      <c r="Y6" s="187"/>
      <c r="Z6" s="187"/>
      <c r="AA6" s="187"/>
      <c r="AB6" s="187"/>
    </row>
    <row r="7" ht="15.75" customHeight="1">
      <c r="A7" s="189">
        <f>IFERROR(__xludf.DUMMYFUNCTION("""COMPUTED_VALUE"""),2.0)</f>
        <v>2</v>
      </c>
      <c r="B7" s="193" t="str">
        <f>IFERROR(__xludf.DUMMYFUNCTION("""COMPUTED_VALUE"""),"2526100415")</f>
        <v>2526100415</v>
      </c>
      <c r="C7" s="193" t="str">
        <f>IFERROR(__xludf.DUMMYFUNCTION("""COMPUTED_VALUE"""),"0094541761")</f>
        <v>0094541761</v>
      </c>
      <c r="D7" s="195" t="str">
        <f>IFERROR(__xludf.DUMMYFUNCTION("""COMPUTED_VALUE"""),"AHMAD YOPI JUMAEDI")</f>
        <v>AHMAD YOPI JUMAEDI</v>
      </c>
      <c r="E7" s="193" t="str">
        <f>IFERROR(__xludf.DUMMYFUNCTION("""COMPUTED_VALUE"""),"X TO 4")</f>
        <v>X TO 4</v>
      </c>
      <c r="F7" s="200" t="s">
        <v>220</v>
      </c>
      <c r="G7" s="203"/>
      <c r="H7" s="144" t="b">
        <f t="shared" si="5"/>
        <v>0</v>
      </c>
      <c r="I7" s="149" t="b">
        <f t="shared" si="6"/>
        <v>0</v>
      </c>
      <c r="J7" s="203"/>
      <c r="K7" s="153" t="b">
        <f t="shared" si="7"/>
        <v>0</v>
      </c>
      <c r="L7" s="158" t="b">
        <f t="shared" si="8"/>
        <v>0</v>
      </c>
      <c r="M7" s="205"/>
      <c r="N7" s="163" t="b">
        <f t="shared" si="9"/>
        <v>0</v>
      </c>
      <c r="O7" s="167" t="b">
        <f t="shared" si="10"/>
        <v>0</v>
      </c>
      <c r="P7" s="172">
        <v>2.0</v>
      </c>
      <c r="Q7" s="177" t="s">
        <v>223</v>
      </c>
      <c r="R7" s="181" t="s">
        <v>224</v>
      </c>
      <c r="S7" s="177" t="s">
        <v>223</v>
      </c>
      <c r="T7" s="184" t="s">
        <v>225</v>
      </c>
      <c r="U7" s="187"/>
      <c r="V7" s="187"/>
      <c r="W7" s="187"/>
      <c r="X7" s="187"/>
      <c r="Y7" s="187"/>
      <c r="Z7" s="187"/>
      <c r="AA7" s="187"/>
      <c r="AB7" s="187"/>
    </row>
    <row r="8" ht="15.75" customHeight="1">
      <c r="A8" s="115">
        <f>IFERROR(__xludf.DUMMYFUNCTION("""COMPUTED_VALUE"""),3.0)</f>
        <v>3</v>
      </c>
      <c r="B8" s="119" t="str">
        <f>IFERROR(__xludf.DUMMYFUNCTION("""COMPUTED_VALUE"""),"2526100416")</f>
        <v>2526100416</v>
      </c>
      <c r="C8" s="119" t="str">
        <f>IFERROR(__xludf.DUMMYFUNCTION("""COMPUTED_VALUE"""),"0095885037")</f>
        <v>0095885037</v>
      </c>
      <c r="D8" s="122" t="str">
        <f>IFERROR(__xludf.DUMMYFUNCTION("""COMPUTED_VALUE"""),"ALGI FALGIAN")</f>
        <v>ALGI FALGIAN</v>
      </c>
      <c r="E8" s="119" t="str">
        <f>IFERROR(__xludf.DUMMYFUNCTION("""COMPUTED_VALUE"""),"X TO 4")</f>
        <v>X TO 4</v>
      </c>
      <c r="F8" s="132" t="s">
        <v>220</v>
      </c>
      <c r="G8" s="138"/>
      <c r="H8" s="144" t="b">
        <f t="shared" si="5"/>
        <v>0</v>
      </c>
      <c r="I8" s="149" t="b">
        <f t="shared" si="6"/>
        <v>0</v>
      </c>
      <c r="J8" s="138"/>
      <c r="K8" s="153" t="b">
        <f t="shared" si="7"/>
        <v>0</v>
      </c>
      <c r="L8" s="158" t="b">
        <f t="shared" si="8"/>
        <v>0</v>
      </c>
      <c r="M8" s="138"/>
      <c r="N8" s="163" t="b">
        <f t="shared" si="9"/>
        <v>0</v>
      </c>
      <c r="O8" s="167" t="b">
        <f t="shared" si="10"/>
        <v>0</v>
      </c>
      <c r="P8" s="172">
        <v>3.0</v>
      </c>
      <c r="Q8" s="177" t="s">
        <v>226</v>
      </c>
      <c r="R8" s="181" t="s">
        <v>227</v>
      </c>
      <c r="S8" s="177" t="s">
        <v>226</v>
      </c>
      <c r="T8" s="184" t="s">
        <v>228</v>
      </c>
      <c r="U8" s="187"/>
      <c r="V8" s="187"/>
      <c r="W8" s="187"/>
      <c r="X8" s="187"/>
      <c r="Y8" s="187"/>
      <c r="Z8" s="187"/>
      <c r="AA8" s="187"/>
      <c r="AB8" s="187"/>
    </row>
    <row r="9" ht="15.75" customHeight="1">
      <c r="A9" s="189">
        <f>IFERROR(__xludf.DUMMYFUNCTION("""COMPUTED_VALUE"""),4.0)</f>
        <v>4</v>
      </c>
      <c r="B9" s="193" t="str">
        <f>IFERROR(__xludf.DUMMYFUNCTION("""COMPUTED_VALUE"""),"2526100417")</f>
        <v>2526100417</v>
      </c>
      <c r="C9" s="193" t="str">
        <f>IFERROR(__xludf.DUMMYFUNCTION("""COMPUTED_VALUE"""),"0095141993")</f>
        <v>0095141993</v>
      </c>
      <c r="D9" s="195" t="str">
        <f>IFERROR(__xludf.DUMMYFUNCTION("""COMPUTED_VALUE"""),"ALI PERMANA")</f>
        <v>ALI PERMANA</v>
      </c>
      <c r="E9" s="193" t="str">
        <f>IFERROR(__xludf.DUMMYFUNCTION("""COMPUTED_VALUE"""),"X TO 4")</f>
        <v>X TO 4</v>
      </c>
      <c r="F9" s="200" t="s">
        <v>220</v>
      </c>
      <c r="G9" s="203"/>
      <c r="H9" s="144" t="b">
        <f t="shared" si="5"/>
        <v>0</v>
      </c>
      <c r="I9" s="149" t="b">
        <f t="shared" si="6"/>
        <v>0</v>
      </c>
      <c r="J9" s="203"/>
      <c r="K9" s="153" t="b">
        <f t="shared" si="7"/>
        <v>0</v>
      </c>
      <c r="L9" s="158" t="b">
        <f t="shared" si="8"/>
        <v>0</v>
      </c>
      <c r="M9" s="205"/>
      <c r="N9" s="163" t="b">
        <f t="shared" si="9"/>
        <v>0</v>
      </c>
      <c r="O9" s="167" t="b">
        <f t="shared" si="10"/>
        <v>0</v>
      </c>
      <c r="P9" s="172">
        <v>4.0</v>
      </c>
      <c r="Q9" s="177" t="s">
        <v>230</v>
      </c>
      <c r="R9" s="181" t="s">
        <v>231</v>
      </c>
      <c r="S9" s="177" t="s">
        <v>230</v>
      </c>
      <c r="T9" s="184" t="s">
        <v>232</v>
      </c>
      <c r="U9" s="187"/>
      <c r="V9" s="187"/>
      <c r="W9" s="187"/>
      <c r="X9" s="187"/>
      <c r="Y9" s="187"/>
      <c r="Z9" s="187"/>
      <c r="AA9" s="187"/>
      <c r="AB9" s="187"/>
    </row>
    <row r="10" ht="15.75" customHeight="1">
      <c r="A10" s="115">
        <f>IFERROR(__xludf.DUMMYFUNCTION("""COMPUTED_VALUE"""),5.0)</f>
        <v>5</v>
      </c>
      <c r="B10" s="119" t="str">
        <f>IFERROR(__xludf.DUMMYFUNCTION("""COMPUTED_VALUE"""),"2526100418")</f>
        <v>2526100418</v>
      </c>
      <c r="C10" s="119" t="str">
        <f>IFERROR(__xludf.DUMMYFUNCTION("""COMPUTED_VALUE"""),"0107198266")</f>
        <v>0107198266</v>
      </c>
      <c r="D10" s="122" t="str">
        <f>IFERROR(__xludf.DUMMYFUNCTION("""COMPUTED_VALUE"""),"AZRIL EKA NUGRAHA")</f>
        <v>AZRIL EKA NUGRAHA</v>
      </c>
      <c r="E10" s="119" t="str">
        <f>IFERROR(__xludf.DUMMYFUNCTION("""COMPUTED_VALUE"""),"X TO 4")</f>
        <v>X TO 4</v>
      </c>
      <c r="F10" s="132" t="s">
        <v>220</v>
      </c>
      <c r="G10" s="138"/>
      <c r="H10" s="144" t="b">
        <f t="shared" si="5"/>
        <v>0</v>
      </c>
      <c r="I10" s="149" t="b">
        <f t="shared" si="6"/>
        <v>0</v>
      </c>
      <c r="J10" s="138"/>
      <c r="K10" s="153" t="b">
        <f t="shared" si="7"/>
        <v>0</v>
      </c>
      <c r="L10" s="158" t="b">
        <f t="shared" si="8"/>
        <v>0</v>
      </c>
      <c r="M10" s="138"/>
      <c r="N10" s="163" t="b">
        <f t="shared" si="9"/>
        <v>0</v>
      </c>
      <c r="O10" s="167" t="b">
        <f t="shared" si="10"/>
        <v>0</v>
      </c>
      <c r="P10" s="172"/>
      <c r="Q10" s="177"/>
      <c r="R10" s="181"/>
      <c r="S10" s="177"/>
      <c r="T10" s="184"/>
      <c r="U10" s="187"/>
      <c r="V10" s="187"/>
      <c r="W10" s="187"/>
      <c r="X10" s="187"/>
      <c r="Y10" s="187"/>
      <c r="Z10" s="187"/>
      <c r="AA10" s="187"/>
      <c r="AB10" s="187"/>
    </row>
    <row r="11" ht="15.75" customHeight="1">
      <c r="A11" s="189">
        <f>IFERROR(__xludf.DUMMYFUNCTION("""COMPUTED_VALUE"""),6.0)</f>
        <v>6</v>
      </c>
      <c r="B11" s="193" t="str">
        <f>IFERROR(__xludf.DUMMYFUNCTION("""COMPUTED_VALUE"""),"2526100419")</f>
        <v>2526100419</v>
      </c>
      <c r="C11" s="193" t="str">
        <f>IFERROR(__xludf.DUMMYFUNCTION("""COMPUTED_VALUE"""),"0096198310")</f>
        <v>0096198310</v>
      </c>
      <c r="D11" s="195" t="str">
        <f>IFERROR(__xludf.DUMMYFUNCTION("""COMPUTED_VALUE"""),"DIKA MUSTIKA SAPUTRA")</f>
        <v>DIKA MUSTIKA SAPUTRA</v>
      </c>
      <c r="E11" s="193" t="str">
        <f>IFERROR(__xludf.DUMMYFUNCTION("""COMPUTED_VALUE"""),"X TO 4")</f>
        <v>X TO 4</v>
      </c>
      <c r="F11" s="200" t="s">
        <v>220</v>
      </c>
      <c r="G11" s="203"/>
      <c r="H11" s="144" t="b">
        <f t="shared" si="5"/>
        <v>0</v>
      </c>
      <c r="I11" s="149" t="b">
        <f t="shared" si="6"/>
        <v>0</v>
      </c>
      <c r="J11" s="203"/>
      <c r="K11" s="153" t="b">
        <f t="shared" si="7"/>
        <v>0</v>
      </c>
      <c r="L11" s="158" t="b">
        <f t="shared" si="8"/>
        <v>0</v>
      </c>
      <c r="M11" s="205"/>
      <c r="N11" s="163" t="b">
        <f t="shared" si="9"/>
        <v>0</v>
      </c>
      <c r="O11" s="167" t="b">
        <f t="shared" si="10"/>
        <v>0</v>
      </c>
      <c r="P11" s="172"/>
      <c r="Q11" s="177"/>
      <c r="R11" s="181"/>
      <c r="S11" s="177"/>
      <c r="T11" s="184"/>
      <c r="U11" s="187"/>
      <c r="V11" s="187"/>
      <c r="W11" s="187"/>
      <c r="X11" s="187"/>
      <c r="Y11" s="187"/>
      <c r="Z11" s="187"/>
      <c r="AA11" s="187"/>
      <c r="AB11" s="187"/>
    </row>
    <row r="12" ht="15.75" customHeight="1">
      <c r="A12" s="115">
        <f>IFERROR(__xludf.DUMMYFUNCTION("""COMPUTED_VALUE"""),7.0)</f>
        <v>7</v>
      </c>
      <c r="B12" s="119" t="str">
        <f>IFERROR(__xludf.DUMMYFUNCTION("""COMPUTED_VALUE"""),"2526100420")</f>
        <v>2526100420</v>
      </c>
      <c r="C12" s="119" t="str">
        <f>IFERROR(__xludf.DUMMYFUNCTION("""COMPUTED_VALUE"""),"0092542662")</f>
        <v>0092542662</v>
      </c>
      <c r="D12" s="122" t="str">
        <f>IFERROR(__xludf.DUMMYFUNCTION("""COMPUTED_VALUE"""),"FAWAZ NAUPAL ALFATIR")</f>
        <v>FAWAZ NAUPAL ALFATIR</v>
      </c>
      <c r="E12" s="119" t="str">
        <f>IFERROR(__xludf.DUMMYFUNCTION("""COMPUTED_VALUE"""),"X TO 4")</f>
        <v>X TO 4</v>
      </c>
      <c r="F12" s="132" t="s">
        <v>220</v>
      </c>
      <c r="G12" s="138"/>
      <c r="H12" s="144" t="b">
        <f t="shared" si="5"/>
        <v>0</v>
      </c>
      <c r="I12" s="149" t="b">
        <f t="shared" si="6"/>
        <v>0</v>
      </c>
      <c r="J12" s="138"/>
      <c r="K12" s="153" t="b">
        <f t="shared" si="7"/>
        <v>0</v>
      </c>
      <c r="L12" s="158" t="b">
        <f t="shared" si="8"/>
        <v>0</v>
      </c>
      <c r="M12" s="138"/>
      <c r="N12" s="163" t="b">
        <f t="shared" si="9"/>
        <v>0</v>
      </c>
      <c r="O12" s="167" t="b">
        <f t="shared" si="10"/>
        <v>0</v>
      </c>
      <c r="P12" s="172"/>
      <c r="Q12" s="177"/>
      <c r="R12" s="181"/>
      <c r="S12" s="177"/>
      <c r="T12" s="184"/>
      <c r="U12" s="187"/>
      <c r="V12" s="187"/>
      <c r="W12" s="187"/>
      <c r="X12" s="187"/>
      <c r="Y12" s="187"/>
      <c r="Z12" s="187"/>
      <c r="AA12" s="187"/>
      <c r="AB12" s="187"/>
    </row>
    <row r="13" ht="15.75" customHeight="1">
      <c r="A13" s="189">
        <f>IFERROR(__xludf.DUMMYFUNCTION("""COMPUTED_VALUE"""),8.0)</f>
        <v>8</v>
      </c>
      <c r="B13" s="193" t="str">
        <f>IFERROR(__xludf.DUMMYFUNCTION("""COMPUTED_VALUE"""),"2526100421")</f>
        <v>2526100421</v>
      </c>
      <c r="C13" s="193" t="str">
        <f>IFERROR(__xludf.DUMMYFUNCTION("""COMPUTED_VALUE"""),"0107343620")</f>
        <v>0107343620</v>
      </c>
      <c r="D13" s="195" t="str">
        <f>IFERROR(__xludf.DUMMYFUNCTION("""COMPUTED_VALUE"""),"FIKRI AHMAD NAWAWI")</f>
        <v>FIKRI AHMAD NAWAWI</v>
      </c>
      <c r="E13" s="193" t="str">
        <f>IFERROR(__xludf.DUMMYFUNCTION("""COMPUTED_VALUE"""),"X TO 4")</f>
        <v>X TO 4</v>
      </c>
      <c r="F13" s="200" t="s">
        <v>220</v>
      </c>
      <c r="G13" s="203"/>
      <c r="H13" s="144" t="b">
        <f t="shared" si="5"/>
        <v>0</v>
      </c>
      <c r="I13" s="149" t="b">
        <f t="shared" si="6"/>
        <v>0</v>
      </c>
      <c r="J13" s="203"/>
      <c r="K13" s="153" t="b">
        <f t="shared" si="7"/>
        <v>0</v>
      </c>
      <c r="L13" s="158" t="b">
        <f t="shared" si="8"/>
        <v>0</v>
      </c>
      <c r="M13" s="205"/>
      <c r="N13" s="163" t="b">
        <f t="shared" si="9"/>
        <v>0</v>
      </c>
      <c r="O13" s="167" t="b">
        <f t="shared" si="10"/>
        <v>0</v>
      </c>
      <c r="P13" s="172"/>
      <c r="Q13" s="177"/>
      <c r="R13" s="181"/>
      <c r="S13" s="177"/>
      <c r="T13" s="184"/>
      <c r="U13" s="187"/>
      <c r="V13" s="187"/>
      <c r="W13" s="187"/>
      <c r="X13" s="187"/>
      <c r="Y13" s="187"/>
      <c r="Z13" s="187"/>
      <c r="AA13" s="187"/>
      <c r="AB13" s="187"/>
    </row>
    <row r="14" ht="15.75" customHeight="1">
      <c r="A14" s="115">
        <f>IFERROR(__xludf.DUMMYFUNCTION("""COMPUTED_VALUE"""),9.0)</f>
        <v>9</v>
      </c>
      <c r="B14" s="119" t="str">
        <f>IFERROR(__xludf.DUMMYFUNCTION("""COMPUTED_VALUE"""),"2526100422")</f>
        <v>2526100422</v>
      </c>
      <c r="C14" s="119" t="str">
        <f>IFERROR(__xludf.DUMMYFUNCTION("""COMPUTED_VALUE"""),"0076614788")</f>
        <v>0076614788</v>
      </c>
      <c r="D14" s="122" t="str">
        <f>IFERROR(__xludf.DUMMYFUNCTION("""COMPUTED_VALUE"""),"HADI NURYADI")</f>
        <v>HADI NURYADI</v>
      </c>
      <c r="E14" s="119" t="str">
        <f>IFERROR(__xludf.DUMMYFUNCTION("""COMPUTED_VALUE"""),"X TO 4")</f>
        <v>X TO 4</v>
      </c>
      <c r="F14" s="132" t="s">
        <v>220</v>
      </c>
      <c r="G14" s="138"/>
      <c r="H14" s="144" t="b">
        <f t="shared" si="5"/>
        <v>0</v>
      </c>
      <c r="I14" s="149" t="b">
        <f t="shared" si="6"/>
        <v>0</v>
      </c>
      <c r="J14" s="138"/>
      <c r="K14" s="153" t="b">
        <f t="shared" si="7"/>
        <v>0</v>
      </c>
      <c r="L14" s="158" t="b">
        <f t="shared" si="8"/>
        <v>0</v>
      </c>
      <c r="M14" s="138"/>
      <c r="N14" s="163" t="b">
        <f t="shared" si="9"/>
        <v>0</v>
      </c>
      <c r="O14" s="167" t="b">
        <f t="shared" si="10"/>
        <v>0</v>
      </c>
      <c r="P14" s="172"/>
      <c r="Q14" s="177"/>
      <c r="R14" s="181"/>
      <c r="S14" s="177"/>
      <c r="T14" s="184"/>
      <c r="U14" s="187"/>
      <c r="V14" s="187"/>
      <c r="W14" s="187"/>
      <c r="X14" s="187"/>
      <c r="Y14" s="187"/>
      <c r="Z14" s="187"/>
      <c r="AA14" s="187"/>
      <c r="AB14" s="187"/>
    </row>
    <row r="15" ht="15.75" customHeight="1">
      <c r="A15" s="189">
        <f>IFERROR(__xludf.DUMMYFUNCTION("""COMPUTED_VALUE"""),10.0)</f>
        <v>10</v>
      </c>
      <c r="B15" s="193" t="str">
        <f>IFERROR(__xludf.DUMMYFUNCTION("""COMPUTED_VALUE"""),"2526100423")</f>
        <v>2526100423</v>
      </c>
      <c r="C15" s="193" t="str">
        <f>IFERROR(__xludf.DUMMYFUNCTION("""COMPUTED_VALUE"""),"0093759169")</f>
        <v>0093759169</v>
      </c>
      <c r="D15" s="195" t="str">
        <f>IFERROR(__xludf.DUMMYFUNCTION("""COMPUTED_VALUE"""),"IBNU WANALI")</f>
        <v>IBNU WANALI</v>
      </c>
      <c r="E15" s="193" t="str">
        <f>IFERROR(__xludf.DUMMYFUNCTION("""COMPUTED_VALUE"""),"X TO 4")</f>
        <v>X TO 4</v>
      </c>
      <c r="F15" s="200" t="s">
        <v>220</v>
      </c>
      <c r="G15" s="203"/>
      <c r="H15" s="144" t="b">
        <f t="shared" si="5"/>
        <v>0</v>
      </c>
      <c r="I15" s="149" t="b">
        <f t="shared" si="6"/>
        <v>0</v>
      </c>
      <c r="J15" s="203"/>
      <c r="K15" s="153" t="b">
        <f t="shared" si="7"/>
        <v>0</v>
      </c>
      <c r="L15" s="158" t="b">
        <f t="shared" si="8"/>
        <v>0</v>
      </c>
      <c r="M15" s="205"/>
      <c r="N15" s="163" t="b">
        <f t="shared" si="9"/>
        <v>0</v>
      </c>
      <c r="O15" s="167" t="b">
        <f t="shared" si="10"/>
        <v>0</v>
      </c>
      <c r="P15" s="172"/>
      <c r="Q15" s="177"/>
      <c r="R15" s="181"/>
      <c r="S15" s="177"/>
      <c r="T15" s="184"/>
      <c r="U15" s="187"/>
      <c r="V15" s="187"/>
      <c r="W15" s="187"/>
      <c r="X15" s="187"/>
      <c r="Y15" s="187"/>
      <c r="Z15" s="187"/>
      <c r="AA15" s="187"/>
      <c r="AB15" s="187"/>
    </row>
    <row r="16" ht="15.75" customHeight="1">
      <c r="A16" s="115">
        <f>IFERROR(__xludf.DUMMYFUNCTION("""COMPUTED_VALUE"""),11.0)</f>
        <v>11</v>
      </c>
      <c r="B16" s="119" t="str">
        <f>IFERROR(__xludf.DUMMYFUNCTION("""COMPUTED_VALUE"""),"2526100424")</f>
        <v>2526100424</v>
      </c>
      <c r="C16" s="119" t="str">
        <f>IFERROR(__xludf.DUMMYFUNCTION("""COMPUTED_VALUE"""),"0095752965")</f>
        <v>0095752965</v>
      </c>
      <c r="D16" s="122" t="str">
        <f>IFERROR(__xludf.DUMMYFUNCTION("""COMPUTED_VALUE"""),"IHSAN ABDULOH ")</f>
        <v>IHSAN ABDULOH </v>
      </c>
      <c r="E16" s="119" t="str">
        <f>IFERROR(__xludf.DUMMYFUNCTION("""COMPUTED_VALUE"""),"X TO 4")</f>
        <v>X TO 4</v>
      </c>
      <c r="F16" s="132" t="s">
        <v>220</v>
      </c>
      <c r="G16" s="138"/>
      <c r="H16" s="144" t="b">
        <f t="shared" si="5"/>
        <v>0</v>
      </c>
      <c r="I16" s="149" t="b">
        <f t="shared" si="6"/>
        <v>0</v>
      </c>
      <c r="J16" s="138"/>
      <c r="K16" s="153" t="b">
        <f t="shared" si="7"/>
        <v>0</v>
      </c>
      <c r="L16" s="158" t="b">
        <f t="shared" si="8"/>
        <v>0</v>
      </c>
      <c r="M16" s="138"/>
      <c r="N16" s="163" t="b">
        <f t="shared" si="9"/>
        <v>0</v>
      </c>
      <c r="O16" s="167" t="b">
        <f t="shared" si="10"/>
        <v>0</v>
      </c>
      <c r="P16" s="172"/>
      <c r="Q16" s="177"/>
      <c r="R16" s="181"/>
      <c r="S16" s="177"/>
      <c r="T16" s="184"/>
      <c r="U16" s="187"/>
      <c r="V16" s="187"/>
      <c r="W16" s="187"/>
      <c r="X16" s="187"/>
      <c r="Y16" s="187"/>
      <c r="Z16" s="187"/>
      <c r="AA16" s="187"/>
      <c r="AB16" s="187"/>
    </row>
    <row r="17" ht="15.75" customHeight="1">
      <c r="A17" s="189">
        <f>IFERROR(__xludf.DUMMYFUNCTION("""COMPUTED_VALUE"""),12.0)</f>
        <v>12</v>
      </c>
      <c r="B17" s="193" t="str">
        <f>IFERROR(__xludf.DUMMYFUNCTION("""COMPUTED_VALUE"""),"2526100425")</f>
        <v>2526100425</v>
      </c>
      <c r="C17" s="193" t="str">
        <f>IFERROR(__xludf.DUMMYFUNCTION("""COMPUTED_VALUE"""),"0095318140")</f>
        <v>0095318140</v>
      </c>
      <c r="D17" s="195" t="str">
        <f>IFERROR(__xludf.DUMMYFUNCTION("""COMPUTED_VALUE"""),"INDRA NURMAN")</f>
        <v>INDRA NURMAN</v>
      </c>
      <c r="E17" s="193" t="str">
        <f>IFERROR(__xludf.DUMMYFUNCTION("""COMPUTED_VALUE"""),"X TO 4")</f>
        <v>X TO 4</v>
      </c>
      <c r="F17" s="200" t="s">
        <v>220</v>
      </c>
      <c r="G17" s="203"/>
      <c r="H17" s="144" t="b">
        <f t="shared" si="5"/>
        <v>0</v>
      </c>
      <c r="I17" s="149" t="b">
        <f t="shared" si="6"/>
        <v>0</v>
      </c>
      <c r="J17" s="203"/>
      <c r="K17" s="153" t="b">
        <f t="shared" si="7"/>
        <v>0</v>
      </c>
      <c r="L17" s="158" t="b">
        <f t="shared" si="8"/>
        <v>0</v>
      </c>
      <c r="M17" s="205"/>
      <c r="N17" s="163" t="b">
        <f t="shared" si="9"/>
        <v>0</v>
      </c>
      <c r="O17" s="167" t="b">
        <f t="shared" si="10"/>
        <v>0</v>
      </c>
      <c r="P17" s="172"/>
      <c r="Q17" s="177"/>
      <c r="R17" s="181"/>
      <c r="S17" s="177"/>
      <c r="T17" s="184"/>
      <c r="U17" s="187"/>
      <c r="V17" s="187"/>
      <c r="W17" s="187"/>
      <c r="X17" s="187"/>
      <c r="Y17" s="187"/>
      <c r="Z17" s="187"/>
      <c r="AA17" s="187"/>
      <c r="AB17" s="187"/>
    </row>
    <row r="18" ht="15.75" customHeight="1">
      <c r="A18" s="115">
        <f>IFERROR(__xludf.DUMMYFUNCTION("""COMPUTED_VALUE"""),13.0)</f>
        <v>13</v>
      </c>
      <c r="B18" s="119" t="str">
        <f>IFERROR(__xludf.DUMMYFUNCTION("""COMPUTED_VALUE"""),"2526100426")</f>
        <v>2526100426</v>
      </c>
      <c r="C18" s="119" t="str">
        <f>IFERROR(__xludf.DUMMYFUNCTION("""COMPUTED_VALUE"""),"3109448408")</f>
        <v>3109448408</v>
      </c>
      <c r="D18" s="122" t="str">
        <f>IFERROR(__xludf.DUMMYFUNCTION("""COMPUTED_VALUE"""),"IWAN SOPYAN")</f>
        <v>IWAN SOPYAN</v>
      </c>
      <c r="E18" s="119" t="str">
        <f>IFERROR(__xludf.DUMMYFUNCTION("""COMPUTED_VALUE"""),"X TO 4")</f>
        <v>X TO 4</v>
      </c>
      <c r="F18" s="132" t="s">
        <v>220</v>
      </c>
      <c r="G18" s="138"/>
      <c r="H18" s="144" t="b">
        <f t="shared" si="5"/>
        <v>0</v>
      </c>
      <c r="I18" s="149" t="b">
        <f t="shared" si="6"/>
        <v>0</v>
      </c>
      <c r="J18" s="138"/>
      <c r="K18" s="153" t="b">
        <f t="shared" si="7"/>
        <v>0</v>
      </c>
      <c r="L18" s="158" t="b">
        <f t="shared" si="8"/>
        <v>0</v>
      </c>
      <c r="M18" s="138"/>
      <c r="N18" s="163" t="b">
        <f t="shared" si="9"/>
        <v>0</v>
      </c>
      <c r="O18" s="167" t="b">
        <f t="shared" si="10"/>
        <v>0</v>
      </c>
      <c r="P18" s="172"/>
      <c r="Q18" s="177"/>
      <c r="R18" s="181"/>
      <c r="S18" s="177"/>
      <c r="T18" s="184"/>
      <c r="U18" s="187"/>
      <c r="V18" s="187"/>
      <c r="W18" s="187"/>
      <c r="X18" s="187"/>
      <c r="Y18" s="187"/>
      <c r="Z18" s="187"/>
      <c r="AA18" s="187"/>
      <c r="AB18" s="187"/>
    </row>
    <row r="19" ht="15.75" customHeight="1">
      <c r="A19" s="189">
        <f>IFERROR(__xludf.DUMMYFUNCTION("""COMPUTED_VALUE"""),14.0)</f>
        <v>14</v>
      </c>
      <c r="B19" s="193" t="str">
        <f>IFERROR(__xludf.DUMMYFUNCTION("""COMPUTED_VALUE"""),"2526100427")</f>
        <v>2526100427</v>
      </c>
      <c r="C19" s="193" t="str">
        <f>IFERROR(__xludf.DUMMYFUNCTION("""COMPUTED_VALUE"""),"0097319943")</f>
        <v>0097319943</v>
      </c>
      <c r="D19" s="195" t="str">
        <f>IFERROR(__xludf.DUMMYFUNCTION("""COMPUTED_VALUE"""),"JEJEN JAENI")</f>
        <v>JEJEN JAENI</v>
      </c>
      <c r="E19" s="193" t="str">
        <f>IFERROR(__xludf.DUMMYFUNCTION("""COMPUTED_VALUE"""),"X TO 4")</f>
        <v>X TO 4</v>
      </c>
      <c r="F19" s="200" t="s">
        <v>220</v>
      </c>
      <c r="G19" s="203"/>
      <c r="H19" s="144" t="b">
        <f t="shared" si="5"/>
        <v>0</v>
      </c>
      <c r="I19" s="149" t="b">
        <f t="shared" si="6"/>
        <v>0</v>
      </c>
      <c r="J19" s="203"/>
      <c r="K19" s="153" t="b">
        <f t="shared" si="7"/>
        <v>0</v>
      </c>
      <c r="L19" s="158" t="b">
        <f t="shared" si="8"/>
        <v>0</v>
      </c>
      <c r="M19" s="205"/>
      <c r="N19" s="163" t="b">
        <f t="shared" si="9"/>
        <v>0</v>
      </c>
      <c r="O19" s="167" t="b">
        <f t="shared" si="10"/>
        <v>0</v>
      </c>
      <c r="P19" s="172"/>
      <c r="Q19" s="177"/>
      <c r="R19" s="181"/>
      <c r="S19" s="177"/>
      <c r="T19" s="184"/>
      <c r="U19" s="187"/>
      <c r="V19" s="187"/>
      <c r="W19" s="187"/>
      <c r="X19" s="187"/>
      <c r="Y19" s="187"/>
      <c r="Z19" s="187"/>
      <c r="AA19" s="187"/>
      <c r="AB19" s="187"/>
    </row>
    <row r="20" ht="15.75" customHeight="1">
      <c r="A20" s="115">
        <f>IFERROR(__xludf.DUMMYFUNCTION("""COMPUTED_VALUE"""),15.0)</f>
        <v>15</v>
      </c>
      <c r="B20" s="119" t="str">
        <f>IFERROR(__xludf.DUMMYFUNCTION("""COMPUTED_VALUE"""),"2526100428")</f>
        <v>2526100428</v>
      </c>
      <c r="C20" s="119" t="str">
        <f>IFERROR(__xludf.DUMMYFUNCTION("""COMPUTED_VALUE"""),"0093753099")</f>
        <v>0093753099</v>
      </c>
      <c r="D20" s="122" t="str">
        <f>IFERROR(__xludf.DUMMYFUNCTION("""COMPUTED_VALUE"""),"M.HASAN ASARI")</f>
        <v>M.HASAN ASARI</v>
      </c>
      <c r="E20" s="119" t="str">
        <f>IFERROR(__xludf.DUMMYFUNCTION("""COMPUTED_VALUE"""),"X TO 4")</f>
        <v>X TO 4</v>
      </c>
      <c r="F20" s="132" t="s">
        <v>220</v>
      </c>
      <c r="G20" s="138"/>
      <c r="H20" s="144" t="b">
        <f t="shared" si="5"/>
        <v>0</v>
      </c>
      <c r="I20" s="149" t="b">
        <f t="shared" si="6"/>
        <v>0</v>
      </c>
      <c r="J20" s="138"/>
      <c r="K20" s="153" t="b">
        <f t="shared" si="7"/>
        <v>0</v>
      </c>
      <c r="L20" s="158" t="b">
        <f t="shared" si="8"/>
        <v>0</v>
      </c>
      <c r="M20" s="138"/>
      <c r="N20" s="163" t="b">
        <f t="shared" si="9"/>
        <v>0</v>
      </c>
      <c r="O20" s="167" t="b">
        <f t="shared" si="10"/>
        <v>0</v>
      </c>
      <c r="P20" s="172"/>
      <c r="Q20" s="177"/>
      <c r="R20" s="181"/>
      <c r="S20" s="177"/>
      <c r="T20" s="184"/>
      <c r="U20" s="187"/>
      <c r="V20" s="187"/>
      <c r="W20" s="187"/>
      <c r="X20" s="187"/>
      <c r="Y20" s="187"/>
      <c r="Z20" s="187"/>
      <c r="AA20" s="187"/>
      <c r="AB20" s="187"/>
    </row>
    <row r="21" ht="15.75" customHeight="1">
      <c r="A21" s="189">
        <f>IFERROR(__xludf.DUMMYFUNCTION("""COMPUTED_VALUE"""),16.0)</f>
        <v>16</v>
      </c>
      <c r="B21" s="193" t="str">
        <f>IFERROR(__xludf.DUMMYFUNCTION("""COMPUTED_VALUE"""),"2526100429")</f>
        <v>2526100429</v>
      </c>
      <c r="C21" s="193" t="str">
        <f>IFERROR(__xludf.DUMMYFUNCTION("""COMPUTED_VALUE"""),"0105910447")</f>
        <v>0105910447</v>
      </c>
      <c r="D21" s="195" t="str">
        <f>IFERROR(__xludf.DUMMYFUNCTION("""COMPUTED_VALUE"""),"MUHAMAD ABIB RIZAL")</f>
        <v>MUHAMAD ABIB RIZAL</v>
      </c>
      <c r="E21" s="193" t="str">
        <f>IFERROR(__xludf.DUMMYFUNCTION("""COMPUTED_VALUE"""),"X TO 4")</f>
        <v>X TO 4</v>
      </c>
      <c r="F21" s="200" t="s">
        <v>220</v>
      </c>
      <c r="G21" s="203"/>
      <c r="H21" s="144" t="b">
        <f t="shared" si="5"/>
        <v>0</v>
      </c>
      <c r="I21" s="149" t="b">
        <f t="shared" si="6"/>
        <v>0</v>
      </c>
      <c r="J21" s="203"/>
      <c r="K21" s="153" t="b">
        <f t="shared" si="7"/>
        <v>0</v>
      </c>
      <c r="L21" s="158" t="b">
        <f t="shared" si="8"/>
        <v>0</v>
      </c>
      <c r="M21" s="205"/>
      <c r="N21" s="163" t="b">
        <f t="shared" si="9"/>
        <v>0</v>
      </c>
      <c r="O21" s="167" t="b">
        <f t="shared" si="10"/>
        <v>0</v>
      </c>
      <c r="P21" s="172"/>
      <c r="Q21" s="177"/>
      <c r="R21" s="181"/>
      <c r="S21" s="177"/>
      <c r="T21" s="184"/>
      <c r="U21" s="187"/>
      <c r="V21" s="187"/>
      <c r="W21" s="187"/>
      <c r="X21" s="187"/>
      <c r="Y21" s="187"/>
      <c r="Z21" s="187"/>
      <c r="AA21" s="187"/>
      <c r="AB21" s="187"/>
    </row>
    <row r="22" ht="15.75" customHeight="1">
      <c r="A22" s="115">
        <f>IFERROR(__xludf.DUMMYFUNCTION("""COMPUTED_VALUE"""),17.0)</f>
        <v>17</v>
      </c>
      <c r="B22" s="119" t="str">
        <f>IFERROR(__xludf.DUMMYFUNCTION("""COMPUTED_VALUE"""),"2526100430")</f>
        <v>2526100430</v>
      </c>
      <c r="C22" s="119" t="str">
        <f>IFERROR(__xludf.DUMMYFUNCTION("""COMPUTED_VALUE"""),"0099084784")</f>
        <v>0099084784</v>
      </c>
      <c r="D22" s="122" t="str">
        <f>IFERROR(__xludf.DUMMYFUNCTION("""COMPUTED_VALUE"""),"MUHAMAD AL FARIZ")</f>
        <v>MUHAMAD AL FARIZ</v>
      </c>
      <c r="E22" s="119" t="str">
        <f>IFERROR(__xludf.DUMMYFUNCTION("""COMPUTED_VALUE"""),"X TO 4")</f>
        <v>X TO 4</v>
      </c>
      <c r="F22" s="132" t="s">
        <v>220</v>
      </c>
      <c r="G22" s="138"/>
      <c r="H22" s="144" t="b">
        <f t="shared" si="5"/>
        <v>0</v>
      </c>
      <c r="I22" s="149" t="b">
        <f t="shared" si="6"/>
        <v>0</v>
      </c>
      <c r="J22" s="138"/>
      <c r="K22" s="153" t="b">
        <f t="shared" si="7"/>
        <v>0</v>
      </c>
      <c r="L22" s="158" t="b">
        <f t="shared" si="8"/>
        <v>0</v>
      </c>
      <c r="M22" s="138"/>
      <c r="N22" s="163" t="b">
        <f t="shared" si="9"/>
        <v>0</v>
      </c>
      <c r="O22" s="167" t="b">
        <f t="shared" si="10"/>
        <v>0</v>
      </c>
      <c r="P22" s="172"/>
      <c r="Q22" s="177"/>
      <c r="R22" s="181"/>
      <c r="S22" s="177"/>
      <c r="T22" s="184"/>
      <c r="U22" s="187"/>
      <c r="V22" s="187"/>
      <c r="W22" s="187"/>
      <c r="X22" s="187"/>
      <c r="Y22" s="187"/>
      <c r="Z22" s="187"/>
      <c r="AA22" s="187"/>
      <c r="AB22" s="187"/>
    </row>
    <row r="23" ht="15.75" customHeight="1">
      <c r="A23" s="189">
        <f>IFERROR(__xludf.DUMMYFUNCTION("""COMPUTED_VALUE"""),18.0)</f>
        <v>18</v>
      </c>
      <c r="B23" s="193" t="str">
        <f>IFERROR(__xludf.DUMMYFUNCTION("""COMPUTED_VALUE"""),"2526100431")</f>
        <v>2526100431</v>
      </c>
      <c r="C23" s="193" t="str">
        <f>IFERROR(__xludf.DUMMYFUNCTION("""COMPUTED_VALUE"""),"0092469837")</f>
        <v>0092469837</v>
      </c>
      <c r="D23" s="195" t="str">
        <f>IFERROR(__xludf.DUMMYFUNCTION("""COMPUTED_VALUE"""),"MUHAMAD ASRUL")</f>
        <v>MUHAMAD ASRUL</v>
      </c>
      <c r="E23" s="193" t="str">
        <f>IFERROR(__xludf.DUMMYFUNCTION("""COMPUTED_VALUE"""),"X TO 4")</f>
        <v>X TO 4</v>
      </c>
      <c r="F23" s="200" t="s">
        <v>220</v>
      </c>
      <c r="G23" s="203"/>
      <c r="H23" s="144" t="b">
        <f t="shared" si="5"/>
        <v>0</v>
      </c>
      <c r="I23" s="149" t="b">
        <f t="shared" si="6"/>
        <v>0</v>
      </c>
      <c r="J23" s="203"/>
      <c r="K23" s="153" t="b">
        <f t="shared" si="7"/>
        <v>0</v>
      </c>
      <c r="L23" s="158" t="b">
        <f t="shared" si="8"/>
        <v>0</v>
      </c>
      <c r="M23" s="205"/>
      <c r="N23" s="163" t="b">
        <f t="shared" si="9"/>
        <v>0</v>
      </c>
      <c r="O23" s="167" t="b">
        <f t="shared" si="10"/>
        <v>0</v>
      </c>
      <c r="P23" s="172"/>
      <c r="Q23" s="177"/>
      <c r="R23" s="181"/>
      <c r="S23" s="177"/>
      <c r="T23" s="184"/>
      <c r="U23" s="187"/>
      <c r="V23" s="187"/>
      <c r="W23" s="187"/>
      <c r="X23" s="187"/>
      <c r="Y23" s="187"/>
      <c r="Z23" s="187"/>
      <c r="AA23" s="187"/>
      <c r="AB23" s="187"/>
    </row>
    <row r="24" ht="15.75" customHeight="1">
      <c r="A24" s="115">
        <f>IFERROR(__xludf.DUMMYFUNCTION("""COMPUTED_VALUE"""),19.0)</f>
        <v>19</v>
      </c>
      <c r="B24" s="119" t="str">
        <f>IFERROR(__xludf.DUMMYFUNCTION("""COMPUTED_VALUE"""),"2526100432")</f>
        <v>2526100432</v>
      </c>
      <c r="C24" s="119" t="str">
        <f>IFERROR(__xludf.DUMMYFUNCTION("""COMPUTED_VALUE"""),"0099940282")</f>
        <v>0099940282</v>
      </c>
      <c r="D24" s="122" t="str">
        <f>IFERROR(__xludf.DUMMYFUNCTION("""COMPUTED_VALUE"""),"MUHAMAD FARHAN")</f>
        <v>MUHAMAD FARHAN</v>
      </c>
      <c r="E24" s="119" t="str">
        <f>IFERROR(__xludf.DUMMYFUNCTION("""COMPUTED_VALUE"""),"X TO 4")</f>
        <v>X TO 4</v>
      </c>
      <c r="F24" s="132" t="s">
        <v>220</v>
      </c>
      <c r="G24" s="138"/>
      <c r="H24" s="144" t="b">
        <f t="shared" si="5"/>
        <v>0</v>
      </c>
      <c r="I24" s="149" t="b">
        <f t="shared" si="6"/>
        <v>0</v>
      </c>
      <c r="J24" s="138"/>
      <c r="K24" s="153" t="b">
        <f t="shared" si="7"/>
        <v>0</v>
      </c>
      <c r="L24" s="158" t="b">
        <f t="shared" si="8"/>
        <v>0</v>
      </c>
      <c r="M24" s="138"/>
      <c r="N24" s="163" t="b">
        <f t="shared" si="9"/>
        <v>0</v>
      </c>
      <c r="O24" s="167" t="b">
        <f t="shared" si="10"/>
        <v>0</v>
      </c>
      <c r="P24" s="172"/>
      <c r="Q24" s="177"/>
      <c r="R24" s="181"/>
      <c r="S24" s="177"/>
      <c r="T24" s="184"/>
      <c r="U24" s="187"/>
      <c r="V24" s="187"/>
      <c r="W24" s="187"/>
      <c r="X24" s="187"/>
      <c r="Y24" s="187"/>
      <c r="Z24" s="187"/>
      <c r="AA24" s="187"/>
      <c r="AB24" s="187"/>
    </row>
    <row r="25" ht="15.75" customHeight="1">
      <c r="A25" s="189">
        <f>IFERROR(__xludf.DUMMYFUNCTION("""COMPUTED_VALUE"""),20.0)</f>
        <v>20</v>
      </c>
      <c r="B25" s="193" t="str">
        <f>IFERROR(__xludf.DUMMYFUNCTION("""COMPUTED_VALUE"""),"2526100433")</f>
        <v>2526100433</v>
      </c>
      <c r="C25" s="193" t="str">
        <f>IFERROR(__xludf.DUMMYFUNCTION("""COMPUTED_VALUE"""),"0088633294")</f>
        <v>0088633294</v>
      </c>
      <c r="D25" s="195" t="str">
        <f>IFERROR(__xludf.DUMMYFUNCTION("""COMPUTED_VALUE"""),"MUHAMAD MIFTAH NASHIRUDIN")</f>
        <v>MUHAMAD MIFTAH NASHIRUDIN</v>
      </c>
      <c r="E25" s="193" t="str">
        <f>IFERROR(__xludf.DUMMYFUNCTION("""COMPUTED_VALUE"""),"X TO 4")</f>
        <v>X TO 4</v>
      </c>
      <c r="F25" s="200" t="s">
        <v>220</v>
      </c>
      <c r="G25" s="203"/>
      <c r="H25" s="144" t="b">
        <f t="shared" si="5"/>
        <v>0</v>
      </c>
      <c r="I25" s="149" t="b">
        <f t="shared" si="6"/>
        <v>0</v>
      </c>
      <c r="J25" s="203"/>
      <c r="K25" s="153" t="b">
        <f t="shared" si="7"/>
        <v>0</v>
      </c>
      <c r="L25" s="158" t="b">
        <f t="shared" si="8"/>
        <v>0</v>
      </c>
      <c r="M25" s="205"/>
      <c r="N25" s="163" t="b">
        <f t="shared" si="9"/>
        <v>0</v>
      </c>
      <c r="O25" s="167" t="b">
        <f t="shared" si="10"/>
        <v>0</v>
      </c>
      <c r="P25" s="172"/>
      <c r="Q25" s="177"/>
      <c r="R25" s="181"/>
      <c r="S25" s="177"/>
      <c r="T25" s="184"/>
      <c r="U25" s="187"/>
      <c r="V25" s="187"/>
      <c r="W25" s="187"/>
      <c r="X25" s="187"/>
      <c r="Y25" s="187"/>
      <c r="Z25" s="187"/>
      <c r="AA25" s="187"/>
      <c r="AB25" s="187"/>
    </row>
    <row r="26" ht="15.75" customHeight="1">
      <c r="A26" s="115">
        <f>IFERROR(__xludf.DUMMYFUNCTION("""COMPUTED_VALUE"""),21.0)</f>
        <v>21</v>
      </c>
      <c r="B26" s="119" t="str">
        <f>IFERROR(__xludf.DUMMYFUNCTION("""COMPUTED_VALUE"""),"2526100434")</f>
        <v>2526100434</v>
      </c>
      <c r="C26" s="119" t="str">
        <f>IFERROR(__xludf.DUMMYFUNCTION("""COMPUTED_VALUE"""),"0094805329")</f>
        <v>0094805329</v>
      </c>
      <c r="D26" s="122" t="str">
        <f>IFERROR(__xludf.DUMMYFUNCTION("""COMPUTED_VALUE"""),"MUHAMAD NUR KHOLIS ROMDONI")</f>
        <v>MUHAMAD NUR KHOLIS ROMDONI</v>
      </c>
      <c r="E26" s="119" t="str">
        <f>IFERROR(__xludf.DUMMYFUNCTION("""COMPUTED_VALUE"""),"X TO 4")</f>
        <v>X TO 4</v>
      </c>
      <c r="F26" s="132" t="s">
        <v>220</v>
      </c>
      <c r="G26" s="138"/>
      <c r="H26" s="144" t="b">
        <f t="shared" si="5"/>
        <v>0</v>
      </c>
      <c r="I26" s="149" t="b">
        <f t="shared" si="6"/>
        <v>0</v>
      </c>
      <c r="J26" s="138"/>
      <c r="K26" s="153" t="b">
        <f t="shared" si="7"/>
        <v>0</v>
      </c>
      <c r="L26" s="158" t="b">
        <f t="shared" si="8"/>
        <v>0</v>
      </c>
      <c r="M26" s="138"/>
      <c r="N26" s="163" t="b">
        <f t="shared" si="9"/>
        <v>0</v>
      </c>
      <c r="O26" s="167" t="b">
        <f t="shared" si="10"/>
        <v>0</v>
      </c>
      <c r="P26" s="172"/>
      <c r="Q26" s="177"/>
      <c r="R26" s="181"/>
      <c r="S26" s="177"/>
      <c r="T26" s="184"/>
      <c r="U26" s="187"/>
      <c r="V26" s="187"/>
      <c r="W26" s="187"/>
      <c r="X26" s="187"/>
      <c r="Y26" s="187"/>
      <c r="Z26" s="187"/>
      <c r="AA26" s="187"/>
      <c r="AB26" s="187"/>
    </row>
    <row r="27" ht="15.75" customHeight="1">
      <c r="A27" s="189">
        <f>IFERROR(__xludf.DUMMYFUNCTION("""COMPUTED_VALUE"""),22.0)</f>
        <v>22</v>
      </c>
      <c r="B27" s="193" t="str">
        <f>IFERROR(__xludf.DUMMYFUNCTION("""COMPUTED_VALUE"""),"2526100435")</f>
        <v>2526100435</v>
      </c>
      <c r="C27" s="193" t="str">
        <f>IFERROR(__xludf.DUMMYFUNCTION("""COMPUTED_VALUE"""),"0098562523")</f>
        <v>0098562523</v>
      </c>
      <c r="D27" s="195" t="str">
        <f>IFERROR(__xludf.DUMMYFUNCTION("""COMPUTED_VALUE"""),"MUHAMAD RIDWAN")</f>
        <v>MUHAMAD RIDWAN</v>
      </c>
      <c r="E27" s="193" t="str">
        <f>IFERROR(__xludf.DUMMYFUNCTION("""COMPUTED_VALUE"""),"X TO 4")</f>
        <v>X TO 4</v>
      </c>
      <c r="F27" s="200" t="s">
        <v>220</v>
      </c>
      <c r="G27" s="203"/>
      <c r="H27" s="144" t="b">
        <f t="shared" si="5"/>
        <v>0</v>
      </c>
      <c r="I27" s="149" t="b">
        <f t="shared" si="6"/>
        <v>0</v>
      </c>
      <c r="J27" s="203"/>
      <c r="K27" s="153" t="b">
        <f t="shared" si="7"/>
        <v>0</v>
      </c>
      <c r="L27" s="158" t="b">
        <f t="shared" si="8"/>
        <v>0</v>
      </c>
      <c r="M27" s="205"/>
      <c r="N27" s="163" t="b">
        <f t="shared" si="9"/>
        <v>0</v>
      </c>
      <c r="O27" s="167" t="b">
        <f t="shared" si="10"/>
        <v>0</v>
      </c>
      <c r="P27" s="172"/>
      <c r="Q27" s="177"/>
      <c r="R27" s="181"/>
      <c r="S27" s="177"/>
      <c r="T27" s="184"/>
      <c r="U27" s="187"/>
      <c r="V27" s="187"/>
      <c r="W27" s="187"/>
      <c r="X27" s="187"/>
      <c r="Y27" s="187"/>
      <c r="Z27" s="187"/>
      <c r="AA27" s="187"/>
      <c r="AB27" s="187"/>
    </row>
    <row r="28" ht="15.75" customHeight="1">
      <c r="A28" s="115">
        <f>IFERROR(__xludf.DUMMYFUNCTION("""COMPUTED_VALUE"""),23.0)</f>
        <v>23</v>
      </c>
      <c r="B28" s="119" t="str">
        <f>IFERROR(__xludf.DUMMYFUNCTION("""COMPUTED_VALUE"""),"2526100436")</f>
        <v>2526100436</v>
      </c>
      <c r="C28" s="119" t="str">
        <f>IFERROR(__xludf.DUMMYFUNCTION("""COMPUTED_VALUE"""),"0095384573")</f>
        <v>0095384573</v>
      </c>
      <c r="D28" s="122" t="str">
        <f>IFERROR(__xludf.DUMMYFUNCTION("""COMPUTED_VALUE"""),"MUHAMAD RUDI RIVIANSYAH")</f>
        <v>MUHAMAD RUDI RIVIANSYAH</v>
      </c>
      <c r="E28" s="119" t="str">
        <f>IFERROR(__xludf.DUMMYFUNCTION("""COMPUTED_VALUE"""),"X TO 4")</f>
        <v>X TO 4</v>
      </c>
      <c r="F28" s="132" t="s">
        <v>220</v>
      </c>
      <c r="G28" s="138"/>
      <c r="H28" s="144" t="b">
        <f t="shared" si="5"/>
        <v>0</v>
      </c>
      <c r="I28" s="149" t="b">
        <f t="shared" si="6"/>
        <v>0</v>
      </c>
      <c r="J28" s="138"/>
      <c r="K28" s="153" t="b">
        <f t="shared" si="7"/>
        <v>0</v>
      </c>
      <c r="L28" s="158" t="b">
        <f t="shared" si="8"/>
        <v>0</v>
      </c>
      <c r="M28" s="138"/>
      <c r="N28" s="163" t="b">
        <f t="shared" si="9"/>
        <v>0</v>
      </c>
      <c r="O28" s="167" t="b">
        <f t="shared" si="10"/>
        <v>0</v>
      </c>
      <c r="P28" s="172"/>
      <c r="Q28" s="177"/>
      <c r="R28" s="181"/>
      <c r="S28" s="177"/>
      <c r="T28" s="184"/>
      <c r="U28" s="187"/>
      <c r="V28" s="187"/>
      <c r="W28" s="187"/>
      <c r="X28" s="187"/>
      <c r="Y28" s="187"/>
      <c r="Z28" s="187"/>
      <c r="AA28" s="187"/>
      <c r="AB28" s="187"/>
    </row>
    <row r="29" ht="15.75" customHeight="1">
      <c r="A29" s="189">
        <f>IFERROR(__xludf.DUMMYFUNCTION("""COMPUTED_VALUE"""),24.0)</f>
        <v>24</v>
      </c>
      <c r="B29" s="193" t="str">
        <f>IFERROR(__xludf.DUMMYFUNCTION("""COMPUTED_VALUE"""),"2526100437")</f>
        <v>2526100437</v>
      </c>
      <c r="C29" s="193" t="str">
        <f>IFERROR(__xludf.DUMMYFUNCTION("""COMPUTED_VALUE"""),"3098503903")</f>
        <v>3098503903</v>
      </c>
      <c r="D29" s="195" t="str">
        <f>IFERROR(__xludf.DUMMYFUNCTION("""COMPUTED_VALUE"""),"MUHAMAD SALMAN")</f>
        <v>MUHAMAD SALMAN</v>
      </c>
      <c r="E29" s="193" t="str">
        <f>IFERROR(__xludf.DUMMYFUNCTION("""COMPUTED_VALUE"""),"X TO 4")</f>
        <v>X TO 4</v>
      </c>
      <c r="F29" s="200" t="s">
        <v>220</v>
      </c>
      <c r="G29" s="203"/>
      <c r="H29" s="144" t="b">
        <f t="shared" si="5"/>
        <v>0</v>
      </c>
      <c r="I29" s="149" t="b">
        <f t="shared" si="6"/>
        <v>0</v>
      </c>
      <c r="J29" s="203"/>
      <c r="K29" s="153" t="b">
        <f t="shared" si="7"/>
        <v>0</v>
      </c>
      <c r="L29" s="158" t="b">
        <f t="shared" si="8"/>
        <v>0</v>
      </c>
      <c r="M29" s="205"/>
      <c r="N29" s="163" t="b">
        <f t="shared" si="9"/>
        <v>0</v>
      </c>
      <c r="O29" s="167" t="b">
        <f t="shared" si="10"/>
        <v>0</v>
      </c>
      <c r="P29" s="172"/>
      <c r="Q29" s="177"/>
      <c r="R29" s="181"/>
      <c r="S29" s="177"/>
      <c r="T29" s="184"/>
      <c r="U29" s="187"/>
      <c r="V29" s="187"/>
      <c r="W29" s="187"/>
      <c r="X29" s="187"/>
      <c r="Y29" s="187"/>
      <c r="Z29" s="187"/>
      <c r="AA29" s="187"/>
      <c r="AB29" s="187"/>
    </row>
    <row r="30" ht="15.75" customHeight="1">
      <c r="A30" s="115">
        <f>IFERROR(__xludf.DUMMYFUNCTION("""COMPUTED_VALUE"""),25.0)</f>
        <v>25</v>
      </c>
      <c r="B30" s="119" t="str">
        <f>IFERROR(__xludf.DUMMYFUNCTION("""COMPUTED_VALUE"""),"2526100438")</f>
        <v>2526100438</v>
      </c>
      <c r="C30" s="119" t="str">
        <f>IFERROR(__xludf.DUMMYFUNCTION("""COMPUTED_VALUE"""),"0096750607")</f>
        <v>0096750607</v>
      </c>
      <c r="D30" s="122" t="str">
        <f>IFERROR(__xludf.DUMMYFUNCTION("""COMPUTED_VALUE"""),"MUHAMAD SUTIAWAN ALI")</f>
        <v>MUHAMAD SUTIAWAN ALI</v>
      </c>
      <c r="E30" s="119" t="str">
        <f>IFERROR(__xludf.DUMMYFUNCTION("""COMPUTED_VALUE"""),"X TO 4")</f>
        <v>X TO 4</v>
      </c>
      <c r="F30" s="132" t="s">
        <v>220</v>
      </c>
      <c r="G30" s="138"/>
      <c r="H30" s="144" t="b">
        <f t="shared" si="5"/>
        <v>0</v>
      </c>
      <c r="I30" s="149" t="b">
        <f t="shared" si="6"/>
        <v>0</v>
      </c>
      <c r="J30" s="138"/>
      <c r="K30" s="153" t="b">
        <f t="shared" si="7"/>
        <v>0</v>
      </c>
      <c r="L30" s="158" t="b">
        <f t="shared" si="8"/>
        <v>0</v>
      </c>
      <c r="M30" s="138"/>
      <c r="N30" s="163" t="b">
        <f t="shared" si="9"/>
        <v>0</v>
      </c>
      <c r="O30" s="167" t="b">
        <f t="shared" si="10"/>
        <v>0</v>
      </c>
      <c r="P30" s="172"/>
      <c r="Q30" s="177"/>
      <c r="R30" s="181"/>
      <c r="S30" s="177"/>
      <c r="T30" s="184"/>
      <c r="U30" s="187"/>
      <c r="V30" s="187"/>
      <c r="W30" s="187"/>
      <c r="X30" s="187"/>
      <c r="Y30" s="187"/>
      <c r="Z30" s="187"/>
      <c r="AA30" s="187"/>
      <c r="AB30" s="187"/>
    </row>
    <row r="31" ht="15.75" customHeight="1">
      <c r="A31" s="189">
        <f>IFERROR(__xludf.DUMMYFUNCTION("""COMPUTED_VALUE"""),26.0)</f>
        <v>26</v>
      </c>
      <c r="B31" s="193" t="str">
        <f>IFERROR(__xludf.DUMMYFUNCTION("""COMPUTED_VALUE"""),"2526100439")</f>
        <v>2526100439</v>
      </c>
      <c r="C31" s="193" t="str">
        <f>IFERROR(__xludf.DUMMYFUNCTION("""COMPUTED_VALUE"""),"0094990767")</f>
        <v>0094990767</v>
      </c>
      <c r="D31" s="195" t="str">
        <f>IFERROR(__xludf.DUMMYFUNCTION("""COMPUTED_VALUE"""),"MUHAMMAD FAHRI MAULANA")</f>
        <v>MUHAMMAD FAHRI MAULANA</v>
      </c>
      <c r="E31" s="193" t="str">
        <f>IFERROR(__xludf.DUMMYFUNCTION("""COMPUTED_VALUE"""),"X TO 4")</f>
        <v>X TO 4</v>
      </c>
      <c r="F31" s="200" t="s">
        <v>220</v>
      </c>
      <c r="G31" s="203"/>
      <c r="H31" s="144" t="b">
        <f t="shared" si="5"/>
        <v>0</v>
      </c>
      <c r="I31" s="149" t="b">
        <f t="shared" si="6"/>
        <v>0</v>
      </c>
      <c r="J31" s="203"/>
      <c r="K31" s="153" t="b">
        <f t="shared" si="7"/>
        <v>0</v>
      </c>
      <c r="L31" s="158" t="b">
        <f t="shared" si="8"/>
        <v>0</v>
      </c>
      <c r="M31" s="205"/>
      <c r="N31" s="163" t="b">
        <f t="shared" si="9"/>
        <v>0</v>
      </c>
      <c r="O31" s="167" t="b">
        <f t="shared" si="10"/>
        <v>0</v>
      </c>
      <c r="P31" s="172"/>
      <c r="Q31" s="177"/>
      <c r="R31" s="181"/>
      <c r="S31" s="177"/>
      <c r="T31" s="184"/>
      <c r="U31" s="187"/>
      <c r="V31" s="187"/>
      <c r="W31" s="187"/>
      <c r="X31" s="187"/>
      <c r="Y31" s="187"/>
      <c r="Z31" s="187"/>
      <c r="AA31" s="187"/>
      <c r="AB31" s="187"/>
    </row>
    <row r="32" ht="15.75" customHeight="1">
      <c r="A32" s="115">
        <f>IFERROR(__xludf.DUMMYFUNCTION("""COMPUTED_VALUE"""),27.0)</f>
        <v>27</v>
      </c>
      <c r="B32" s="119" t="str">
        <f>IFERROR(__xludf.DUMMYFUNCTION("""COMPUTED_VALUE"""),"2526100440")</f>
        <v>2526100440</v>
      </c>
      <c r="C32" s="119" t="str">
        <f>IFERROR(__xludf.DUMMYFUNCTION("""COMPUTED_VALUE"""),"0105005356")</f>
        <v>0105005356</v>
      </c>
      <c r="D32" s="122" t="str">
        <f>IFERROR(__xludf.DUMMYFUNCTION("""COMPUTED_VALUE"""),"MUHAMMAD GALANG GUNAWAN")</f>
        <v>MUHAMMAD GALANG GUNAWAN</v>
      </c>
      <c r="E32" s="119" t="str">
        <f>IFERROR(__xludf.DUMMYFUNCTION("""COMPUTED_VALUE"""),"X TO 4")</f>
        <v>X TO 4</v>
      </c>
      <c r="F32" s="132" t="s">
        <v>220</v>
      </c>
      <c r="G32" s="138"/>
      <c r="H32" s="144" t="b">
        <f t="shared" si="5"/>
        <v>0</v>
      </c>
      <c r="I32" s="149" t="b">
        <f t="shared" si="6"/>
        <v>0</v>
      </c>
      <c r="J32" s="138"/>
      <c r="K32" s="153" t="b">
        <f t="shared" si="7"/>
        <v>0</v>
      </c>
      <c r="L32" s="158" t="b">
        <f t="shared" si="8"/>
        <v>0</v>
      </c>
      <c r="M32" s="138"/>
      <c r="N32" s="163" t="b">
        <f t="shared" si="9"/>
        <v>0</v>
      </c>
      <c r="O32" s="167" t="b">
        <f t="shared" si="10"/>
        <v>0</v>
      </c>
      <c r="P32" s="172"/>
      <c r="Q32" s="177"/>
      <c r="R32" s="181"/>
      <c r="S32" s="177"/>
      <c r="T32" s="184"/>
      <c r="U32" s="187"/>
      <c r="V32" s="187"/>
      <c r="W32" s="187"/>
      <c r="X32" s="187"/>
      <c r="Y32" s="187"/>
      <c r="Z32" s="187"/>
      <c r="AA32" s="187"/>
      <c r="AB32" s="187"/>
    </row>
    <row r="33" ht="15.75" customHeight="1">
      <c r="A33" s="189">
        <f>IFERROR(__xludf.DUMMYFUNCTION("""COMPUTED_VALUE"""),28.0)</f>
        <v>28</v>
      </c>
      <c r="B33" s="193" t="str">
        <f>IFERROR(__xludf.DUMMYFUNCTION("""COMPUTED_VALUE"""),"2526100441")</f>
        <v>2526100441</v>
      </c>
      <c r="C33" s="193" t="str">
        <f>IFERROR(__xludf.DUMMYFUNCTION("""COMPUTED_VALUE"""),"0089904752")</f>
        <v>0089904752</v>
      </c>
      <c r="D33" s="195" t="str">
        <f>IFERROR(__xludf.DUMMYFUNCTION("""COMPUTED_VALUE"""),"MUHAMMAD GOZALI")</f>
        <v>MUHAMMAD GOZALI</v>
      </c>
      <c r="E33" s="193" t="str">
        <f>IFERROR(__xludf.DUMMYFUNCTION("""COMPUTED_VALUE"""),"X TO 4")</f>
        <v>X TO 4</v>
      </c>
      <c r="F33" s="200" t="s">
        <v>220</v>
      </c>
      <c r="G33" s="203"/>
      <c r="H33" s="144" t="b">
        <f t="shared" si="5"/>
        <v>0</v>
      </c>
      <c r="I33" s="149" t="b">
        <f t="shared" si="6"/>
        <v>0</v>
      </c>
      <c r="J33" s="203"/>
      <c r="K33" s="153" t="b">
        <f t="shared" si="7"/>
        <v>0</v>
      </c>
      <c r="L33" s="158" t="b">
        <f t="shared" si="8"/>
        <v>0</v>
      </c>
      <c r="M33" s="205"/>
      <c r="N33" s="163" t="b">
        <f t="shared" si="9"/>
        <v>0</v>
      </c>
      <c r="O33" s="167" t="b">
        <f t="shared" si="10"/>
        <v>0</v>
      </c>
      <c r="P33" s="172"/>
      <c r="Q33" s="177"/>
      <c r="R33" s="181"/>
      <c r="S33" s="177"/>
      <c r="T33" s="184"/>
      <c r="U33" s="187"/>
      <c r="V33" s="187"/>
      <c r="W33" s="187"/>
      <c r="X33" s="187"/>
      <c r="Y33" s="187"/>
      <c r="Z33" s="187"/>
      <c r="AA33" s="187"/>
      <c r="AB33" s="187"/>
    </row>
    <row r="34" ht="15.75" customHeight="1">
      <c r="A34" s="115">
        <f>IFERROR(__xludf.DUMMYFUNCTION("""COMPUTED_VALUE"""),29.0)</f>
        <v>29</v>
      </c>
      <c r="B34" s="119" t="str">
        <f>IFERROR(__xludf.DUMMYFUNCTION("""COMPUTED_VALUE"""),"2526100442")</f>
        <v>2526100442</v>
      </c>
      <c r="C34" s="119" t="str">
        <f>IFERROR(__xludf.DUMMYFUNCTION("""COMPUTED_VALUE"""),"0093764470")</f>
        <v>0093764470</v>
      </c>
      <c r="D34" s="122" t="str">
        <f>IFERROR(__xludf.DUMMYFUNCTION("""COMPUTED_VALUE"""),"MUHAMMAD HADAD AT'TOILLAH")</f>
        <v>MUHAMMAD HADAD AT'TOILLAH</v>
      </c>
      <c r="E34" s="119" t="str">
        <f>IFERROR(__xludf.DUMMYFUNCTION("""COMPUTED_VALUE"""),"X TO 4")</f>
        <v>X TO 4</v>
      </c>
      <c r="F34" s="132" t="s">
        <v>220</v>
      </c>
      <c r="G34" s="138"/>
      <c r="H34" s="144" t="b">
        <f t="shared" si="5"/>
        <v>0</v>
      </c>
      <c r="I34" s="149" t="b">
        <f t="shared" si="6"/>
        <v>0</v>
      </c>
      <c r="J34" s="138"/>
      <c r="K34" s="153" t="b">
        <f t="shared" si="7"/>
        <v>0</v>
      </c>
      <c r="L34" s="158" t="b">
        <f t="shared" si="8"/>
        <v>0</v>
      </c>
      <c r="M34" s="138"/>
      <c r="N34" s="163" t="b">
        <f t="shared" si="9"/>
        <v>0</v>
      </c>
      <c r="O34" s="167" t="b">
        <f t="shared" si="10"/>
        <v>0</v>
      </c>
      <c r="P34" s="172"/>
      <c r="Q34" s="177"/>
      <c r="R34" s="181"/>
      <c r="S34" s="177"/>
      <c r="T34" s="184"/>
      <c r="U34" s="187"/>
      <c r="V34" s="187"/>
      <c r="W34" s="187"/>
      <c r="X34" s="187"/>
      <c r="Y34" s="187"/>
      <c r="Z34" s="187"/>
      <c r="AA34" s="187"/>
      <c r="AB34" s="187"/>
    </row>
    <row r="35" ht="15.75" customHeight="1">
      <c r="A35" s="189">
        <f>IFERROR(__xludf.DUMMYFUNCTION("""COMPUTED_VALUE"""),30.0)</f>
        <v>30</v>
      </c>
      <c r="B35" s="193" t="str">
        <f>IFERROR(__xludf.DUMMYFUNCTION("""COMPUTED_VALUE"""),"2526100443")</f>
        <v>2526100443</v>
      </c>
      <c r="C35" s="193" t="str">
        <f>IFERROR(__xludf.DUMMYFUNCTION("""COMPUTED_VALUE"""),"0092995954")</f>
        <v>0092995954</v>
      </c>
      <c r="D35" s="195" t="str">
        <f>IFERROR(__xludf.DUMMYFUNCTION("""COMPUTED_VALUE"""),"MUHAMMAD ILHAM")</f>
        <v>MUHAMMAD ILHAM</v>
      </c>
      <c r="E35" s="193" t="str">
        <f>IFERROR(__xludf.DUMMYFUNCTION("""COMPUTED_VALUE"""),"X TO 4")</f>
        <v>X TO 4</v>
      </c>
      <c r="F35" s="200" t="s">
        <v>220</v>
      </c>
      <c r="G35" s="203"/>
      <c r="H35" s="144" t="b">
        <f t="shared" si="5"/>
        <v>0</v>
      </c>
      <c r="I35" s="149" t="b">
        <f t="shared" si="6"/>
        <v>0</v>
      </c>
      <c r="J35" s="203"/>
      <c r="K35" s="153" t="b">
        <f t="shared" si="7"/>
        <v>0</v>
      </c>
      <c r="L35" s="158" t="b">
        <f t="shared" si="8"/>
        <v>0</v>
      </c>
      <c r="M35" s="205"/>
      <c r="N35" s="163" t="b">
        <f t="shared" si="9"/>
        <v>0</v>
      </c>
      <c r="O35" s="167" t="b">
        <f t="shared" si="10"/>
        <v>0</v>
      </c>
      <c r="P35" s="172"/>
      <c r="Q35" s="177"/>
      <c r="R35" s="181"/>
      <c r="S35" s="177"/>
      <c r="T35" s="184"/>
      <c r="U35" s="187"/>
      <c r="V35" s="187"/>
      <c r="W35" s="187"/>
      <c r="X35" s="187"/>
      <c r="Y35" s="187"/>
      <c r="Z35" s="187"/>
      <c r="AA35" s="187"/>
      <c r="AB35" s="187"/>
    </row>
    <row r="36" ht="15.75" customHeight="1">
      <c r="A36" s="115">
        <f>IFERROR(__xludf.DUMMYFUNCTION("""COMPUTED_VALUE"""),31.0)</f>
        <v>31</v>
      </c>
      <c r="B36" s="119" t="str">
        <f>IFERROR(__xludf.DUMMYFUNCTION("""COMPUTED_VALUE"""),"2526100444")</f>
        <v>2526100444</v>
      </c>
      <c r="C36" s="119" t="str">
        <f>IFERROR(__xludf.DUMMYFUNCTION("""COMPUTED_VALUE"""),"0091433917")</f>
        <v>0091433917</v>
      </c>
      <c r="D36" s="122" t="str">
        <f>IFERROR(__xludf.DUMMYFUNCTION("""COMPUTED_VALUE"""),"M. IRPAN SAEPUL IBRAHIM ")</f>
        <v>M. IRPAN SAEPUL IBRAHIM </v>
      </c>
      <c r="E36" s="119" t="str">
        <f>IFERROR(__xludf.DUMMYFUNCTION("""COMPUTED_VALUE"""),"X TO 4")</f>
        <v>X TO 4</v>
      </c>
      <c r="F36" s="132" t="s">
        <v>220</v>
      </c>
      <c r="G36" s="138"/>
      <c r="H36" s="144" t="b">
        <f t="shared" si="5"/>
        <v>0</v>
      </c>
      <c r="I36" s="149" t="b">
        <f t="shared" si="6"/>
        <v>0</v>
      </c>
      <c r="J36" s="138"/>
      <c r="K36" s="153" t="b">
        <f t="shared" si="7"/>
        <v>0</v>
      </c>
      <c r="L36" s="158" t="b">
        <f t="shared" si="8"/>
        <v>0</v>
      </c>
      <c r="M36" s="138"/>
      <c r="N36" s="163" t="b">
        <f t="shared" si="9"/>
        <v>0</v>
      </c>
      <c r="O36" s="167" t="b">
        <f t="shared" si="10"/>
        <v>0</v>
      </c>
      <c r="P36" s="172"/>
      <c r="Q36" s="177"/>
      <c r="R36" s="181"/>
      <c r="S36" s="177"/>
      <c r="T36" s="184"/>
      <c r="U36" s="187"/>
      <c r="V36" s="187"/>
      <c r="W36" s="187"/>
      <c r="X36" s="187"/>
      <c r="Y36" s="187"/>
      <c r="Z36" s="187"/>
      <c r="AA36" s="187"/>
      <c r="AB36" s="187"/>
    </row>
    <row r="37" ht="15.75" customHeight="1">
      <c r="A37" s="189">
        <f>IFERROR(__xludf.DUMMYFUNCTION("""COMPUTED_VALUE"""),32.0)</f>
        <v>32</v>
      </c>
      <c r="B37" s="193" t="str">
        <f>IFERROR(__xludf.DUMMYFUNCTION("""COMPUTED_VALUE"""),"2526100445")</f>
        <v>2526100445</v>
      </c>
      <c r="C37" s="193" t="str">
        <f>IFERROR(__xludf.DUMMYFUNCTION("""COMPUTED_VALUE"""),"0093505472")</f>
        <v>0093505472</v>
      </c>
      <c r="D37" s="195" t="str">
        <f>IFERROR(__xludf.DUMMYFUNCTION("""COMPUTED_VALUE"""),"MUHAMMAD NAZIL SIBTHURRIDHO")</f>
        <v>MUHAMMAD NAZIL SIBTHURRIDHO</v>
      </c>
      <c r="E37" s="193" t="str">
        <f>IFERROR(__xludf.DUMMYFUNCTION("""COMPUTED_VALUE"""),"X TO 4")</f>
        <v>X TO 4</v>
      </c>
      <c r="F37" s="200" t="s">
        <v>220</v>
      </c>
      <c r="G37" s="203"/>
      <c r="H37" s="144" t="b">
        <f t="shared" si="5"/>
        <v>0</v>
      </c>
      <c r="I37" s="149" t="b">
        <f t="shared" si="6"/>
        <v>0</v>
      </c>
      <c r="J37" s="203"/>
      <c r="K37" s="153" t="b">
        <f t="shared" si="7"/>
        <v>0</v>
      </c>
      <c r="L37" s="158" t="b">
        <f t="shared" si="8"/>
        <v>0</v>
      </c>
      <c r="M37" s="205"/>
      <c r="N37" s="163" t="b">
        <f t="shared" si="9"/>
        <v>0</v>
      </c>
      <c r="O37" s="167" t="b">
        <f t="shared" si="10"/>
        <v>0</v>
      </c>
      <c r="P37" s="172"/>
      <c r="Q37" s="177"/>
      <c r="R37" s="181"/>
      <c r="S37" s="177"/>
      <c r="T37" s="184"/>
      <c r="U37" s="187"/>
      <c r="V37" s="187"/>
      <c r="W37" s="187"/>
      <c r="X37" s="187"/>
      <c r="Y37" s="187"/>
      <c r="Z37" s="187"/>
      <c r="AA37" s="187"/>
      <c r="AB37" s="187"/>
    </row>
    <row r="38" ht="15.75" customHeight="1">
      <c r="A38" s="115">
        <f>IFERROR(__xludf.DUMMYFUNCTION("""COMPUTED_VALUE"""),33.0)</f>
        <v>33</v>
      </c>
      <c r="B38" s="119" t="str">
        <f>IFERROR(__xludf.DUMMYFUNCTION("""COMPUTED_VALUE"""),"2526100446")</f>
        <v>2526100446</v>
      </c>
      <c r="C38" s="119" t="str">
        <f>IFERROR(__xludf.DUMMYFUNCTION("""COMPUTED_VALUE"""),"0078810983")</f>
        <v>0078810983</v>
      </c>
      <c r="D38" s="122" t="str">
        <f>IFERROR(__xludf.DUMMYFUNCTION("""COMPUTED_VALUE"""),"MUHAMMAD RAGIL")</f>
        <v>MUHAMMAD RAGIL</v>
      </c>
      <c r="E38" s="119" t="str">
        <f>IFERROR(__xludf.DUMMYFUNCTION("""COMPUTED_VALUE"""),"X TO 4")</f>
        <v>X TO 4</v>
      </c>
      <c r="F38" s="132" t="s">
        <v>220</v>
      </c>
      <c r="G38" s="138"/>
      <c r="H38" s="144" t="b">
        <f t="shared" si="5"/>
        <v>0</v>
      </c>
      <c r="I38" s="149" t="b">
        <f t="shared" si="6"/>
        <v>0</v>
      </c>
      <c r="J38" s="138"/>
      <c r="K38" s="153" t="b">
        <f t="shared" si="7"/>
        <v>0</v>
      </c>
      <c r="L38" s="158" t="b">
        <f t="shared" si="8"/>
        <v>0</v>
      </c>
      <c r="M38" s="138"/>
      <c r="N38" s="163" t="b">
        <f t="shared" si="9"/>
        <v>0</v>
      </c>
      <c r="O38" s="167" t="b">
        <f t="shared" si="10"/>
        <v>0</v>
      </c>
      <c r="P38" s="172"/>
      <c r="Q38" s="177"/>
      <c r="R38" s="181"/>
      <c r="S38" s="177"/>
      <c r="T38" s="184"/>
      <c r="U38" s="187"/>
      <c r="V38" s="187"/>
      <c r="W38" s="187"/>
      <c r="X38" s="187"/>
      <c r="Y38" s="187"/>
      <c r="Z38" s="187"/>
      <c r="AA38" s="187"/>
      <c r="AB38" s="187"/>
    </row>
    <row r="39" ht="15.75" customHeight="1">
      <c r="A39" s="189">
        <f>IFERROR(__xludf.DUMMYFUNCTION("""COMPUTED_VALUE"""),34.0)</f>
        <v>34</v>
      </c>
      <c r="B39" s="193" t="str">
        <f>IFERROR(__xludf.DUMMYFUNCTION("""COMPUTED_VALUE"""),"2526100447")</f>
        <v>2526100447</v>
      </c>
      <c r="C39" s="193" t="str">
        <f>IFERROR(__xludf.DUMMYFUNCTION("""COMPUTED_VALUE"""),"0098041660")</f>
        <v>0098041660</v>
      </c>
      <c r="D39" s="195" t="str">
        <f>IFERROR(__xludf.DUMMYFUNCTION("""COMPUTED_VALUE"""),"NAJMI ERIANA")</f>
        <v>NAJMI ERIANA</v>
      </c>
      <c r="E39" s="193" t="str">
        <f>IFERROR(__xludf.DUMMYFUNCTION("""COMPUTED_VALUE"""),"X TO 4")</f>
        <v>X TO 4</v>
      </c>
      <c r="F39" s="200" t="s">
        <v>220</v>
      </c>
      <c r="G39" s="203"/>
      <c r="H39" s="144" t="b">
        <f t="shared" si="5"/>
        <v>0</v>
      </c>
      <c r="I39" s="149" t="b">
        <f t="shared" si="6"/>
        <v>0</v>
      </c>
      <c r="J39" s="203"/>
      <c r="K39" s="153" t="b">
        <f t="shared" si="7"/>
        <v>0</v>
      </c>
      <c r="L39" s="158" t="b">
        <f t="shared" si="8"/>
        <v>0</v>
      </c>
      <c r="M39" s="205"/>
      <c r="N39" s="163" t="b">
        <f t="shared" si="9"/>
        <v>0</v>
      </c>
      <c r="O39" s="167" t="b">
        <f t="shared" si="10"/>
        <v>0</v>
      </c>
      <c r="P39" s="172"/>
      <c r="Q39" s="177"/>
      <c r="R39" s="181"/>
      <c r="S39" s="177"/>
      <c r="T39" s="184"/>
      <c r="U39" s="187"/>
      <c r="V39" s="187"/>
      <c r="W39" s="187"/>
      <c r="X39" s="187"/>
      <c r="Y39" s="187"/>
      <c r="Z39" s="187"/>
      <c r="AA39" s="187"/>
      <c r="AB39" s="187"/>
    </row>
    <row r="40" ht="15.75" customHeight="1">
      <c r="A40" s="115">
        <f>IFERROR(__xludf.DUMMYFUNCTION("""COMPUTED_VALUE"""),35.0)</f>
        <v>35</v>
      </c>
      <c r="B40" s="119" t="str">
        <f>IFERROR(__xludf.DUMMYFUNCTION("""COMPUTED_VALUE"""),"2526100448")</f>
        <v>2526100448</v>
      </c>
      <c r="C40" s="119" t="str">
        <f>IFERROR(__xludf.DUMMYFUNCTION("""COMPUTED_VALUE"""),"0094411174")</f>
        <v>0094411174</v>
      </c>
      <c r="D40" s="122" t="str">
        <f>IFERROR(__xludf.DUMMYFUNCTION("""COMPUTED_VALUE"""),"PANO PAIZAL")</f>
        <v>PANO PAIZAL</v>
      </c>
      <c r="E40" s="119" t="str">
        <f>IFERROR(__xludf.DUMMYFUNCTION("""COMPUTED_VALUE"""),"X TO 4")</f>
        <v>X TO 4</v>
      </c>
      <c r="F40" s="132" t="s">
        <v>220</v>
      </c>
      <c r="G40" s="138"/>
      <c r="H40" s="144" t="b">
        <f t="shared" si="5"/>
        <v>0</v>
      </c>
      <c r="I40" s="149" t="b">
        <f t="shared" si="6"/>
        <v>0</v>
      </c>
      <c r="J40" s="138"/>
      <c r="K40" s="153" t="b">
        <f t="shared" si="7"/>
        <v>0</v>
      </c>
      <c r="L40" s="158" t="b">
        <f t="shared" si="8"/>
        <v>0</v>
      </c>
      <c r="M40" s="138"/>
      <c r="N40" s="163" t="b">
        <f t="shared" si="9"/>
        <v>0</v>
      </c>
      <c r="O40" s="167" t="b">
        <f t="shared" si="10"/>
        <v>0</v>
      </c>
      <c r="P40" s="172"/>
      <c r="Q40" s="177"/>
      <c r="R40" s="181"/>
      <c r="S40" s="177"/>
      <c r="T40" s="184"/>
      <c r="U40" s="187"/>
      <c r="V40" s="187"/>
      <c r="W40" s="187"/>
      <c r="X40" s="187"/>
      <c r="Y40" s="187"/>
      <c r="Z40" s="187"/>
      <c r="AA40" s="187"/>
      <c r="AB40" s="187"/>
    </row>
    <row r="41" ht="15.75" customHeight="1">
      <c r="A41" s="189">
        <f>IFERROR(__xludf.DUMMYFUNCTION("""COMPUTED_VALUE"""),36.0)</f>
        <v>36</v>
      </c>
      <c r="B41" s="193" t="str">
        <f>IFERROR(__xludf.DUMMYFUNCTION("""COMPUTED_VALUE"""),"2526100449")</f>
        <v>2526100449</v>
      </c>
      <c r="C41" s="193" t="str">
        <f>IFERROR(__xludf.DUMMYFUNCTION("""COMPUTED_VALUE"""),"3104749923")</f>
        <v>3104749923</v>
      </c>
      <c r="D41" s="195" t="str">
        <f>IFERROR(__xludf.DUMMYFUNCTION("""COMPUTED_VALUE"""),"PIRMAN ADRIYANI PUTRA")</f>
        <v>PIRMAN ADRIYANI PUTRA</v>
      </c>
      <c r="E41" s="193" t="str">
        <f>IFERROR(__xludf.DUMMYFUNCTION("""COMPUTED_VALUE"""),"X TO 4")</f>
        <v>X TO 4</v>
      </c>
      <c r="F41" s="200" t="s">
        <v>220</v>
      </c>
      <c r="G41" s="203"/>
      <c r="H41" s="144" t="b">
        <f t="shared" si="5"/>
        <v>0</v>
      </c>
      <c r="I41" s="149" t="b">
        <f t="shared" si="6"/>
        <v>0</v>
      </c>
      <c r="J41" s="203"/>
      <c r="K41" s="153" t="b">
        <f t="shared" si="7"/>
        <v>0</v>
      </c>
      <c r="L41" s="158" t="b">
        <f t="shared" si="8"/>
        <v>0</v>
      </c>
      <c r="M41" s="205"/>
      <c r="N41" s="163" t="b">
        <f t="shared" si="9"/>
        <v>0</v>
      </c>
      <c r="O41" s="167" t="b">
        <f t="shared" si="10"/>
        <v>0</v>
      </c>
      <c r="P41" s="172"/>
      <c r="Q41" s="177"/>
      <c r="R41" s="181"/>
      <c r="S41" s="177"/>
      <c r="T41" s="184"/>
      <c r="U41" s="187"/>
      <c r="V41" s="187"/>
      <c r="W41" s="187"/>
      <c r="X41" s="187"/>
      <c r="Y41" s="187"/>
      <c r="Z41" s="187"/>
      <c r="AA41" s="187"/>
      <c r="AB41" s="187"/>
    </row>
    <row r="42" ht="15.75" customHeight="1">
      <c r="A42" s="115">
        <f>IFERROR(__xludf.DUMMYFUNCTION("""COMPUTED_VALUE"""),37.0)</f>
        <v>37</v>
      </c>
      <c r="B42" s="119" t="str">
        <f>IFERROR(__xludf.DUMMYFUNCTION("""COMPUTED_VALUE"""),"2526100450")</f>
        <v>2526100450</v>
      </c>
      <c r="C42" s="119" t="str">
        <f>IFERROR(__xludf.DUMMYFUNCTION("""COMPUTED_VALUE"""),"0106511353")</f>
        <v>0106511353</v>
      </c>
      <c r="D42" s="122" t="str">
        <f>IFERROR(__xludf.DUMMYFUNCTION("""COMPUTED_VALUE"""),"RAFFA RAMADHAN")</f>
        <v>RAFFA RAMADHAN</v>
      </c>
      <c r="E42" s="119" t="str">
        <f>IFERROR(__xludf.DUMMYFUNCTION("""COMPUTED_VALUE"""),"X TO 4")</f>
        <v>X TO 4</v>
      </c>
      <c r="F42" s="132" t="s">
        <v>220</v>
      </c>
      <c r="G42" s="138"/>
      <c r="H42" s="144" t="b">
        <f t="shared" si="5"/>
        <v>0</v>
      </c>
      <c r="I42" s="149" t="b">
        <f t="shared" si="6"/>
        <v>0</v>
      </c>
      <c r="J42" s="138"/>
      <c r="K42" s="153" t="b">
        <f t="shared" si="7"/>
        <v>0</v>
      </c>
      <c r="L42" s="158" t="b">
        <f t="shared" si="8"/>
        <v>0</v>
      </c>
      <c r="M42" s="138"/>
      <c r="N42" s="163" t="b">
        <f t="shared" si="9"/>
        <v>0</v>
      </c>
      <c r="O42" s="167" t="b">
        <f t="shared" si="10"/>
        <v>0</v>
      </c>
      <c r="P42" s="172"/>
      <c r="Q42" s="177"/>
      <c r="R42" s="181"/>
      <c r="S42" s="177"/>
      <c r="T42" s="184"/>
      <c r="U42" s="187"/>
      <c r="V42" s="187"/>
      <c r="W42" s="187"/>
      <c r="X42" s="187"/>
      <c r="Y42" s="187"/>
      <c r="Z42" s="187"/>
      <c r="AA42" s="187"/>
      <c r="AB42" s="187"/>
    </row>
    <row r="43" ht="15.75" customHeight="1">
      <c r="A43" s="189">
        <f>IFERROR(__xludf.DUMMYFUNCTION("""COMPUTED_VALUE"""),38.0)</f>
        <v>38</v>
      </c>
      <c r="B43" s="193" t="str">
        <f>IFERROR(__xludf.DUMMYFUNCTION("""COMPUTED_VALUE"""),"2526100451")</f>
        <v>2526100451</v>
      </c>
      <c r="C43" s="193" t="str">
        <f>IFERROR(__xludf.DUMMYFUNCTION("""COMPUTED_VALUE"""),"3100673583")</f>
        <v>3100673583</v>
      </c>
      <c r="D43" s="195" t="str">
        <f>IFERROR(__xludf.DUMMYFUNCTION("""COMPUTED_VALUE"""),"RAFQA NUZULUL AKBAR SETIANA")</f>
        <v>RAFQA NUZULUL AKBAR SETIANA</v>
      </c>
      <c r="E43" s="193" t="str">
        <f>IFERROR(__xludf.DUMMYFUNCTION("""COMPUTED_VALUE"""),"X TO 4")</f>
        <v>X TO 4</v>
      </c>
      <c r="F43" s="200" t="s">
        <v>220</v>
      </c>
      <c r="G43" s="203"/>
      <c r="H43" s="144" t="b">
        <f t="shared" si="5"/>
        <v>0</v>
      </c>
      <c r="I43" s="149" t="b">
        <f t="shared" si="6"/>
        <v>0</v>
      </c>
      <c r="J43" s="203"/>
      <c r="K43" s="153" t="b">
        <f t="shared" si="7"/>
        <v>0</v>
      </c>
      <c r="L43" s="158" t="b">
        <f t="shared" si="8"/>
        <v>0</v>
      </c>
      <c r="M43" s="205"/>
      <c r="N43" s="163" t="b">
        <f t="shared" si="9"/>
        <v>0</v>
      </c>
      <c r="O43" s="167" t="b">
        <f t="shared" si="10"/>
        <v>0</v>
      </c>
      <c r="P43" s="172"/>
      <c r="Q43" s="177"/>
      <c r="R43" s="181"/>
      <c r="S43" s="177"/>
      <c r="T43" s="184"/>
      <c r="U43" s="187"/>
      <c r="V43" s="187"/>
      <c r="W43" s="187"/>
      <c r="X43" s="187"/>
      <c r="Y43" s="187"/>
      <c r="Z43" s="187"/>
      <c r="AA43" s="187"/>
      <c r="AB43" s="187"/>
    </row>
    <row r="44" ht="15.75" customHeight="1">
      <c r="A44" s="115">
        <f>IFERROR(__xludf.DUMMYFUNCTION("""COMPUTED_VALUE"""),39.0)</f>
        <v>39</v>
      </c>
      <c r="B44" s="119" t="str">
        <f>IFERROR(__xludf.DUMMYFUNCTION("""COMPUTED_VALUE"""),"2526100452")</f>
        <v>2526100452</v>
      </c>
      <c r="C44" s="119" t="str">
        <f>IFERROR(__xludf.DUMMYFUNCTION("""COMPUTED_VALUE"""),"0098144365")</f>
        <v>0098144365</v>
      </c>
      <c r="D44" s="122" t="str">
        <f>IFERROR(__xludf.DUMMYFUNCTION("""COMPUTED_VALUE"""),"RIDO MUHAMAD NUR FADILAH")</f>
        <v>RIDO MUHAMAD NUR FADILAH</v>
      </c>
      <c r="E44" s="119" t="str">
        <f>IFERROR(__xludf.DUMMYFUNCTION("""COMPUTED_VALUE"""),"X TO 4")</f>
        <v>X TO 4</v>
      </c>
      <c r="F44" s="132" t="s">
        <v>220</v>
      </c>
      <c r="G44" s="138"/>
      <c r="H44" s="144" t="b">
        <f t="shared" si="5"/>
        <v>0</v>
      </c>
      <c r="I44" s="149" t="b">
        <f t="shared" si="6"/>
        <v>0</v>
      </c>
      <c r="J44" s="138"/>
      <c r="K44" s="153" t="b">
        <f t="shared" si="7"/>
        <v>0</v>
      </c>
      <c r="L44" s="158" t="b">
        <f t="shared" si="8"/>
        <v>0</v>
      </c>
      <c r="M44" s="138"/>
      <c r="N44" s="163" t="b">
        <f t="shared" si="9"/>
        <v>0</v>
      </c>
      <c r="O44" s="167" t="b">
        <f t="shared" si="10"/>
        <v>0</v>
      </c>
      <c r="P44" s="172"/>
      <c r="Q44" s="177"/>
      <c r="R44" s="181"/>
      <c r="S44" s="177"/>
      <c r="T44" s="184"/>
      <c r="U44" s="187"/>
      <c r="V44" s="187"/>
      <c r="W44" s="187"/>
      <c r="X44" s="187"/>
      <c r="Y44" s="187"/>
      <c r="Z44" s="187"/>
      <c r="AA44" s="187"/>
      <c r="AB44" s="187"/>
    </row>
    <row r="45" ht="15.75" customHeight="1">
      <c r="A45" s="189">
        <f>IFERROR(__xludf.DUMMYFUNCTION("""COMPUTED_VALUE"""),40.0)</f>
        <v>40</v>
      </c>
      <c r="B45" s="193" t="str">
        <f>IFERROR(__xludf.DUMMYFUNCTION("""COMPUTED_VALUE"""),"2526100453")</f>
        <v>2526100453</v>
      </c>
      <c r="C45" s="193" t="str">
        <f>IFERROR(__xludf.DUMMYFUNCTION("""COMPUTED_VALUE"""),"0101384399")</f>
        <v>0101384399</v>
      </c>
      <c r="D45" s="195" t="str">
        <f>IFERROR(__xludf.DUMMYFUNCTION("""COMPUTED_VALUE"""),"RIFAL KAMILUL AJHAR")</f>
        <v>RIFAL KAMILUL AJHAR</v>
      </c>
      <c r="E45" s="193" t="str">
        <f>IFERROR(__xludf.DUMMYFUNCTION("""COMPUTED_VALUE"""),"X TO 4")</f>
        <v>X TO 4</v>
      </c>
      <c r="F45" s="200" t="s">
        <v>220</v>
      </c>
      <c r="G45" s="203"/>
      <c r="H45" s="144" t="b">
        <f t="shared" si="5"/>
        <v>0</v>
      </c>
      <c r="I45" s="149" t="b">
        <f t="shared" si="6"/>
        <v>0</v>
      </c>
      <c r="J45" s="203"/>
      <c r="K45" s="153" t="b">
        <f t="shared" si="7"/>
        <v>0</v>
      </c>
      <c r="L45" s="158" t="b">
        <f t="shared" si="8"/>
        <v>0</v>
      </c>
      <c r="M45" s="205"/>
      <c r="N45" s="163" t="b">
        <f t="shared" si="9"/>
        <v>0</v>
      </c>
      <c r="O45" s="167" t="b">
        <f t="shared" si="10"/>
        <v>0</v>
      </c>
      <c r="P45" s="172"/>
      <c r="Q45" s="177"/>
      <c r="R45" s="181"/>
      <c r="S45" s="177"/>
      <c r="T45" s="184"/>
      <c r="U45" s="187"/>
      <c r="V45" s="187"/>
      <c r="W45" s="187"/>
      <c r="X45" s="187"/>
      <c r="Y45" s="187"/>
      <c r="Z45" s="187"/>
      <c r="AA45" s="187"/>
      <c r="AB45" s="187"/>
    </row>
    <row r="46" ht="15.75" customHeight="1">
      <c r="A46" s="115">
        <f>IFERROR(__xludf.DUMMYFUNCTION("""COMPUTED_VALUE"""),41.0)</f>
        <v>41</v>
      </c>
      <c r="B46" s="119" t="str">
        <f>IFERROR(__xludf.DUMMYFUNCTION("""COMPUTED_VALUE"""),"2526100454")</f>
        <v>2526100454</v>
      </c>
      <c r="C46" s="119" t="str">
        <f>IFERROR(__xludf.DUMMYFUNCTION("""COMPUTED_VALUE"""),"0095007656")</f>
        <v>0095007656</v>
      </c>
      <c r="D46" s="122" t="str">
        <f>IFERROR(__xludf.DUMMYFUNCTION("""COMPUTED_VALUE"""),"RIVALDI MAULANA")</f>
        <v>RIVALDI MAULANA</v>
      </c>
      <c r="E46" s="119" t="str">
        <f>IFERROR(__xludf.DUMMYFUNCTION("""COMPUTED_VALUE"""),"X TO 4")</f>
        <v>X TO 4</v>
      </c>
      <c r="F46" s="132" t="s">
        <v>220</v>
      </c>
      <c r="G46" s="138"/>
      <c r="H46" s="144" t="b">
        <f t="shared" si="5"/>
        <v>0</v>
      </c>
      <c r="I46" s="149" t="b">
        <f t="shared" si="6"/>
        <v>0</v>
      </c>
      <c r="J46" s="138"/>
      <c r="K46" s="153" t="b">
        <f t="shared" si="7"/>
        <v>0</v>
      </c>
      <c r="L46" s="158" t="b">
        <f t="shared" si="8"/>
        <v>0</v>
      </c>
      <c r="M46" s="138"/>
      <c r="N46" s="163" t="b">
        <f t="shared" si="9"/>
        <v>0</v>
      </c>
      <c r="O46" s="167" t="b">
        <f t="shared" si="10"/>
        <v>0</v>
      </c>
      <c r="P46" s="172"/>
      <c r="Q46" s="177"/>
      <c r="R46" s="181"/>
      <c r="S46" s="177"/>
      <c r="T46" s="184"/>
      <c r="U46" s="187"/>
      <c r="V46" s="187"/>
      <c r="W46" s="187"/>
      <c r="X46" s="187"/>
      <c r="Y46" s="187"/>
      <c r="Z46" s="187"/>
      <c r="AA46" s="187"/>
      <c r="AB46" s="187"/>
    </row>
    <row r="47" ht="15.75" customHeight="1">
      <c r="A47" s="189">
        <f>IFERROR(__xludf.DUMMYFUNCTION("""COMPUTED_VALUE"""),42.0)</f>
        <v>42</v>
      </c>
      <c r="B47" s="193" t="str">
        <f>IFERROR(__xludf.DUMMYFUNCTION("""COMPUTED_VALUE"""),"2526100455")</f>
        <v>2526100455</v>
      </c>
      <c r="C47" s="193" t="str">
        <f>IFERROR(__xludf.DUMMYFUNCTION("""COMPUTED_VALUE"""),"3095900062")</f>
        <v>3095900062</v>
      </c>
      <c r="D47" s="195" t="str">
        <f>IFERROR(__xludf.DUMMYFUNCTION("""COMPUTED_VALUE"""),"RIZAL RISMAYANDI")</f>
        <v>RIZAL RISMAYANDI</v>
      </c>
      <c r="E47" s="193" t="str">
        <f>IFERROR(__xludf.DUMMYFUNCTION("""COMPUTED_VALUE"""),"X TO 4")</f>
        <v>X TO 4</v>
      </c>
      <c r="F47" s="200" t="s">
        <v>220</v>
      </c>
      <c r="G47" s="203"/>
      <c r="H47" s="144" t="b">
        <f t="shared" si="5"/>
        <v>0</v>
      </c>
      <c r="I47" s="149" t="b">
        <f t="shared" si="6"/>
        <v>0</v>
      </c>
      <c r="J47" s="203"/>
      <c r="K47" s="153" t="b">
        <f t="shared" si="7"/>
        <v>0</v>
      </c>
      <c r="L47" s="158" t="b">
        <f t="shared" si="8"/>
        <v>0</v>
      </c>
      <c r="M47" s="205"/>
      <c r="N47" s="163" t="b">
        <f t="shared" si="9"/>
        <v>0</v>
      </c>
      <c r="O47" s="167" t="b">
        <f t="shared" si="10"/>
        <v>0</v>
      </c>
      <c r="P47" s="172"/>
      <c r="Q47" s="177"/>
      <c r="R47" s="181"/>
      <c r="S47" s="177"/>
      <c r="T47" s="184"/>
      <c r="U47" s="187"/>
      <c r="V47" s="187"/>
      <c r="W47" s="187"/>
      <c r="X47" s="187"/>
      <c r="Y47" s="187"/>
      <c r="Z47" s="187"/>
      <c r="AA47" s="187"/>
      <c r="AB47" s="187"/>
    </row>
    <row r="48" ht="15.75" customHeight="1">
      <c r="A48" s="115">
        <f>IFERROR(__xludf.DUMMYFUNCTION("""COMPUTED_VALUE"""),43.0)</f>
        <v>43</v>
      </c>
      <c r="B48" s="119" t="str">
        <f>IFERROR(__xludf.DUMMYFUNCTION("""COMPUTED_VALUE"""),"2526100456")</f>
        <v>2526100456</v>
      </c>
      <c r="C48" s="119" t="str">
        <f>IFERROR(__xludf.DUMMYFUNCTION("""COMPUTED_VALUE"""),"0097206975")</f>
        <v>0097206975</v>
      </c>
      <c r="D48" s="122" t="str">
        <f>IFERROR(__xludf.DUMMYFUNCTION("""COMPUTED_VALUE"""),"RIZKI ADITIA PRATAMA")</f>
        <v>RIZKI ADITIA PRATAMA</v>
      </c>
      <c r="E48" s="119" t="str">
        <f>IFERROR(__xludf.DUMMYFUNCTION("""COMPUTED_VALUE"""),"X TO 4")</f>
        <v>X TO 4</v>
      </c>
      <c r="F48" s="132" t="s">
        <v>220</v>
      </c>
      <c r="G48" s="138"/>
      <c r="H48" s="144" t="b">
        <f t="shared" si="5"/>
        <v>0</v>
      </c>
      <c r="I48" s="149" t="b">
        <f t="shared" si="6"/>
        <v>0</v>
      </c>
      <c r="J48" s="138"/>
      <c r="K48" s="153" t="b">
        <f t="shared" si="7"/>
        <v>0</v>
      </c>
      <c r="L48" s="158" t="b">
        <f t="shared" si="8"/>
        <v>0</v>
      </c>
      <c r="M48" s="138"/>
      <c r="N48" s="163" t="b">
        <f t="shared" si="9"/>
        <v>0</v>
      </c>
      <c r="O48" s="167" t="b">
        <f t="shared" si="10"/>
        <v>0</v>
      </c>
      <c r="P48" s="172"/>
      <c r="Q48" s="177"/>
      <c r="R48" s="181"/>
      <c r="S48" s="177"/>
      <c r="T48" s="184"/>
      <c r="U48" s="187"/>
      <c r="V48" s="187"/>
      <c r="W48" s="187"/>
      <c r="X48" s="187"/>
      <c r="Y48" s="187"/>
      <c r="Z48" s="187"/>
      <c r="AA48" s="187"/>
      <c r="AB48" s="187"/>
    </row>
    <row r="49" ht="15.75" customHeight="1">
      <c r="A49" s="189">
        <f>IFERROR(__xludf.DUMMYFUNCTION("""COMPUTED_VALUE"""),44.0)</f>
        <v>44</v>
      </c>
      <c r="B49" s="193" t="str">
        <f>IFERROR(__xludf.DUMMYFUNCTION("""COMPUTED_VALUE"""),"2526100457")</f>
        <v>2526100457</v>
      </c>
      <c r="C49" s="193" t="str">
        <f>IFERROR(__xludf.DUMMYFUNCTION("""COMPUTED_VALUE"""),"0099911084")</f>
        <v>0099911084</v>
      </c>
      <c r="D49" s="195" t="str">
        <f>IFERROR(__xludf.DUMMYFUNCTION("""COMPUTED_VALUE"""),"SURYA BAGJA JUNIOR")</f>
        <v>SURYA BAGJA JUNIOR</v>
      </c>
      <c r="E49" s="193" t="str">
        <f>IFERROR(__xludf.DUMMYFUNCTION("""COMPUTED_VALUE"""),"X TO 4")</f>
        <v>X TO 4</v>
      </c>
      <c r="F49" s="200" t="s">
        <v>220</v>
      </c>
      <c r="G49" s="203"/>
      <c r="H49" s="144" t="b">
        <f t="shared" si="5"/>
        <v>0</v>
      </c>
      <c r="I49" s="149" t="b">
        <f t="shared" si="6"/>
        <v>0</v>
      </c>
      <c r="J49" s="203"/>
      <c r="K49" s="153" t="b">
        <f t="shared" si="7"/>
        <v>0</v>
      </c>
      <c r="L49" s="158" t="b">
        <f t="shared" si="8"/>
        <v>0</v>
      </c>
      <c r="M49" s="205"/>
      <c r="N49" s="163" t="b">
        <f t="shared" si="9"/>
        <v>0</v>
      </c>
      <c r="O49" s="167" t="b">
        <f t="shared" si="10"/>
        <v>0</v>
      </c>
      <c r="P49" s="172"/>
      <c r="Q49" s="177"/>
      <c r="R49" s="181"/>
      <c r="S49" s="177"/>
      <c r="T49" s="184"/>
      <c r="U49" s="187"/>
      <c r="V49" s="187"/>
      <c r="W49" s="187"/>
      <c r="X49" s="187"/>
      <c r="Y49" s="187"/>
      <c r="Z49" s="187"/>
      <c r="AA49" s="187"/>
      <c r="AB49" s="187"/>
    </row>
    <row r="50" ht="15.75" customHeight="1">
      <c r="A50" s="115">
        <f>IFERROR(__xludf.DUMMYFUNCTION("""COMPUTED_VALUE"""),45.0)</f>
        <v>45</v>
      </c>
      <c r="B50" s="119" t="str">
        <f>IFERROR(__xludf.DUMMYFUNCTION("""COMPUTED_VALUE"""),"2526100458")</f>
        <v>2526100458</v>
      </c>
      <c r="C50" s="119" t="str">
        <f>IFERROR(__xludf.DUMMYFUNCTION("""COMPUTED_VALUE"""),"3096786504")</f>
        <v>3096786504</v>
      </c>
      <c r="D50" s="122" t="str">
        <f>IFERROR(__xludf.DUMMYFUNCTION("""COMPUTED_VALUE"""),"WILDAN RIPAI")</f>
        <v>WILDAN RIPAI</v>
      </c>
      <c r="E50" s="119" t="str">
        <f>IFERROR(__xludf.DUMMYFUNCTION("""COMPUTED_VALUE"""),"X TO 4")</f>
        <v>X TO 4</v>
      </c>
      <c r="F50" s="132" t="s">
        <v>220</v>
      </c>
      <c r="G50" s="138"/>
      <c r="H50" s="144" t="b">
        <f t="shared" si="5"/>
        <v>0</v>
      </c>
      <c r="I50" s="149" t="b">
        <f t="shared" si="6"/>
        <v>0</v>
      </c>
      <c r="J50" s="138"/>
      <c r="K50" s="153" t="b">
        <f t="shared" si="7"/>
        <v>0</v>
      </c>
      <c r="L50" s="158" t="b">
        <f t="shared" si="8"/>
        <v>0</v>
      </c>
      <c r="M50" s="138"/>
      <c r="N50" s="163" t="b">
        <f t="shared" si="9"/>
        <v>0</v>
      </c>
      <c r="O50" s="167" t="b">
        <f t="shared" si="10"/>
        <v>0</v>
      </c>
      <c r="P50" s="172"/>
      <c r="Q50" s="177"/>
      <c r="R50" s="181"/>
      <c r="S50" s="177"/>
      <c r="T50" s="184"/>
      <c r="U50" s="187"/>
      <c r="V50" s="187"/>
      <c r="W50" s="187"/>
      <c r="X50" s="187"/>
      <c r="Y50" s="187"/>
      <c r="Z50" s="187"/>
      <c r="AA50" s="187"/>
      <c r="AB50" s="187"/>
    </row>
    <row r="51" ht="15.75" customHeight="1">
      <c r="A51" s="189">
        <f>IFERROR(__xludf.DUMMYFUNCTION("""COMPUTED_VALUE"""),46.0)</f>
        <v>46</v>
      </c>
      <c r="B51" s="193" t="str">
        <f>IFERROR(__xludf.DUMMYFUNCTION("""COMPUTED_VALUE"""),"2526100459")</f>
        <v>2526100459</v>
      </c>
      <c r="C51" s="193" t="str">
        <f>IFERROR(__xludf.DUMMYFUNCTION("""COMPUTED_VALUE"""),"3100392230")</f>
        <v>3100392230</v>
      </c>
      <c r="D51" s="195" t="str">
        <f>IFERROR(__xludf.DUMMYFUNCTION("""COMPUTED_VALUE"""),"YUDHA PRASETYO")</f>
        <v>YUDHA PRASETYO</v>
      </c>
      <c r="E51" s="193" t="str">
        <f>IFERROR(__xludf.DUMMYFUNCTION("""COMPUTED_VALUE"""),"X TO 4")</f>
        <v>X TO 4</v>
      </c>
      <c r="F51" s="200" t="s">
        <v>220</v>
      </c>
      <c r="G51" s="203"/>
      <c r="H51" s="144" t="b">
        <f t="shared" si="5"/>
        <v>0</v>
      </c>
      <c r="I51" s="149" t="b">
        <f t="shared" si="6"/>
        <v>0</v>
      </c>
      <c r="J51" s="203"/>
      <c r="K51" s="153" t="b">
        <f t="shared" si="7"/>
        <v>0</v>
      </c>
      <c r="L51" s="158" t="b">
        <f t="shared" si="8"/>
        <v>0</v>
      </c>
      <c r="M51" s="205"/>
      <c r="N51" s="163" t="b">
        <f t="shared" si="9"/>
        <v>0</v>
      </c>
      <c r="O51" s="167" t="b">
        <f t="shared" si="10"/>
        <v>0</v>
      </c>
      <c r="P51" s="172"/>
      <c r="Q51" s="177"/>
      <c r="R51" s="181"/>
      <c r="S51" s="177"/>
      <c r="T51" s="184"/>
      <c r="U51" s="187"/>
      <c r="V51" s="187"/>
      <c r="W51" s="187"/>
      <c r="X51" s="187"/>
      <c r="Y51" s="187"/>
      <c r="Z51" s="187"/>
      <c r="AA51" s="187"/>
      <c r="AB51" s="187"/>
    </row>
    <row r="52" ht="15.75" customHeight="1">
      <c r="A52" s="115"/>
      <c r="B52" s="119"/>
      <c r="C52" s="119"/>
      <c r="D52" s="122"/>
      <c r="E52" s="119"/>
      <c r="F52" s="132" t="s">
        <v>244</v>
      </c>
      <c r="G52" s="138"/>
      <c r="H52" s="144" t="b">
        <f t="shared" si="5"/>
        <v>0</v>
      </c>
      <c r="I52" s="149" t="b">
        <f t="shared" si="6"/>
        <v>0</v>
      </c>
      <c r="J52" s="138"/>
      <c r="K52" s="153" t="b">
        <f t="shared" si="7"/>
        <v>0</v>
      </c>
      <c r="L52" s="158" t="b">
        <f t="shared" si="8"/>
        <v>0</v>
      </c>
      <c r="M52" s="138"/>
      <c r="N52" s="163" t="b">
        <f t="shared" si="9"/>
        <v>0</v>
      </c>
      <c r="O52" s="167" t="b">
        <f t="shared" si="10"/>
        <v>0</v>
      </c>
      <c r="P52" s="172"/>
      <c r="Q52" s="177"/>
      <c r="R52" s="181"/>
      <c r="S52" s="177"/>
      <c r="T52" s="184"/>
      <c r="U52" s="187"/>
      <c r="V52" s="187"/>
      <c r="W52" s="187"/>
      <c r="X52" s="187"/>
      <c r="Y52" s="187"/>
      <c r="Z52" s="187"/>
      <c r="AA52" s="187"/>
      <c r="AB52" s="187"/>
    </row>
    <row r="53" ht="15.75" customHeight="1">
      <c r="A53" s="189"/>
      <c r="B53" s="193"/>
      <c r="C53" s="193"/>
      <c r="D53" s="195"/>
      <c r="E53" s="193"/>
      <c r="F53" s="200" t="s">
        <v>244</v>
      </c>
      <c r="G53" s="203"/>
      <c r="H53" s="144" t="b">
        <f t="shared" si="5"/>
        <v>0</v>
      </c>
      <c r="I53" s="149" t="b">
        <f t="shared" si="6"/>
        <v>0</v>
      </c>
      <c r="J53" s="203"/>
      <c r="K53" s="153" t="b">
        <f t="shared" si="7"/>
        <v>0</v>
      </c>
      <c r="L53" s="158" t="b">
        <f t="shared" si="8"/>
        <v>0</v>
      </c>
      <c r="M53" s="205"/>
      <c r="N53" s="163" t="b">
        <f t="shared" si="9"/>
        <v>0</v>
      </c>
      <c r="O53" s="167" t="b">
        <f t="shared" si="10"/>
        <v>0</v>
      </c>
      <c r="P53" s="172"/>
      <c r="Q53" s="177"/>
      <c r="R53" s="181"/>
      <c r="S53" s="177"/>
      <c r="T53" s="184"/>
      <c r="U53" s="187"/>
      <c r="V53" s="187"/>
      <c r="W53" s="187"/>
      <c r="X53" s="187"/>
      <c r="Y53" s="187"/>
      <c r="Z53" s="187"/>
      <c r="AA53" s="187"/>
      <c r="AB53" s="187"/>
    </row>
    <row r="54" ht="15.75" customHeight="1">
      <c r="A54" s="115"/>
      <c r="B54" s="119"/>
      <c r="C54" s="119"/>
      <c r="D54" s="122"/>
      <c r="E54" s="119"/>
      <c r="F54" s="132" t="s">
        <v>244</v>
      </c>
      <c r="G54" s="138"/>
      <c r="H54" s="144" t="b">
        <f t="shared" si="5"/>
        <v>0</v>
      </c>
      <c r="I54" s="149" t="b">
        <f t="shared" si="6"/>
        <v>0</v>
      </c>
      <c r="J54" s="138"/>
      <c r="K54" s="153" t="b">
        <f t="shared" si="7"/>
        <v>0</v>
      </c>
      <c r="L54" s="158" t="b">
        <f t="shared" si="8"/>
        <v>0</v>
      </c>
      <c r="M54" s="138"/>
      <c r="N54" s="163" t="b">
        <f t="shared" si="9"/>
        <v>0</v>
      </c>
      <c r="O54" s="167" t="b">
        <f t="shared" si="10"/>
        <v>0</v>
      </c>
      <c r="P54" s="172"/>
      <c r="Q54" s="177"/>
      <c r="R54" s="181"/>
      <c r="S54" s="177"/>
      <c r="T54" s="184"/>
      <c r="U54" s="187"/>
      <c r="V54" s="187"/>
      <c r="W54" s="187"/>
      <c r="X54" s="187"/>
      <c r="Y54" s="187"/>
      <c r="Z54" s="187"/>
      <c r="AA54" s="187"/>
      <c r="AB54" s="187"/>
    </row>
    <row r="55" ht="15.75" customHeight="1">
      <c r="A55" s="189"/>
      <c r="B55" s="193"/>
      <c r="C55" s="193"/>
      <c r="D55" s="195"/>
      <c r="E55" s="193"/>
      <c r="F55" s="200" t="s">
        <v>244</v>
      </c>
      <c r="G55" s="203"/>
      <c r="H55" s="144" t="b">
        <f t="shared" si="5"/>
        <v>0</v>
      </c>
      <c r="I55" s="149" t="b">
        <f t="shared" si="6"/>
        <v>0</v>
      </c>
      <c r="J55" s="203"/>
      <c r="K55" s="153" t="b">
        <f t="shared" si="7"/>
        <v>0</v>
      </c>
      <c r="L55" s="158" t="b">
        <f t="shared" si="8"/>
        <v>0</v>
      </c>
      <c r="M55" s="205"/>
      <c r="N55" s="163" t="b">
        <f t="shared" si="9"/>
        <v>0</v>
      </c>
      <c r="O55" s="167" t="b">
        <f t="shared" si="10"/>
        <v>0</v>
      </c>
      <c r="P55" s="172"/>
      <c r="Q55" s="177"/>
      <c r="R55" s="181"/>
      <c r="S55" s="177"/>
      <c r="T55" s="184"/>
      <c r="U55" s="187"/>
      <c r="V55" s="187"/>
      <c r="W55" s="187"/>
      <c r="X55" s="187"/>
      <c r="Y55" s="187"/>
      <c r="Z55" s="187"/>
      <c r="AA55" s="187"/>
      <c r="AB55" s="187"/>
    </row>
  </sheetData>
  <mergeCells count="10">
    <mergeCell ref="G4:I4"/>
    <mergeCell ref="J4:L4"/>
    <mergeCell ref="A3:A5"/>
    <mergeCell ref="B3:B5"/>
    <mergeCell ref="C3:C5"/>
    <mergeCell ref="D3:D5"/>
    <mergeCell ref="E3:E5"/>
    <mergeCell ref="F3:F5"/>
    <mergeCell ref="G3:O3"/>
    <mergeCell ref="M4:O4"/>
  </mergeCells>
  <printOptions/>
  <pageMargins bottom="0.0" footer="0.0" header="0.0" left="0.5118110236220472" right="0.0" top="0.2362204724409449"/>
  <pageSetup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showGridLines="0" workbookViewId="0"/>
  </sheetViews>
  <sheetFormatPr customHeight="1" defaultColWidth="14.43" defaultRowHeight="15.0"/>
  <cols>
    <col customWidth="1" min="1" max="1" width="35.14"/>
    <col customWidth="1" min="2" max="2" width="34.0"/>
    <col customWidth="1" hidden="1" min="3" max="3" width="15.43"/>
    <col customWidth="1" min="4" max="4" width="15.86"/>
    <col customWidth="1" min="5" max="5" width="16.0"/>
    <col customWidth="1" hidden="1" min="6" max="6" width="19.43"/>
    <col customWidth="1" min="7" max="7" width="15.43"/>
    <col customWidth="1" min="8" max="8" width="15.86"/>
    <col customWidth="1" min="9" max="10" width="16.0"/>
    <col customWidth="1" min="11" max="11" width="9.43"/>
    <col customWidth="1" min="12" max="12" width="38.0"/>
  </cols>
  <sheetData>
    <row r="1" ht="29.25" customHeight="1">
      <c r="A1" s="297" t="s">
        <v>246</v>
      </c>
      <c r="B1" s="299" t="s">
        <v>247</v>
      </c>
      <c r="C1" s="300"/>
      <c r="D1" s="300"/>
      <c r="E1" s="300"/>
      <c r="F1" s="300"/>
      <c r="G1" s="300"/>
      <c r="H1" s="300"/>
      <c r="I1" s="300"/>
      <c r="J1" s="301"/>
      <c r="K1" s="303" t="s">
        <v>249</v>
      </c>
      <c r="L1" s="303"/>
    </row>
    <row r="2" ht="28.5" customHeight="1">
      <c r="A2" s="304" t="str">
        <f>IFERROR(__xludf.DUMMYFUNCTION("""Proses : ""&amp;QUERY(LogGenerate!A2:D56,""SELECT C WHERE NOT C CONTAINS '-' ORDER BY A DESC LIMIT 1"")
"),"Proses : RAPOR CK_2_")</f>
        <v>Proses : RAPOR CK_2_</v>
      </c>
      <c r="B2" s="305" t="s">
        <v>250</v>
      </c>
      <c r="J2" s="306"/>
    </row>
    <row r="3" ht="28.5" customHeight="1">
      <c r="A3" s="307" t="str">
        <f>IFERROR(__xludf.DUMMYFUNCTION("""Status : ""&amp;QUERY(LogGenerate!A2:E56,""SELECT D ORDER BY A DESC LIMIT 1"") &amp;"" ""&amp;A5
"),"Status : ✅Berhasil Generate RAPOR_CK_2_2025 / 2026_Ganjil_X TO 4_MUHAMMAD GALANG GUNAWAN.pdf")</f>
        <v>Status : ✅Berhasil Generate RAPOR_CK_2_2025 / 2026_Ganjil_X TO 4_MUHAMMAD GALANG GUNAWAN.pdf</v>
      </c>
      <c r="B3" s="308" t="str">
        <f>CONCATENATE(SETTING!$C$14,"?action=rapor","&amp;spreadsheetId=",SETTING!$C$13)</f>
        <v>https://script.google.com/macros/s/AKfycbxiGOJIScu6TFOPdZ1AEFDNLiZhbUPz-yQ1b8j-thDYqTrdS9mM2ipsbBGfXWy17XrMFQ/exec?action=rapor&amp;spreadsheetId=1l4oEEPmaA5bYsnlZkxW5CcxHsb7UiNmFbZSTH1SjnDM</v>
      </c>
      <c r="C3" s="309"/>
      <c r="D3" s="309"/>
      <c r="E3" s="309"/>
      <c r="F3" s="310"/>
      <c r="G3" s="309"/>
      <c r="H3" s="309"/>
      <c r="I3" s="309"/>
      <c r="J3" s="309"/>
      <c r="K3" s="311"/>
      <c r="L3" s="312"/>
    </row>
    <row r="4" ht="28.5" customHeight="1">
      <c r="A4" s="313"/>
      <c r="B4" s="314" t="s">
        <v>252</v>
      </c>
      <c r="C4" s="315" t="s">
        <v>253</v>
      </c>
      <c r="J4" s="306"/>
      <c r="K4" s="316" t="s">
        <v>254</v>
      </c>
      <c r="L4" s="317" t="str">
        <f>HYPERLINK(CONCATENATE("https://www.appsheet.com/start/da139cf0-15c3-48d4-8b68-71811d5bc10d"),"INPUT BIODATA")</f>
        <v>INPUT BIODATA</v>
      </c>
    </row>
    <row r="5" ht="28.5" customHeight="1">
      <c r="A5" s="318" t="str">
        <f>IFERROR(__xludf.DUMMYFUNCTION("QUERY(LogGenerate!A2:E56,""SELECT E ORDER BY A DESC LIMIT 1"")
"),"RAPOR_CK_2_2025 / 2026_Ganjil_X TO 4_MUHAMMAD GALANG GUNAWAN.pdf")</f>
        <v>RAPOR_CK_2_2025 / 2026_Ganjil_X TO 4_MUHAMMAD GALANG GUNAWAN.pdf</v>
      </c>
      <c r="B5" s="319" t="s">
        <v>255</v>
      </c>
      <c r="C5" s="320" t="s">
        <v>256</v>
      </c>
      <c r="D5" s="321"/>
      <c r="E5" s="321"/>
      <c r="F5" s="321"/>
      <c r="G5" s="321"/>
      <c r="H5" s="321"/>
      <c r="I5" s="321"/>
      <c r="J5" s="322"/>
      <c r="L5" s="201" t="s">
        <v>257</v>
      </c>
    </row>
    <row r="6" ht="28.5" customHeight="1">
      <c r="A6" s="318"/>
      <c r="B6" s="323"/>
      <c r="C6" s="324" t="s">
        <v>258</v>
      </c>
      <c r="D6" s="325" t="s">
        <v>259</v>
      </c>
      <c r="E6" s="325" t="s">
        <v>260</v>
      </c>
      <c r="F6" s="326" t="s">
        <v>261</v>
      </c>
      <c r="G6" s="327" t="s">
        <v>262</v>
      </c>
      <c r="H6" s="327" t="s">
        <v>263</v>
      </c>
      <c r="I6" s="327" t="s">
        <v>264</v>
      </c>
      <c r="J6" s="324" t="s">
        <v>265</v>
      </c>
      <c r="K6" s="328"/>
      <c r="L6" s="329" t="s">
        <v>266</v>
      </c>
    </row>
    <row r="7" ht="28.5" customHeight="1">
      <c r="A7" s="318"/>
      <c r="B7" s="330"/>
      <c r="C7" s="304" t="s">
        <v>267</v>
      </c>
      <c r="D7" s="304" t="s">
        <v>268</v>
      </c>
      <c r="E7" s="304" t="s">
        <v>269</v>
      </c>
      <c r="F7" s="304" t="s">
        <v>270</v>
      </c>
      <c r="G7" s="304" t="s">
        <v>271</v>
      </c>
      <c r="H7" s="304" t="s">
        <v>272</v>
      </c>
      <c r="I7" s="304" t="s">
        <v>273</v>
      </c>
      <c r="J7" s="304" t="s">
        <v>274</v>
      </c>
      <c r="L7" s="201" t="s">
        <v>275</v>
      </c>
    </row>
    <row r="8" ht="28.5" customHeight="1">
      <c r="A8" s="331"/>
      <c r="B8" s="332"/>
      <c r="C8" s="334" t="str">
        <f>HYPERLINK(CONCATENATE(SETTING!$C$14,"?action=cetakSUMATIF1","&amp;spreadsheetId=",SETTING!$C$13),"SUMATIF")</f>
        <v>SUMATIF</v>
      </c>
      <c r="D8" s="334" t="str">
        <f>HYPERLINK(CONCATENATE(SETTING!$C$14,"?action=cetakCKPage1","&amp;spreadsheetId=",SETTING!$C$13),"CK1")</f>
        <v>CK1</v>
      </c>
      <c r="E8" s="334" t="str">
        <f>HYPERLINK(CONCATENATE(SETTING!$C$14,"?action=cetakCKPage2","&amp;spreadsheetId=",SETTING!$C$13),"CK2")</f>
        <v>CK2</v>
      </c>
      <c r="F8" s="334" t="str">
        <f>HYPERLINK(CONCATENATE(SETTING!$C$14,"?action=cetakP5","&amp;spreadsheetId=",SETTING!$C$13),"P5")</f>
        <v>P5</v>
      </c>
      <c r="G8" s="334" t="str">
        <f>HYPERLINK(CONCATENATE(SETTING!$C$14,"?action=cetakCOV_BIO","&amp;spreadsheetId=",SETTING!$C$13),"COV_BIO")</f>
        <v>COV_BIO</v>
      </c>
      <c r="H8" s="334" t="str">
        <f>HYPERLINK(CONCATENATE(SETTING!$C$14,"?action=cetakBIO_SEK","&amp;spreadsheetId=",SETTING!$C$13),"BIO_SEK")</f>
        <v>BIO_SEK</v>
      </c>
      <c r="I8" s="334" t="str">
        <f>HYPERLINK(CONCATENATE(SETTING!$C$14,"?action=cetakBIO_SIS","&amp;spreadsheetId=",SETTING!$C$13),"BIO_SIS")</f>
        <v>BIO_SIS</v>
      </c>
      <c r="J8" s="334" t="str">
        <f>HYPERLINK(CONCATENATE(SETTING!$C$14,"?action=cetakLEGGER","&amp;spreadsheetId=",SETTING!$C$13),"LEGGER")</f>
        <v>LEGGER</v>
      </c>
      <c r="K8" s="328"/>
      <c r="L8" s="335" t="str">
        <f>HYPERLINK(CONCATENATE("https://drive.google.com/file/d/12cBKdHrqW6oYBblp01h_GekQSHDau_HY/view?usp=sharing"),"Petunjuk Singkat Sebelum Input Biodata")</f>
        <v>Petunjuk Singkat Sebelum Input Biodata</v>
      </c>
    </row>
    <row r="9" ht="28.5" customHeight="1">
      <c r="A9" s="318"/>
      <c r="B9" s="336" t="s">
        <v>276</v>
      </c>
      <c r="C9" s="337" t="str">
        <f>HYPERLINK(CONCATENATE(SETTING!$C$14,"?action=BatchSUMATIF1","&amp;spreadsheetId=",SETTING!$C$13),"Generate All")</f>
        <v>Generate All</v>
      </c>
      <c r="D9" s="337" t="str">
        <f>HYPERLINK(CONCATENATE(SETTING!$C$14,"?action=BatchCKPage1","&amp;spreadsheetId=",SETTING!$C$13),"Generate All")</f>
        <v>Generate All</v>
      </c>
      <c r="E9" s="337" t="str">
        <f>HYPERLINK(CONCATENATE(SETTING!$C$14,"?action=BatchCKPage2","&amp;spreadsheetId=",SETTING!$C$13),"Generate All")</f>
        <v>Generate All</v>
      </c>
      <c r="F9" s="337" t="str">
        <f>HYPERLINK(CONCATENATE(SETTING!$C$14,"?action=BatchP5","&amp;spreadsheetId=",SETTING!$C$13),"Generate All")</f>
        <v>Generate All</v>
      </c>
      <c r="G9" s="337" t="str">
        <f>HYPERLINK(CONCATENATE(SETTING!$C$14,"?action=BatchCOV_BIO","&amp;spreadsheetId=",SETTING!$C$13),"Generate All")</f>
        <v>Generate All</v>
      </c>
      <c r="H9" s="337" t="str">
        <f>HYPERLINK(CONCATENATE(SETTING!$C$14,"?action=BatchBIO_SEK","&amp;spreadsheetId=",SETTING!$C$13),"Generate All")</f>
        <v>Generate All</v>
      </c>
      <c r="I9" s="337" t="str">
        <f>HYPERLINK(CONCATENATE(SETTING!$C$14,"?action=BatchBIO_SIS","&amp;spreadsheetId=",SETTING!$C$13),"Generate All")</f>
        <v>Generate All</v>
      </c>
      <c r="J9" s="338"/>
      <c r="K9" s="339" t="s">
        <v>278</v>
      </c>
      <c r="L9" s="340"/>
    </row>
    <row r="10" ht="21.75" customHeight="1">
      <c r="A10" s="318"/>
      <c r="B10" s="341" t="s">
        <v>279</v>
      </c>
      <c r="C10" s="342"/>
      <c r="D10" s="343" t="str">
        <f>HYPERLINK("https://drive.google.com/file/d/18t1gjr0582W2wTEETQsn4g_lhZE0qBXw/view?usp=drivesdk", "Rapor CK 1")</f>
        <v>Rapor CK 1</v>
      </c>
      <c r="E10" s="343" t="str">
        <f>HYPERLINK("https://drive.google.com/file/d/1CkYXtoioWvL2W-Ao7GLi_Kp4X6fQ8V-E/view?usp=drivesdk", "Rapor CK 2")</f>
        <v>Rapor CK 2</v>
      </c>
      <c r="F10" s="344"/>
      <c r="G10" s="343" t="str">
        <f>HYPERLINK("https://drive.google.com/file/d/1zcyHD-3_nUa1-mMvHyGK0U8QjAPib1B3/view?usp=drivesdk", "Rapor COV_BIO")</f>
        <v>Rapor COV_BIO</v>
      </c>
      <c r="H10" s="342"/>
      <c r="I10" s="343" t="str">
        <f>HYPERLINK("https://drive.google.com/file/d/1R1l-zbBQJbSsm3Qel8DVRr83rYr_htv_/view?usp=drivesdk", "Rapor BIO_SIS")</f>
        <v>Rapor BIO_SIS</v>
      </c>
      <c r="J10" s="342"/>
      <c r="K10" s="345" t="str">
        <f t="array" ref="K10:K56">IF(L10:L56&lt;&gt;"","🎓","")</f>
        <v>🎓</v>
      </c>
      <c r="L10" s="346" t="str">
        <f>IFERROR(__xludf.DUMMYFUNCTION("query(SETTING!$H$3:$H$56)"),"AHMAD FAUZI")</f>
        <v>AHMAD FAUZI</v>
      </c>
    </row>
    <row r="11" ht="21.75" customHeight="1">
      <c r="A11" s="347"/>
      <c r="B11" s="348" t="s">
        <v>281</v>
      </c>
      <c r="C11" s="349"/>
      <c r="D11" s="350" t="str">
        <f>HYPERLINK("https://drive.google.com/file/d/1S2PyQURtDgliyHzmNRrXfJWweEK3X1KI/view?usp=drivesdk", "Rapor CK 1")</f>
        <v>Rapor CK 1</v>
      </c>
      <c r="E11" s="350" t="str">
        <f>HYPERLINK("https://drive.google.com/file/d/1054l9wIS_ng45AQ85fEYDrj_eM7WiOml/view?usp=drivesdk", "Rapor CK 2")</f>
        <v>Rapor CK 2</v>
      </c>
      <c r="F11" s="351"/>
      <c r="G11" s="350" t="str">
        <f>HYPERLINK("https://drive.google.com/file/d/1cyTIabxxWO90HRVLClUjdKn7HY-22_dW/view?usp=drivesdk", "Rapor COV_BIO")</f>
        <v>Rapor COV_BIO</v>
      </c>
      <c r="H11" s="349"/>
      <c r="I11" s="350" t="str">
        <f>HYPERLINK("https://drive.google.com/file/d/1MbnhhWV06-Vmc2Rht7D9CLvX5wNrZy73/view?usp=drivesdk", "Rapor BIO_SIS")</f>
        <v>Rapor BIO_SIS</v>
      </c>
      <c r="J11" s="349"/>
      <c r="K11" s="352" t="s">
        <v>282</v>
      </c>
      <c r="L11" s="353" t="str">
        <f>IFERROR(__xludf.DUMMYFUNCTION("""COMPUTED_VALUE"""),"AHMAD YOPI JUMAEDI")</f>
        <v>AHMAD YOPI JUMAEDI</v>
      </c>
    </row>
    <row r="12" ht="21.0" customHeight="1">
      <c r="A12" s="354"/>
      <c r="B12" s="341" t="s">
        <v>283</v>
      </c>
      <c r="C12" s="342"/>
      <c r="D12" s="343" t="str">
        <f>HYPERLINK("https://drive.google.com/file/d/1KCpHbYpuKcFMWt6eptFUQf259fvwGon7/view?usp=drivesdk", "Rapor CK 1")</f>
        <v>Rapor CK 1</v>
      </c>
      <c r="E12" s="343" t="str">
        <f>HYPERLINK("https://drive.google.com/file/d/1O5jFDRZsJSqXOyNSzv2iWN6l1blccyKZ/view?usp=drivesdk", "Rapor CK 2")</f>
        <v>Rapor CK 2</v>
      </c>
      <c r="F12" s="344"/>
      <c r="G12" s="343" t="str">
        <f>HYPERLINK("https://drive.google.com/file/d/1i5f5IDykGjcayZ_jDeoR-4Hnba-wO21s/view?usp=drivesdk", "Rapor COV_BIO")</f>
        <v>Rapor COV_BIO</v>
      </c>
      <c r="H12" s="342"/>
      <c r="I12" s="355" t="str">
        <f>HYPERLINK("https://drive.google.com/file/d/17K5s4Zvie7eMrO3AKeE1dco2fipoxSiC/view?usp=drivesdk", "Rapor BIO_SIS")</f>
        <v>Rapor BIO_SIS</v>
      </c>
      <c r="J12" s="342"/>
      <c r="K12" s="345" t="s">
        <v>282</v>
      </c>
      <c r="L12" s="346" t="str">
        <f>IFERROR(__xludf.DUMMYFUNCTION("""COMPUTED_VALUE"""),"ALGI FALGIAN")</f>
        <v>ALGI FALGIAN</v>
      </c>
    </row>
    <row r="13" ht="21.0" customHeight="1">
      <c r="A13" s="356"/>
      <c r="B13" s="348" t="s">
        <v>284</v>
      </c>
      <c r="C13" s="349"/>
      <c r="D13" s="349"/>
      <c r="E13" s="349"/>
      <c r="F13" s="351"/>
      <c r="G13" s="350" t="str">
        <f>HYPERLINK("https://drive.google.com/file/d/1zQZ4Nj0larXgPwU024S0CakDNoklnPB1/view?usp=drivesdk", "Rapor COV_BIO")</f>
        <v>Rapor COV_BIO</v>
      </c>
      <c r="H13" s="349"/>
      <c r="I13" s="349"/>
      <c r="J13" s="349"/>
      <c r="K13" s="352" t="s">
        <v>282</v>
      </c>
      <c r="L13" s="353" t="str">
        <f>IFERROR(__xludf.DUMMYFUNCTION("""COMPUTED_VALUE"""),"ALI PERMANA")</f>
        <v>ALI PERMANA</v>
      </c>
    </row>
    <row r="14" ht="21.0" customHeight="1">
      <c r="A14" s="353"/>
      <c r="B14" s="341" t="s">
        <v>285</v>
      </c>
      <c r="C14" s="342"/>
      <c r="D14" s="343" t="str">
        <f>HYPERLINK("https://drive.google.com/file/d/1QxPd3A_gGQeNGf9U3HXB33SeSu9sz2K0/view?usp=drivesdk", "Rapor CK 1")</f>
        <v>Rapor CK 1</v>
      </c>
      <c r="E14" s="343" t="str">
        <f>HYPERLINK("https://drive.google.com/file/d/1OzPb__M9qz_20xbXF2Cnx0dhrPmI6RLu/view?usp=drivesdk", "Rapor CK 2")</f>
        <v>Rapor CK 2</v>
      </c>
      <c r="F14" s="344"/>
      <c r="G14" s="343" t="str">
        <f>HYPERLINK("https://drive.google.com/file/d/1BDgJC6TxlJxM1R427CEttmlcHjF515Dm/view?usp=drivesdk", "Rapor COV_BIO")</f>
        <v>Rapor COV_BIO</v>
      </c>
      <c r="H14" s="342"/>
      <c r="I14" s="343" t="str">
        <f>HYPERLINK("https://drive.google.com/file/d/1FBcYCthR2PjHg8904khxEPcX4GeLpo9_/view?usp=drivesdk", "Rapor BIO_SIS")</f>
        <v>Rapor BIO_SIS</v>
      </c>
      <c r="J14" s="342"/>
      <c r="K14" s="345" t="s">
        <v>282</v>
      </c>
      <c r="L14" s="346" t="str">
        <f>IFERROR(__xludf.DUMMYFUNCTION("""COMPUTED_VALUE"""),"AZRIL EKA NUGRAHA")</f>
        <v>AZRIL EKA NUGRAHA</v>
      </c>
    </row>
    <row r="15" ht="21.0" customHeight="1">
      <c r="A15" s="353"/>
      <c r="B15" s="348" t="s">
        <v>286</v>
      </c>
      <c r="C15" s="349"/>
      <c r="D15" s="350" t="str">
        <f>HYPERLINK("https://drive.google.com/file/d/17BBt58VbGJLSyVNLvtzSZAKJFFCw5-Mm/view?usp=drivesdk", "Rapor CK 1")</f>
        <v>Rapor CK 1</v>
      </c>
      <c r="E15" s="350" t="str">
        <f>HYPERLINK("https://drive.google.com/file/d/1gWf7lnD0FioufXd3Lo63JeHU-kNLJ4Z5/view?usp=drivesdk", "Rapor CK 2")</f>
        <v>Rapor CK 2</v>
      </c>
      <c r="F15" s="351"/>
      <c r="G15" s="350" t="str">
        <f>HYPERLINK("https://drive.google.com/file/d/1mrIMVzfHAgxn7Xjp04ELnpJ-iuAEIgz6/view?usp=drivesdk", "Rapor COV_BIO")</f>
        <v>Rapor COV_BIO</v>
      </c>
      <c r="H15" s="349"/>
      <c r="I15" s="350" t="str">
        <f>HYPERLINK("https://drive.google.com/file/d/14qALQOwhPQOcISulGUmozWu7HMhmjgxH/view?usp=drivesdk", "Rapor BIO_SIS")</f>
        <v>Rapor BIO_SIS</v>
      </c>
      <c r="J15" s="349"/>
      <c r="K15" s="352" t="s">
        <v>282</v>
      </c>
      <c r="L15" s="353" t="str">
        <f>IFERROR(__xludf.DUMMYFUNCTION("""COMPUTED_VALUE"""),"DIKA MUSTIKA SAPUTRA")</f>
        <v>DIKA MUSTIKA SAPUTRA</v>
      </c>
    </row>
    <row r="16" ht="21.0" customHeight="1">
      <c r="A16" s="353"/>
      <c r="B16" s="341" t="s">
        <v>287</v>
      </c>
      <c r="C16" s="342"/>
      <c r="D16" s="343" t="str">
        <f>HYPERLINK("https://drive.google.com/file/d/1iZ1PJAgKq_wW6fh5z3Ng4a6qkLTxNQOg/view?usp=drivesdk", "Rapor CK 1")</f>
        <v>Rapor CK 1</v>
      </c>
      <c r="E16" s="343" t="str">
        <f>HYPERLINK("https://drive.google.com/file/d/1hr0rHcp6biLLVjywXio7D2egSILsQAgB/view?usp=drivesdk", "Rapor CK 2")</f>
        <v>Rapor CK 2</v>
      </c>
      <c r="F16" s="344"/>
      <c r="G16" s="343" t="str">
        <f>HYPERLINK("https://drive.google.com/file/d/1_R8V_GR9nokPm4OB-_JGajLIO-4Gw4jv/view?usp=drivesdk", "Rapor COV_BIO")</f>
        <v>Rapor COV_BIO</v>
      </c>
      <c r="H16" s="342"/>
      <c r="I16" s="343" t="str">
        <f>HYPERLINK("https://drive.google.com/file/d/1Dfaesd2g6z2EVdU5a0r2JXO-OCuDJ5Qa/view?usp=drivesdk", "Rapor BIO_SIS")</f>
        <v>Rapor BIO_SIS</v>
      </c>
      <c r="J16" s="342"/>
      <c r="K16" s="345" t="s">
        <v>282</v>
      </c>
      <c r="L16" s="346" t="str">
        <f>IFERROR(__xludf.DUMMYFUNCTION("""COMPUTED_VALUE"""),"FAWAZ NAUPAL ALFATIR")</f>
        <v>FAWAZ NAUPAL ALFATIR</v>
      </c>
    </row>
    <row r="17" ht="21.0" customHeight="1">
      <c r="A17" s="356"/>
      <c r="B17" s="348" t="s">
        <v>288</v>
      </c>
      <c r="C17" s="349"/>
      <c r="D17" s="350" t="str">
        <f>HYPERLINK("https://drive.google.com/file/d/1vtmTBCmF0YqyiuYLnVhUCUOII_FSEBWD/view?usp=drivesdk", "Rapor CK 1")</f>
        <v>Rapor CK 1</v>
      </c>
      <c r="E17" s="350" t="str">
        <f>HYPERLINK("https://drive.google.com/file/d/1BOo8U1292JYS0DAVDAHXcjcY4phsWHL6/view?usp=drivesdk", "Rapor CK 2")</f>
        <v>Rapor CK 2</v>
      </c>
      <c r="F17" s="351"/>
      <c r="G17" s="350" t="str">
        <f>HYPERLINK("https://drive.google.com/file/d/1X-RcK7iFmnakx-zxcxNgYwqL1eRBXQHw/view?usp=drivesdk", "Rapor COV_BIO")</f>
        <v>Rapor COV_BIO</v>
      </c>
      <c r="H17" s="349"/>
      <c r="I17" s="350" t="str">
        <f>HYPERLINK("https://drive.google.com/file/d/1Vjh0aOKKiNc8Mkz9dA54xrxI0n3RWZKZ/view?usp=drivesdk", "Rapor BIO_SIS")</f>
        <v>Rapor BIO_SIS</v>
      </c>
      <c r="J17" s="349"/>
      <c r="K17" s="352" t="s">
        <v>282</v>
      </c>
      <c r="L17" s="353" t="str">
        <f>IFERROR(__xludf.DUMMYFUNCTION("""COMPUTED_VALUE"""),"FIKRI AHMAD NAWAWI")</f>
        <v>FIKRI AHMAD NAWAWI</v>
      </c>
    </row>
    <row r="18" ht="21.0" customHeight="1">
      <c r="A18" s="353"/>
      <c r="B18" s="341" t="s">
        <v>289</v>
      </c>
      <c r="C18" s="342"/>
      <c r="D18" s="343" t="str">
        <f>HYPERLINK("https://drive.google.com/file/d/1Rvjqhe73XPZxPxqdzoE5C-Zsmy4Mrwud/view?usp=drivesdk", "Rapor CK 1")</f>
        <v>Rapor CK 1</v>
      </c>
      <c r="E18" s="343" t="str">
        <f>HYPERLINK("https://drive.google.com/file/d/1_cnDtof1LHDuztyISVq-nGf6QMO8EPae/view?usp=drivesdk", "Rapor CK 2")</f>
        <v>Rapor CK 2</v>
      </c>
      <c r="F18" s="344"/>
      <c r="G18" s="343" t="str">
        <f>HYPERLINK("https://drive.google.com/file/d/1jPLxxdOYf_mV8-YpuT-2vt6h-BHHznCB/view?usp=drivesdk", "Rapor COV_BIO")</f>
        <v>Rapor COV_BIO</v>
      </c>
      <c r="H18" s="342"/>
      <c r="I18" s="343" t="str">
        <f>HYPERLINK("https://drive.google.com/file/d/1_tEkKBmtyp-KxI2aHD0wKQw1wXWUcz0Y/view?usp=drivesdk", "Rapor BIO_SIS")</f>
        <v>Rapor BIO_SIS</v>
      </c>
      <c r="J18" s="342"/>
      <c r="K18" s="345" t="s">
        <v>282</v>
      </c>
      <c r="L18" s="346" t="str">
        <f>IFERROR(__xludf.DUMMYFUNCTION("""COMPUTED_VALUE"""),"HADI NURYADI")</f>
        <v>HADI NURYADI</v>
      </c>
    </row>
    <row r="19" ht="21.0" customHeight="1">
      <c r="A19" s="353"/>
      <c r="B19" s="348" t="s">
        <v>290</v>
      </c>
      <c r="C19" s="349"/>
      <c r="D19" s="350" t="str">
        <f>HYPERLINK("https://drive.google.com/file/d/14u8gEVZsZtCS2XOK718HipIxBNkAkfSo/view?usp=drivesdk", "Rapor CK 1")</f>
        <v>Rapor CK 1</v>
      </c>
      <c r="E19" s="350" t="str">
        <f>HYPERLINK("https://drive.google.com/file/d/12rued9NW3GCumWGgBz7GHCc_ERFp4kzv/view?usp=drivesdk", "Rapor CK 2")</f>
        <v>Rapor CK 2</v>
      </c>
      <c r="F19" s="351"/>
      <c r="G19" s="350" t="str">
        <f>HYPERLINK("https://drive.google.com/file/d/1TaHAMUeDjT75KnyyaZKguKAbpzFTX_ru/view?usp=drivesdk", "Rapor COV_BIO")</f>
        <v>Rapor COV_BIO</v>
      </c>
      <c r="H19" s="349"/>
      <c r="I19" s="350" t="str">
        <f>HYPERLINK("https://drive.google.com/file/d/1G5P9DtZh1F0vN4i7qchyd_faAn2Lpji4/view?usp=drivesdk", "Rapor BIO_SIS")</f>
        <v>Rapor BIO_SIS</v>
      </c>
      <c r="J19" s="349"/>
      <c r="K19" s="352" t="s">
        <v>282</v>
      </c>
      <c r="L19" s="353" t="str">
        <f>IFERROR(__xludf.DUMMYFUNCTION("""COMPUTED_VALUE"""),"IBNU WANALI")</f>
        <v>IBNU WANALI</v>
      </c>
    </row>
    <row r="20" ht="21.0" customHeight="1">
      <c r="A20" s="353"/>
      <c r="B20" s="341" t="s">
        <v>292</v>
      </c>
      <c r="C20" s="342"/>
      <c r="D20" s="343" t="str">
        <f>HYPERLINK("https://drive.google.com/file/d/1aIyX0JBAHlhs5RLkvJUZ4i9ElTr0aj20/view?usp=drivesdk", "Rapor CK 1")</f>
        <v>Rapor CK 1</v>
      </c>
      <c r="E20" s="343" t="str">
        <f>HYPERLINK("https://drive.google.com/file/d/1CMLJaBEKw4zBH-1_cdCZhkOIcVJ7Mbto/view?usp=drivesdk", "Rapor CK 2")</f>
        <v>Rapor CK 2</v>
      </c>
      <c r="F20" s="344"/>
      <c r="G20" s="343" t="str">
        <f>HYPERLINK("https://drive.google.com/file/d/1ViF49Ci3WAJZTIf6C9fZqzx2e-gs59ON/view?usp=drivesdk", "Rapor COV_BIO")</f>
        <v>Rapor COV_BIO</v>
      </c>
      <c r="H20" s="342"/>
      <c r="I20" s="343" t="str">
        <f>HYPERLINK("https://drive.google.com/file/d/1S8UpW64bcs1DRzRpLRoy-Uu0W5UXaoSp/view?usp=drivesdk", "Rapor BIO_SIS")</f>
        <v>Rapor BIO_SIS</v>
      </c>
      <c r="J20" s="342"/>
      <c r="K20" s="345" t="s">
        <v>282</v>
      </c>
      <c r="L20" s="346" t="str">
        <f>IFERROR(__xludf.DUMMYFUNCTION("""COMPUTED_VALUE"""),"IHSAN ABDULOH ")</f>
        <v>IHSAN ABDULOH </v>
      </c>
    </row>
    <row r="21" ht="21.0" customHeight="1">
      <c r="A21" s="353"/>
      <c r="B21" s="348" t="s">
        <v>293</v>
      </c>
      <c r="C21" s="349"/>
      <c r="D21" s="350" t="str">
        <f>HYPERLINK("https://drive.google.com/file/d/153-6WXjtCJokOsdMCSB2mFa4D_qQyvr3/view?usp=drivesdk", "Rapor CK 1")</f>
        <v>Rapor CK 1</v>
      </c>
      <c r="E21" s="350" t="str">
        <f>HYPERLINK("https://drive.google.com/file/d/1zDRrGrxGUgZe40lTZh4QOw8lKE5HG6ja/view?usp=drivesdk", "Rapor CK 2")</f>
        <v>Rapor CK 2</v>
      </c>
      <c r="F21" s="351"/>
      <c r="G21" s="350" t="str">
        <f>HYPERLINK("https://drive.google.com/file/d/1VIIOn_CtUKFh4shxajNRKorziCvf9mYj/view?usp=drivesdk", "Rapor COV_BIO")</f>
        <v>Rapor COV_BIO</v>
      </c>
      <c r="H21" s="349"/>
      <c r="I21" s="350" t="str">
        <f>HYPERLINK("https://drive.google.com/file/d/1ZyxyqSqiTRa80PwlEYf0LrKzd7ARbuX9/view?usp=drivesdk", "Rapor BIO_SIS")</f>
        <v>Rapor BIO_SIS</v>
      </c>
      <c r="J21" s="349"/>
      <c r="K21" s="352" t="s">
        <v>282</v>
      </c>
      <c r="L21" s="353" t="str">
        <f>IFERROR(__xludf.DUMMYFUNCTION("""COMPUTED_VALUE"""),"INDRA NURMAN")</f>
        <v>INDRA NURMAN</v>
      </c>
    </row>
    <row r="22" ht="21.0" customHeight="1">
      <c r="A22" s="353"/>
      <c r="B22" s="341" t="s">
        <v>294</v>
      </c>
      <c r="C22" s="342"/>
      <c r="D22" s="343" t="str">
        <f>HYPERLINK("https://drive.google.com/file/d/1mwyNGqxXKlx8LntBTe2GnwYnb6D1Sq9T/view?usp=drivesdk", "Rapor CK 1")</f>
        <v>Rapor CK 1</v>
      </c>
      <c r="E22" s="343" t="str">
        <f>HYPERLINK("https://drive.google.com/file/d/1U5uWqziUximMlJj5UGI791QMVbtO_xEI/view?usp=drivesdk", "Rapor CK 2")</f>
        <v>Rapor CK 2</v>
      </c>
      <c r="F22" s="344"/>
      <c r="G22" s="343" t="str">
        <f>HYPERLINK("https://drive.google.com/file/d/1DSJcF5idrbv5Y-4sR6HeCE8jFlT8eoGi/view?usp=drivesdk", "Rapor COV_BIO")</f>
        <v>Rapor COV_BIO</v>
      </c>
      <c r="H22" s="342"/>
      <c r="I22" s="343" t="str">
        <f>HYPERLINK("https://drive.google.com/file/d/1sS5aPbSq9quEtzCDdVBVqZBY-Hoo4OdA/view?usp=drivesdk", "Rapor BIO_SIS")</f>
        <v>Rapor BIO_SIS</v>
      </c>
      <c r="J22" s="342"/>
      <c r="K22" s="345" t="s">
        <v>282</v>
      </c>
      <c r="L22" s="346" t="str">
        <f>IFERROR(__xludf.DUMMYFUNCTION("""COMPUTED_VALUE"""),"IWAN SOPYAN")</f>
        <v>IWAN SOPYAN</v>
      </c>
    </row>
    <row r="23" ht="21.0" customHeight="1">
      <c r="A23" s="353"/>
      <c r="B23" s="348" t="s">
        <v>295</v>
      </c>
      <c r="C23" s="349"/>
      <c r="D23" s="350" t="str">
        <f>HYPERLINK("https://drive.google.com/file/d/1rPV_A3U12zKrM77rdlz6zn4q9NLCsgDy/view?usp=drivesdk", "Rapor CK 1")</f>
        <v>Rapor CK 1</v>
      </c>
      <c r="E23" s="350" t="str">
        <f>HYPERLINK("https://drive.google.com/file/d/16vtQdn7GU5Qpx785GD0K2xDVxir7tPHk/view?usp=drivesdk", "Rapor CK 2")</f>
        <v>Rapor CK 2</v>
      </c>
      <c r="F23" s="351"/>
      <c r="G23" s="350" t="str">
        <f>HYPERLINK("https://drive.google.com/file/d/17e2D8ZEPem548IJuwS0KFbJXJ8g60uAX/view?usp=drivesdk", "Rapor COV_BIO")</f>
        <v>Rapor COV_BIO</v>
      </c>
      <c r="H23" s="349"/>
      <c r="I23" s="350" t="str">
        <f>HYPERLINK("https://drive.google.com/file/d/127gNVeJ00EkQ13Xjv61MAsMh0wU6yhpx/view?usp=drivesdk", "Rapor BIO_SIS")</f>
        <v>Rapor BIO_SIS</v>
      </c>
      <c r="J23" s="349"/>
      <c r="K23" s="352" t="s">
        <v>282</v>
      </c>
      <c r="L23" s="353" t="str">
        <f>IFERROR(__xludf.DUMMYFUNCTION("""COMPUTED_VALUE"""),"JEJEN JAENI")</f>
        <v>JEJEN JAENI</v>
      </c>
    </row>
    <row r="24" ht="21.0" customHeight="1">
      <c r="A24" s="353"/>
      <c r="B24" s="341" t="s">
        <v>296</v>
      </c>
      <c r="C24" s="342"/>
      <c r="D24" s="343" t="str">
        <f>HYPERLINK("https://drive.google.com/file/d/1V-Io0lB8947VVIsHqrJ0gBCiWmp5gNpO/view?usp=drivesdk", "Rapor CK 1")</f>
        <v>Rapor CK 1</v>
      </c>
      <c r="E24" s="343" t="str">
        <f>HYPERLINK("https://drive.google.com/file/d/1pmynBnWrnrEnjK77tMWm_Yjay8gX7sl1/view?usp=drivesdk", "Rapor CK 2")</f>
        <v>Rapor CK 2</v>
      </c>
      <c r="F24" s="344"/>
      <c r="G24" s="343" t="str">
        <f>HYPERLINK("https://drive.google.com/file/d/1A6G2d0o6PXJ7yGmAf2wdNjiqn7iJvnRb/view?usp=drivesdk", "Rapor COV_BIO")</f>
        <v>Rapor COV_BIO</v>
      </c>
      <c r="H24" s="342"/>
      <c r="I24" s="343" t="str">
        <f>HYPERLINK("https://drive.google.com/file/d/1-dd_SR0e0y9LmGOP0LPRTIMrA85ARoz6/view?usp=drivesdk", "Rapor BIO_SIS")</f>
        <v>Rapor BIO_SIS</v>
      </c>
      <c r="J24" s="342"/>
      <c r="K24" s="345" t="s">
        <v>282</v>
      </c>
      <c r="L24" s="346" t="str">
        <f>IFERROR(__xludf.DUMMYFUNCTION("""COMPUTED_VALUE"""),"M.HASAN ASARI")</f>
        <v>M.HASAN ASARI</v>
      </c>
    </row>
    <row r="25" ht="21.0" customHeight="1">
      <c r="A25" s="353"/>
      <c r="B25" s="348" t="s">
        <v>297</v>
      </c>
      <c r="C25" s="349"/>
      <c r="D25" s="350" t="str">
        <f>HYPERLINK("https://drive.google.com/file/d/1QM89RIVICc305FIx9GDAtVhULataDArl/view?usp=drivesdk", "Rapor CK 1")</f>
        <v>Rapor CK 1</v>
      </c>
      <c r="E25" s="350" t="str">
        <f>HYPERLINK("https://drive.google.com/file/d/1hd1co5Y0XCcvT4-LoEmjCAU1gtr5tgYG/view?usp=drivesdk", "Rapor CK 2")</f>
        <v>Rapor CK 2</v>
      </c>
      <c r="F25" s="351"/>
      <c r="G25" s="350" t="str">
        <f>HYPERLINK("https://drive.google.com/file/d/1HOVqNZBdkuAistRYUWcPZ5rsblnPaKpZ/view?usp=drivesdk", "Rapor COV_BIO")</f>
        <v>Rapor COV_BIO</v>
      </c>
      <c r="H25" s="349"/>
      <c r="I25" s="350" t="str">
        <f>HYPERLINK("https://drive.google.com/file/d/1xflhRYOvkIZi86SVNWbi0zCyWneekGo6/view?usp=drivesdk", "Rapor BIO_SIS")</f>
        <v>Rapor BIO_SIS</v>
      </c>
      <c r="J25" s="349"/>
      <c r="K25" s="352" t="s">
        <v>282</v>
      </c>
      <c r="L25" s="353" t="str">
        <f>IFERROR(__xludf.DUMMYFUNCTION("""COMPUTED_VALUE"""),"MUHAMAD ABIB RIZAL")</f>
        <v>MUHAMAD ABIB RIZAL</v>
      </c>
    </row>
    <row r="26" ht="21.0" customHeight="1">
      <c r="A26" s="353"/>
      <c r="B26" s="341" t="s">
        <v>298</v>
      </c>
      <c r="C26" s="342"/>
      <c r="D26" s="343" t="str">
        <f>HYPERLINK("https://drive.google.com/file/d/1iYylYJKQZhf5_7iqVUmE7irv3liU_5ZC/view?usp=drivesdk", "Rapor CK 1")</f>
        <v>Rapor CK 1</v>
      </c>
      <c r="E26" s="343" t="str">
        <f>HYPERLINK("https://drive.google.com/file/d/1HUPHKLYmhUKRLn04KRSlnCBi3wInPXll/view?usp=drivesdk", "Rapor CK 2")</f>
        <v>Rapor CK 2</v>
      </c>
      <c r="F26" s="344"/>
      <c r="G26" s="343" t="str">
        <f>HYPERLINK("https://drive.google.com/file/d/16rhW_Zz-AnlBDklF_LaxITvKyJeNKzJU/view?usp=drivesdk", "Rapor COV_BIO")</f>
        <v>Rapor COV_BIO</v>
      </c>
      <c r="H26" s="342"/>
      <c r="I26" s="343" t="str">
        <f>HYPERLINK("https://drive.google.com/file/d/12yRVp1vBmaafpqh3YmZO1oZ3kJG78Hul/view?usp=drivesdk", "Rapor BIO_SIS")</f>
        <v>Rapor BIO_SIS</v>
      </c>
      <c r="J26" s="342"/>
      <c r="K26" s="345" t="s">
        <v>282</v>
      </c>
      <c r="L26" s="346" t="str">
        <f>IFERROR(__xludf.DUMMYFUNCTION("""COMPUTED_VALUE"""),"MUHAMAD AL FARIZ")</f>
        <v>MUHAMAD AL FARIZ</v>
      </c>
    </row>
    <row r="27" ht="21.0" customHeight="1">
      <c r="A27" s="353"/>
      <c r="B27" s="348" t="s">
        <v>299</v>
      </c>
      <c r="C27" s="349"/>
      <c r="D27" s="350" t="str">
        <f>HYPERLINK("https://drive.google.com/file/d/1w2yHZnb0GrQpC_ZcyszDb7HuF5kEhI45/view?usp=drivesdk", "Rapor CK 1")</f>
        <v>Rapor CK 1</v>
      </c>
      <c r="E27" s="350" t="str">
        <f>HYPERLINK("https://drive.google.com/file/d/1PvW_GoMQZlS2V2mY6L8KLG_s0S3GMf9r/view?usp=drivesdk", "Rapor CK 2")</f>
        <v>Rapor CK 2</v>
      </c>
      <c r="F27" s="351"/>
      <c r="G27" s="350" t="str">
        <f>HYPERLINK("https://drive.google.com/file/d/1D8zbLOZyP6I1s5Nza62N2GypYojM3VVt/view?usp=drivesdk", "Rapor COV_BIO")</f>
        <v>Rapor COV_BIO</v>
      </c>
      <c r="H27" s="349"/>
      <c r="I27" s="350" t="str">
        <f>HYPERLINK("https://drive.google.com/file/d/1P4EO1WOEWzutuGDqgsW9Wb4dSCF-fY4b/view?usp=drivesdk", "Rapor BIO_SIS")</f>
        <v>Rapor BIO_SIS</v>
      </c>
      <c r="J27" s="349"/>
      <c r="K27" s="352" t="s">
        <v>282</v>
      </c>
      <c r="L27" s="353" t="str">
        <f>IFERROR(__xludf.DUMMYFUNCTION("""COMPUTED_VALUE"""),"MUHAMAD ASRUL")</f>
        <v>MUHAMAD ASRUL</v>
      </c>
    </row>
    <row r="28" ht="21.0" customHeight="1">
      <c r="A28" s="353"/>
      <c r="B28" s="341" t="s">
        <v>300</v>
      </c>
      <c r="C28" s="342"/>
      <c r="D28" s="343" t="str">
        <f>HYPERLINK("https://drive.google.com/file/d/1dqgkk4TvSBnpR86LtJSltDqemG_8i_Ei/view?usp=drivesdk", "Rapor CK 1")</f>
        <v>Rapor CK 1</v>
      </c>
      <c r="E28" s="343" t="str">
        <f>HYPERLINK("https://drive.google.com/file/d/1HaGl2BMxxWIU9W-fu8rcFyEMqvKUQWVj/view?usp=drivesdk", "Rapor CK 2")</f>
        <v>Rapor CK 2</v>
      </c>
      <c r="F28" s="344"/>
      <c r="G28" s="343" t="str">
        <f>HYPERLINK("https://drive.google.com/file/d/14aPXTBt7uDjHpQgw-aQFbyZLTwCk_AdD/view?usp=drivesdk", "Rapor COV_BIO")</f>
        <v>Rapor COV_BIO</v>
      </c>
      <c r="H28" s="342"/>
      <c r="I28" s="343" t="str">
        <f>HYPERLINK("https://drive.google.com/file/d/1VQ3NWJfTzZDHUdEmtex9jYO-U8SrmwEx/view?usp=drivesdk", "Rapor BIO_SIS")</f>
        <v>Rapor BIO_SIS</v>
      </c>
      <c r="J28" s="342"/>
      <c r="K28" s="345" t="s">
        <v>282</v>
      </c>
      <c r="L28" s="346" t="str">
        <f>IFERROR(__xludf.DUMMYFUNCTION("""COMPUTED_VALUE"""),"MUHAMAD FARHAN")</f>
        <v>MUHAMAD FARHAN</v>
      </c>
    </row>
    <row r="29" ht="21.0" customHeight="1">
      <c r="A29" s="353"/>
      <c r="B29" s="348" t="s">
        <v>301</v>
      </c>
      <c r="C29" s="349"/>
      <c r="D29" s="350" t="str">
        <f>HYPERLINK("https://drive.google.com/file/d/1wv9Rgbqqf97bgjR4q9JoR2AHdSPsnrYt/view?usp=drivesdk", "Rapor CK 1")</f>
        <v>Rapor CK 1</v>
      </c>
      <c r="E29" s="350" t="str">
        <f>HYPERLINK("https://drive.google.com/file/d/1VZl5W8OO7r3NdpuwEEqb6SAbiDv3oQOL/view?usp=drivesdk", "Rapor CK 2")</f>
        <v>Rapor CK 2</v>
      </c>
      <c r="F29" s="351"/>
      <c r="G29" s="350" t="str">
        <f>HYPERLINK("https://drive.google.com/file/d/1OjSO9gEChVZ7hqeldmeMm25-MPbpKXGf/view?usp=drivesdk", "Rapor COV_BIO")</f>
        <v>Rapor COV_BIO</v>
      </c>
      <c r="H29" s="349"/>
      <c r="I29" s="350" t="str">
        <f>HYPERLINK("https://drive.google.com/file/d/1P4Tv3b_TffrISHc7v_rpnIkGg2ukFlFp/view?usp=drivesdk", "Rapor BIO_SIS")</f>
        <v>Rapor BIO_SIS</v>
      </c>
      <c r="J29" s="349"/>
      <c r="K29" s="352" t="s">
        <v>282</v>
      </c>
      <c r="L29" s="353" t="str">
        <f>IFERROR(__xludf.DUMMYFUNCTION("""COMPUTED_VALUE"""),"MUHAMAD MIFTAH NASHIRUDIN")</f>
        <v>MUHAMAD MIFTAH NASHIRUDIN</v>
      </c>
    </row>
    <row r="30" ht="21.0" customHeight="1">
      <c r="A30" s="353"/>
      <c r="B30" s="341" t="s">
        <v>303</v>
      </c>
      <c r="C30" s="342"/>
      <c r="D30" s="343" t="str">
        <f>HYPERLINK("https://drive.google.com/file/d/113X7L43l61paw43wNKNg5LSDRv3bD2Q0/view?usp=drivesdk", "Rapor CK 1")</f>
        <v>Rapor CK 1</v>
      </c>
      <c r="E30" s="343" t="str">
        <f>HYPERLINK("https://drive.google.com/file/d/1ubVv8DAfx6oLMTrPcN5anp5kDF2uNZwv/view?usp=drivesdk", "Rapor CK 2")</f>
        <v>Rapor CK 2</v>
      </c>
      <c r="F30" s="344"/>
      <c r="G30" s="343" t="str">
        <f>HYPERLINK("https://drive.google.com/file/d/1ehtdPDzM4BYeAQ8BmEX4GbRrrtaDGHw8/view?usp=drivesdk", "Rapor COV_BIO")</f>
        <v>Rapor COV_BIO</v>
      </c>
      <c r="H30" s="342"/>
      <c r="I30" s="343" t="str">
        <f>HYPERLINK("https://drive.google.com/file/d/1GS9iT6EP1dYrctpimHHFNfpkSk1DF7h0/view?usp=drivesdk", "Rapor BIO_SIS")</f>
        <v>Rapor BIO_SIS</v>
      </c>
      <c r="J30" s="342"/>
      <c r="K30" s="345" t="s">
        <v>282</v>
      </c>
      <c r="L30" s="346" t="str">
        <f>IFERROR(__xludf.DUMMYFUNCTION("""COMPUTED_VALUE"""),"MUHAMAD NUR KHOLIS ROMDONI")</f>
        <v>MUHAMAD NUR KHOLIS ROMDONI</v>
      </c>
    </row>
    <row r="31" ht="21.0" customHeight="1">
      <c r="A31" s="353"/>
      <c r="B31" s="348" t="s">
        <v>304</v>
      </c>
      <c r="C31" s="349"/>
      <c r="D31" s="350" t="str">
        <f>HYPERLINK("https://drive.google.com/file/d/1asp-KdxrHnKI0mN9VjQHe05sd0dhOUQI/view?usp=drivesdk", "Rapor CK 1")</f>
        <v>Rapor CK 1</v>
      </c>
      <c r="E31" s="350" t="str">
        <f>HYPERLINK("https://drive.google.com/file/d/1-c_BRzdkLcBBooYmwDqmJhX40oGc80Wt/view?usp=drivesdk", "Rapor CK 2")</f>
        <v>Rapor CK 2</v>
      </c>
      <c r="F31" s="351"/>
      <c r="G31" s="350" t="str">
        <f>HYPERLINK("https://drive.google.com/file/d/1AKYGd0inRe8-fH0wWWPvG8QUOn0mQhNC/view?usp=drivesdk", "Rapor COV_BIO")</f>
        <v>Rapor COV_BIO</v>
      </c>
      <c r="H31" s="349"/>
      <c r="I31" s="350" t="str">
        <f>HYPERLINK("https://drive.google.com/file/d/1ZVSQmXDi_fIjJLPoucHMiQ5QuGVorkts/view?usp=drivesdk", "Rapor BIO_SIS")</f>
        <v>Rapor BIO_SIS</v>
      </c>
      <c r="J31" s="349"/>
      <c r="K31" s="352" t="s">
        <v>282</v>
      </c>
      <c r="L31" s="353" t="str">
        <f>IFERROR(__xludf.DUMMYFUNCTION("""COMPUTED_VALUE"""),"MUHAMAD RIDWAN")</f>
        <v>MUHAMAD RIDWAN</v>
      </c>
    </row>
    <row r="32" ht="21.0" customHeight="1">
      <c r="A32" s="353"/>
      <c r="B32" s="341" t="s">
        <v>305</v>
      </c>
      <c r="C32" s="342"/>
      <c r="D32" s="343" t="str">
        <f>HYPERLINK("https://drive.google.com/file/d/1XFiahALP3AKeo1Sn2VF-6IpoW3mJ2V80/view?usp=drivesdk", "Rapor CK 1")</f>
        <v>Rapor CK 1</v>
      </c>
      <c r="E32" s="343" t="str">
        <f>HYPERLINK("https://drive.google.com/file/d/1uc9z38iduGP898EAiRaVXc-YGYBayQ9J/view?usp=drivesdk", "Rapor CK 2")</f>
        <v>Rapor CK 2</v>
      </c>
      <c r="F32" s="344"/>
      <c r="G32" s="343" t="str">
        <f>HYPERLINK("https://drive.google.com/file/d/1JEoZrWBAgXeHNh1CMzjVKB2xwemAMTs2/view?usp=drivesdk", "Rapor COV_BIO")</f>
        <v>Rapor COV_BIO</v>
      </c>
      <c r="H32" s="342"/>
      <c r="I32" s="343" t="str">
        <f>HYPERLINK("https://drive.google.com/file/d/10pUzOK9fN5kOHhlPa2vKu9ErF0fvZD-O/view?usp=drivesdk", "Rapor BIO_SIS")</f>
        <v>Rapor BIO_SIS</v>
      </c>
      <c r="J32" s="342"/>
      <c r="K32" s="345" t="s">
        <v>282</v>
      </c>
      <c r="L32" s="346" t="str">
        <f>IFERROR(__xludf.DUMMYFUNCTION("""COMPUTED_VALUE"""),"MUHAMAD RUDI RIVIANSYAH")</f>
        <v>MUHAMAD RUDI RIVIANSYAH</v>
      </c>
    </row>
    <row r="33" ht="21.0" customHeight="1">
      <c r="A33" s="353"/>
      <c r="B33" s="348" t="s">
        <v>306</v>
      </c>
      <c r="C33" s="349"/>
      <c r="D33" s="350" t="str">
        <f>HYPERLINK("https://drive.google.com/file/d/1RNfC_3kEbwBNOOAJXWA_mM62_dWWdKje/view?usp=drivesdk", "Rapor CK 1")</f>
        <v>Rapor CK 1</v>
      </c>
      <c r="E33" s="350" t="str">
        <f>HYPERLINK("https://drive.google.com/file/d/16NHqxlYhG2LIIXG4g_7XiZ6VZaVl4czE/view?usp=drivesdk", "Rapor CK 2")</f>
        <v>Rapor CK 2</v>
      </c>
      <c r="F33" s="351"/>
      <c r="G33" s="350" t="str">
        <f>HYPERLINK("https://drive.google.com/file/d/15bN1ky39ipnHwSut7Kfjq1ami8mgypPf/view?usp=drivesdk", "Rapor COV_BIO")</f>
        <v>Rapor COV_BIO</v>
      </c>
      <c r="H33" s="349"/>
      <c r="I33" s="350" t="str">
        <f>HYPERLINK("https://drive.google.com/file/d/1JgGSFOrZxlQYEyQryE1UOeTx0Gz6DkxS/view?usp=drivesdk", "Rapor BIO_SIS")</f>
        <v>Rapor BIO_SIS</v>
      </c>
      <c r="J33" s="349"/>
      <c r="K33" s="352" t="s">
        <v>282</v>
      </c>
      <c r="L33" s="353" t="str">
        <f>IFERROR(__xludf.DUMMYFUNCTION("""COMPUTED_VALUE"""),"MUHAMAD SALMAN")</f>
        <v>MUHAMAD SALMAN</v>
      </c>
    </row>
    <row r="34" ht="21.0" customHeight="1">
      <c r="A34" s="353"/>
      <c r="B34" s="341" t="s">
        <v>307</v>
      </c>
      <c r="C34" s="342"/>
      <c r="D34" s="342"/>
      <c r="E34" s="342"/>
      <c r="F34" s="344"/>
      <c r="G34" s="343" t="str">
        <f>HYPERLINK("https://drive.google.com/file/d/1ayUv4fQLJC7XWXfsBxaNfhqQhNpJ3x4Z/view?usp=drivesdk", "Rapor COV_BIO")</f>
        <v>Rapor COV_BIO</v>
      </c>
      <c r="H34" s="342"/>
      <c r="I34" s="342"/>
      <c r="J34" s="342"/>
      <c r="K34" s="345" t="s">
        <v>282</v>
      </c>
      <c r="L34" s="346" t="str">
        <f>IFERROR(__xludf.DUMMYFUNCTION("""COMPUTED_VALUE"""),"MUHAMAD SUTIAWAN ALI")</f>
        <v>MUHAMAD SUTIAWAN ALI</v>
      </c>
    </row>
    <row r="35" ht="21.0" customHeight="1">
      <c r="A35" s="353"/>
      <c r="B35" s="348" t="s">
        <v>308</v>
      </c>
      <c r="C35" s="349"/>
      <c r="D35" s="350" t="str">
        <f>HYPERLINK("https://drive.google.com/file/d/1WoRcu3wxlk7tWTCyprjlFRji3tyA8Vgv/view?usp=drivesdk", "Rapor CK 1")</f>
        <v>Rapor CK 1</v>
      </c>
      <c r="E35" s="350" t="str">
        <f>HYPERLINK("https://drive.google.com/file/d/1X8ynwzS3NWX85UvKOTR5Gu0_YLmF33sq/view?usp=drivesdk", "Rapor CK 2")</f>
        <v>Rapor CK 2</v>
      </c>
      <c r="F35" s="351"/>
      <c r="G35" s="350" t="str">
        <f>HYPERLINK("https://drive.google.com/file/d/18IOqnlVh2hkBheEQ0BNWZ-cGsBwlF6b_/view?usp=drivesdk", "Rapor COV_BIO")</f>
        <v>Rapor COV_BIO</v>
      </c>
      <c r="H35" s="349"/>
      <c r="I35" s="350" t="str">
        <f>HYPERLINK("https://drive.google.com/file/d/1GTchKTX7P-QLmjvj8jOROifi1ZINVe5v/view?usp=drivesdk", "Rapor BIO_SIS")</f>
        <v>Rapor BIO_SIS</v>
      </c>
      <c r="J35" s="349"/>
      <c r="K35" s="352" t="s">
        <v>282</v>
      </c>
      <c r="L35" s="353" t="str">
        <f>IFERROR(__xludf.DUMMYFUNCTION("""COMPUTED_VALUE"""),"MUHAMMAD FAHRI MAULANA")</f>
        <v>MUHAMMAD FAHRI MAULANA</v>
      </c>
    </row>
    <row r="36" ht="20.25" customHeight="1">
      <c r="A36" s="353"/>
      <c r="B36" s="341" t="s">
        <v>255</v>
      </c>
      <c r="C36" s="342"/>
      <c r="D36" s="343" t="str">
        <f>HYPERLINK("https://drive.google.com/file/d/16e1fLM1kjvLBeHxRo70sB1S6yKn47oNI/view?usp=drivesdk", "Rapor CK 1")</f>
        <v>Rapor CK 1</v>
      </c>
      <c r="E36" s="343" t="str">
        <f>HYPERLINK("https://drive.google.com/file/d/198DbSuQQBJVxOhrBOzxMLQ5cjBSw8Min/view?usp=drivesdk", "Rapor CK 2")</f>
        <v>Rapor CK 2</v>
      </c>
      <c r="F36" s="344"/>
      <c r="G36" s="343" t="str">
        <f>HYPERLINK("https://drive.google.com/file/d/1RoNnDryEv9sC3Ls-tQkeug5NeqJXBIFu/view?usp=drivesdk", "Rapor COV_BIO")</f>
        <v>Rapor COV_BIO</v>
      </c>
      <c r="H36" s="343" t="str">
        <f>HYPERLINK("https://drive.google.com/file/d/1JijonQGWtMhsvK9cb0ntFKHjO_50qTow/view?usp=drivesdk", "Rapor BIO_SEK")</f>
        <v>Rapor BIO_SEK</v>
      </c>
      <c r="I36" s="343" t="str">
        <f>HYPERLINK("https://drive.google.com/file/d/1fOPvNTjTCyHgx94gGavIbm7RyZen53QM/view?usp=drivesdk", "Rapor BIO_SIS")</f>
        <v>Rapor BIO_SIS</v>
      </c>
      <c r="J36" s="342"/>
      <c r="K36" s="345" t="s">
        <v>282</v>
      </c>
      <c r="L36" s="346" t="str">
        <f>IFERROR(__xludf.DUMMYFUNCTION("""COMPUTED_VALUE"""),"MUHAMMAD GALANG GUNAWAN")</f>
        <v>MUHAMMAD GALANG GUNAWAN</v>
      </c>
    </row>
    <row r="37" ht="20.25" customHeight="1">
      <c r="A37" s="353"/>
      <c r="B37" s="348" t="s">
        <v>309</v>
      </c>
      <c r="C37" s="349"/>
      <c r="D37" s="350" t="str">
        <f>HYPERLINK("https://drive.google.com/file/d/1e2tuGEql8zTs97PyNBoDVnZNgfgNvc8g/view?usp=drivesdk", "Rapor CK 1")</f>
        <v>Rapor CK 1</v>
      </c>
      <c r="E37" s="350" t="str">
        <f>HYPERLINK("https://drive.google.com/file/d/13RDTY1BDHzCW3mfTVCuvF4CCW8iW-253/view?usp=drivesdk", "Rapor CK 2")</f>
        <v>Rapor CK 2</v>
      </c>
      <c r="F37" s="351"/>
      <c r="G37" s="350" t="str">
        <f>HYPERLINK("https://drive.google.com/file/d/14xkzzy6k_zvNO4dSEShu8ZGN4_4AeL0Y/view?usp=drivesdk", "Rapor COV_BIO")</f>
        <v>Rapor COV_BIO</v>
      </c>
      <c r="H37" s="349"/>
      <c r="I37" s="350" t="str">
        <f>HYPERLINK("https://drive.google.com/file/d/1-dCLvrIU4kLval4BRgOR7kaivK9Ll8zZ/view?usp=drivesdk", "Rapor BIO_SIS")</f>
        <v>Rapor BIO_SIS</v>
      </c>
      <c r="J37" s="349"/>
      <c r="K37" s="352" t="s">
        <v>282</v>
      </c>
      <c r="L37" s="353" t="str">
        <f>IFERROR(__xludf.DUMMYFUNCTION("""COMPUTED_VALUE"""),"MUHAMMAD GOZALI")</f>
        <v>MUHAMMAD GOZALI</v>
      </c>
    </row>
    <row r="38" ht="20.25" customHeight="1">
      <c r="A38" s="353"/>
      <c r="B38" s="341" t="s">
        <v>310</v>
      </c>
      <c r="C38" s="342"/>
      <c r="D38" s="343" t="str">
        <f>HYPERLINK("https://drive.google.com/file/d/112xlTYsEFeYpioyhyQZH4c48AVIyzA0b/view?usp=drivesdk", "Rapor CK 1")</f>
        <v>Rapor CK 1</v>
      </c>
      <c r="E38" s="343" t="str">
        <f>HYPERLINK("https://drive.google.com/file/d/1iAC1k_Hft-1vl0FpvW_pY_cOp8qitGkb/view?usp=drivesdk", "Rapor CK 2")</f>
        <v>Rapor CK 2</v>
      </c>
      <c r="F38" s="344"/>
      <c r="G38" s="343" t="str">
        <f>HYPERLINK("https://drive.google.com/file/d/19ZQb-0myXYoL9p_QM4GXPGKorobVQAFD/view?usp=drivesdk", "Rapor COV_BIO")</f>
        <v>Rapor COV_BIO</v>
      </c>
      <c r="H38" s="342"/>
      <c r="I38" s="343" t="str">
        <f>HYPERLINK("https://drive.google.com/file/d/18iuDQXUbFrt1XvPHRYJBR-N3tA7OhuNp/view?usp=drivesdk", "Rapor BIO_SIS")</f>
        <v>Rapor BIO_SIS</v>
      </c>
      <c r="J38" s="342"/>
      <c r="K38" s="345" t="s">
        <v>282</v>
      </c>
      <c r="L38" s="346" t="str">
        <f>IFERROR(__xludf.DUMMYFUNCTION("""COMPUTED_VALUE"""),"MUHAMMAD HADAD AT'TOILLAH")</f>
        <v>MUHAMMAD HADAD AT'TOILLAH</v>
      </c>
    </row>
    <row r="39" ht="20.25" customHeight="1">
      <c r="A39" s="353"/>
      <c r="B39" s="348" t="s">
        <v>311</v>
      </c>
      <c r="C39" s="349"/>
      <c r="D39" s="350" t="str">
        <f>HYPERLINK("https://drive.google.com/file/d/1hZTP-bFVdyZq23Jz37CuFD5r8wXPJvGX/view?usp=drivesdk", "Rapor CK 1")</f>
        <v>Rapor CK 1</v>
      </c>
      <c r="E39" s="350" t="str">
        <f>HYPERLINK("https://drive.google.com/file/d/1m423FPwnqfb-R4DPqG1dMqoWdO0jlCIh/view?usp=drivesdk", "Rapor CK 2")</f>
        <v>Rapor CK 2</v>
      </c>
      <c r="F39" s="351"/>
      <c r="G39" s="350" t="str">
        <f>HYPERLINK("https://drive.google.com/file/d/1DfZ7f0tjLmyZHNl6wn32cSI5UAtBByUt/view?usp=drivesdk", "Rapor COV_BIO")</f>
        <v>Rapor COV_BIO</v>
      </c>
      <c r="H39" s="349"/>
      <c r="I39" s="350" t="str">
        <f>HYPERLINK("https://drive.google.com/file/d/1V6m2MzHFuIF1OJ6lPuiZoiSPK2pMfmbx/view?usp=drivesdk", "Rapor BIO_SIS")</f>
        <v>Rapor BIO_SIS</v>
      </c>
      <c r="J39" s="349"/>
      <c r="K39" s="352" t="s">
        <v>282</v>
      </c>
      <c r="L39" s="353" t="str">
        <f>IFERROR(__xludf.DUMMYFUNCTION("""COMPUTED_VALUE"""),"MUHAMMAD ILHAM")</f>
        <v>MUHAMMAD ILHAM</v>
      </c>
    </row>
    <row r="40" ht="20.25" customHeight="1">
      <c r="A40" s="353"/>
      <c r="B40" s="341" t="s">
        <v>313</v>
      </c>
      <c r="C40" s="342"/>
      <c r="D40" s="343" t="str">
        <f>HYPERLINK("https://drive.google.com/file/d/1uyA7LCnFp_-YoWJEXB_z0GlkA6hxHIsT/view?usp=drivesdk", "Rapor CK 1")</f>
        <v>Rapor CK 1</v>
      </c>
      <c r="E40" s="343" t="str">
        <f>HYPERLINK("https://drive.google.com/file/d/18cckKnOsfvIUrjC_AKyWafJ3FmZ6JgwM/view?usp=drivesdk", "Rapor CK 2")</f>
        <v>Rapor CK 2</v>
      </c>
      <c r="F40" s="344"/>
      <c r="G40" s="343" t="str">
        <f>HYPERLINK("https://drive.google.com/file/d/1hLE5QGuXRrzaZDb6uXY-EJJ7YcktAwIJ/view?usp=drivesdk", "Rapor COV_BIO")</f>
        <v>Rapor COV_BIO</v>
      </c>
      <c r="H40" s="342"/>
      <c r="I40" s="343" t="str">
        <f>HYPERLINK("https://drive.google.com/file/d/12HM-ShDCYHy3e9vrpr1qL8H7UWnOHvMA/view?usp=drivesdk", "Rapor BIO_SIS")</f>
        <v>Rapor BIO_SIS</v>
      </c>
      <c r="J40" s="342"/>
      <c r="K40" s="345" t="s">
        <v>282</v>
      </c>
      <c r="L40" s="346" t="str">
        <f>IFERROR(__xludf.DUMMYFUNCTION("""COMPUTED_VALUE"""),"M. IRPAN SAEPUL IBRAHIM ")</f>
        <v>M. IRPAN SAEPUL IBRAHIM </v>
      </c>
    </row>
    <row r="41" ht="20.25" customHeight="1">
      <c r="A41" s="353"/>
      <c r="B41" s="348" t="s">
        <v>314</v>
      </c>
      <c r="C41" s="349"/>
      <c r="D41" s="350" t="str">
        <f>HYPERLINK("https://drive.google.com/file/d/1ttjQ8zXPez9p9FQ5vTC4ldpGlevo1JB1/view?usp=drivesdk", "Rapor CK 1")</f>
        <v>Rapor CK 1</v>
      </c>
      <c r="E41" s="350" t="str">
        <f>HYPERLINK("https://drive.google.com/file/d/1PSJkWBZrGY02XNxTBmQGuNhiKiAdq276/view?usp=drivesdk", "Rapor CK 2")</f>
        <v>Rapor CK 2</v>
      </c>
      <c r="F41" s="351"/>
      <c r="G41" s="350" t="str">
        <f>HYPERLINK("https://drive.google.com/file/d/16EY9k0tOE0xq3X69UO0sCVDU_gW94B08/view?usp=drivesdk", "Rapor COV_BIO")</f>
        <v>Rapor COV_BIO</v>
      </c>
      <c r="H41" s="350" t="str">
        <f>HYPERLINK("https://drive.google.com/file/d/1wrW_9fB2DKPZyVCgIWGZEvM3k_3pImqc/view?usp=drivesdk", "Rapor BIO_SEK")</f>
        <v>Rapor BIO_SEK</v>
      </c>
      <c r="I41" s="350" t="str">
        <f>HYPERLINK("https://drive.google.com/file/d/1tEKXfYC_IyARuOjQToqf-aSfC2nvChVQ/view?usp=drivesdk", "Rapor BIO_SIS")</f>
        <v>Rapor BIO_SIS</v>
      </c>
      <c r="J41" s="349"/>
      <c r="K41" s="352" t="s">
        <v>282</v>
      </c>
      <c r="L41" s="353" t="str">
        <f>IFERROR(__xludf.DUMMYFUNCTION("""COMPUTED_VALUE"""),"MUHAMMAD NAZIL SIBTHURRIDHO")</f>
        <v>MUHAMMAD NAZIL SIBTHURRIDHO</v>
      </c>
    </row>
    <row r="42" ht="20.25" customHeight="1">
      <c r="A42" s="353"/>
      <c r="B42" s="341" t="s">
        <v>315</v>
      </c>
      <c r="C42" s="342"/>
      <c r="D42" s="343" t="str">
        <f>HYPERLINK("https://drive.google.com/file/d/1mbtW8wUdunByEk6359Is99uLKsjSV4nz/view?usp=drivesdk", "Rapor CK 1")</f>
        <v>Rapor CK 1</v>
      </c>
      <c r="E42" s="343" t="str">
        <f>HYPERLINK("https://drive.google.com/file/d/1oCAri4T_kEfJB1Dxb-970THsEafF3pWc/view?usp=drivesdk", "Rapor CK 2")</f>
        <v>Rapor CK 2</v>
      </c>
      <c r="F42" s="357"/>
      <c r="G42" s="343" t="str">
        <f>HYPERLINK("https://drive.google.com/file/d/1OHDrHphb6bk0oTB2VdIfVvIUQk12Ue6a/view?usp=drivesdk", "Rapor COV_BIO")</f>
        <v>Rapor COV_BIO</v>
      </c>
      <c r="H42" s="342"/>
      <c r="I42" s="343" t="str">
        <f>HYPERLINK("https://drive.google.com/file/d/1ATwplmCMK0UY75Vu1OuTIfz5Hs-M4gJQ/view?usp=drivesdk", "Rapor BIO_SIS")</f>
        <v>Rapor BIO_SIS</v>
      </c>
      <c r="J42" s="342"/>
      <c r="K42" s="345" t="s">
        <v>282</v>
      </c>
      <c r="L42" s="346" t="str">
        <f>IFERROR(__xludf.DUMMYFUNCTION("""COMPUTED_VALUE"""),"MUHAMMAD RAGIL")</f>
        <v>MUHAMMAD RAGIL</v>
      </c>
    </row>
    <row r="43" ht="20.25" customHeight="1">
      <c r="A43" s="353"/>
      <c r="B43" s="348" t="s">
        <v>316</v>
      </c>
      <c r="C43" s="349"/>
      <c r="D43" s="350" t="str">
        <f>HYPERLINK("https://drive.google.com/file/d/1rWQFRwIMQfEXebm6gVx7_3t6Vdfz3fJ3/view?usp=drivesdk", "Rapor CK 1")</f>
        <v>Rapor CK 1</v>
      </c>
      <c r="E43" s="350" t="str">
        <f>HYPERLINK("https://drive.google.com/file/d/1wPyDwxyvbmkkYvYHl9fkBc7lKGSyiEyl/view?usp=drivesdk", "Rapor CK 2")</f>
        <v>Rapor CK 2</v>
      </c>
      <c r="F43" s="358"/>
      <c r="G43" s="350" t="str">
        <f>HYPERLINK("https://drive.google.com/file/d/1vQ2nmxTHzjsT0nnbxwniFX1GOAkHlf2w/view?usp=drivesdk", "Rapor COV_BIO")</f>
        <v>Rapor COV_BIO</v>
      </c>
      <c r="H43" s="349"/>
      <c r="I43" s="350" t="str">
        <f>HYPERLINK("https://drive.google.com/file/d/1yc-rghqthdV-wjB0l163lJ6dkoKLiArZ/view?usp=drivesdk", "Rapor BIO_SIS")</f>
        <v>Rapor BIO_SIS</v>
      </c>
      <c r="J43" s="349"/>
      <c r="K43" s="352" t="s">
        <v>282</v>
      </c>
      <c r="L43" s="353" t="str">
        <f>IFERROR(__xludf.DUMMYFUNCTION("""COMPUTED_VALUE"""),"NAJMI ERIANA")</f>
        <v>NAJMI ERIANA</v>
      </c>
    </row>
    <row r="44" ht="20.25" customHeight="1">
      <c r="A44" s="353"/>
      <c r="B44" s="341" t="s">
        <v>317</v>
      </c>
      <c r="C44" s="342"/>
      <c r="D44" s="343" t="str">
        <f>HYPERLINK("https://drive.google.com/file/d/1yHW2t9IG3Bs-YhrNhwO4IqZnI_c3dIA_/view?usp=drivesdk", "Rapor CK 1")</f>
        <v>Rapor CK 1</v>
      </c>
      <c r="E44" s="343" t="str">
        <f>HYPERLINK("https://drive.google.com/file/d/124z5GHi2jzxjIcYjmmzEgnW6F-0-6vVU/view?usp=drivesdk", "Rapor CK 2")</f>
        <v>Rapor CK 2</v>
      </c>
      <c r="F44" s="357"/>
      <c r="G44" s="343" t="str">
        <f>HYPERLINK("https://drive.google.com/file/d/1q0xuo7UZPAmlOWHz6HeCZhtXlfLfT0i7/view?usp=drivesdk", "Rapor COV_BIO")</f>
        <v>Rapor COV_BIO</v>
      </c>
      <c r="H44" s="342"/>
      <c r="I44" s="343" t="str">
        <f>HYPERLINK("https://drive.google.com/file/d/1LAfz7QjOEj0RhskZZIFad11zxcl0AXK3/view?usp=drivesdk", "Rapor BIO_SIS")</f>
        <v>Rapor BIO_SIS</v>
      </c>
      <c r="J44" s="342"/>
      <c r="K44" s="345" t="s">
        <v>282</v>
      </c>
      <c r="L44" s="346" t="str">
        <f>IFERROR(__xludf.DUMMYFUNCTION("""COMPUTED_VALUE"""),"PANO PAIZAL")</f>
        <v>PANO PAIZAL</v>
      </c>
    </row>
    <row r="45" ht="20.25" customHeight="1">
      <c r="A45" s="356"/>
      <c r="B45" s="348" t="s">
        <v>318</v>
      </c>
      <c r="C45" s="349"/>
      <c r="D45" s="350" t="str">
        <f>HYPERLINK("https://drive.google.com/file/d/1RG6tD5R3Vj8JctSdqr8RIhpYqitoa2Vt/view?usp=drivesdk", "Rapor CK 1")</f>
        <v>Rapor CK 1</v>
      </c>
      <c r="E45" s="350" t="str">
        <f>HYPERLINK("https://drive.google.com/file/d/1s6u3d2INExzOjvt0koSqI0mT9vEXzg08/view?usp=drivesdk", "Rapor CK 2")</f>
        <v>Rapor CK 2</v>
      </c>
      <c r="F45" s="358"/>
      <c r="G45" s="350" t="str">
        <f>HYPERLINK("https://drive.google.com/file/d/1pqxUHXCq6oaOSbGj2BgYXQRIgSNWdZ2T/view?usp=drivesdk", "Rapor COV_BIO")</f>
        <v>Rapor COV_BIO</v>
      </c>
      <c r="H45" s="349"/>
      <c r="I45" s="350" t="str">
        <f>HYPERLINK("https://drive.google.com/file/d/1ul5tISjgqrvLWYybiKyFK9n5RJGj_935/view?usp=drivesdk", "Rapor BIO_SIS")</f>
        <v>Rapor BIO_SIS</v>
      </c>
      <c r="J45" s="349"/>
      <c r="K45" s="352" t="s">
        <v>282</v>
      </c>
      <c r="L45" s="353" t="str">
        <f>IFERROR(__xludf.DUMMYFUNCTION("""COMPUTED_VALUE"""),"PIRMAN ADRIYANI PUTRA")</f>
        <v>PIRMAN ADRIYANI PUTRA</v>
      </c>
    </row>
    <row r="46" ht="20.25" customHeight="1">
      <c r="A46" s="353"/>
      <c r="B46" s="341" t="s">
        <v>319</v>
      </c>
      <c r="C46" s="342"/>
      <c r="D46" s="343" t="str">
        <f>HYPERLINK("https://drive.google.com/file/d/13EL_-owic_R1NIpCGnByRL8SBPKLNuUU/view?usp=drivesdk", "Rapor CK 1")</f>
        <v>Rapor CK 1</v>
      </c>
      <c r="E46" s="343" t="str">
        <f>HYPERLINK("https://drive.google.com/file/d/1C3b02-p16wA3zR8c-d9VNXhAbD4sp46Y/view?usp=drivesdk", "Rapor CK 2")</f>
        <v>Rapor CK 2</v>
      </c>
      <c r="F46" s="357"/>
      <c r="G46" s="343" t="str">
        <f>HYPERLINK("https://drive.google.com/file/d/1YKGzg9hw6W-EGvHqXO7t1XCmyawroaJ4/view?usp=drivesdk", "Rapor COV_BIO")</f>
        <v>Rapor COV_BIO</v>
      </c>
      <c r="H46" s="342"/>
      <c r="I46" s="343" t="str">
        <f>HYPERLINK("https://drive.google.com/file/d/1V-6Q0tUUIFJHTKJUpihOPOyqoxoGP2_o/view?usp=drivesdk", "Rapor BIO_SIS")</f>
        <v>Rapor BIO_SIS</v>
      </c>
      <c r="J46" s="342"/>
      <c r="K46" s="345" t="s">
        <v>282</v>
      </c>
      <c r="L46" s="346" t="str">
        <f>IFERROR(__xludf.DUMMYFUNCTION("""COMPUTED_VALUE"""),"RAFFA RAMADHAN")</f>
        <v>RAFFA RAMADHAN</v>
      </c>
    </row>
    <row r="47" ht="20.25" customHeight="1">
      <c r="A47" s="356"/>
      <c r="B47" s="348" t="s">
        <v>320</v>
      </c>
      <c r="C47" s="349"/>
      <c r="D47" s="350" t="str">
        <f>HYPERLINK("https://drive.google.com/file/d/1zX4ZyDCBZ_YCvZg9KYtZKty5LV3CviZX/view?usp=drivesdk", "Rapor CK 1")</f>
        <v>Rapor CK 1</v>
      </c>
      <c r="E47" s="350" t="str">
        <f>HYPERLINK("https://drive.google.com/file/d/1iNkBfRrDSYwAUNs3eBBoZ4IyO2SishvW/view?usp=drivesdk", "Rapor CK 2")</f>
        <v>Rapor CK 2</v>
      </c>
      <c r="F47" s="358"/>
      <c r="G47" s="350" t="str">
        <f>HYPERLINK("https://drive.google.com/file/d/1GPv4om85JHmu2JFIhFpZTvJJaJYnuEEe/view?usp=drivesdk", "Rapor COV_BIO")</f>
        <v>Rapor COV_BIO</v>
      </c>
      <c r="H47" s="349"/>
      <c r="I47" s="350" t="str">
        <f>HYPERLINK("https://drive.google.com/file/d/11XufEIoDUZh2VVKmPT2PakiTCLrqpie9/view?usp=drivesdk", "Rapor BIO_SIS")</f>
        <v>Rapor BIO_SIS</v>
      </c>
      <c r="J47" s="349"/>
      <c r="K47" s="352" t="s">
        <v>282</v>
      </c>
      <c r="L47" s="353" t="str">
        <f>IFERROR(__xludf.DUMMYFUNCTION("""COMPUTED_VALUE"""),"RAFQA NUZULUL AKBAR SETIANA")</f>
        <v>RAFQA NUZULUL AKBAR SETIANA</v>
      </c>
    </row>
    <row r="48" ht="20.25" customHeight="1">
      <c r="A48" s="353"/>
      <c r="B48" s="341" t="s">
        <v>322</v>
      </c>
      <c r="C48" s="342"/>
      <c r="D48" s="343" t="str">
        <f>HYPERLINK("https://drive.google.com/file/d/1WXymbPxuKn2bAJBzfVz_s-8zW0hn4iOy/view?usp=drivesdk", "Rapor CK 1")</f>
        <v>Rapor CK 1</v>
      </c>
      <c r="E48" s="343" t="str">
        <f>HYPERLINK("https://drive.google.com/file/d/1d0GQ_vAL9SaBauQuEsWmC-wWEMYovGK-/view?usp=drivesdk", "Rapor CK 2")</f>
        <v>Rapor CK 2</v>
      </c>
      <c r="F48" s="357"/>
      <c r="G48" s="343" t="str">
        <f>HYPERLINK("https://drive.google.com/file/d/1CZjLLJC6v7bPnAdwTIQUfJ0g525wUNT2/view?usp=drivesdk", "Rapor COV_BIO")</f>
        <v>Rapor COV_BIO</v>
      </c>
      <c r="H48" s="342"/>
      <c r="I48" s="343" t="str">
        <f>HYPERLINK("https://drive.google.com/file/d/13GMa1tyOLXlUkz1FcDqOp8vpCe0RvqqF/view?usp=drivesdk", "Rapor BIO_SIS")</f>
        <v>Rapor BIO_SIS</v>
      </c>
      <c r="J48" s="342"/>
      <c r="K48" s="345" t="s">
        <v>282</v>
      </c>
      <c r="L48" s="346" t="str">
        <f>IFERROR(__xludf.DUMMYFUNCTION("""COMPUTED_VALUE"""),"RIDO MUHAMAD NUR FADILAH")</f>
        <v>RIDO MUHAMAD NUR FADILAH</v>
      </c>
    </row>
    <row r="49" ht="20.25" customHeight="1">
      <c r="A49" s="356"/>
      <c r="B49" s="348" t="s">
        <v>323</v>
      </c>
      <c r="C49" s="349"/>
      <c r="D49" s="350" t="str">
        <f>HYPERLINK("https://drive.google.com/file/d/1x7ZtGRHdGYMVHeS_3_obMJUIp7mLWhif/view?usp=drivesdk", "Rapor CK 1")</f>
        <v>Rapor CK 1</v>
      </c>
      <c r="E49" s="350" t="str">
        <f>HYPERLINK("https://drive.google.com/file/d/1kFv2pdUJz0pMEYOwIYZrA8u3SEzO9mHQ/view?usp=drivesdk", "Rapor CK 2")</f>
        <v>Rapor CK 2</v>
      </c>
      <c r="F49" s="358"/>
      <c r="G49" s="350" t="str">
        <f>HYPERLINK("https://drive.google.com/file/d/1FwG5n3nLW03KoLsKnQk208T4k8ZK6MJW/view?usp=drivesdk", "Rapor COV_BIO")</f>
        <v>Rapor COV_BIO</v>
      </c>
      <c r="H49" s="349"/>
      <c r="I49" s="350" t="str">
        <f>HYPERLINK("https://drive.google.com/file/d/10ojsdK4c9IjGiDTEwTNWW5Fuyiv8njoj/view?usp=drivesdk", "Rapor BIO_SIS")</f>
        <v>Rapor BIO_SIS</v>
      </c>
      <c r="J49" s="349"/>
      <c r="K49" s="352" t="s">
        <v>282</v>
      </c>
      <c r="L49" s="353" t="str">
        <f>IFERROR(__xludf.DUMMYFUNCTION("""COMPUTED_VALUE"""),"RIFAL KAMILUL AJHAR")</f>
        <v>RIFAL KAMILUL AJHAR</v>
      </c>
    </row>
    <row r="50" ht="20.25" customHeight="1">
      <c r="A50" s="353"/>
      <c r="B50" s="341" t="s">
        <v>324</v>
      </c>
      <c r="C50" s="342"/>
      <c r="D50" s="342"/>
      <c r="E50" s="342"/>
      <c r="F50" s="357"/>
      <c r="G50" s="343" t="str">
        <f>HYPERLINK("https://drive.google.com/file/d/1pt5ZTnaFWRd9J5QYzwcRj2AwY8YOQuaj/view?usp=drivesdk", "Rapor COV_BIO")</f>
        <v>Rapor COV_BIO</v>
      </c>
      <c r="H50" s="342"/>
      <c r="I50" s="342"/>
      <c r="J50" s="342"/>
      <c r="K50" s="345" t="s">
        <v>282</v>
      </c>
      <c r="L50" s="346" t="str">
        <f>IFERROR(__xludf.DUMMYFUNCTION("""COMPUTED_VALUE"""),"RIVALDI MAULANA")</f>
        <v>RIVALDI MAULANA</v>
      </c>
    </row>
    <row r="51" ht="20.25" customHeight="1">
      <c r="A51" s="356"/>
      <c r="B51" s="348" t="s">
        <v>325</v>
      </c>
      <c r="C51" s="349"/>
      <c r="D51" s="350" t="str">
        <f>HYPERLINK("https://drive.google.com/file/d/1wQSFXIhuzMIRLhGDRYig7QqkH8fZSHzq/view?usp=drivesdk", "Rapor CK 1")</f>
        <v>Rapor CK 1</v>
      </c>
      <c r="E51" s="350" t="str">
        <f>HYPERLINK("https://drive.google.com/file/d/1wfJ7xzf8TXLOnoeFQ0j2ZIGmbQGvbxNx/view?usp=drivesdk", "Rapor CK 2")</f>
        <v>Rapor CK 2</v>
      </c>
      <c r="F51" s="358"/>
      <c r="G51" s="350" t="str">
        <f>HYPERLINK("https://drive.google.com/file/d/193SFNxowGC-MXmNVHIG4hzMJ20H4VzoY/view?usp=drivesdk", "Rapor COV_BIO")</f>
        <v>Rapor COV_BIO</v>
      </c>
      <c r="H51" s="349"/>
      <c r="I51" s="350" t="str">
        <f>HYPERLINK("https://drive.google.com/file/d/1IwnUBkt4fggamJqnd1qbDtMgujjr8MfZ/view?usp=drivesdk", "Rapor BIO_SIS")</f>
        <v>Rapor BIO_SIS</v>
      </c>
      <c r="J51" s="349"/>
      <c r="K51" s="352" t="s">
        <v>282</v>
      </c>
      <c r="L51" s="353" t="str">
        <f>IFERROR(__xludf.DUMMYFUNCTION("""COMPUTED_VALUE"""),"RIZAL RISMAYANDI")</f>
        <v>RIZAL RISMAYANDI</v>
      </c>
    </row>
    <row r="52" ht="20.25" customHeight="1">
      <c r="A52" s="353"/>
      <c r="B52" s="341" t="s">
        <v>326</v>
      </c>
      <c r="C52" s="342"/>
      <c r="D52" s="343" t="str">
        <f>HYPERLINK("https://drive.google.com/file/d/1M8chRVFhIUfKMju5ZSUQh2GyriY8rTzI/view?usp=drivesdk", "Rapor CK 1")</f>
        <v>Rapor CK 1</v>
      </c>
      <c r="E52" s="343" t="str">
        <f>HYPERLINK("https://drive.google.com/file/d/1vofUFKzemCmb6Y54zV8dgz2zZJUaqiFG/view?usp=drivesdk", "Rapor CK 2")</f>
        <v>Rapor CK 2</v>
      </c>
      <c r="F52" s="357"/>
      <c r="G52" s="343" t="str">
        <f>HYPERLINK("https://drive.google.com/file/d/1ND5UrerePaTE9ngwKVvFOEjxc__Dbuvt/view?usp=drivesdk", "Rapor COV_BIO")</f>
        <v>Rapor COV_BIO</v>
      </c>
      <c r="H52" s="342"/>
      <c r="I52" s="343" t="str">
        <f>HYPERLINK("https://drive.google.com/file/d/1SyI9QHt7mAjeNO8_PhUI97NOitrwgNjj/view?usp=drivesdk", "Rapor BIO_SIS")</f>
        <v>Rapor BIO_SIS</v>
      </c>
      <c r="J52" s="342"/>
      <c r="K52" s="345" t="s">
        <v>282</v>
      </c>
      <c r="L52" s="346" t="str">
        <f>IFERROR(__xludf.DUMMYFUNCTION("""COMPUTED_VALUE"""),"RIZKI ADITIA PRATAMA")</f>
        <v>RIZKI ADITIA PRATAMA</v>
      </c>
    </row>
    <row r="53" ht="20.25" customHeight="1">
      <c r="A53" s="356"/>
      <c r="B53" s="348" t="s">
        <v>327</v>
      </c>
      <c r="C53" s="349"/>
      <c r="D53" s="350" t="str">
        <f>HYPERLINK("https://drive.google.com/file/d/1WyFdygR0CXGQdVkuVn1DETBUGCDXXoi3/view?usp=drivesdk", "Rapor CK 1")</f>
        <v>Rapor CK 1</v>
      </c>
      <c r="E53" s="350" t="str">
        <f>HYPERLINK("https://drive.google.com/file/d/1awkGurObbSkOabdr4eby0he06VxXFgMw/view?usp=drivesdk", "Rapor CK 2")</f>
        <v>Rapor CK 2</v>
      </c>
      <c r="F53" s="358"/>
      <c r="G53" s="350" t="str">
        <f>HYPERLINK("https://drive.google.com/file/d/1wBJ7dTNcS-ZQwqQAllStr2sXlq9bDBJd/view?usp=drivesdk", "Rapor COV_BIO")</f>
        <v>Rapor COV_BIO</v>
      </c>
      <c r="H53" s="350" t="str">
        <f>HYPERLINK("https://drive.google.com/file/d/1LQAvI3Fy1D7DmOSWp4VSs-xihXEhvgHc/view?usp=drivesdk", "Rapor BIO_SEK")</f>
        <v>Rapor BIO_SEK</v>
      </c>
      <c r="I53" s="350" t="str">
        <f>HYPERLINK("https://drive.google.com/file/d/16vSQfDziqJlCD0afX5tyKUCtkB895U-_/view?usp=drivesdk", "Rapor BIO_SIS")</f>
        <v>Rapor BIO_SIS</v>
      </c>
      <c r="J53" s="349"/>
      <c r="K53" s="352" t="s">
        <v>282</v>
      </c>
      <c r="L53" s="353" t="str">
        <f>IFERROR(__xludf.DUMMYFUNCTION("""COMPUTED_VALUE"""),"SURYA BAGJA JUNIOR")</f>
        <v>SURYA BAGJA JUNIOR</v>
      </c>
    </row>
    <row r="54" ht="20.25" customHeight="1">
      <c r="A54" s="353"/>
      <c r="B54" s="341" t="s">
        <v>328</v>
      </c>
      <c r="C54" s="342"/>
      <c r="D54" s="343" t="str">
        <f>HYPERLINK("https://drive.google.com/file/d/1jbD2PvZvWtLLa8bqsJXmhr89Wj0gSfxC/view?usp=drivesdk", "Rapor CK 1")</f>
        <v>Rapor CK 1</v>
      </c>
      <c r="E54" s="343" t="str">
        <f>HYPERLINK("https://drive.google.com/file/d/1bxQvBt1zH2KA8ncmgnbYIUiLILb3rar3/view?usp=drivesdk", "Rapor CK 2")</f>
        <v>Rapor CK 2</v>
      </c>
      <c r="F54" s="357"/>
      <c r="G54" s="343" t="str">
        <f>HYPERLINK("https://drive.google.com/file/d/1Ehxb21s4Kan9BRHamw4JW0PNsQtWnMdp/view?usp=drivesdk", "Rapor COV_BIO")</f>
        <v>Rapor COV_BIO</v>
      </c>
      <c r="H54" s="342"/>
      <c r="I54" s="343" t="str">
        <f>HYPERLINK("https://drive.google.com/file/d/1QVowVztAvvfKC33ZFMhJ7rdRchW8gJHc/view?usp=drivesdk", "Rapor BIO_SIS")</f>
        <v>Rapor BIO_SIS</v>
      </c>
      <c r="J54" s="342"/>
      <c r="K54" s="345" t="s">
        <v>282</v>
      </c>
      <c r="L54" s="346" t="str">
        <f>IFERROR(__xludf.DUMMYFUNCTION("""COMPUTED_VALUE"""),"WILDAN RIPAI")</f>
        <v>WILDAN RIPAI</v>
      </c>
    </row>
    <row r="55" ht="20.25" customHeight="1">
      <c r="A55" s="356"/>
      <c r="B55" s="348" t="s">
        <v>329</v>
      </c>
      <c r="C55" s="349"/>
      <c r="D55" s="350" t="str">
        <f>HYPERLINK("https://drive.google.com/file/d/1YLATfhVrrCJaSLjDVw-n_uTKUrBNYHYv/view?usp=drivesdk", "Rapor CK 1")</f>
        <v>Rapor CK 1</v>
      </c>
      <c r="E55" s="350" t="str">
        <f>HYPERLINK("https://drive.google.com/file/d/1dAko2-RRFN8GUrZZbXXTqMBrv6uBFDaP/view?usp=drivesdk", "Rapor CK 2")</f>
        <v>Rapor CK 2</v>
      </c>
      <c r="F55" s="358"/>
      <c r="G55" s="350" t="str">
        <f>HYPERLINK("https://drive.google.com/file/d/1KwYHKmRZ57mfsqDzei_C6R06cOx8n_Qd/view?usp=drivesdk", "Rapor COV_BIO")</f>
        <v>Rapor COV_BIO</v>
      </c>
      <c r="H55" s="349"/>
      <c r="I55" s="350" t="str">
        <f>HYPERLINK("https://drive.google.com/file/d/1n7OQqEmJuT1r2z1Vmm9zeVs8haViBTmW/view?usp=drivesdk", "Rapor BIO_SIS")</f>
        <v>Rapor BIO_SIS</v>
      </c>
      <c r="J55" s="349"/>
      <c r="K55" s="352" t="s">
        <v>282</v>
      </c>
      <c r="L55" s="353" t="str">
        <f>IFERROR(__xludf.DUMMYFUNCTION("""COMPUTED_VALUE"""),"YUDHA PRASETYO")</f>
        <v>YUDHA PRASETYO</v>
      </c>
    </row>
    <row r="56" ht="20.25" customHeight="1">
      <c r="A56" s="356"/>
      <c r="B56" s="365"/>
      <c r="C56" s="366"/>
      <c r="D56" s="366"/>
      <c r="E56" s="366"/>
      <c r="F56" s="367"/>
      <c r="G56" s="366"/>
      <c r="H56" s="366"/>
      <c r="I56" s="366"/>
      <c r="J56" s="368" t="str">
        <f>HYPERLINK("https://drive.google.com/file/d/1BVjqnAnDByHc4PlNICDOEJ7FCO8pcaRL/view?usp=drivesdk", "LEGER")</f>
        <v>LEGER</v>
      </c>
      <c r="K56" s="352" t="s">
        <v>244</v>
      </c>
      <c r="L56" s="353"/>
    </row>
  </sheetData>
  <mergeCells count="6">
    <mergeCell ref="B1:J1"/>
    <mergeCell ref="B2:J2"/>
    <mergeCell ref="A3:A4"/>
    <mergeCell ref="C4:J4"/>
    <mergeCell ref="C5:J5"/>
    <mergeCell ref="K9:L9"/>
  </mergeCells>
  <conditionalFormatting sqref="L10:L56">
    <cfRule type="expression" dxfId="0" priority="1">
      <formula>COUNTIF($B$10:$B$45,L10)&gt;0</formula>
    </cfRule>
  </conditionalFormatting>
  <dataValidations>
    <dataValidation type="list" allowBlank="1" showErrorMessage="1" sqref="B5">
      <formula1>SETTING!$H$3:$H$56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sheetPr>
  <sheetViews>
    <sheetView workbookViewId="0"/>
  </sheetViews>
  <sheetFormatPr customHeight="1" defaultColWidth="14.43" defaultRowHeight="15.0"/>
  <cols>
    <col customWidth="1" min="1" max="1" width="4.43"/>
    <col customWidth="1" hidden="1" min="2" max="2" width="11.71"/>
    <col customWidth="1" hidden="1" min="3" max="3" width="13.86"/>
    <col customWidth="1" min="4" max="4" width="29.71"/>
    <col customWidth="1" min="5" max="6" width="11.29"/>
    <col customWidth="1" min="7" max="19" width="5.14"/>
    <col customWidth="1" hidden="1" min="20" max="22" width="5.14"/>
    <col customWidth="1" min="23" max="24" width="14.86"/>
    <col customWidth="1" min="25" max="27" width="5.14"/>
    <col customWidth="1" min="28" max="28" width="6.57"/>
    <col customWidth="1" min="29" max="30" width="5.0"/>
  </cols>
  <sheetData>
    <row r="1" ht="13.5" customHeight="1">
      <c r="A1" s="370" t="str">
        <f>"LEGER SEMESTER "&amp;UPPER(SETTING!$C$3)</f>
        <v>LEGER SEMESTER GANJIL</v>
      </c>
      <c r="AB1" s="373" t="str">
        <f>SETTING!$C$2</f>
        <v>X TO 4</v>
      </c>
    </row>
    <row r="2" ht="13.5" customHeight="1">
      <c r="A2" s="370" t="str">
        <f>SETTING!$C$30</f>
        <v>SMKN 1 PLERED</v>
      </c>
    </row>
    <row r="3" ht="13.5" customHeight="1">
      <c r="A3" s="370" t="str">
        <f>"TAHUN PELAJARAN "&amp;SETTING!C4</f>
        <v>TAHUN PELAJARAN 2025 / 2026</v>
      </c>
    </row>
    <row r="4" ht="12.75" hidden="1" customHeight="1">
      <c r="A4" s="7" t="s">
        <v>135</v>
      </c>
      <c r="B4" s="7" t="s">
        <v>143</v>
      </c>
      <c r="C4" s="7" t="s">
        <v>145</v>
      </c>
      <c r="D4" s="8" t="s">
        <v>146</v>
      </c>
      <c r="E4" s="7" t="s">
        <v>150</v>
      </c>
      <c r="F4" s="7"/>
      <c r="G4" s="7" t="s">
        <v>154</v>
      </c>
      <c r="H4" s="8" t="s">
        <v>156</v>
      </c>
      <c r="I4" s="7" t="s">
        <v>158</v>
      </c>
      <c r="J4" s="8" t="s">
        <v>160</v>
      </c>
      <c r="K4" s="7" t="s">
        <v>162</v>
      </c>
      <c r="L4" s="8" t="s">
        <v>164</v>
      </c>
      <c r="M4" s="7" t="s">
        <v>166</v>
      </c>
      <c r="N4" s="8" t="s">
        <v>168</v>
      </c>
      <c r="O4" s="7" t="s">
        <v>170</v>
      </c>
      <c r="P4" s="8" t="s">
        <v>172</v>
      </c>
      <c r="Q4" s="7" t="s">
        <v>174</v>
      </c>
      <c r="R4" s="7" t="s">
        <v>176</v>
      </c>
      <c r="S4" s="382"/>
      <c r="T4" s="382" t="s">
        <v>178</v>
      </c>
      <c r="U4" s="8" t="s">
        <v>180</v>
      </c>
      <c r="V4" s="7" t="s">
        <v>182</v>
      </c>
      <c r="W4" s="8" t="s">
        <v>184</v>
      </c>
      <c r="X4" s="7" t="s">
        <v>185</v>
      </c>
      <c r="Y4" s="7" t="s">
        <v>190</v>
      </c>
      <c r="Z4" s="7" t="s">
        <v>191</v>
      </c>
      <c r="AA4" s="7" t="s">
        <v>192</v>
      </c>
      <c r="AB4" s="7" t="s">
        <v>193</v>
      </c>
      <c r="AC4" s="7"/>
      <c r="AD4" s="12">
        <v>39.0</v>
      </c>
    </row>
    <row r="5" ht="24.75" hidden="1" customHeight="1">
      <c r="A5" s="14" t="str">
        <f>'INPUT SUMATIF'!A2</f>
        <v>NO</v>
      </c>
      <c r="B5" s="14" t="str">
        <f>'INPUT SUMATIF'!B2</f>
        <v>NIS</v>
      </c>
      <c r="C5" s="14" t="str">
        <f>'INPUT SUMATIF'!C2</f>
        <v>NISN</v>
      </c>
      <c r="D5" s="14" t="str">
        <f>'INPUT SUMATIF'!D2</f>
        <v>NAMA</v>
      </c>
      <c r="E5" s="14" t="str">
        <f>'INPUT SUMATIF'!E2</f>
        <v>KELAS</v>
      </c>
      <c r="F5" s="14" t="str">
        <f>'INPUT SUMATIF'!F2</f>
        <v>SEMESTER</v>
      </c>
      <c r="G5" s="14" t="str">
        <f>'INPUT SUMATIF'!$J$2</f>
        <v>PAI RATA-RATA SUMATIF</v>
      </c>
      <c r="H5" s="14" t="str">
        <f>'INPUT SUMATIF'!$O$2</f>
        <v>PKN RATA-RATA SUMATIF</v>
      </c>
      <c r="I5" s="14" t="str">
        <f>'INPUT SUMATIF'!$T$2</f>
        <v>B. INDONESIA RATA-RATA SUMATIF</v>
      </c>
      <c r="J5" s="14" t="str">
        <f>'INPUT SUMATIF'!$Y$2</f>
        <v>PJOK RATA-RATA SUMATIF</v>
      </c>
      <c r="K5" s="14" t="str">
        <f>'INPUT SUMATIF'!$AD$2</f>
        <v>SEJARAH RATA-RATA SUMATIF</v>
      </c>
      <c r="L5" s="14" t="str">
        <f>'INPUT SUMATIF'!$AI$2</f>
        <v>SENI BUDAYA RATA-RATA SUMATIF</v>
      </c>
      <c r="M5" s="14" t="str">
        <f>'INPUT SUMATIF'!$AN$2</f>
        <v>B. SUNDA RATA-RATA SUMATIF</v>
      </c>
      <c r="N5" s="14" t="str">
        <f>'INPUT SUMATIF'!$AS$2</f>
        <v>MATEMATIKA RATA-RATA SUMATIF</v>
      </c>
      <c r="O5" s="14" t="str">
        <f>'INPUT SUMATIF'!$AX$2</f>
        <v>B. INGGRIS RATA-RATA SUMATIF</v>
      </c>
      <c r="P5" s="14" t="str">
        <f>'INPUT SUMATIF'!$BC$2</f>
        <v>INFORMATIKA RATA-RATA SUMATIF</v>
      </c>
      <c r="Q5" s="14" t="str">
        <f>'INPUT SUMATIF'!$BH$2</f>
        <v>PROJEK IPAS RATA-RATA SUMATIF</v>
      </c>
      <c r="R5" s="18" t="str">
        <f>'INPUT SUMATIF'!$BM$2</f>
        <v>DDPK RATA-RATA SUMATIF</v>
      </c>
      <c r="S5" s="389"/>
      <c r="T5" s="389" t="str">
        <f>'INPUT SUMATIF'!$BW$2</f>
        <v>KONS. KEAHLIAN RATA-RATA SUMATIF</v>
      </c>
      <c r="U5" s="14" t="str">
        <f>'INPUT SUMATIF'!$CB$2</f>
        <v>PKK RATA-RATA SUMATIF</v>
      </c>
      <c r="V5" s="14" t="str">
        <f>'INPUT SUMATIF'!$CG$2</f>
        <v>MAPEL PILIHAN RATA-RATA SUMATIF</v>
      </c>
      <c r="W5" s="24" t="str">
        <f t="shared" ref="W5:AB5" si="1">W6</f>
        <v>EKSKUL-1</v>
      </c>
      <c r="X5" s="24" t="str">
        <f t="shared" si="1"/>
        <v>EKSKUL-2</v>
      </c>
      <c r="Y5" s="393" t="str">
        <f t="shared" si="1"/>
        <v>SAKIT</v>
      </c>
      <c r="Z5" s="393" t="str">
        <f t="shared" si="1"/>
        <v>IZIN</v>
      </c>
      <c r="AA5" s="393" t="str">
        <f t="shared" si="1"/>
        <v>TANPA KETERANGAN</v>
      </c>
      <c r="AB5" s="24" t="str">
        <f t="shared" si="1"/>
        <v>JUMLAH</v>
      </c>
      <c r="AC5" s="24"/>
      <c r="AD5" s="24" t="str">
        <f>AD6</f>
        <v>RANKING</v>
      </c>
    </row>
    <row r="6" ht="54.0" customHeight="1">
      <c r="A6" s="396" t="s">
        <v>0</v>
      </c>
      <c r="B6" s="397" t="s">
        <v>1</v>
      </c>
      <c r="C6" s="397" t="s">
        <v>2</v>
      </c>
      <c r="D6" s="397" t="s">
        <v>3</v>
      </c>
      <c r="E6" s="400" t="s">
        <v>4</v>
      </c>
      <c r="F6" s="401" t="s">
        <v>5</v>
      </c>
      <c r="G6" s="403" t="s">
        <v>52</v>
      </c>
      <c r="H6" s="404" t="s">
        <v>54</v>
      </c>
      <c r="I6" s="405" t="s">
        <v>57</v>
      </c>
      <c r="J6" s="406" t="s">
        <v>61</v>
      </c>
      <c r="K6" s="407" t="s">
        <v>63</v>
      </c>
      <c r="L6" s="408" t="s">
        <v>66</v>
      </c>
      <c r="M6" s="409" t="s">
        <v>70</v>
      </c>
      <c r="N6" s="410" t="s">
        <v>72</v>
      </c>
      <c r="O6" s="403" t="s">
        <v>75</v>
      </c>
      <c r="P6" s="411" t="s">
        <v>77</v>
      </c>
      <c r="Q6" s="411" t="s">
        <v>81</v>
      </c>
      <c r="R6" s="411" t="s">
        <v>83</v>
      </c>
      <c r="S6" s="411" t="s">
        <v>205</v>
      </c>
      <c r="T6" s="412" t="s">
        <v>86</v>
      </c>
      <c r="U6" s="413" t="s">
        <v>90</v>
      </c>
      <c r="V6" s="414" t="s">
        <v>92</v>
      </c>
      <c r="W6" s="415" t="s">
        <v>38</v>
      </c>
      <c r="X6" s="416" t="s">
        <v>40</v>
      </c>
      <c r="Y6" s="417" t="s">
        <v>46</v>
      </c>
      <c r="Z6" s="418" t="s">
        <v>47</v>
      </c>
      <c r="AA6" s="417" t="s">
        <v>48</v>
      </c>
      <c r="AB6" s="419" t="s">
        <v>332</v>
      </c>
      <c r="AC6" s="420" t="s">
        <v>333</v>
      </c>
      <c r="AD6" s="421" t="s">
        <v>334</v>
      </c>
    </row>
    <row r="7" ht="11.25" customHeight="1">
      <c r="A7" s="423">
        <f>IFERROR(__xludf.DUMMYFUNCTION("QUERY(SETTING!$E$3:$I$56, ""SELECT * WHERE Col1 IS NOT NULL"")
"),1.0)</f>
        <v>1</v>
      </c>
      <c r="B7" s="425" t="str">
        <f>IFERROR(__xludf.DUMMYFUNCTION("""COMPUTED_VALUE"""),"2526100414")</f>
        <v>2526100414</v>
      </c>
      <c r="C7" s="425" t="str">
        <f>IFERROR(__xludf.DUMMYFUNCTION("""COMPUTED_VALUE"""),"0098742051")</f>
        <v>0098742051</v>
      </c>
      <c r="D7" s="426" t="str">
        <f>IFERROR(__xludf.DUMMYFUNCTION("""COMPUTED_VALUE"""),"AHMAD FAUZI")</f>
        <v>AHMAD FAUZI</v>
      </c>
      <c r="E7" s="428" t="str">
        <f>IFERROR(__xludf.DUMMYFUNCTION("""COMPUTED_VALUE"""),"X TO 4")</f>
        <v>X TO 4</v>
      </c>
      <c r="F7" s="428" t="str">
        <f t="array" ref="F7:F64">IF(D7:D64&lt;&gt;"",SETTING!$C$3,"")</f>
        <v>Ganjil</v>
      </c>
      <c r="G7" s="438">
        <f t="array" ref="G7">IFERROR(INDEX('INPUT CP'!$A$4:$BB64,MATCH($D7,'INPUT CP'!$D$4:$D64,0),MATCH(G$6,'INPUT CP'!$A$3:$CO$3,0)),"")</f>
        <v>80.75</v>
      </c>
      <c r="H7" s="439">
        <f t="array" ref="H7">IFERROR(INDEX('INPUT CP'!$A$4:$BB64,MATCH($D7,'INPUT CP'!$D$4:$D64,0),MATCH(H$6,'INPUT CP'!$A$3:$CO$3,0)),"")</f>
        <v>82.25</v>
      </c>
      <c r="I7" s="441">
        <f t="array" ref="I7">IFERROR(INDEX('INPUT CP'!$A$4:$BB64,MATCH($D7,'INPUT CP'!$D$4:$D64,0),MATCH(I$6,'INPUT CP'!$A$3:$CO$3,0)),"")</f>
        <v>86.16666667</v>
      </c>
      <c r="J7" s="444">
        <f t="array" ref="J7">IFERROR(INDEX('INPUT CP'!$A$4:$BB64,MATCH($D7,'INPUT CP'!$D$4:$D64,0),MATCH(J$6,'INPUT CP'!$A$3:$CO$3,0)),"")</f>
        <v>85.5</v>
      </c>
      <c r="K7" s="446">
        <f t="array" ref="K7">IFERROR(INDEX('INPUT CP'!$A$4:$BB64,MATCH($D7,'INPUT CP'!$D$4:$D64,0),MATCH(K$6,'INPUT CP'!$A$3:$CO$3,0)),"")</f>
        <v>83</v>
      </c>
      <c r="L7" s="450">
        <f t="array" ref="L7">IFERROR(INDEX('INPUT CP'!$A$4:$BB64,MATCH($D7,'INPUT CP'!$D$4:$D64,0),MATCH(L$6,'INPUT CP'!$A$3:$CO$3,0)),"")</f>
        <v>90</v>
      </c>
      <c r="M7" s="451">
        <f t="array" ref="M7">IFERROR(INDEX('INPUT CP'!$A$4:$BB64,MATCH($D7,'INPUT CP'!$D$4:$D64,0),MATCH(M$6,'INPUT CP'!$A$3:$CO$3,0)),"")</f>
        <v>86.5</v>
      </c>
      <c r="N7" s="452">
        <f t="array" ref="N7">IFERROR(INDEX('INPUT CP'!$A$4:$BB64,MATCH($D7,'INPUT CP'!$D$4:$D64,0),MATCH(N$6,'INPUT CP'!$A$3:$CO$3,0)),"")</f>
        <v>80</v>
      </c>
      <c r="O7" s="438">
        <f t="array" ref="O7">IFERROR(INDEX('INPUT CP'!$A$4:$BB64,MATCH($D7,'INPUT CP'!$D$4:$D64,0),MATCH(O$6,'INPUT CP'!$A$3:$CO$3,0)),"")</f>
        <v>75.5</v>
      </c>
      <c r="P7" s="456">
        <f t="array" ref="P7">IFERROR(INDEX('INPUT CP'!$A$4:$BB64,MATCH($D7,'INPUT CP'!$D$4:$D64,0),MATCH(P$6,'INPUT CP'!$A$3:$CO$3,0)),"")</f>
        <v>80</v>
      </c>
      <c r="Q7" s="456">
        <f t="array" ref="Q7">IFERROR(INDEX('INPUT CP'!$A$4:$BB64,MATCH($D7,'INPUT CP'!$D$4:$D64,0),MATCH(Q$6,'INPUT CP'!$A$3:$CO$3,0)),"")</f>
        <v>53.33333333</v>
      </c>
      <c r="R7" s="456">
        <f t="array" ref="R7">IFERROR(INDEX('INPUT CP'!$A$4:$BB64,MATCH($D7,'INPUT CP'!$D$4:$D64,0),MATCH(R$6,'INPUT CP'!$A$3:$CO$3,0)),"")</f>
        <v>80.83333333</v>
      </c>
      <c r="S7" s="456">
        <f t="array" ref="S7">IFERROR(INDEX('INPUT CP'!$A$4:$BB64,MATCH($D7,'INPUT CP'!$D$4:$D64,0),MATCH(S$6,'INPUT CP'!$A$3:$CO$3,0)),"")</f>
        <v>79.33333333</v>
      </c>
      <c r="T7" s="461" t="str">
        <f t="array" ref="T7">IFERROR(INDEX('INPUT CP'!$A$4:$BB64,MATCH($D7,'INPUT CP'!$D$4:$D64,0),MATCH(T$6,'INPUT CP'!$A$3:$CO$3,0)),"")</f>
        <v/>
      </c>
      <c r="U7" s="463" t="str">
        <f t="array" ref="U7">IFERROR(INDEX('INPUT CP'!$A$4:$BB64,MATCH($D7,'INPUT CP'!$D$4:$D64,0),MATCH(U$6,'INPUT CP'!$A$3:$CO$3,0)),"")</f>
        <v/>
      </c>
      <c r="V7" s="439" t="str">
        <f t="array" ref="V7">IFERROR(INDEX('INPUT CP'!$A$4:$BB64,MATCH($D7,'INPUT CP'!$D$4:$D64,0),MATCH(V$6,'INPUT CP'!$A$3:$CO$3,0)),"")</f>
        <v/>
      </c>
      <c r="W7" s="468" t="str">
        <f t="array" ref="W7">IFERROR(INDEX('INPUT CP'!$A$4:$BB64,MATCH($D7,'INPUT CP'!$D$4:$D64,0),MATCH(W$6,'INPUT CP'!$A$3:$CO$3,0)),"")</f>
        <v/>
      </c>
      <c r="X7" s="470" t="str">
        <f t="array" ref="X7">IFERROR(INDEX('INPUT CP'!$A$4:$BB64,MATCH($D7,'INPUT CP'!$D$4:$D64,0),MATCH(X$6,'INPUT CP'!$A$3:$CO$3,0)),"")</f>
        <v/>
      </c>
      <c r="Y7" s="470" t="str">
        <f t="array" ref="Y7">IFERROR(INDEX('INPUT CP'!$A$4:$BB64,MATCH($D7,'INPUT CP'!$D$4:$D64,0),MATCH(Y$6,'INPUT CP'!$A$3:$CO$3,0)),"")</f>
        <v>4</v>
      </c>
      <c r="Z7" s="470" t="str">
        <f t="array" ref="Z7">IFERROR(INDEX('INPUT CP'!$A$4:$BB64,MATCH($D7,'INPUT CP'!$D$4:$D64,0),MATCH(Z$6,'INPUT CP'!$A$3:$CO$3,0)),"")</f>
        <v>-</v>
      </c>
      <c r="AA7" s="470" t="str">
        <f t="array" ref="AA7">IFERROR(INDEX('INPUT CP'!$A$4:$BB64,MATCH($D7,'INPUT CP'!$D$4:$D64,0),MATCH(AA$6,'INPUT CP'!$A$3:$CO$3,0)),"")</f>
        <v>1</v>
      </c>
      <c r="AB7" s="476">
        <f t="shared" ref="AB7:AB56" si="2">(IF($D$7:$D64&lt;&gt;"",SUM(G7:V7),""))</f>
        <v>1043.166667</v>
      </c>
      <c r="AC7" s="476">
        <f t="shared" ref="AC7:AC56" si="3">iferror(if(D7:D64&lt;&gt;"",AVERAGE($G7:$V7),""),"AdaYgKosong!")</f>
        <v>80.24358974</v>
      </c>
      <c r="AD7" s="479">
        <f t="shared" ref="AD7:AD56" si="4">if(D7:D64&lt;&gt;"",rank(AB7,$AB$7:$AB$56),"")</f>
        <v>12</v>
      </c>
    </row>
    <row r="8" ht="11.25" customHeight="1">
      <c r="A8" s="482">
        <f>IFERROR(__xludf.DUMMYFUNCTION("""COMPUTED_VALUE"""),2.0)</f>
        <v>2</v>
      </c>
      <c r="B8" s="485" t="str">
        <f>IFERROR(__xludf.DUMMYFUNCTION("""COMPUTED_VALUE"""),"2526100415")</f>
        <v>2526100415</v>
      </c>
      <c r="C8" s="485" t="str">
        <f>IFERROR(__xludf.DUMMYFUNCTION("""COMPUTED_VALUE"""),"0094541761")</f>
        <v>0094541761</v>
      </c>
      <c r="D8" s="487" t="str">
        <f>IFERROR(__xludf.DUMMYFUNCTION("""COMPUTED_VALUE"""),"AHMAD YOPI JUMAEDI")</f>
        <v>AHMAD YOPI JUMAEDI</v>
      </c>
      <c r="E8" s="489" t="str">
        <f>IFERROR(__xludf.DUMMYFUNCTION("""COMPUTED_VALUE"""),"X TO 4")</f>
        <v>X TO 4</v>
      </c>
      <c r="F8" s="489" t="s">
        <v>220</v>
      </c>
      <c r="G8" s="438">
        <f t="array" ref="G8">IFERROR(INDEX('INPUT CP'!$A$4:$BB64,MATCH($D8,'INPUT CP'!$D$4:$D64,0),MATCH(G$6,'INPUT CP'!$A$3:$CO$3,0)),"")</f>
        <v>76.25</v>
      </c>
      <c r="H8" s="439">
        <f t="array" ref="H8">IFERROR(INDEX('INPUT CP'!$A$4:$BB64,MATCH($D8,'INPUT CP'!$D$4:$D64,0),MATCH(H$6,'INPUT CP'!$A$3:$CO$3,0)),"")</f>
        <v>82.75</v>
      </c>
      <c r="I8" s="441">
        <f t="array" ref="I8">IFERROR(INDEX('INPUT CP'!$A$4:$BB64,MATCH($D8,'INPUT CP'!$D$4:$D64,0),MATCH(I$6,'INPUT CP'!$A$3:$CO$3,0)),"")</f>
        <v>77.33333333</v>
      </c>
      <c r="J8" s="444">
        <f t="array" ref="J8">IFERROR(INDEX('INPUT CP'!$A$4:$BB64,MATCH($D8,'INPUT CP'!$D$4:$D64,0),MATCH(J$6,'INPUT CP'!$A$3:$CO$3,0)),"")</f>
        <v>90</v>
      </c>
      <c r="K8" s="446">
        <f t="array" ref="K8">IFERROR(INDEX('INPUT CP'!$A$4:$BB64,MATCH($D8,'INPUT CP'!$D$4:$D64,0),MATCH(K$6,'INPUT CP'!$A$3:$CO$3,0)),"")</f>
        <v>75</v>
      </c>
      <c r="L8" s="450">
        <f t="array" ref="L8">IFERROR(INDEX('INPUT CP'!$A$4:$BB64,MATCH($D8,'INPUT CP'!$D$4:$D64,0),MATCH(L$6,'INPUT CP'!$A$3:$CO$3,0)),"")</f>
        <v>88.83333333</v>
      </c>
      <c r="M8" s="451">
        <f t="array" ref="M8">IFERROR(INDEX('INPUT CP'!$A$4:$BB64,MATCH($D8,'INPUT CP'!$D$4:$D64,0),MATCH(M$6,'INPUT CP'!$A$3:$CO$3,0)),"")</f>
        <v>72.16666667</v>
      </c>
      <c r="N8" s="452">
        <f t="array" ref="N8">IFERROR(INDEX('INPUT CP'!$A$4:$BB64,MATCH($D8,'INPUT CP'!$D$4:$D64,0),MATCH(N$6,'INPUT CP'!$A$3:$CO$3,0)),"")</f>
        <v>72</v>
      </c>
      <c r="O8" s="438">
        <f t="array" ref="O8">IFERROR(INDEX('INPUT CP'!$A$4:$BB64,MATCH($D8,'INPUT CP'!$D$4:$D64,0),MATCH(O$6,'INPUT CP'!$A$3:$CO$3,0)),"")</f>
        <v>72</v>
      </c>
      <c r="P8" s="456">
        <f t="array" ref="P8">IFERROR(INDEX('INPUT CP'!$A$4:$BB64,MATCH($D8,'INPUT CP'!$D$4:$D64,0),MATCH(P$6,'INPUT CP'!$A$3:$CO$3,0)),"")</f>
        <v>80</v>
      </c>
      <c r="Q8" s="456">
        <f t="array" ref="Q8">IFERROR(INDEX('INPUT CP'!$A$4:$BB64,MATCH($D8,'INPUT CP'!$D$4:$D64,0),MATCH(Q$6,'INPUT CP'!$A$3:$CO$3,0)),"")</f>
        <v>39</v>
      </c>
      <c r="R8" s="456">
        <f t="array" ref="R8">IFERROR(INDEX('INPUT CP'!$A$4:$BB64,MATCH($D8,'INPUT CP'!$D$4:$D64,0),MATCH(R$6,'INPUT CP'!$A$3:$CO$3,0)),"")</f>
        <v>79.83333333</v>
      </c>
      <c r="S8" s="456">
        <f t="array" ref="S8">IFERROR(INDEX('INPUT CP'!$A$4:$BB64,MATCH($D8,'INPUT CP'!$D$4:$D64,0),MATCH(S$6,'INPUT CP'!$A$3:$CO$3,0)),"")</f>
        <v>77.66666667</v>
      </c>
      <c r="T8" s="461" t="str">
        <f t="array" ref="T8">IFERROR(INDEX('INPUT CP'!$A$4:$BB64,MATCH($D8,'INPUT CP'!$D$4:$D64,0),MATCH(T$6,'INPUT CP'!$A$3:$CO$3,0)),"")</f>
        <v/>
      </c>
      <c r="U8" s="463" t="str">
        <f t="array" ref="U8">IFERROR(INDEX('INPUT CP'!$A$4:$BB64,MATCH($D8,'INPUT CP'!$D$4:$D64,0),MATCH(U$6,'INPUT CP'!$A$3:$CO$3,0)),"")</f>
        <v/>
      </c>
      <c r="V8" s="439" t="str">
        <f t="array" ref="V8">IFERROR(INDEX('INPUT CP'!$A$4:$BB64,MATCH($D8,'INPUT CP'!$D$4:$D64,0),MATCH(V$6,'INPUT CP'!$A$3:$CO$3,0)),"")</f>
        <v/>
      </c>
      <c r="W8" s="513" t="str">
        <f t="array" ref="W8">IFERROR(INDEX('INPUT CP'!$A$4:$BB64,MATCH($D8,'INPUT CP'!$D$4:$D64,0),MATCH(W$6,'INPUT CP'!$A$3:$CO$3,0)),"")</f>
        <v/>
      </c>
      <c r="X8" s="514" t="str">
        <f t="array" ref="X8">IFERROR(INDEX('INPUT CP'!$A$4:$BB64,MATCH($D8,'INPUT CP'!$D$4:$D64,0),MATCH(X$6,'INPUT CP'!$A$3:$CO$3,0)),"")</f>
        <v/>
      </c>
      <c r="Y8" s="514" t="str">
        <f t="array" ref="Y8">IFERROR(INDEX('INPUT CP'!$A$4:$BB64,MATCH($D8,'INPUT CP'!$D$4:$D64,0),MATCH(Y$6,'INPUT CP'!$A$3:$CO$3,0)),"")</f>
        <v>18</v>
      </c>
      <c r="Z8" s="514" t="str">
        <f t="array" ref="Z8">IFERROR(INDEX('INPUT CP'!$A$4:$BB64,MATCH($D8,'INPUT CP'!$D$4:$D64,0),MATCH(Z$6,'INPUT CP'!$A$3:$CO$3,0)),"")</f>
        <v>-</v>
      </c>
      <c r="AA8" s="514" t="str">
        <f t="array" ref="AA8">IFERROR(INDEX('INPUT CP'!$A$4:$BB64,MATCH($D8,'INPUT CP'!$D$4:$D64,0),MATCH(AA$6,'INPUT CP'!$A$3:$CO$3,0)),"")</f>
        <v>1</v>
      </c>
      <c r="AB8" s="515">
        <f t="shared" si="2"/>
        <v>982.8333333</v>
      </c>
      <c r="AC8" s="515">
        <f t="shared" si="3"/>
        <v>75.6025641</v>
      </c>
      <c r="AD8" s="516">
        <f t="shared" si="4"/>
        <v>36</v>
      </c>
    </row>
    <row r="9" ht="11.25" customHeight="1">
      <c r="A9" s="423">
        <f>IFERROR(__xludf.DUMMYFUNCTION("""COMPUTED_VALUE"""),3.0)</f>
        <v>3</v>
      </c>
      <c r="B9" s="425" t="str">
        <f>IFERROR(__xludf.DUMMYFUNCTION("""COMPUTED_VALUE"""),"2526100416")</f>
        <v>2526100416</v>
      </c>
      <c r="C9" s="425" t="str">
        <f>IFERROR(__xludf.DUMMYFUNCTION("""COMPUTED_VALUE"""),"0095885037")</f>
        <v>0095885037</v>
      </c>
      <c r="D9" s="426" t="str">
        <f>IFERROR(__xludf.DUMMYFUNCTION("""COMPUTED_VALUE"""),"ALGI FALGIAN")</f>
        <v>ALGI FALGIAN</v>
      </c>
      <c r="E9" s="428" t="str">
        <f>IFERROR(__xludf.DUMMYFUNCTION("""COMPUTED_VALUE"""),"X TO 4")</f>
        <v>X TO 4</v>
      </c>
      <c r="F9" s="428" t="s">
        <v>220</v>
      </c>
      <c r="G9" s="438">
        <f t="array" ref="G9">IFERROR(INDEX('INPUT CP'!$A$4:$BB64,MATCH($D9,'INPUT CP'!$D$4:$D64,0),MATCH(G$6,'INPUT CP'!$A$3:$CO$3,0)),"")</f>
        <v>80</v>
      </c>
      <c r="H9" s="439">
        <f t="array" ref="H9">IFERROR(INDEX('INPUT CP'!$A$4:$BB64,MATCH($D9,'INPUT CP'!$D$4:$D64,0),MATCH(H$6,'INPUT CP'!$A$3:$CO$3,0)),"")</f>
        <v>79.25</v>
      </c>
      <c r="I9" s="441">
        <f t="array" ref="I9">IFERROR(INDEX('INPUT CP'!$A$4:$BB64,MATCH($D9,'INPUT CP'!$D$4:$D64,0),MATCH(I$6,'INPUT CP'!$A$3:$CO$3,0)),"")</f>
        <v>83.16666667</v>
      </c>
      <c r="J9" s="444">
        <f t="array" ref="J9">IFERROR(INDEX('INPUT CP'!$A$4:$BB64,MATCH($D9,'INPUT CP'!$D$4:$D64,0),MATCH(J$6,'INPUT CP'!$A$3:$CO$3,0)),"")</f>
        <v>83.25</v>
      </c>
      <c r="K9" s="446">
        <f t="array" ref="K9">IFERROR(INDEX('INPUT CP'!$A$4:$BB64,MATCH($D9,'INPUT CP'!$D$4:$D64,0),MATCH(K$6,'INPUT CP'!$A$3:$CO$3,0)),"")</f>
        <v>75</v>
      </c>
      <c r="L9" s="450">
        <f t="array" ref="L9">IFERROR(INDEX('INPUT CP'!$A$4:$BB64,MATCH($D9,'INPUT CP'!$D$4:$D64,0),MATCH(L$6,'INPUT CP'!$A$3:$CO$3,0)),"")</f>
        <v>89.33333333</v>
      </c>
      <c r="M9" s="451">
        <f t="array" ref="M9">IFERROR(INDEX('INPUT CP'!$A$4:$BB64,MATCH($D9,'INPUT CP'!$D$4:$D64,0),MATCH(M$6,'INPUT CP'!$A$3:$CO$3,0)),"")</f>
        <v>72.16666667</v>
      </c>
      <c r="N9" s="452">
        <f t="array" ref="N9">IFERROR(INDEX('INPUT CP'!$A$4:$BB64,MATCH($D9,'INPUT CP'!$D$4:$D64,0),MATCH(N$6,'INPUT CP'!$A$3:$CO$3,0)),"")</f>
        <v>80</v>
      </c>
      <c r="O9" s="438">
        <f t="array" ref="O9">IFERROR(INDEX('INPUT CP'!$A$4:$BB64,MATCH($D9,'INPUT CP'!$D$4:$D64,0),MATCH(O$6,'INPUT CP'!$A$3:$CO$3,0)),"")</f>
        <v>72</v>
      </c>
      <c r="P9" s="456">
        <f t="array" ref="P9">IFERROR(INDEX('INPUT CP'!$A$4:$BB64,MATCH($D9,'INPUT CP'!$D$4:$D64,0),MATCH(P$6,'INPUT CP'!$A$3:$CO$3,0)),"")</f>
        <v>80</v>
      </c>
      <c r="Q9" s="456">
        <f t="array" ref="Q9">IFERROR(INDEX('INPUT CP'!$A$4:$BB64,MATCH($D9,'INPUT CP'!$D$4:$D64,0),MATCH(Q$6,'INPUT CP'!$A$3:$CO$3,0)),"")</f>
        <v>37.5</v>
      </c>
      <c r="R9" s="456">
        <f t="array" ref="R9">IFERROR(INDEX('INPUT CP'!$A$4:$BB64,MATCH($D9,'INPUT CP'!$D$4:$D64,0),MATCH(R$6,'INPUT CP'!$A$3:$CO$3,0)),"")</f>
        <v>79.83333333</v>
      </c>
      <c r="S9" s="456">
        <f t="array" ref="S9">IFERROR(INDEX('INPUT CP'!$A$4:$BB64,MATCH($D9,'INPUT CP'!$D$4:$D64,0),MATCH(S$6,'INPUT CP'!$A$3:$CO$3,0)),"")</f>
        <v>78.33333333</v>
      </c>
      <c r="T9" s="461" t="str">
        <f t="array" ref="T9">IFERROR(INDEX('INPUT CP'!$A$4:$BB64,MATCH($D9,'INPUT CP'!$D$4:$D64,0),MATCH(T$6,'INPUT CP'!$A$3:$CO$3,0)),"")</f>
        <v/>
      </c>
      <c r="U9" s="463" t="str">
        <f t="array" ref="U9">IFERROR(INDEX('INPUT CP'!$A$4:$BB64,MATCH($D9,'INPUT CP'!$D$4:$D64,0),MATCH(U$6,'INPUT CP'!$A$3:$CO$3,0)),"")</f>
        <v/>
      </c>
      <c r="V9" s="439" t="str">
        <f t="array" ref="V9">IFERROR(INDEX('INPUT CP'!$A$4:$BB64,MATCH($D9,'INPUT CP'!$D$4:$D64,0),MATCH(V$6,'INPUT CP'!$A$3:$CO$3,0)),"")</f>
        <v/>
      </c>
      <c r="W9" s="468" t="str">
        <f t="array" ref="W9">IFERROR(INDEX('INPUT CP'!$A$4:$BB64,MATCH($D9,'INPUT CP'!$D$4:$D64,0),MATCH(W$6,'INPUT CP'!$A$3:$CO$3,0)),"")</f>
        <v/>
      </c>
      <c r="X9" s="470" t="str">
        <f t="array" ref="X9">IFERROR(INDEX('INPUT CP'!$A$4:$BB64,MATCH($D9,'INPUT CP'!$D$4:$D64,0),MATCH(X$6,'INPUT CP'!$A$3:$CO$3,0)),"")</f>
        <v/>
      </c>
      <c r="Y9" s="470" t="str">
        <f t="array" ref="Y9">IFERROR(INDEX('INPUT CP'!$A$4:$BB64,MATCH($D9,'INPUT CP'!$D$4:$D64,0),MATCH(Y$6,'INPUT CP'!$A$3:$CO$3,0)),"")</f>
        <v>4</v>
      </c>
      <c r="Z9" s="470" t="str">
        <f t="array" ref="Z9">IFERROR(INDEX('INPUT CP'!$A$4:$BB64,MATCH($D9,'INPUT CP'!$D$4:$D64,0),MATCH(Z$6,'INPUT CP'!$A$3:$CO$3,0)),"")</f>
        <v>2</v>
      </c>
      <c r="AA9" s="470" t="str">
        <f t="array" ref="AA9">IFERROR(INDEX('INPUT CP'!$A$4:$BB64,MATCH($D9,'INPUT CP'!$D$4:$D64,0),MATCH(AA$6,'INPUT CP'!$A$3:$CO$3,0)),"")</f>
        <v>5</v>
      </c>
      <c r="AB9" s="476">
        <f t="shared" si="2"/>
        <v>989.8333333</v>
      </c>
      <c r="AC9" s="476">
        <f t="shared" si="3"/>
        <v>76.14102564</v>
      </c>
      <c r="AD9" s="479">
        <f t="shared" si="4"/>
        <v>33</v>
      </c>
    </row>
    <row r="10" ht="11.25" customHeight="1">
      <c r="A10" s="482">
        <f>IFERROR(__xludf.DUMMYFUNCTION("""COMPUTED_VALUE"""),4.0)</f>
        <v>4</v>
      </c>
      <c r="B10" s="485" t="str">
        <f>IFERROR(__xludf.DUMMYFUNCTION("""COMPUTED_VALUE"""),"2526100417")</f>
        <v>2526100417</v>
      </c>
      <c r="C10" s="485" t="str">
        <f>IFERROR(__xludf.DUMMYFUNCTION("""COMPUTED_VALUE"""),"0095141993")</f>
        <v>0095141993</v>
      </c>
      <c r="D10" s="487" t="str">
        <f>IFERROR(__xludf.DUMMYFUNCTION("""COMPUTED_VALUE"""),"ALI PERMANA")</f>
        <v>ALI PERMANA</v>
      </c>
      <c r="E10" s="489" t="str">
        <f>IFERROR(__xludf.DUMMYFUNCTION("""COMPUTED_VALUE"""),"X TO 4")</f>
        <v>X TO 4</v>
      </c>
      <c r="F10" s="489" t="s">
        <v>220</v>
      </c>
      <c r="G10" s="438" t="str">
        <f t="array" ref="G10">IFERROR(INDEX('INPUT CP'!$A$4:$BB64,MATCH($D10,'INPUT CP'!$D$4:$D64,0),MATCH(G$6,'INPUT CP'!$A$3:$CO$3,0)),"")</f>
        <v/>
      </c>
      <c r="H10" s="439" t="str">
        <f t="array" ref="H10">IFERROR(INDEX('INPUT CP'!$A$4:$BB64,MATCH($D10,'INPUT CP'!$D$4:$D64,0),MATCH(H$6,'INPUT CP'!$A$3:$CO$3,0)),"")</f>
        <v/>
      </c>
      <c r="I10" s="441">
        <f t="array" ref="I10">IFERROR(INDEX('INPUT CP'!$A$4:$BB64,MATCH($D10,'INPUT CP'!$D$4:$D64,0),MATCH(I$6,'INPUT CP'!$A$3:$CO$3,0)),"")</f>
        <v>40.83333333</v>
      </c>
      <c r="J10" s="444">
        <f t="array" ref="J10">IFERROR(INDEX('INPUT CP'!$A$4:$BB64,MATCH($D10,'INPUT CP'!$D$4:$D64,0),MATCH(J$6,'INPUT CP'!$A$3:$CO$3,0)),"")</f>
        <v>75</v>
      </c>
      <c r="K10" s="446">
        <f t="array" ref="K10">IFERROR(INDEX('INPUT CP'!$A$4:$BB64,MATCH($D10,'INPUT CP'!$D$4:$D64,0),MATCH(K$6,'INPUT CP'!$A$3:$CO$3,0)),"")</f>
        <v>57</v>
      </c>
      <c r="L10" s="450">
        <f t="array" ref="L10">IFERROR(INDEX('INPUT CP'!$A$4:$BB64,MATCH($D10,'INPUT CP'!$D$4:$D64,0),MATCH(L$6,'INPUT CP'!$A$3:$CO$3,0)),"")</f>
        <v>81.5</v>
      </c>
      <c r="M10" s="451">
        <f t="array" ref="M10">IFERROR(INDEX('INPUT CP'!$A$4:$BB64,MATCH($D10,'INPUT CP'!$D$4:$D64,0),MATCH(M$6,'INPUT CP'!$A$3:$CO$3,0)),"")</f>
        <v>10</v>
      </c>
      <c r="N10" s="452">
        <f t="array" ref="N10">IFERROR(INDEX('INPUT CP'!$A$4:$BB64,MATCH($D10,'INPUT CP'!$D$4:$D64,0),MATCH(N$6,'INPUT CP'!$A$3:$CO$3,0)),"")</f>
        <v>72</v>
      </c>
      <c r="O10" s="438">
        <f t="array" ref="O10">IFERROR(INDEX('INPUT CP'!$A$4:$BB64,MATCH($D10,'INPUT CP'!$D$4:$D64,0),MATCH(O$6,'INPUT CP'!$A$3:$CO$3,0)),"")</f>
        <v>41</v>
      </c>
      <c r="P10" s="456">
        <f t="array" ref="P10">IFERROR(INDEX('INPUT CP'!$A$4:$BB64,MATCH($D10,'INPUT CP'!$D$4:$D64,0),MATCH(P$6,'INPUT CP'!$A$3:$CO$3,0)),"")</f>
        <v>80</v>
      </c>
      <c r="Q10" s="456">
        <f t="array" ref="Q10">IFERROR(INDEX('INPUT CP'!$A$4:$BB64,MATCH($D10,'INPUT CP'!$D$4:$D64,0),MATCH(Q$6,'INPUT CP'!$A$3:$CO$3,0)),"")</f>
        <v>0</v>
      </c>
      <c r="R10" s="456">
        <f t="array" ref="R10">IFERROR(INDEX('INPUT CP'!$A$4:$BB64,MATCH($D10,'INPUT CP'!$D$4:$D64,0),MATCH(R$6,'INPUT CP'!$A$3:$CO$3,0)),"")</f>
        <v>50</v>
      </c>
      <c r="S10" s="456">
        <f t="array" ref="S10">IFERROR(INDEX('INPUT CP'!$A$4:$BB64,MATCH($D10,'INPUT CP'!$D$4:$D64,0),MATCH(S$6,'INPUT CP'!$A$3:$CO$3,0)),"")</f>
        <v>46.66666667</v>
      </c>
      <c r="T10" s="461" t="str">
        <f t="array" ref="T10">IFERROR(INDEX('INPUT CP'!$A$4:$BB64,MATCH($D10,'INPUT CP'!$D$4:$D64,0),MATCH(T$6,'INPUT CP'!$A$3:$CO$3,0)),"")</f>
        <v/>
      </c>
      <c r="U10" s="463" t="str">
        <f t="array" ref="U10">IFERROR(INDEX('INPUT CP'!$A$4:$BB64,MATCH($D10,'INPUT CP'!$D$4:$D64,0),MATCH(U$6,'INPUT CP'!$A$3:$CO$3,0)),"")</f>
        <v/>
      </c>
      <c r="V10" s="439" t="str">
        <f t="array" ref="V10">IFERROR(INDEX('INPUT CP'!$A$4:$BB64,MATCH($D10,'INPUT CP'!$D$4:$D64,0),MATCH(V$6,'INPUT CP'!$A$3:$CO$3,0)),"")</f>
        <v/>
      </c>
      <c r="W10" s="513" t="str">
        <f t="array" ref="W10">IFERROR(INDEX('INPUT CP'!$A$4:$BB64,MATCH($D10,'INPUT CP'!$D$4:$D64,0),MATCH(W$6,'INPUT CP'!$A$3:$CO$3,0)),"")</f>
        <v/>
      </c>
      <c r="X10" s="514" t="str">
        <f t="array" ref="X10">IFERROR(INDEX('INPUT CP'!$A$4:$BB64,MATCH($D10,'INPUT CP'!$D$4:$D64,0),MATCH(X$6,'INPUT CP'!$A$3:$CO$3,0)),"")</f>
        <v/>
      </c>
      <c r="Y10" s="514" t="str">
        <f t="array" ref="Y10">IFERROR(INDEX('INPUT CP'!$A$4:$BB64,MATCH($D10,'INPUT CP'!$D$4:$D64,0),MATCH(Y$6,'INPUT CP'!$A$3:$CO$3,0)),"")</f>
        <v>23</v>
      </c>
      <c r="Z10" s="514" t="str">
        <f t="array" ref="Z10">IFERROR(INDEX('INPUT CP'!$A$4:$BB64,MATCH($D10,'INPUT CP'!$D$4:$D64,0),MATCH(Z$6,'INPUT CP'!$A$3:$CO$3,0)),"")</f>
        <v>5</v>
      </c>
      <c r="AA10" s="514" t="str">
        <f t="array" ref="AA10">IFERROR(INDEX('INPUT CP'!$A$4:$BB64,MATCH($D10,'INPUT CP'!$D$4:$D64,0),MATCH(AA$6,'INPUT CP'!$A$3:$CO$3,0)),"")</f>
        <v>42</v>
      </c>
      <c r="AB10" s="515">
        <f t="shared" si="2"/>
        <v>554</v>
      </c>
      <c r="AC10" s="515">
        <f t="shared" si="3"/>
        <v>50.36363636</v>
      </c>
      <c r="AD10" s="516">
        <f t="shared" si="4"/>
        <v>45</v>
      </c>
    </row>
    <row r="11" ht="11.25" customHeight="1">
      <c r="A11" s="423">
        <f>IFERROR(__xludf.DUMMYFUNCTION("""COMPUTED_VALUE"""),5.0)</f>
        <v>5</v>
      </c>
      <c r="B11" s="425" t="str">
        <f>IFERROR(__xludf.DUMMYFUNCTION("""COMPUTED_VALUE"""),"2526100418")</f>
        <v>2526100418</v>
      </c>
      <c r="C11" s="425" t="str">
        <f>IFERROR(__xludf.DUMMYFUNCTION("""COMPUTED_VALUE"""),"0107198266")</f>
        <v>0107198266</v>
      </c>
      <c r="D11" s="426" t="str">
        <f>IFERROR(__xludf.DUMMYFUNCTION("""COMPUTED_VALUE"""),"AZRIL EKA NUGRAHA")</f>
        <v>AZRIL EKA NUGRAHA</v>
      </c>
      <c r="E11" s="428" t="str">
        <f>IFERROR(__xludf.DUMMYFUNCTION("""COMPUTED_VALUE"""),"X TO 4")</f>
        <v>X TO 4</v>
      </c>
      <c r="F11" s="428" t="s">
        <v>220</v>
      </c>
      <c r="G11" s="438">
        <f t="array" ref="G11">IFERROR(INDEX('INPUT CP'!$A$4:$BB64,MATCH($D11,'INPUT CP'!$D$4:$D64,0),MATCH(G$6,'INPUT CP'!$A$3:$CO$3,0)),"")</f>
        <v>78.75</v>
      </c>
      <c r="H11" s="439">
        <f t="array" ref="H11">IFERROR(INDEX('INPUT CP'!$A$4:$BB64,MATCH($D11,'INPUT CP'!$D$4:$D64,0),MATCH(H$6,'INPUT CP'!$A$3:$CO$3,0)),"")</f>
        <v>83.25</v>
      </c>
      <c r="I11" s="441">
        <f t="array" ref="I11">IFERROR(INDEX('INPUT CP'!$A$4:$BB64,MATCH($D11,'INPUT CP'!$D$4:$D64,0),MATCH(I$6,'INPUT CP'!$A$3:$CO$3,0)),"")</f>
        <v>84.83333333</v>
      </c>
      <c r="J11" s="444">
        <f t="array" ref="J11">IFERROR(INDEX('INPUT CP'!$A$4:$BB64,MATCH($D11,'INPUT CP'!$D$4:$D64,0),MATCH(J$6,'INPUT CP'!$A$3:$CO$3,0)),"")</f>
        <v>88</v>
      </c>
      <c r="K11" s="446">
        <f t="array" ref="K11">IFERROR(INDEX('INPUT CP'!$A$4:$BB64,MATCH($D11,'INPUT CP'!$D$4:$D64,0),MATCH(K$6,'INPUT CP'!$A$3:$CO$3,0)),"")</f>
        <v>83</v>
      </c>
      <c r="L11" s="450">
        <f t="array" ref="L11">IFERROR(INDEX('INPUT CP'!$A$4:$BB64,MATCH($D11,'INPUT CP'!$D$4:$D64,0),MATCH(L$6,'INPUT CP'!$A$3:$CO$3,0)),"")</f>
        <v>89.5</v>
      </c>
      <c r="M11" s="451">
        <f t="array" ref="M11">IFERROR(INDEX('INPUT CP'!$A$4:$BB64,MATCH($D11,'INPUT CP'!$D$4:$D64,0),MATCH(M$6,'INPUT CP'!$A$3:$CO$3,0)),"")</f>
        <v>83.83333333</v>
      </c>
      <c r="N11" s="452">
        <f t="array" ref="N11">IFERROR(INDEX('INPUT CP'!$A$4:$BB64,MATCH($D11,'INPUT CP'!$D$4:$D64,0),MATCH(N$6,'INPUT CP'!$A$3:$CO$3,0)),"")</f>
        <v>72</v>
      </c>
      <c r="O11" s="438">
        <f t="array" ref="O11">IFERROR(INDEX('INPUT CP'!$A$4:$BB64,MATCH($D11,'INPUT CP'!$D$4:$D64,0),MATCH(O$6,'INPUT CP'!$A$3:$CO$3,0)),"")</f>
        <v>72</v>
      </c>
      <c r="P11" s="456">
        <f t="array" ref="P11">IFERROR(INDEX('INPUT CP'!$A$4:$BB64,MATCH($D11,'INPUT CP'!$D$4:$D64,0),MATCH(P$6,'INPUT CP'!$A$3:$CO$3,0)),"")</f>
        <v>80</v>
      </c>
      <c r="Q11" s="456">
        <f t="array" ref="Q11">IFERROR(INDEX('INPUT CP'!$A$4:$BB64,MATCH($D11,'INPUT CP'!$D$4:$D64,0),MATCH(Q$6,'INPUT CP'!$A$3:$CO$3,0)),"")</f>
        <v>50.83333333</v>
      </c>
      <c r="R11" s="456">
        <f t="array" ref="R11">IFERROR(INDEX('INPUT CP'!$A$4:$BB64,MATCH($D11,'INPUT CP'!$D$4:$D64,0),MATCH(R$6,'INPUT CP'!$A$3:$CO$3,0)),"")</f>
        <v>80</v>
      </c>
      <c r="S11" s="456">
        <f t="array" ref="S11">IFERROR(INDEX('INPUT CP'!$A$4:$BB64,MATCH($D11,'INPUT CP'!$D$4:$D64,0),MATCH(S$6,'INPUT CP'!$A$3:$CO$3,0)),"")</f>
        <v>78.33333333</v>
      </c>
      <c r="T11" s="461" t="str">
        <f t="array" ref="T11">IFERROR(INDEX('INPUT CP'!$A$4:$BB64,MATCH($D11,'INPUT CP'!$D$4:$D64,0),MATCH(T$6,'INPUT CP'!$A$3:$CO$3,0)),"")</f>
        <v/>
      </c>
      <c r="U11" s="463" t="str">
        <f t="array" ref="U11">IFERROR(INDEX('INPUT CP'!$A$4:$BB64,MATCH($D11,'INPUT CP'!$D$4:$D64,0),MATCH(U$6,'INPUT CP'!$A$3:$CO$3,0)),"")</f>
        <v/>
      </c>
      <c r="V11" s="439" t="str">
        <f t="array" ref="V11">IFERROR(INDEX('INPUT CP'!$A$4:$BB64,MATCH($D11,'INPUT CP'!$D$4:$D64,0),MATCH(V$6,'INPUT CP'!$A$3:$CO$3,0)),"")</f>
        <v/>
      </c>
      <c r="W11" s="468" t="str">
        <f t="array" ref="W11">IFERROR(INDEX('INPUT CP'!$A$4:$BB64,MATCH($D11,'INPUT CP'!$D$4:$D64,0),MATCH(W$6,'INPUT CP'!$A$3:$CO$3,0)),"")</f>
        <v/>
      </c>
      <c r="X11" s="470" t="str">
        <f t="array" ref="X11">IFERROR(INDEX('INPUT CP'!$A$4:$BB64,MATCH($D11,'INPUT CP'!$D$4:$D64,0),MATCH(X$6,'INPUT CP'!$A$3:$CO$3,0)),"")</f>
        <v/>
      </c>
      <c r="Y11" s="470" t="str">
        <f t="array" ref="Y11">IFERROR(INDEX('INPUT CP'!$A$4:$BB64,MATCH($D11,'INPUT CP'!$D$4:$D64,0),MATCH(Y$6,'INPUT CP'!$A$3:$CO$3,0)),"")</f>
        <v>11</v>
      </c>
      <c r="Z11" s="470" t="str">
        <f t="array" ref="Z11">IFERROR(INDEX('INPUT CP'!$A$4:$BB64,MATCH($D11,'INPUT CP'!$D$4:$D64,0),MATCH(Z$6,'INPUT CP'!$A$3:$CO$3,0)),"")</f>
        <v>-</v>
      </c>
      <c r="AA11" s="470" t="str">
        <f t="array" ref="AA11">IFERROR(INDEX('INPUT CP'!$A$4:$BB64,MATCH($D11,'INPUT CP'!$D$4:$D64,0),MATCH(AA$6,'INPUT CP'!$A$3:$CO$3,0)),"")</f>
        <v>-</v>
      </c>
      <c r="AB11" s="476">
        <f t="shared" si="2"/>
        <v>1024.333333</v>
      </c>
      <c r="AC11" s="476">
        <f t="shared" si="3"/>
        <v>78.79487179</v>
      </c>
      <c r="AD11" s="479">
        <f t="shared" si="4"/>
        <v>21</v>
      </c>
    </row>
    <row r="12" ht="11.25" customHeight="1">
      <c r="A12" s="482">
        <f>IFERROR(__xludf.DUMMYFUNCTION("""COMPUTED_VALUE"""),6.0)</f>
        <v>6</v>
      </c>
      <c r="B12" s="485" t="str">
        <f>IFERROR(__xludf.DUMMYFUNCTION("""COMPUTED_VALUE"""),"2526100419")</f>
        <v>2526100419</v>
      </c>
      <c r="C12" s="485" t="str">
        <f>IFERROR(__xludf.DUMMYFUNCTION("""COMPUTED_VALUE"""),"0096198310")</f>
        <v>0096198310</v>
      </c>
      <c r="D12" s="487" t="str">
        <f>IFERROR(__xludf.DUMMYFUNCTION("""COMPUTED_VALUE"""),"DIKA MUSTIKA SAPUTRA")</f>
        <v>DIKA MUSTIKA SAPUTRA</v>
      </c>
      <c r="E12" s="489" t="str">
        <f>IFERROR(__xludf.DUMMYFUNCTION("""COMPUTED_VALUE"""),"X TO 4")</f>
        <v>X TO 4</v>
      </c>
      <c r="F12" s="489" t="s">
        <v>220</v>
      </c>
      <c r="G12" s="438">
        <f t="array" ref="G12">IFERROR(INDEX('INPUT CP'!$A$4:$BB64,MATCH($D12,'INPUT CP'!$D$4:$D64,0),MATCH(G$6,'INPUT CP'!$A$3:$CO$3,0)),"")</f>
        <v>77.75</v>
      </c>
      <c r="H12" s="439">
        <f t="array" ref="H12">IFERROR(INDEX('INPUT CP'!$A$4:$BB64,MATCH($D12,'INPUT CP'!$D$4:$D64,0),MATCH(H$6,'INPUT CP'!$A$3:$CO$3,0)),"")</f>
        <v>82.75</v>
      </c>
      <c r="I12" s="441">
        <f t="array" ref="I12">IFERROR(INDEX('INPUT CP'!$A$4:$BB64,MATCH($D12,'INPUT CP'!$D$4:$D64,0),MATCH(I$6,'INPUT CP'!$A$3:$CO$3,0)),"")</f>
        <v>77</v>
      </c>
      <c r="J12" s="444">
        <f t="array" ref="J12">IFERROR(INDEX('INPUT CP'!$A$4:$BB64,MATCH($D12,'INPUT CP'!$D$4:$D64,0),MATCH(J$6,'INPUT CP'!$A$3:$CO$3,0)),"")</f>
        <v>88.5</v>
      </c>
      <c r="K12" s="446">
        <f t="array" ref="K12">IFERROR(INDEX('INPUT CP'!$A$4:$BB64,MATCH($D12,'INPUT CP'!$D$4:$D64,0),MATCH(K$6,'INPUT CP'!$A$3:$CO$3,0)),"")</f>
        <v>57</v>
      </c>
      <c r="L12" s="450">
        <f t="array" ref="L12">IFERROR(INDEX('INPUT CP'!$A$4:$BB64,MATCH($D12,'INPUT CP'!$D$4:$D64,0),MATCH(L$6,'INPUT CP'!$A$3:$CO$3,0)),"")</f>
        <v>89.66666667</v>
      </c>
      <c r="M12" s="451">
        <f t="array" ref="M12">IFERROR(INDEX('INPUT CP'!$A$4:$BB64,MATCH($D12,'INPUT CP'!$D$4:$D64,0),MATCH(M$6,'INPUT CP'!$A$3:$CO$3,0)),"")</f>
        <v>30</v>
      </c>
      <c r="N12" s="452">
        <f t="array" ref="N12">IFERROR(INDEX('INPUT CP'!$A$4:$BB64,MATCH($D12,'INPUT CP'!$D$4:$D64,0),MATCH(N$6,'INPUT CP'!$A$3:$CO$3,0)),"")</f>
        <v>72</v>
      </c>
      <c r="O12" s="438">
        <f t="array" ref="O12">IFERROR(INDEX('INPUT CP'!$A$4:$BB64,MATCH($D12,'INPUT CP'!$D$4:$D64,0),MATCH(O$6,'INPUT CP'!$A$3:$CO$3,0)),"")</f>
        <v>72</v>
      </c>
      <c r="P12" s="456">
        <f t="array" ref="P12">IFERROR(INDEX('INPUT CP'!$A$4:$BB64,MATCH($D12,'INPUT CP'!$D$4:$D64,0),MATCH(P$6,'INPUT CP'!$A$3:$CO$3,0)),"")</f>
        <v>80</v>
      </c>
      <c r="Q12" s="456">
        <f t="array" ref="Q12">IFERROR(INDEX('INPUT CP'!$A$4:$BB64,MATCH($D12,'INPUT CP'!$D$4:$D64,0),MATCH(Q$6,'INPUT CP'!$A$3:$CO$3,0)),"")</f>
        <v>39</v>
      </c>
      <c r="R12" s="456">
        <f t="array" ref="R12">IFERROR(INDEX('INPUT CP'!$A$4:$BB64,MATCH($D12,'INPUT CP'!$D$4:$D64,0),MATCH(R$6,'INPUT CP'!$A$3:$CO$3,0)),"")</f>
        <v>80</v>
      </c>
      <c r="S12" s="456">
        <f t="array" ref="S12">IFERROR(INDEX('INPUT CP'!$A$4:$BB64,MATCH($D12,'INPUT CP'!$D$4:$D64,0),MATCH(S$6,'INPUT CP'!$A$3:$CO$3,0)),"")</f>
        <v>77.66666667</v>
      </c>
      <c r="T12" s="461" t="str">
        <f t="array" ref="T12">IFERROR(INDEX('INPUT CP'!$A$4:$BB64,MATCH($D12,'INPUT CP'!$D$4:$D64,0),MATCH(T$6,'INPUT CP'!$A$3:$CO$3,0)),"")</f>
        <v/>
      </c>
      <c r="U12" s="463" t="str">
        <f t="array" ref="U12">IFERROR(INDEX('INPUT CP'!$A$4:$BB64,MATCH($D12,'INPUT CP'!$D$4:$D64,0),MATCH(U$6,'INPUT CP'!$A$3:$CO$3,0)),"")</f>
        <v/>
      </c>
      <c r="V12" s="439" t="str">
        <f t="array" ref="V12">IFERROR(INDEX('INPUT CP'!$A$4:$BB64,MATCH($D12,'INPUT CP'!$D$4:$D64,0),MATCH(V$6,'INPUT CP'!$A$3:$CO$3,0)),"")</f>
        <v/>
      </c>
      <c r="W12" s="513" t="str">
        <f t="array" ref="W12">IFERROR(INDEX('INPUT CP'!$A$4:$BB64,MATCH($D12,'INPUT CP'!$D$4:$D64,0),MATCH(W$6,'INPUT CP'!$A$3:$CO$3,0)),"")</f>
        <v/>
      </c>
      <c r="X12" s="514" t="str">
        <f t="array" ref="X12">IFERROR(INDEX('INPUT CP'!$A$4:$BB64,MATCH($D12,'INPUT CP'!$D$4:$D64,0),MATCH(X$6,'INPUT CP'!$A$3:$CO$3,0)),"")</f>
        <v/>
      </c>
      <c r="Y12" s="514" t="str">
        <f t="array" ref="Y12">IFERROR(INDEX('INPUT CP'!$A$4:$BB64,MATCH($D12,'INPUT CP'!$D$4:$D64,0),MATCH(Y$6,'INPUT CP'!$A$3:$CO$3,0)),"")</f>
        <v>5</v>
      </c>
      <c r="Z12" s="514" t="str">
        <f t="array" ref="Z12">IFERROR(INDEX('INPUT CP'!$A$4:$BB64,MATCH($D12,'INPUT CP'!$D$4:$D64,0),MATCH(Z$6,'INPUT CP'!$A$3:$CO$3,0)),"")</f>
        <v>-</v>
      </c>
      <c r="AA12" s="514" t="str">
        <f t="array" ref="AA12">IFERROR(INDEX('INPUT CP'!$A$4:$BB64,MATCH($D12,'INPUT CP'!$D$4:$D64,0),MATCH(AA$6,'INPUT CP'!$A$3:$CO$3,0)),"")</f>
        <v>-</v>
      </c>
      <c r="AB12" s="515">
        <f t="shared" si="2"/>
        <v>923.3333333</v>
      </c>
      <c r="AC12" s="515">
        <f t="shared" si="3"/>
        <v>71.02564103</v>
      </c>
      <c r="AD12" s="516">
        <f t="shared" si="4"/>
        <v>40</v>
      </c>
    </row>
    <row r="13" ht="11.25" customHeight="1">
      <c r="A13" s="423">
        <f>IFERROR(__xludf.DUMMYFUNCTION("""COMPUTED_VALUE"""),7.0)</f>
        <v>7</v>
      </c>
      <c r="B13" s="425" t="str">
        <f>IFERROR(__xludf.DUMMYFUNCTION("""COMPUTED_VALUE"""),"2526100420")</f>
        <v>2526100420</v>
      </c>
      <c r="C13" s="425" t="str">
        <f>IFERROR(__xludf.DUMMYFUNCTION("""COMPUTED_VALUE"""),"0092542662")</f>
        <v>0092542662</v>
      </c>
      <c r="D13" s="426" t="str">
        <f>IFERROR(__xludf.DUMMYFUNCTION("""COMPUTED_VALUE"""),"FAWAZ NAUPAL ALFATIR")</f>
        <v>FAWAZ NAUPAL ALFATIR</v>
      </c>
      <c r="E13" s="428" t="str">
        <f>IFERROR(__xludf.DUMMYFUNCTION("""COMPUTED_VALUE"""),"X TO 4")</f>
        <v>X TO 4</v>
      </c>
      <c r="F13" s="428" t="s">
        <v>220</v>
      </c>
      <c r="G13" s="438">
        <f t="array" ref="G13">IFERROR(INDEX('INPUT CP'!$A$4:$BB64,MATCH($D13,'INPUT CP'!$D$4:$D64,0),MATCH(G$6,'INPUT CP'!$A$3:$CO$3,0)),"")</f>
        <v>77.25</v>
      </c>
      <c r="H13" s="439">
        <f t="array" ref="H13">IFERROR(INDEX('INPUT CP'!$A$4:$BB64,MATCH($D13,'INPUT CP'!$D$4:$D64,0),MATCH(H$6,'INPUT CP'!$A$3:$CO$3,0)),"")</f>
        <v>81.25</v>
      </c>
      <c r="I13" s="441">
        <f t="array" ref="I13">IFERROR(INDEX('INPUT CP'!$A$4:$BB64,MATCH($D13,'INPUT CP'!$D$4:$D64,0),MATCH(I$6,'INPUT CP'!$A$3:$CO$3,0)),"")</f>
        <v>79.66666667</v>
      </c>
      <c r="J13" s="444">
        <f t="array" ref="J13">IFERROR(INDEX('INPUT CP'!$A$4:$BB64,MATCH($D13,'INPUT CP'!$D$4:$D64,0),MATCH(J$6,'INPUT CP'!$A$3:$CO$3,0)),"")</f>
        <v>88</v>
      </c>
      <c r="K13" s="446">
        <f t="array" ref="K13">IFERROR(INDEX('INPUT CP'!$A$4:$BB64,MATCH($D13,'INPUT CP'!$D$4:$D64,0),MATCH(K$6,'INPUT CP'!$A$3:$CO$3,0)),"")</f>
        <v>78</v>
      </c>
      <c r="L13" s="450">
        <f t="array" ref="L13">IFERROR(INDEX('INPUT CP'!$A$4:$BB64,MATCH($D13,'INPUT CP'!$D$4:$D64,0),MATCH(L$6,'INPUT CP'!$A$3:$CO$3,0)),"")</f>
        <v>89.66666667</v>
      </c>
      <c r="M13" s="451">
        <f t="array" ref="M13">IFERROR(INDEX('INPUT CP'!$A$4:$BB64,MATCH($D13,'INPUT CP'!$D$4:$D64,0),MATCH(M$6,'INPUT CP'!$A$3:$CO$3,0)),"")</f>
        <v>77</v>
      </c>
      <c r="N13" s="452">
        <f t="array" ref="N13">IFERROR(INDEX('INPUT CP'!$A$4:$BB64,MATCH($D13,'INPUT CP'!$D$4:$D64,0),MATCH(N$6,'INPUT CP'!$A$3:$CO$3,0)),"")</f>
        <v>75</v>
      </c>
      <c r="O13" s="438">
        <f t="array" ref="O13">IFERROR(INDEX('INPUT CP'!$A$4:$BB64,MATCH($D13,'INPUT CP'!$D$4:$D64,0),MATCH(O$6,'INPUT CP'!$A$3:$CO$3,0)),"")</f>
        <v>75.5</v>
      </c>
      <c r="P13" s="456">
        <f t="array" ref="P13">IFERROR(INDEX('INPUT CP'!$A$4:$BB64,MATCH($D13,'INPUT CP'!$D$4:$D64,0),MATCH(P$6,'INPUT CP'!$A$3:$CO$3,0)),"")</f>
        <v>80</v>
      </c>
      <c r="Q13" s="456">
        <f t="array" ref="Q13">IFERROR(INDEX('INPUT CP'!$A$4:$BB64,MATCH($D13,'INPUT CP'!$D$4:$D64,0),MATCH(Q$6,'INPUT CP'!$A$3:$CO$3,0)),"")</f>
        <v>81.33333333</v>
      </c>
      <c r="R13" s="456">
        <f t="array" ref="R13">IFERROR(INDEX('INPUT CP'!$A$4:$BB64,MATCH($D13,'INPUT CP'!$D$4:$D64,0),MATCH(R$6,'INPUT CP'!$A$3:$CO$3,0)),"")</f>
        <v>79.83333333</v>
      </c>
      <c r="S13" s="456">
        <f t="array" ref="S13">IFERROR(INDEX('INPUT CP'!$A$4:$BB64,MATCH($D13,'INPUT CP'!$D$4:$D64,0),MATCH(S$6,'INPUT CP'!$A$3:$CO$3,0)),"")</f>
        <v>77.33333333</v>
      </c>
      <c r="T13" s="461" t="str">
        <f t="array" ref="T13">IFERROR(INDEX('INPUT CP'!$A$4:$BB64,MATCH($D13,'INPUT CP'!$D$4:$D64,0),MATCH(T$6,'INPUT CP'!$A$3:$CO$3,0)),"")</f>
        <v/>
      </c>
      <c r="U13" s="463" t="str">
        <f t="array" ref="U13">IFERROR(INDEX('INPUT CP'!$A$4:$BB64,MATCH($D13,'INPUT CP'!$D$4:$D64,0),MATCH(U$6,'INPUT CP'!$A$3:$CO$3,0)),"")</f>
        <v/>
      </c>
      <c r="V13" s="439" t="str">
        <f t="array" ref="V13">IFERROR(INDEX('INPUT CP'!$A$4:$BB64,MATCH($D13,'INPUT CP'!$D$4:$D64,0),MATCH(V$6,'INPUT CP'!$A$3:$CO$3,0)),"")</f>
        <v/>
      </c>
      <c r="W13" s="468" t="str">
        <f t="array" ref="W13">IFERROR(INDEX('INPUT CP'!$A$4:$BB64,MATCH($D13,'INPUT CP'!$D$4:$D64,0),MATCH(W$6,'INPUT CP'!$A$3:$CO$3,0)),"")</f>
        <v/>
      </c>
      <c r="X13" s="470" t="str">
        <f t="array" ref="X13">IFERROR(INDEX('INPUT CP'!$A$4:$BB64,MATCH($D13,'INPUT CP'!$D$4:$D64,0),MATCH(X$6,'INPUT CP'!$A$3:$CO$3,0)),"")</f>
        <v/>
      </c>
      <c r="Y13" s="470" t="str">
        <f t="array" ref="Y13">IFERROR(INDEX('INPUT CP'!$A$4:$BB64,MATCH($D13,'INPUT CP'!$D$4:$D64,0),MATCH(Y$6,'INPUT CP'!$A$3:$CO$3,0)),"")</f>
        <v>7</v>
      </c>
      <c r="Z13" s="470" t="str">
        <f t="array" ref="Z13">IFERROR(INDEX('INPUT CP'!$A$4:$BB64,MATCH($D13,'INPUT CP'!$D$4:$D64,0),MATCH(Z$6,'INPUT CP'!$A$3:$CO$3,0)),"")</f>
        <v>-</v>
      </c>
      <c r="AA13" s="470" t="str">
        <f t="array" ref="AA13">IFERROR(INDEX('INPUT CP'!$A$4:$BB64,MATCH($D13,'INPUT CP'!$D$4:$D64,0),MATCH(AA$6,'INPUT CP'!$A$3:$CO$3,0)),"")</f>
        <v>-</v>
      </c>
      <c r="AB13" s="476">
        <f t="shared" si="2"/>
        <v>1039.833333</v>
      </c>
      <c r="AC13" s="476">
        <f t="shared" si="3"/>
        <v>79.98717949</v>
      </c>
      <c r="AD13" s="479">
        <f t="shared" si="4"/>
        <v>16</v>
      </c>
    </row>
    <row r="14" ht="11.25" customHeight="1">
      <c r="A14" s="482">
        <f>IFERROR(__xludf.DUMMYFUNCTION("""COMPUTED_VALUE"""),8.0)</f>
        <v>8</v>
      </c>
      <c r="B14" s="485" t="str">
        <f>IFERROR(__xludf.DUMMYFUNCTION("""COMPUTED_VALUE"""),"2526100421")</f>
        <v>2526100421</v>
      </c>
      <c r="C14" s="485" t="str">
        <f>IFERROR(__xludf.DUMMYFUNCTION("""COMPUTED_VALUE"""),"0107343620")</f>
        <v>0107343620</v>
      </c>
      <c r="D14" s="487" t="str">
        <f>IFERROR(__xludf.DUMMYFUNCTION("""COMPUTED_VALUE"""),"FIKRI AHMAD NAWAWI")</f>
        <v>FIKRI AHMAD NAWAWI</v>
      </c>
      <c r="E14" s="489" t="str">
        <f>IFERROR(__xludf.DUMMYFUNCTION("""COMPUTED_VALUE"""),"X TO 4")</f>
        <v>X TO 4</v>
      </c>
      <c r="F14" s="489" t="s">
        <v>220</v>
      </c>
      <c r="G14" s="438">
        <f t="array" ref="G14">IFERROR(INDEX('INPUT CP'!$A$4:$BB64,MATCH($D14,'INPUT CP'!$D$4:$D64,0),MATCH(G$6,'INPUT CP'!$A$3:$CO$3,0)),"")</f>
        <v>78.5</v>
      </c>
      <c r="H14" s="439">
        <f t="array" ref="H14">IFERROR(INDEX('INPUT CP'!$A$4:$BB64,MATCH($D14,'INPUT CP'!$D$4:$D64,0),MATCH(H$6,'INPUT CP'!$A$3:$CO$3,0)),"")</f>
        <v>82.25</v>
      </c>
      <c r="I14" s="441">
        <f t="array" ref="I14">IFERROR(INDEX('INPUT CP'!$A$4:$BB64,MATCH($D14,'INPUT CP'!$D$4:$D64,0),MATCH(I$6,'INPUT CP'!$A$3:$CO$3,0)),"")</f>
        <v>78</v>
      </c>
      <c r="J14" s="444">
        <f t="array" ref="J14">IFERROR(INDEX('INPUT CP'!$A$4:$BB64,MATCH($D14,'INPUT CP'!$D$4:$D64,0),MATCH(J$6,'INPUT CP'!$A$3:$CO$3,0)),"")</f>
        <v>86.75</v>
      </c>
      <c r="K14" s="446">
        <f t="array" ref="K14">IFERROR(INDEX('INPUT CP'!$A$4:$BB64,MATCH($D14,'INPUT CP'!$D$4:$D64,0),MATCH(K$6,'INPUT CP'!$A$3:$CO$3,0)),"")</f>
        <v>78</v>
      </c>
      <c r="L14" s="450">
        <f t="array" ref="L14">IFERROR(INDEX('INPUT CP'!$A$4:$BB64,MATCH($D14,'INPUT CP'!$D$4:$D64,0),MATCH(L$6,'INPUT CP'!$A$3:$CO$3,0)),"")</f>
        <v>89.16666667</v>
      </c>
      <c r="M14" s="451">
        <f t="array" ref="M14">IFERROR(INDEX('INPUT CP'!$A$4:$BB64,MATCH($D14,'INPUT CP'!$D$4:$D64,0),MATCH(M$6,'INPUT CP'!$A$3:$CO$3,0)),"")</f>
        <v>79.5</v>
      </c>
      <c r="N14" s="452">
        <f t="array" ref="N14">IFERROR(INDEX('INPUT CP'!$A$4:$BB64,MATCH($D14,'INPUT CP'!$D$4:$D64,0),MATCH(N$6,'INPUT CP'!$A$3:$CO$3,0)),"")</f>
        <v>72</v>
      </c>
      <c r="O14" s="438">
        <f t="array" ref="O14">IFERROR(INDEX('INPUT CP'!$A$4:$BB64,MATCH($D14,'INPUT CP'!$D$4:$D64,0),MATCH(O$6,'INPUT CP'!$A$3:$CO$3,0)),"")</f>
        <v>72</v>
      </c>
      <c r="P14" s="456">
        <f t="array" ref="P14">IFERROR(INDEX('INPUT CP'!$A$4:$BB64,MATCH($D14,'INPUT CP'!$D$4:$D64,0),MATCH(P$6,'INPUT CP'!$A$3:$CO$3,0)),"")</f>
        <v>80</v>
      </c>
      <c r="Q14" s="456">
        <f t="array" ref="Q14">IFERROR(INDEX('INPUT CP'!$A$4:$BB64,MATCH($D14,'INPUT CP'!$D$4:$D64,0),MATCH(Q$6,'INPUT CP'!$A$3:$CO$3,0)),"")</f>
        <v>39</v>
      </c>
      <c r="R14" s="456">
        <f t="array" ref="R14">IFERROR(INDEX('INPUT CP'!$A$4:$BB64,MATCH($D14,'INPUT CP'!$D$4:$D64,0),MATCH(R$6,'INPUT CP'!$A$3:$CO$3,0)),"")</f>
        <v>80.33333333</v>
      </c>
      <c r="S14" s="456">
        <f t="array" ref="S14">IFERROR(INDEX('INPUT CP'!$A$4:$BB64,MATCH($D14,'INPUT CP'!$D$4:$D64,0),MATCH(S$6,'INPUT CP'!$A$3:$CO$3,0)),"")</f>
        <v>77.66666667</v>
      </c>
      <c r="T14" s="461" t="str">
        <f t="array" ref="T14">IFERROR(INDEX('INPUT CP'!$A$4:$BB64,MATCH($D14,'INPUT CP'!$D$4:$D64,0),MATCH(T$6,'INPUT CP'!$A$3:$CO$3,0)),"")</f>
        <v/>
      </c>
      <c r="U14" s="463" t="str">
        <f t="array" ref="U14">IFERROR(INDEX('INPUT CP'!$A$4:$BB64,MATCH($D14,'INPUT CP'!$D$4:$D64,0),MATCH(U$6,'INPUT CP'!$A$3:$CO$3,0)),"")</f>
        <v/>
      </c>
      <c r="V14" s="439" t="str">
        <f t="array" ref="V14">IFERROR(INDEX('INPUT CP'!$A$4:$BB64,MATCH($D14,'INPUT CP'!$D$4:$D64,0),MATCH(V$6,'INPUT CP'!$A$3:$CO$3,0)),"")</f>
        <v/>
      </c>
      <c r="W14" s="513" t="str">
        <f t="array" ref="W14">IFERROR(INDEX('INPUT CP'!$A$4:$BB64,MATCH($D14,'INPUT CP'!$D$4:$D64,0),MATCH(W$6,'INPUT CP'!$A$3:$CO$3,0)),"")</f>
        <v/>
      </c>
      <c r="X14" s="514" t="str">
        <f t="array" ref="X14">IFERROR(INDEX('INPUT CP'!$A$4:$BB64,MATCH($D14,'INPUT CP'!$D$4:$D64,0),MATCH(X$6,'INPUT CP'!$A$3:$CO$3,0)),"")</f>
        <v/>
      </c>
      <c r="Y14" s="514" t="str">
        <f t="array" ref="Y14">IFERROR(INDEX('INPUT CP'!$A$4:$BB64,MATCH($D14,'INPUT CP'!$D$4:$D64,0),MATCH(Y$6,'INPUT CP'!$A$3:$CO$3,0)),"")</f>
        <v>2</v>
      </c>
      <c r="Z14" s="514" t="str">
        <f t="array" ref="Z14">IFERROR(INDEX('INPUT CP'!$A$4:$BB64,MATCH($D14,'INPUT CP'!$D$4:$D64,0),MATCH(Z$6,'INPUT CP'!$A$3:$CO$3,0)),"")</f>
        <v>-</v>
      </c>
      <c r="AA14" s="514" t="str">
        <f t="array" ref="AA14">IFERROR(INDEX('INPUT CP'!$A$4:$BB64,MATCH($D14,'INPUT CP'!$D$4:$D64,0),MATCH(AA$6,'INPUT CP'!$A$3:$CO$3,0)),"")</f>
        <v>2</v>
      </c>
      <c r="AB14" s="515">
        <f t="shared" si="2"/>
        <v>993.1666667</v>
      </c>
      <c r="AC14" s="515">
        <f t="shared" si="3"/>
        <v>76.3974359</v>
      </c>
      <c r="AD14" s="516">
        <f t="shared" si="4"/>
        <v>31</v>
      </c>
    </row>
    <row r="15" ht="11.25" customHeight="1">
      <c r="A15" s="423">
        <f>IFERROR(__xludf.DUMMYFUNCTION("""COMPUTED_VALUE"""),9.0)</f>
        <v>9</v>
      </c>
      <c r="B15" s="425" t="str">
        <f>IFERROR(__xludf.DUMMYFUNCTION("""COMPUTED_VALUE"""),"2526100422")</f>
        <v>2526100422</v>
      </c>
      <c r="C15" s="425" t="str">
        <f>IFERROR(__xludf.DUMMYFUNCTION("""COMPUTED_VALUE"""),"0076614788")</f>
        <v>0076614788</v>
      </c>
      <c r="D15" s="426" t="str">
        <f>IFERROR(__xludf.DUMMYFUNCTION("""COMPUTED_VALUE"""),"HADI NURYADI")</f>
        <v>HADI NURYADI</v>
      </c>
      <c r="E15" s="428" t="str">
        <f>IFERROR(__xludf.DUMMYFUNCTION("""COMPUTED_VALUE"""),"X TO 4")</f>
        <v>X TO 4</v>
      </c>
      <c r="F15" s="428" t="s">
        <v>220</v>
      </c>
      <c r="G15" s="438">
        <f t="array" ref="G15">IFERROR(INDEX('INPUT CP'!$A$4:$BB64,MATCH($D15,'INPUT CP'!$D$4:$D64,0),MATCH(G$6,'INPUT CP'!$A$3:$CO$3,0)),"")</f>
        <v>77.75</v>
      </c>
      <c r="H15" s="439">
        <f t="array" ref="H15">IFERROR(INDEX('INPUT CP'!$A$4:$BB64,MATCH($D15,'INPUT CP'!$D$4:$D64,0),MATCH(H$6,'INPUT CP'!$A$3:$CO$3,0)),"")</f>
        <v>83.75</v>
      </c>
      <c r="I15" s="441">
        <f t="array" ref="I15">IFERROR(INDEX('INPUT CP'!$A$4:$BB64,MATCH($D15,'INPUT CP'!$D$4:$D64,0),MATCH(I$6,'INPUT CP'!$A$3:$CO$3,0)),"")</f>
        <v>79</v>
      </c>
      <c r="J15" s="444">
        <f t="array" ref="J15">IFERROR(INDEX('INPUT CP'!$A$4:$BB64,MATCH($D15,'INPUT CP'!$D$4:$D64,0),MATCH(J$6,'INPUT CP'!$A$3:$CO$3,0)),"")</f>
        <v>83.25</v>
      </c>
      <c r="K15" s="446">
        <f t="array" ref="K15">IFERROR(INDEX('INPUT CP'!$A$4:$BB64,MATCH($D15,'INPUT CP'!$D$4:$D64,0),MATCH(K$6,'INPUT CP'!$A$3:$CO$3,0)),"")</f>
        <v>76</v>
      </c>
      <c r="L15" s="450">
        <f t="array" ref="L15">IFERROR(INDEX('INPUT CP'!$A$4:$BB64,MATCH($D15,'INPUT CP'!$D$4:$D64,0),MATCH(L$6,'INPUT CP'!$A$3:$CO$3,0)),"")</f>
        <v>90</v>
      </c>
      <c r="M15" s="451">
        <f t="array" ref="M15">IFERROR(INDEX('INPUT CP'!$A$4:$BB64,MATCH($D15,'INPUT CP'!$D$4:$D64,0),MATCH(M$6,'INPUT CP'!$A$3:$CO$3,0)),"")</f>
        <v>73.16666667</v>
      </c>
      <c r="N15" s="452">
        <f t="array" ref="N15">IFERROR(INDEX('INPUT CP'!$A$4:$BB64,MATCH($D15,'INPUT CP'!$D$4:$D64,0),MATCH(N$6,'INPUT CP'!$A$3:$CO$3,0)),"")</f>
        <v>80</v>
      </c>
      <c r="O15" s="438">
        <f t="array" ref="O15">IFERROR(INDEX('INPUT CP'!$A$4:$BB64,MATCH($D15,'INPUT CP'!$D$4:$D64,0),MATCH(O$6,'INPUT CP'!$A$3:$CO$3,0)),"")</f>
        <v>72</v>
      </c>
      <c r="P15" s="456">
        <f t="array" ref="P15">IFERROR(INDEX('INPUT CP'!$A$4:$BB64,MATCH($D15,'INPUT CP'!$D$4:$D64,0),MATCH(P$6,'INPUT CP'!$A$3:$CO$3,0)),"")</f>
        <v>80</v>
      </c>
      <c r="Q15" s="456">
        <f t="array" ref="Q15">IFERROR(INDEX('INPUT CP'!$A$4:$BB64,MATCH($D15,'INPUT CP'!$D$4:$D64,0),MATCH(Q$6,'INPUT CP'!$A$3:$CO$3,0)),"")</f>
        <v>40</v>
      </c>
      <c r="R15" s="456">
        <f t="array" ref="R15">IFERROR(INDEX('INPUT CP'!$A$4:$BB64,MATCH($D15,'INPUT CP'!$D$4:$D64,0),MATCH(R$6,'INPUT CP'!$A$3:$CO$3,0)),"")</f>
        <v>78.33333333</v>
      </c>
      <c r="S15" s="456">
        <f t="array" ref="S15">IFERROR(INDEX('INPUT CP'!$A$4:$BB64,MATCH($D15,'INPUT CP'!$D$4:$D64,0),MATCH(S$6,'INPUT CP'!$A$3:$CO$3,0)),"")</f>
        <v>78</v>
      </c>
      <c r="T15" s="461" t="str">
        <f t="array" ref="T15">IFERROR(INDEX('INPUT CP'!$A$4:$BB64,MATCH($D15,'INPUT CP'!$D$4:$D64,0),MATCH(T$6,'INPUT CP'!$A$3:$CO$3,0)),"")</f>
        <v/>
      </c>
      <c r="U15" s="463" t="str">
        <f t="array" ref="U15">IFERROR(INDEX('INPUT CP'!$A$4:$BB64,MATCH($D15,'INPUT CP'!$D$4:$D64,0),MATCH(U$6,'INPUT CP'!$A$3:$CO$3,0)),"")</f>
        <v/>
      </c>
      <c r="V15" s="439" t="str">
        <f t="array" ref="V15">IFERROR(INDEX('INPUT CP'!$A$4:$BB64,MATCH($D15,'INPUT CP'!$D$4:$D64,0),MATCH(V$6,'INPUT CP'!$A$3:$CO$3,0)),"")</f>
        <v/>
      </c>
      <c r="W15" s="468" t="str">
        <f t="array" ref="W15">IFERROR(INDEX('INPUT CP'!$A$4:$BB64,MATCH($D15,'INPUT CP'!$D$4:$D64,0),MATCH(W$6,'INPUT CP'!$A$3:$CO$3,0)),"")</f>
        <v/>
      </c>
      <c r="X15" s="470" t="str">
        <f t="array" ref="X15">IFERROR(INDEX('INPUT CP'!$A$4:$BB64,MATCH($D15,'INPUT CP'!$D$4:$D64,0),MATCH(X$6,'INPUT CP'!$A$3:$CO$3,0)),"")</f>
        <v/>
      </c>
      <c r="Y15" s="470" t="str">
        <f t="array" ref="Y15">IFERROR(INDEX('INPUT CP'!$A$4:$BB64,MATCH($D15,'INPUT CP'!$D$4:$D64,0),MATCH(Y$6,'INPUT CP'!$A$3:$CO$3,0)),"")</f>
        <v>3</v>
      </c>
      <c r="Z15" s="470" t="str">
        <f t="array" ref="Z15">IFERROR(INDEX('INPUT CP'!$A$4:$BB64,MATCH($D15,'INPUT CP'!$D$4:$D64,0),MATCH(Z$6,'INPUT CP'!$A$3:$CO$3,0)),"")</f>
        <v>1</v>
      </c>
      <c r="AA15" s="470" t="str">
        <f t="array" ref="AA15">IFERROR(INDEX('INPUT CP'!$A$4:$BB64,MATCH($D15,'INPUT CP'!$D$4:$D64,0),MATCH(AA$6,'INPUT CP'!$A$3:$CO$3,0)),"")</f>
        <v>-</v>
      </c>
      <c r="AB15" s="476">
        <f t="shared" si="2"/>
        <v>991.25</v>
      </c>
      <c r="AC15" s="476">
        <f t="shared" si="3"/>
        <v>76.25</v>
      </c>
      <c r="AD15" s="479">
        <f t="shared" si="4"/>
        <v>32</v>
      </c>
    </row>
    <row r="16" ht="11.25" customHeight="1">
      <c r="A16" s="482">
        <f>IFERROR(__xludf.DUMMYFUNCTION("""COMPUTED_VALUE"""),10.0)</f>
        <v>10</v>
      </c>
      <c r="B16" s="485" t="str">
        <f>IFERROR(__xludf.DUMMYFUNCTION("""COMPUTED_VALUE"""),"2526100423")</f>
        <v>2526100423</v>
      </c>
      <c r="C16" s="485" t="str">
        <f>IFERROR(__xludf.DUMMYFUNCTION("""COMPUTED_VALUE"""),"0093759169")</f>
        <v>0093759169</v>
      </c>
      <c r="D16" s="487" t="str">
        <f>IFERROR(__xludf.DUMMYFUNCTION("""COMPUTED_VALUE"""),"IBNU WANALI")</f>
        <v>IBNU WANALI</v>
      </c>
      <c r="E16" s="489" t="str">
        <f>IFERROR(__xludf.DUMMYFUNCTION("""COMPUTED_VALUE"""),"X TO 4")</f>
        <v>X TO 4</v>
      </c>
      <c r="F16" s="489" t="s">
        <v>220</v>
      </c>
      <c r="G16" s="438">
        <f t="array" ref="G16">IFERROR(INDEX('INPUT CP'!$A$4:$BB64,MATCH($D16,'INPUT CP'!$D$4:$D64,0),MATCH(G$6,'INPUT CP'!$A$3:$CO$3,0)),"")</f>
        <v>78.25</v>
      </c>
      <c r="H16" s="439">
        <f t="array" ref="H16">IFERROR(INDEX('INPUT CP'!$A$4:$BB64,MATCH($D16,'INPUT CP'!$D$4:$D64,0),MATCH(H$6,'INPUT CP'!$A$3:$CO$3,0)),"")</f>
        <v>82</v>
      </c>
      <c r="I16" s="441">
        <f t="array" ref="I16">IFERROR(INDEX('INPUT CP'!$A$4:$BB64,MATCH($D16,'INPUT CP'!$D$4:$D64,0),MATCH(I$6,'INPUT CP'!$A$3:$CO$3,0)),"")</f>
        <v>79.66666667</v>
      </c>
      <c r="J16" s="444">
        <f t="array" ref="J16">IFERROR(INDEX('INPUT CP'!$A$4:$BB64,MATCH($D16,'INPUT CP'!$D$4:$D64,0),MATCH(J$6,'INPUT CP'!$A$3:$CO$3,0)),"")</f>
        <v>82.5</v>
      </c>
      <c r="K16" s="446">
        <f t="array" ref="K16">IFERROR(INDEX('INPUT CP'!$A$4:$BB64,MATCH($D16,'INPUT CP'!$D$4:$D64,0),MATCH(K$6,'INPUT CP'!$A$3:$CO$3,0)),"")</f>
        <v>75</v>
      </c>
      <c r="L16" s="450">
        <f t="array" ref="L16">IFERROR(INDEX('INPUT CP'!$A$4:$BB64,MATCH($D16,'INPUT CP'!$D$4:$D64,0),MATCH(L$6,'INPUT CP'!$A$3:$CO$3,0)),"")</f>
        <v>89.83333333</v>
      </c>
      <c r="M16" s="451">
        <f t="array" ref="M16">IFERROR(INDEX('INPUT CP'!$A$4:$BB64,MATCH($D16,'INPUT CP'!$D$4:$D64,0),MATCH(M$6,'INPUT CP'!$A$3:$CO$3,0)),"")</f>
        <v>73</v>
      </c>
      <c r="N16" s="452">
        <f t="array" ref="N16">IFERROR(INDEX('INPUT CP'!$A$4:$BB64,MATCH($D16,'INPUT CP'!$D$4:$D64,0),MATCH(N$6,'INPUT CP'!$A$3:$CO$3,0)),"")</f>
        <v>76</v>
      </c>
      <c r="O16" s="438">
        <f t="array" ref="O16">IFERROR(INDEX('INPUT CP'!$A$4:$BB64,MATCH($D16,'INPUT CP'!$D$4:$D64,0),MATCH(O$6,'INPUT CP'!$A$3:$CO$3,0)),"")</f>
        <v>72</v>
      </c>
      <c r="P16" s="456">
        <f t="array" ref="P16">IFERROR(INDEX('INPUT CP'!$A$4:$BB64,MATCH($D16,'INPUT CP'!$D$4:$D64,0),MATCH(P$6,'INPUT CP'!$A$3:$CO$3,0)),"")</f>
        <v>80</v>
      </c>
      <c r="Q16" s="456">
        <f t="array" ref="Q16">IFERROR(INDEX('INPUT CP'!$A$4:$BB64,MATCH($D16,'INPUT CP'!$D$4:$D64,0),MATCH(Q$6,'INPUT CP'!$A$3:$CO$3,0)),"")</f>
        <v>55.33333333</v>
      </c>
      <c r="R16" s="456">
        <f t="array" ref="R16">IFERROR(INDEX('INPUT CP'!$A$4:$BB64,MATCH($D16,'INPUT CP'!$D$4:$D64,0),MATCH(R$6,'INPUT CP'!$A$3:$CO$3,0)),"")</f>
        <v>80</v>
      </c>
      <c r="S16" s="456">
        <f t="array" ref="S16">IFERROR(INDEX('INPUT CP'!$A$4:$BB64,MATCH($D16,'INPUT CP'!$D$4:$D64,0),MATCH(S$6,'INPUT CP'!$A$3:$CO$3,0)),"")</f>
        <v>78.33333333</v>
      </c>
      <c r="T16" s="461" t="str">
        <f t="array" ref="T16">IFERROR(INDEX('INPUT CP'!$A$4:$BB64,MATCH($D16,'INPUT CP'!$D$4:$D64,0),MATCH(T$6,'INPUT CP'!$A$3:$CO$3,0)),"")</f>
        <v/>
      </c>
      <c r="U16" s="463" t="str">
        <f t="array" ref="U16">IFERROR(INDEX('INPUT CP'!$A$4:$BB64,MATCH($D16,'INPUT CP'!$D$4:$D64,0),MATCH(U$6,'INPUT CP'!$A$3:$CO$3,0)),"")</f>
        <v/>
      </c>
      <c r="V16" s="439" t="str">
        <f t="array" ref="V16">IFERROR(INDEX('INPUT CP'!$A$4:$BB64,MATCH($D16,'INPUT CP'!$D$4:$D64,0),MATCH(V$6,'INPUT CP'!$A$3:$CO$3,0)),"")</f>
        <v/>
      </c>
      <c r="W16" s="513" t="str">
        <f t="array" ref="W16">IFERROR(INDEX('INPUT CP'!$A$4:$BB64,MATCH($D16,'INPUT CP'!$D$4:$D64,0),MATCH(W$6,'INPUT CP'!$A$3:$CO$3,0)),"")</f>
        <v/>
      </c>
      <c r="X16" s="514" t="str">
        <f t="array" ref="X16">IFERROR(INDEX('INPUT CP'!$A$4:$BB64,MATCH($D16,'INPUT CP'!$D$4:$D64,0),MATCH(X$6,'INPUT CP'!$A$3:$CO$3,0)),"")</f>
        <v/>
      </c>
      <c r="Y16" s="514" t="str">
        <f t="array" ref="Y16">IFERROR(INDEX('INPUT CP'!$A$4:$BB64,MATCH($D16,'INPUT CP'!$D$4:$D64,0),MATCH(Y$6,'INPUT CP'!$A$3:$CO$3,0)),"")</f>
        <v>10</v>
      </c>
      <c r="Z16" s="514" t="str">
        <f t="array" ref="Z16">IFERROR(INDEX('INPUT CP'!$A$4:$BB64,MATCH($D16,'INPUT CP'!$D$4:$D64,0),MATCH(Z$6,'INPUT CP'!$A$3:$CO$3,0)),"")</f>
        <v>-</v>
      </c>
      <c r="AA16" s="514" t="str">
        <f t="array" ref="AA16">IFERROR(INDEX('INPUT CP'!$A$4:$BB64,MATCH($D16,'INPUT CP'!$D$4:$D64,0),MATCH(AA$6,'INPUT CP'!$A$3:$CO$3,0)),"")</f>
        <v>-</v>
      </c>
      <c r="AB16" s="515">
        <f t="shared" si="2"/>
        <v>1001.916667</v>
      </c>
      <c r="AC16" s="515">
        <f t="shared" si="3"/>
        <v>77.07051282</v>
      </c>
      <c r="AD16" s="516">
        <f t="shared" si="4"/>
        <v>27</v>
      </c>
    </row>
    <row r="17" ht="11.25" customHeight="1">
      <c r="A17" s="423">
        <f>IFERROR(__xludf.DUMMYFUNCTION("""COMPUTED_VALUE"""),11.0)</f>
        <v>11</v>
      </c>
      <c r="B17" s="425" t="str">
        <f>IFERROR(__xludf.DUMMYFUNCTION("""COMPUTED_VALUE"""),"2526100424")</f>
        <v>2526100424</v>
      </c>
      <c r="C17" s="425" t="str">
        <f>IFERROR(__xludf.DUMMYFUNCTION("""COMPUTED_VALUE"""),"0095752965")</f>
        <v>0095752965</v>
      </c>
      <c r="D17" s="426" t="str">
        <f>IFERROR(__xludf.DUMMYFUNCTION("""COMPUTED_VALUE"""),"IHSAN ABDULOH ")</f>
        <v>IHSAN ABDULOH </v>
      </c>
      <c r="E17" s="428" t="str">
        <f>IFERROR(__xludf.DUMMYFUNCTION("""COMPUTED_VALUE"""),"X TO 4")</f>
        <v>X TO 4</v>
      </c>
      <c r="F17" s="428" t="s">
        <v>220</v>
      </c>
      <c r="G17" s="438">
        <f t="array" ref="G17">IFERROR(INDEX('INPUT CP'!$A$4:$BB64,MATCH($D17,'INPUT CP'!$D$4:$D64,0),MATCH(G$6,'INPUT CP'!$A$3:$CO$3,0)),"")</f>
        <v>80</v>
      </c>
      <c r="H17" s="439">
        <f t="array" ref="H17">IFERROR(INDEX('INPUT CP'!$A$4:$BB64,MATCH($D17,'INPUT CP'!$D$4:$D64,0),MATCH(H$6,'INPUT CP'!$A$3:$CO$3,0)),"")</f>
        <v>84.25</v>
      </c>
      <c r="I17" s="441">
        <f t="array" ref="I17">IFERROR(INDEX('INPUT CP'!$A$4:$BB64,MATCH($D17,'INPUT CP'!$D$4:$D64,0),MATCH(I$6,'INPUT CP'!$A$3:$CO$3,0)),"")</f>
        <v>84.16666667</v>
      </c>
      <c r="J17" s="444">
        <f t="array" ref="J17">IFERROR(INDEX('INPUT CP'!$A$4:$BB64,MATCH($D17,'INPUT CP'!$D$4:$D64,0),MATCH(J$6,'INPUT CP'!$A$3:$CO$3,0)),"")</f>
        <v>87.5</v>
      </c>
      <c r="K17" s="446">
        <f t="array" ref="K17">IFERROR(INDEX('INPUT CP'!$A$4:$BB64,MATCH($D17,'INPUT CP'!$D$4:$D64,0),MATCH(K$6,'INPUT CP'!$A$3:$CO$3,0)),"")</f>
        <v>82</v>
      </c>
      <c r="L17" s="450">
        <f t="array" ref="L17">IFERROR(INDEX('INPUT CP'!$A$4:$BB64,MATCH($D17,'INPUT CP'!$D$4:$D64,0),MATCH(L$6,'INPUT CP'!$A$3:$CO$3,0)),"")</f>
        <v>88.83333333</v>
      </c>
      <c r="M17" s="451">
        <f t="array" ref="M17">IFERROR(INDEX('INPUT CP'!$A$4:$BB64,MATCH($D17,'INPUT CP'!$D$4:$D64,0),MATCH(M$6,'INPUT CP'!$A$3:$CO$3,0)),"")</f>
        <v>84.66666667</v>
      </c>
      <c r="N17" s="452">
        <f t="array" ref="N17">IFERROR(INDEX('INPUT CP'!$A$4:$BB64,MATCH($D17,'INPUT CP'!$D$4:$D64,0),MATCH(N$6,'INPUT CP'!$A$3:$CO$3,0)),"")</f>
        <v>77</v>
      </c>
      <c r="O17" s="438">
        <f t="array" ref="O17">IFERROR(INDEX('INPUT CP'!$A$4:$BB64,MATCH($D17,'INPUT CP'!$D$4:$D64,0),MATCH(O$6,'INPUT CP'!$A$3:$CO$3,0)),"")</f>
        <v>79</v>
      </c>
      <c r="P17" s="456">
        <f t="array" ref="P17">IFERROR(INDEX('INPUT CP'!$A$4:$BB64,MATCH($D17,'INPUT CP'!$D$4:$D64,0),MATCH(P$6,'INPUT CP'!$A$3:$CO$3,0)),"")</f>
        <v>80</v>
      </c>
      <c r="Q17" s="456">
        <f t="array" ref="Q17">IFERROR(INDEX('INPUT CP'!$A$4:$BB64,MATCH($D17,'INPUT CP'!$D$4:$D64,0),MATCH(Q$6,'INPUT CP'!$A$3:$CO$3,0)),"")</f>
        <v>82.5</v>
      </c>
      <c r="R17" s="456">
        <f t="array" ref="R17">IFERROR(INDEX('INPUT CP'!$A$4:$BB64,MATCH($D17,'INPUT CP'!$D$4:$D64,0),MATCH(R$6,'INPUT CP'!$A$3:$CO$3,0)),"")</f>
        <v>84.83333333</v>
      </c>
      <c r="S17" s="456">
        <f t="array" ref="S17">IFERROR(INDEX('INPUT CP'!$A$4:$BB64,MATCH($D17,'INPUT CP'!$D$4:$D64,0),MATCH(S$6,'INPUT CP'!$A$3:$CO$3,0)),"")</f>
        <v>78</v>
      </c>
      <c r="T17" s="461" t="str">
        <f t="array" ref="T17">IFERROR(INDEX('INPUT CP'!$A$4:$BB64,MATCH($D17,'INPUT CP'!$D$4:$D64,0),MATCH(T$6,'INPUT CP'!$A$3:$CO$3,0)),"")</f>
        <v/>
      </c>
      <c r="U17" s="463" t="str">
        <f t="array" ref="U17">IFERROR(INDEX('INPUT CP'!$A$4:$BB64,MATCH($D17,'INPUT CP'!$D$4:$D64,0),MATCH(U$6,'INPUT CP'!$A$3:$CO$3,0)),"")</f>
        <v/>
      </c>
      <c r="V17" s="439" t="str">
        <f t="array" ref="V17">IFERROR(INDEX('INPUT CP'!$A$4:$BB64,MATCH($D17,'INPUT CP'!$D$4:$D64,0),MATCH(V$6,'INPUT CP'!$A$3:$CO$3,0)),"")</f>
        <v/>
      </c>
      <c r="W17" s="468" t="str">
        <f t="array" ref="W17">IFERROR(INDEX('INPUT CP'!$A$4:$BB64,MATCH($D17,'INPUT CP'!$D$4:$D64,0),MATCH(W$6,'INPUT CP'!$A$3:$CO$3,0)),"")</f>
        <v>PKS/POLSIS</v>
      </c>
      <c r="X17" s="470" t="str">
        <f t="array" ref="X17">IFERROR(INDEX('INPUT CP'!$A$4:$BB64,MATCH($D17,'INPUT CP'!$D$4:$D64,0),MATCH(X$6,'INPUT CP'!$A$3:$CO$3,0)),"")</f>
        <v/>
      </c>
      <c r="Y17" s="470" t="str">
        <f t="array" ref="Y17">IFERROR(INDEX('INPUT CP'!$A$4:$BB64,MATCH($D17,'INPUT CP'!$D$4:$D64,0),MATCH(Y$6,'INPUT CP'!$A$3:$CO$3,0)),"")</f>
        <v>1</v>
      </c>
      <c r="Z17" s="470" t="str">
        <f t="array" ref="Z17">IFERROR(INDEX('INPUT CP'!$A$4:$BB64,MATCH($D17,'INPUT CP'!$D$4:$D64,0),MATCH(Z$6,'INPUT CP'!$A$3:$CO$3,0)),"")</f>
        <v>-</v>
      </c>
      <c r="AA17" s="470" t="str">
        <f t="array" ref="AA17">IFERROR(INDEX('INPUT CP'!$A$4:$BB64,MATCH($D17,'INPUT CP'!$D$4:$D64,0),MATCH(AA$6,'INPUT CP'!$A$3:$CO$3,0)),"")</f>
        <v>-</v>
      </c>
      <c r="AB17" s="476">
        <f t="shared" si="2"/>
        <v>1072.75</v>
      </c>
      <c r="AC17" s="476">
        <f t="shared" si="3"/>
        <v>82.51923077</v>
      </c>
      <c r="AD17" s="479">
        <f t="shared" si="4"/>
        <v>6</v>
      </c>
    </row>
    <row r="18" ht="11.25" customHeight="1">
      <c r="A18" s="482">
        <f>IFERROR(__xludf.DUMMYFUNCTION("""COMPUTED_VALUE"""),12.0)</f>
        <v>12</v>
      </c>
      <c r="B18" s="485" t="str">
        <f>IFERROR(__xludf.DUMMYFUNCTION("""COMPUTED_VALUE"""),"2526100425")</f>
        <v>2526100425</v>
      </c>
      <c r="C18" s="485" t="str">
        <f>IFERROR(__xludf.DUMMYFUNCTION("""COMPUTED_VALUE"""),"0095318140")</f>
        <v>0095318140</v>
      </c>
      <c r="D18" s="487" t="str">
        <f>IFERROR(__xludf.DUMMYFUNCTION("""COMPUTED_VALUE"""),"INDRA NURMAN")</f>
        <v>INDRA NURMAN</v>
      </c>
      <c r="E18" s="489" t="str">
        <f>IFERROR(__xludf.DUMMYFUNCTION("""COMPUTED_VALUE"""),"X TO 4")</f>
        <v>X TO 4</v>
      </c>
      <c r="F18" s="489" t="s">
        <v>220</v>
      </c>
      <c r="G18" s="438">
        <f t="array" ref="G18">IFERROR(INDEX('INPUT CP'!$A$4:$BB64,MATCH($D18,'INPUT CP'!$D$4:$D64,0),MATCH(G$6,'INPUT CP'!$A$3:$CO$3,0)),"")</f>
        <v>77.5</v>
      </c>
      <c r="H18" s="439">
        <f t="array" ref="H18">IFERROR(INDEX('INPUT CP'!$A$4:$BB64,MATCH($D18,'INPUT CP'!$D$4:$D64,0),MATCH(H$6,'INPUT CP'!$A$3:$CO$3,0)),"")</f>
        <v>80.75</v>
      </c>
      <c r="I18" s="441">
        <f t="array" ref="I18">IFERROR(INDEX('INPUT CP'!$A$4:$BB64,MATCH($D18,'INPUT CP'!$D$4:$D64,0),MATCH(I$6,'INPUT CP'!$A$3:$CO$3,0)),"")</f>
        <v>79.66666667</v>
      </c>
      <c r="J18" s="444">
        <f t="array" ref="J18">IFERROR(INDEX('INPUT CP'!$A$4:$BB64,MATCH($D18,'INPUT CP'!$D$4:$D64,0),MATCH(J$6,'INPUT CP'!$A$3:$CO$3,0)),"")</f>
        <v>84</v>
      </c>
      <c r="K18" s="446">
        <f t="array" ref="K18">IFERROR(INDEX('INPUT CP'!$A$4:$BB64,MATCH($D18,'INPUT CP'!$D$4:$D64,0),MATCH(K$6,'INPUT CP'!$A$3:$CO$3,0)),"")</f>
        <v>81</v>
      </c>
      <c r="L18" s="450">
        <f t="array" ref="L18">IFERROR(INDEX('INPUT CP'!$A$4:$BB64,MATCH($D18,'INPUT CP'!$D$4:$D64,0),MATCH(L$6,'INPUT CP'!$A$3:$CO$3,0)),"")</f>
        <v>89.5</v>
      </c>
      <c r="M18" s="451">
        <f t="array" ref="M18">IFERROR(INDEX('INPUT CP'!$A$4:$BB64,MATCH($D18,'INPUT CP'!$D$4:$D64,0),MATCH(M$6,'INPUT CP'!$A$3:$CO$3,0)),"")</f>
        <v>85.33333333</v>
      </c>
      <c r="N18" s="452">
        <f t="array" ref="N18">IFERROR(INDEX('INPUT CP'!$A$4:$BB64,MATCH($D18,'INPUT CP'!$D$4:$D64,0),MATCH(N$6,'INPUT CP'!$A$3:$CO$3,0)),"")</f>
        <v>83</v>
      </c>
      <c r="O18" s="438">
        <f t="array" ref="O18">IFERROR(INDEX('INPUT CP'!$A$4:$BB64,MATCH($D18,'INPUT CP'!$D$4:$D64,0),MATCH(O$6,'INPUT CP'!$A$3:$CO$3,0)),"")</f>
        <v>76.33333333</v>
      </c>
      <c r="P18" s="456">
        <f t="array" ref="P18">IFERROR(INDEX('INPUT CP'!$A$4:$BB64,MATCH($D18,'INPUT CP'!$D$4:$D64,0),MATCH(P$6,'INPUT CP'!$A$3:$CO$3,0)),"")</f>
        <v>80</v>
      </c>
      <c r="Q18" s="456">
        <f t="array" ref="Q18">IFERROR(INDEX('INPUT CP'!$A$4:$BB64,MATCH($D18,'INPUT CP'!$D$4:$D64,0),MATCH(Q$6,'INPUT CP'!$A$3:$CO$3,0)),"")</f>
        <v>54.33333333</v>
      </c>
      <c r="R18" s="456">
        <f t="array" ref="R18">IFERROR(INDEX('INPUT CP'!$A$4:$BB64,MATCH($D18,'INPUT CP'!$D$4:$D64,0),MATCH(R$6,'INPUT CP'!$A$3:$CO$3,0)),"")</f>
        <v>80.83333333</v>
      </c>
      <c r="S18" s="456">
        <f t="array" ref="S18">IFERROR(INDEX('INPUT CP'!$A$4:$BB64,MATCH($D18,'INPUT CP'!$D$4:$D64,0),MATCH(S$6,'INPUT CP'!$A$3:$CO$3,0)),"")</f>
        <v>77.66666667</v>
      </c>
      <c r="T18" s="461" t="str">
        <f t="array" ref="T18">IFERROR(INDEX('INPUT CP'!$A$4:$BB64,MATCH($D18,'INPUT CP'!$D$4:$D64,0),MATCH(T$6,'INPUT CP'!$A$3:$CO$3,0)),"")</f>
        <v/>
      </c>
      <c r="U18" s="463" t="str">
        <f t="array" ref="U18">IFERROR(INDEX('INPUT CP'!$A$4:$BB64,MATCH($D18,'INPUT CP'!$D$4:$D64,0),MATCH(U$6,'INPUT CP'!$A$3:$CO$3,0)),"")</f>
        <v/>
      </c>
      <c r="V18" s="439" t="str">
        <f t="array" ref="V18">IFERROR(INDEX('INPUT CP'!$A$4:$BB64,MATCH($D18,'INPUT CP'!$D$4:$D64,0),MATCH(V$6,'INPUT CP'!$A$3:$CO$3,0)),"")</f>
        <v/>
      </c>
      <c r="W18" s="513" t="str">
        <f t="array" ref="W18">IFERROR(INDEX('INPUT CP'!$A$4:$BB64,MATCH($D18,'INPUT CP'!$D$4:$D64,0),MATCH(W$6,'INPUT CP'!$A$3:$CO$3,0)),"")</f>
        <v/>
      </c>
      <c r="X18" s="514" t="str">
        <f t="array" ref="X18">IFERROR(INDEX('INPUT CP'!$A$4:$BB64,MATCH($D18,'INPUT CP'!$D$4:$D64,0),MATCH(X$6,'INPUT CP'!$A$3:$CO$3,0)),"")</f>
        <v/>
      </c>
      <c r="Y18" s="514" t="str">
        <f t="array" ref="Y18">IFERROR(INDEX('INPUT CP'!$A$4:$BB64,MATCH($D18,'INPUT CP'!$D$4:$D64,0),MATCH(Y$6,'INPUT CP'!$A$3:$CO$3,0)),"")</f>
        <v>1</v>
      </c>
      <c r="Z18" s="514" t="str">
        <f t="array" ref="Z18">IFERROR(INDEX('INPUT CP'!$A$4:$BB64,MATCH($D18,'INPUT CP'!$D$4:$D64,0),MATCH(Z$6,'INPUT CP'!$A$3:$CO$3,0)),"")</f>
        <v>1</v>
      </c>
      <c r="AA18" s="514" t="str">
        <f t="array" ref="AA18">IFERROR(INDEX('INPUT CP'!$A$4:$BB64,MATCH($D18,'INPUT CP'!$D$4:$D64,0),MATCH(AA$6,'INPUT CP'!$A$3:$CO$3,0)),"")</f>
        <v>-</v>
      </c>
      <c r="AB18" s="515">
        <f t="shared" si="2"/>
        <v>1029.916667</v>
      </c>
      <c r="AC18" s="515">
        <f t="shared" si="3"/>
        <v>79.22435897</v>
      </c>
      <c r="AD18" s="516">
        <f t="shared" si="4"/>
        <v>19</v>
      </c>
    </row>
    <row r="19" ht="11.25" customHeight="1">
      <c r="A19" s="423">
        <f>IFERROR(__xludf.DUMMYFUNCTION("""COMPUTED_VALUE"""),13.0)</f>
        <v>13</v>
      </c>
      <c r="B19" s="425" t="str">
        <f>IFERROR(__xludf.DUMMYFUNCTION("""COMPUTED_VALUE"""),"2526100426")</f>
        <v>2526100426</v>
      </c>
      <c r="C19" s="425" t="str">
        <f>IFERROR(__xludf.DUMMYFUNCTION("""COMPUTED_VALUE"""),"3109448408")</f>
        <v>3109448408</v>
      </c>
      <c r="D19" s="426" t="str">
        <f>IFERROR(__xludf.DUMMYFUNCTION("""COMPUTED_VALUE"""),"IWAN SOPYAN")</f>
        <v>IWAN SOPYAN</v>
      </c>
      <c r="E19" s="428" t="str">
        <f>IFERROR(__xludf.DUMMYFUNCTION("""COMPUTED_VALUE"""),"X TO 4")</f>
        <v>X TO 4</v>
      </c>
      <c r="F19" s="428" t="s">
        <v>220</v>
      </c>
      <c r="G19" s="438">
        <f t="array" ref="G19">IFERROR(INDEX('INPUT CP'!$A$4:$BB64,MATCH($D19,'INPUT CP'!$D$4:$D64,0),MATCH(G$6,'INPUT CP'!$A$3:$CO$3,0)),"")</f>
        <v>78.75</v>
      </c>
      <c r="H19" s="439">
        <f t="array" ref="H19">IFERROR(INDEX('INPUT CP'!$A$4:$BB64,MATCH($D19,'INPUT CP'!$D$4:$D64,0),MATCH(H$6,'INPUT CP'!$A$3:$CO$3,0)),"")</f>
        <v>82.25</v>
      </c>
      <c r="I19" s="441">
        <f t="array" ref="I19">IFERROR(INDEX('INPUT CP'!$A$4:$BB64,MATCH($D19,'INPUT CP'!$D$4:$D64,0),MATCH(I$6,'INPUT CP'!$A$3:$CO$3,0)),"")</f>
        <v>85</v>
      </c>
      <c r="J19" s="444">
        <f t="array" ref="J19">IFERROR(INDEX('INPUT CP'!$A$4:$BB64,MATCH($D19,'INPUT CP'!$D$4:$D64,0),MATCH(J$6,'INPUT CP'!$A$3:$CO$3,0)),"")</f>
        <v>82.75</v>
      </c>
      <c r="K19" s="446">
        <f t="array" ref="K19">IFERROR(INDEX('INPUT CP'!$A$4:$BB64,MATCH($D19,'INPUT CP'!$D$4:$D64,0),MATCH(K$6,'INPUT CP'!$A$3:$CO$3,0)),"")</f>
        <v>81</v>
      </c>
      <c r="L19" s="450">
        <f t="array" ref="L19">IFERROR(INDEX('INPUT CP'!$A$4:$BB64,MATCH($D19,'INPUT CP'!$D$4:$D64,0),MATCH(L$6,'INPUT CP'!$A$3:$CO$3,0)),"")</f>
        <v>89.16666667</v>
      </c>
      <c r="M19" s="451">
        <f t="array" ref="M19">IFERROR(INDEX('INPUT CP'!$A$4:$BB64,MATCH($D19,'INPUT CP'!$D$4:$D64,0),MATCH(M$6,'INPUT CP'!$A$3:$CO$3,0)),"")</f>
        <v>85.16666667</v>
      </c>
      <c r="N19" s="452">
        <f t="array" ref="N19">IFERROR(INDEX('INPUT CP'!$A$4:$BB64,MATCH($D19,'INPUT CP'!$D$4:$D64,0),MATCH(N$6,'INPUT CP'!$A$3:$CO$3,0)),"")</f>
        <v>82</v>
      </c>
      <c r="O19" s="438">
        <f t="array" ref="O19">IFERROR(INDEX('INPUT CP'!$A$4:$BB64,MATCH($D19,'INPUT CP'!$D$4:$D64,0),MATCH(O$6,'INPUT CP'!$A$3:$CO$3,0)),"")</f>
        <v>79</v>
      </c>
      <c r="P19" s="456">
        <f t="array" ref="P19">IFERROR(INDEX('INPUT CP'!$A$4:$BB64,MATCH($D19,'INPUT CP'!$D$4:$D64,0),MATCH(P$6,'INPUT CP'!$A$3:$CO$3,0)),"")</f>
        <v>80</v>
      </c>
      <c r="Q19" s="456">
        <f t="array" ref="Q19">IFERROR(INDEX('INPUT CP'!$A$4:$BB64,MATCH($D19,'INPUT CP'!$D$4:$D64,0),MATCH(Q$6,'INPUT CP'!$A$3:$CO$3,0)),"")</f>
        <v>55.66666667</v>
      </c>
      <c r="R19" s="456">
        <f t="array" ref="R19">IFERROR(INDEX('INPUT CP'!$A$4:$BB64,MATCH($D19,'INPUT CP'!$D$4:$D64,0),MATCH(R$6,'INPUT CP'!$A$3:$CO$3,0)),"")</f>
        <v>80.83333333</v>
      </c>
      <c r="S19" s="456">
        <f t="array" ref="S19">IFERROR(INDEX('INPUT CP'!$A$4:$BB64,MATCH($D19,'INPUT CP'!$D$4:$D64,0),MATCH(S$6,'INPUT CP'!$A$3:$CO$3,0)),"")</f>
        <v>79.66666667</v>
      </c>
      <c r="T19" s="461" t="str">
        <f t="array" ref="T19">IFERROR(INDEX('INPUT CP'!$A$4:$BB64,MATCH($D19,'INPUT CP'!$D$4:$D64,0),MATCH(T$6,'INPUT CP'!$A$3:$CO$3,0)),"")</f>
        <v/>
      </c>
      <c r="U19" s="463" t="str">
        <f t="array" ref="U19">IFERROR(INDEX('INPUT CP'!$A$4:$BB64,MATCH($D19,'INPUT CP'!$D$4:$D64,0),MATCH(U$6,'INPUT CP'!$A$3:$CO$3,0)),"")</f>
        <v/>
      </c>
      <c r="V19" s="439" t="str">
        <f t="array" ref="V19">IFERROR(INDEX('INPUT CP'!$A$4:$BB64,MATCH($D19,'INPUT CP'!$D$4:$D64,0),MATCH(V$6,'INPUT CP'!$A$3:$CO$3,0)),"")</f>
        <v/>
      </c>
      <c r="W19" s="468" t="str">
        <f t="array" ref="W19">IFERROR(INDEX('INPUT CP'!$A$4:$BB64,MATCH($D19,'INPUT CP'!$D$4:$D64,0),MATCH(W$6,'INPUT CP'!$A$3:$CO$3,0)),"")</f>
        <v/>
      </c>
      <c r="X19" s="470" t="str">
        <f t="array" ref="X19">IFERROR(INDEX('INPUT CP'!$A$4:$BB64,MATCH($D19,'INPUT CP'!$D$4:$D64,0),MATCH(X$6,'INPUT CP'!$A$3:$CO$3,0)),"")</f>
        <v/>
      </c>
      <c r="Y19" s="470" t="str">
        <f t="array" ref="Y19">IFERROR(INDEX('INPUT CP'!$A$4:$BB64,MATCH($D19,'INPUT CP'!$D$4:$D64,0),MATCH(Y$6,'INPUT CP'!$A$3:$CO$3,0)),"")</f>
        <v>2</v>
      </c>
      <c r="Z19" s="470" t="str">
        <f t="array" ref="Z19">IFERROR(INDEX('INPUT CP'!$A$4:$BB64,MATCH($D19,'INPUT CP'!$D$4:$D64,0),MATCH(Z$6,'INPUT CP'!$A$3:$CO$3,0)),"")</f>
        <v>-</v>
      </c>
      <c r="AA19" s="470" t="str">
        <f t="array" ref="AA19">IFERROR(INDEX('INPUT CP'!$A$4:$BB64,MATCH($D19,'INPUT CP'!$D$4:$D64,0),MATCH(AA$6,'INPUT CP'!$A$3:$CO$3,0)),"")</f>
        <v>-</v>
      </c>
      <c r="AB19" s="476">
        <f t="shared" si="2"/>
        <v>1041.25</v>
      </c>
      <c r="AC19" s="476">
        <f t="shared" si="3"/>
        <v>80.09615385</v>
      </c>
      <c r="AD19" s="479">
        <f t="shared" si="4"/>
        <v>14</v>
      </c>
    </row>
    <row r="20" ht="11.25" customHeight="1">
      <c r="A20" s="482">
        <f>IFERROR(__xludf.DUMMYFUNCTION("""COMPUTED_VALUE"""),14.0)</f>
        <v>14</v>
      </c>
      <c r="B20" s="485" t="str">
        <f>IFERROR(__xludf.DUMMYFUNCTION("""COMPUTED_VALUE"""),"2526100427")</f>
        <v>2526100427</v>
      </c>
      <c r="C20" s="485" t="str">
        <f>IFERROR(__xludf.DUMMYFUNCTION("""COMPUTED_VALUE"""),"0097319943")</f>
        <v>0097319943</v>
      </c>
      <c r="D20" s="487" t="str">
        <f>IFERROR(__xludf.DUMMYFUNCTION("""COMPUTED_VALUE"""),"JEJEN JAENI")</f>
        <v>JEJEN JAENI</v>
      </c>
      <c r="E20" s="489" t="str">
        <f>IFERROR(__xludf.DUMMYFUNCTION("""COMPUTED_VALUE"""),"X TO 4")</f>
        <v>X TO 4</v>
      </c>
      <c r="F20" s="489" t="s">
        <v>220</v>
      </c>
      <c r="G20" s="438">
        <f t="array" ref="G20">IFERROR(INDEX('INPUT CP'!$A$4:$BB64,MATCH($D20,'INPUT CP'!$D$4:$D64,0),MATCH(G$6,'INPUT CP'!$A$3:$CO$3,0)),"")</f>
        <v>80.25</v>
      </c>
      <c r="H20" s="439">
        <f t="array" ref="H20">IFERROR(INDEX('INPUT CP'!$A$4:$BB64,MATCH($D20,'INPUT CP'!$D$4:$D64,0),MATCH(H$6,'INPUT CP'!$A$3:$CO$3,0)),"")</f>
        <v>82.75</v>
      </c>
      <c r="I20" s="441">
        <f t="array" ref="I20">IFERROR(INDEX('INPUT CP'!$A$4:$BB64,MATCH($D20,'INPUT CP'!$D$4:$D64,0),MATCH(I$6,'INPUT CP'!$A$3:$CO$3,0)),"")</f>
        <v>84</v>
      </c>
      <c r="J20" s="444">
        <f t="array" ref="J20">IFERROR(INDEX('INPUT CP'!$A$4:$BB64,MATCH($D20,'INPUT CP'!$D$4:$D64,0),MATCH(J$6,'INPUT CP'!$A$3:$CO$3,0)),"")</f>
        <v>84.75</v>
      </c>
      <c r="K20" s="446">
        <f t="array" ref="K20">IFERROR(INDEX('INPUT CP'!$A$4:$BB64,MATCH($D20,'INPUT CP'!$D$4:$D64,0),MATCH(K$6,'INPUT CP'!$A$3:$CO$3,0)),"")</f>
        <v>81</v>
      </c>
      <c r="L20" s="450">
        <f t="array" ref="L20">IFERROR(INDEX('INPUT CP'!$A$4:$BB64,MATCH($D20,'INPUT CP'!$D$4:$D64,0),MATCH(L$6,'INPUT CP'!$A$3:$CO$3,0)),"")</f>
        <v>88.5</v>
      </c>
      <c r="M20" s="451">
        <f t="array" ref="M20">IFERROR(INDEX('INPUT CP'!$A$4:$BB64,MATCH($D20,'INPUT CP'!$D$4:$D64,0),MATCH(M$6,'INPUT CP'!$A$3:$CO$3,0)),"")</f>
        <v>84.5</v>
      </c>
      <c r="N20" s="452">
        <f t="array" ref="N20">IFERROR(INDEX('INPUT CP'!$A$4:$BB64,MATCH($D20,'INPUT CP'!$D$4:$D64,0),MATCH(N$6,'INPUT CP'!$A$3:$CO$3,0)),"")</f>
        <v>83</v>
      </c>
      <c r="O20" s="438">
        <f t="array" ref="O20">IFERROR(INDEX('INPUT CP'!$A$4:$BB64,MATCH($D20,'INPUT CP'!$D$4:$D64,0),MATCH(O$6,'INPUT CP'!$A$3:$CO$3,0)),"")</f>
        <v>79.16666667</v>
      </c>
      <c r="P20" s="456">
        <f t="array" ref="P20">IFERROR(INDEX('INPUT CP'!$A$4:$BB64,MATCH($D20,'INPUT CP'!$D$4:$D64,0),MATCH(P$6,'INPUT CP'!$A$3:$CO$3,0)),"")</f>
        <v>80</v>
      </c>
      <c r="Q20" s="456">
        <f t="array" ref="Q20">IFERROR(INDEX('INPUT CP'!$A$4:$BB64,MATCH($D20,'INPUT CP'!$D$4:$D64,0),MATCH(Q$6,'INPUT CP'!$A$3:$CO$3,0)),"")</f>
        <v>82.83333333</v>
      </c>
      <c r="R20" s="456">
        <f t="array" ref="R20">IFERROR(INDEX('INPUT CP'!$A$4:$BB64,MATCH($D20,'INPUT CP'!$D$4:$D64,0),MATCH(R$6,'INPUT CP'!$A$3:$CO$3,0)),"")</f>
        <v>85</v>
      </c>
      <c r="S20" s="456">
        <f t="array" ref="S20">IFERROR(INDEX('INPUT CP'!$A$4:$BB64,MATCH($D20,'INPUT CP'!$D$4:$D64,0),MATCH(S$6,'INPUT CP'!$A$3:$CO$3,0)),"")</f>
        <v>77.66666667</v>
      </c>
      <c r="T20" s="461" t="str">
        <f t="array" ref="T20">IFERROR(INDEX('INPUT CP'!$A$4:$BB64,MATCH($D20,'INPUT CP'!$D$4:$D64,0),MATCH(T$6,'INPUT CP'!$A$3:$CO$3,0)),"")</f>
        <v/>
      </c>
      <c r="U20" s="463" t="str">
        <f t="array" ref="U20">IFERROR(INDEX('INPUT CP'!$A$4:$BB64,MATCH($D20,'INPUT CP'!$D$4:$D64,0),MATCH(U$6,'INPUT CP'!$A$3:$CO$3,0)),"")</f>
        <v/>
      </c>
      <c r="V20" s="439" t="str">
        <f t="array" ref="V20">IFERROR(INDEX('INPUT CP'!$A$4:$BB64,MATCH($D20,'INPUT CP'!$D$4:$D64,0),MATCH(V$6,'INPUT CP'!$A$3:$CO$3,0)),"")</f>
        <v/>
      </c>
      <c r="W20" s="513" t="str">
        <f t="array" ref="W20">IFERROR(INDEX('INPUT CP'!$A$4:$BB64,MATCH($D20,'INPUT CP'!$D$4:$D64,0),MATCH(W$6,'INPUT CP'!$A$3:$CO$3,0)),"")</f>
        <v/>
      </c>
      <c r="X20" s="514" t="str">
        <f t="array" ref="X20">IFERROR(INDEX('INPUT CP'!$A$4:$BB64,MATCH($D20,'INPUT CP'!$D$4:$D64,0),MATCH(X$6,'INPUT CP'!$A$3:$CO$3,0)),"")</f>
        <v/>
      </c>
      <c r="Y20" s="514" t="str">
        <f t="array" ref="Y20">IFERROR(INDEX('INPUT CP'!$A$4:$BB64,MATCH($D20,'INPUT CP'!$D$4:$D64,0),MATCH(Y$6,'INPUT CP'!$A$3:$CO$3,0)),"")</f>
        <v>2</v>
      </c>
      <c r="Z20" s="514" t="str">
        <f t="array" ref="Z20">IFERROR(INDEX('INPUT CP'!$A$4:$BB64,MATCH($D20,'INPUT CP'!$D$4:$D64,0),MATCH(Z$6,'INPUT CP'!$A$3:$CO$3,0)),"")</f>
        <v>-</v>
      </c>
      <c r="AA20" s="514" t="str">
        <f t="array" ref="AA20">IFERROR(INDEX('INPUT CP'!$A$4:$BB64,MATCH($D20,'INPUT CP'!$D$4:$D64,0),MATCH(AA$6,'INPUT CP'!$A$3:$CO$3,0)),"")</f>
        <v>-</v>
      </c>
      <c r="AB20" s="515">
        <f t="shared" si="2"/>
        <v>1073.416667</v>
      </c>
      <c r="AC20" s="515">
        <f t="shared" si="3"/>
        <v>82.57051282</v>
      </c>
      <c r="AD20" s="516">
        <f t="shared" si="4"/>
        <v>5</v>
      </c>
    </row>
    <row r="21" ht="11.25" customHeight="1">
      <c r="A21" s="423">
        <f>IFERROR(__xludf.DUMMYFUNCTION("""COMPUTED_VALUE"""),15.0)</f>
        <v>15</v>
      </c>
      <c r="B21" s="425" t="str">
        <f>IFERROR(__xludf.DUMMYFUNCTION("""COMPUTED_VALUE"""),"2526100428")</f>
        <v>2526100428</v>
      </c>
      <c r="C21" s="425" t="str">
        <f>IFERROR(__xludf.DUMMYFUNCTION("""COMPUTED_VALUE"""),"0093753099")</f>
        <v>0093753099</v>
      </c>
      <c r="D21" s="426" t="str">
        <f>IFERROR(__xludf.DUMMYFUNCTION("""COMPUTED_VALUE"""),"M.HASAN ASARI")</f>
        <v>M.HASAN ASARI</v>
      </c>
      <c r="E21" s="428" t="str">
        <f>IFERROR(__xludf.DUMMYFUNCTION("""COMPUTED_VALUE"""),"X TO 4")</f>
        <v>X TO 4</v>
      </c>
      <c r="F21" s="428" t="s">
        <v>220</v>
      </c>
      <c r="G21" s="438">
        <f t="array" ref="G21">IFERROR(INDEX('INPUT CP'!$A$4:$BB64,MATCH($D21,'INPUT CP'!$D$4:$D64,0),MATCH(G$6,'INPUT CP'!$A$3:$CO$3,0)),"")</f>
        <v>81.25</v>
      </c>
      <c r="H21" s="439">
        <f t="array" ref="H21">IFERROR(INDEX('INPUT CP'!$A$4:$BB64,MATCH($D21,'INPUT CP'!$D$4:$D64,0),MATCH(H$6,'INPUT CP'!$A$3:$CO$3,0)),"")</f>
        <v>81.25</v>
      </c>
      <c r="I21" s="441">
        <f t="array" ref="I21">IFERROR(INDEX('INPUT CP'!$A$4:$BB64,MATCH($D21,'INPUT CP'!$D$4:$D64,0),MATCH(I$6,'INPUT CP'!$A$3:$CO$3,0)),"")</f>
        <v>84</v>
      </c>
      <c r="J21" s="444">
        <f t="array" ref="J21">IFERROR(INDEX('INPUT CP'!$A$4:$BB64,MATCH($D21,'INPUT CP'!$D$4:$D64,0),MATCH(J$6,'INPUT CP'!$A$3:$CO$3,0)),"")</f>
        <v>85.5</v>
      </c>
      <c r="K21" s="446">
        <f t="array" ref="K21">IFERROR(INDEX('INPUT CP'!$A$4:$BB64,MATCH($D21,'INPUT CP'!$D$4:$D64,0),MATCH(K$6,'INPUT CP'!$A$3:$CO$3,0)),"")</f>
        <v>82</v>
      </c>
      <c r="L21" s="450">
        <f t="array" ref="L21">IFERROR(INDEX('INPUT CP'!$A$4:$BB64,MATCH($D21,'INPUT CP'!$D$4:$D64,0),MATCH(L$6,'INPUT CP'!$A$3:$CO$3,0)),"")</f>
        <v>89.33333333</v>
      </c>
      <c r="M21" s="451">
        <f t="array" ref="M21">IFERROR(INDEX('INPUT CP'!$A$4:$BB64,MATCH($D21,'INPUT CP'!$D$4:$D64,0),MATCH(M$6,'INPUT CP'!$A$3:$CO$3,0)),"")</f>
        <v>85.16666667</v>
      </c>
      <c r="N21" s="452">
        <f t="array" ref="N21">IFERROR(INDEX('INPUT CP'!$A$4:$BB64,MATCH($D21,'INPUT CP'!$D$4:$D64,0),MATCH(N$6,'INPUT CP'!$A$3:$CO$3,0)),"")</f>
        <v>83</v>
      </c>
      <c r="O21" s="438">
        <f t="array" ref="O21">IFERROR(INDEX('INPUT CP'!$A$4:$BB64,MATCH($D21,'INPUT CP'!$D$4:$D64,0),MATCH(O$6,'INPUT CP'!$A$3:$CO$3,0)),"")</f>
        <v>77.5</v>
      </c>
      <c r="P21" s="456">
        <f t="array" ref="P21">IFERROR(INDEX('INPUT CP'!$A$4:$BB64,MATCH($D21,'INPUT CP'!$D$4:$D64,0),MATCH(P$6,'INPUT CP'!$A$3:$CO$3,0)),"")</f>
        <v>80</v>
      </c>
      <c r="Q21" s="456">
        <f t="array" ref="Q21">IFERROR(INDEX('INPUT CP'!$A$4:$BB64,MATCH($D21,'INPUT CP'!$D$4:$D64,0),MATCH(Q$6,'INPUT CP'!$A$3:$CO$3,0)),"")</f>
        <v>82.5</v>
      </c>
      <c r="R21" s="456">
        <f t="array" ref="R21">IFERROR(INDEX('INPUT CP'!$A$4:$BB64,MATCH($D21,'INPUT CP'!$D$4:$D64,0),MATCH(R$6,'INPUT CP'!$A$3:$CO$3,0)),"")</f>
        <v>80</v>
      </c>
      <c r="S21" s="456">
        <f t="array" ref="S21">IFERROR(INDEX('INPUT CP'!$A$4:$BB64,MATCH($D21,'INPUT CP'!$D$4:$D64,0),MATCH(S$6,'INPUT CP'!$A$3:$CO$3,0)),"")</f>
        <v>78</v>
      </c>
      <c r="T21" s="461" t="str">
        <f t="array" ref="T21">IFERROR(INDEX('INPUT CP'!$A$4:$BB64,MATCH($D21,'INPUT CP'!$D$4:$D64,0),MATCH(T$6,'INPUT CP'!$A$3:$CO$3,0)),"")</f>
        <v/>
      </c>
      <c r="U21" s="463" t="str">
        <f t="array" ref="U21">IFERROR(INDEX('INPUT CP'!$A$4:$BB64,MATCH($D21,'INPUT CP'!$D$4:$D64,0),MATCH(U$6,'INPUT CP'!$A$3:$CO$3,0)),"")</f>
        <v/>
      </c>
      <c r="V21" s="439" t="str">
        <f t="array" ref="V21">IFERROR(INDEX('INPUT CP'!$A$4:$BB64,MATCH($D21,'INPUT CP'!$D$4:$D64,0),MATCH(V$6,'INPUT CP'!$A$3:$CO$3,0)),"")</f>
        <v/>
      </c>
      <c r="W21" s="468" t="str">
        <f t="array" ref="W21">IFERROR(INDEX('INPUT CP'!$A$4:$BB64,MATCH($D21,'INPUT CP'!$D$4:$D64,0),MATCH(W$6,'INPUT CP'!$A$3:$CO$3,0)),"")</f>
        <v/>
      </c>
      <c r="X21" s="470" t="str">
        <f t="array" ref="X21">IFERROR(INDEX('INPUT CP'!$A$4:$BB64,MATCH($D21,'INPUT CP'!$D$4:$D64,0),MATCH(X$6,'INPUT CP'!$A$3:$CO$3,0)),"")</f>
        <v/>
      </c>
      <c r="Y21" s="470" t="str">
        <f t="array" ref="Y21">IFERROR(INDEX('INPUT CP'!$A$4:$BB64,MATCH($D21,'INPUT CP'!$D$4:$D64,0),MATCH(Y$6,'INPUT CP'!$A$3:$CO$3,0)),"")</f>
        <v>3</v>
      </c>
      <c r="Z21" s="470" t="str">
        <f t="array" ref="Z21">IFERROR(INDEX('INPUT CP'!$A$4:$BB64,MATCH($D21,'INPUT CP'!$D$4:$D64,0),MATCH(Z$6,'INPUT CP'!$A$3:$CO$3,0)),"")</f>
        <v>-</v>
      </c>
      <c r="AA21" s="470" t="str">
        <f t="array" ref="AA21">IFERROR(INDEX('INPUT CP'!$A$4:$BB64,MATCH($D21,'INPUT CP'!$D$4:$D64,0),MATCH(AA$6,'INPUT CP'!$A$3:$CO$3,0)),"")</f>
        <v>2</v>
      </c>
      <c r="AB21" s="476">
        <f t="shared" si="2"/>
        <v>1069.5</v>
      </c>
      <c r="AC21" s="476">
        <f t="shared" si="3"/>
        <v>82.26923077</v>
      </c>
      <c r="AD21" s="479">
        <f t="shared" si="4"/>
        <v>8</v>
      </c>
    </row>
    <row r="22" ht="11.25" customHeight="1">
      <c r="A22" s="482">
        <f>IFERROR(__xludf.DUMMYFUNCTION("""COMPUTED_VALUE"""),16.0)</f>
        <v>16</v>
      </c>
      <c r="B22" s="485" t="str">
        <f>IFERROR(__xludf.DUMMYFUNCTION("""COMPUTED_VALUE"""),"2526100429")</f>
        <v>2526100429</v>
      </c>
      <c r="C22" s="485" t="str">
        <f>IFERROR(__xludf.DUMMYFUNCTION("""COMPUTED_VALUE"""),"0105910447")</f>
        <v>0105910447</v>
      </c>
      <c r="D22" s="487" t="str">
        <f>IFERROR(__xludf.DUMMYFUNCTION("""COMPUTED_VALUE"""),"MUHAMAD ABIB RIZAL")</f>
        <v>MUHAMAD ABIB RIZAL</v>
      </c>
      <c r="E22" s="489" t="str">
        <f>IFERROR(__xludf.DUMMYFUNCTION("""COMPUTED_VALUE"""),"X TO 4")</f>
        <v>X TO 4</v>
      </c>
      <c r="F22" s="489" t="s">
        <v>220</v>
      </c>
      <c r="G22" s="438">
        <f t="array" ref="G22">IFERROR(INDEX('INPUT CP'!$A$4:$BB64,MATCH($D22,'INPUT CP'!$D$4:$D64,0),MATCH(G$6,'INPUT CP'!$A$3:$CO$3,0)),"")</f>
        <v>77.25</v>
      </c>
      <c r="H22" s="439">
        <f t="array" ref="H22">IFERROR(INDEX('INPUT CP'!$A$4:$BB64,MATCH($D22,'INPUT CP'!$D$4:$D64,0),MATCH(H$6,'INPUT CP'!$A$3:$CO$3,0)),"")</f>
        <v>80.25</v>
      </c>
      <c r="I22" s="441">
        <f t="array" ref="I22">IFERROR(INDEX('INPUT CP'!$A$4:$BB64,MATCH($D22,'INPUT CP'!$D$4:$D64,0),MATCH(I$6,'INPUT CP'!$A$3:$CO$3,0)),"")</f>
        <v>82.5</v>
      </c>
      <c r="J22" s="444">
        <f t="array" ref="J22">IFERROR(INDEX('INPUT CP'!$A$4:$BB64,MATCH($D22,'INPUT CP'!$D$4:$D64,0),MATCH(J$6,'INPUT CP'!$A$3:$CO$3,0)),"")</f>
        <v>82</v>
      </c>
      <c r="K22" s="446">
        <f t="array" ref="K22">IFERROR(INDEX('INPUT CP'!$A$4:$BB64,MATCH($D22,'INPUT CP'!$D$4:$D64,0),MATCH(K$6,'INPUT CP'!$A$3:$CO$3,0)),"")</f>
        <v>78</v>
      </c>
      <c r="L22" s="450">
        <f t="array" ref="L22">IFERROR(INDEX('INPUT CP'!$A$4:$BB64,MATCH($D22,'INPUT CP'!$D$4:$D64,0),MATCH(L$6,'INPUT CP'!$A$3:$CO$3,0)),"")</f>
        <v>89.83333333</v>
      </c>
      <c r="M22" s="451">
        <f t="array" ref="M22">IFERROR(INDEX('INPUT CP'!$A$4:$BB64,MATCH($D22,'INPUT CP'!$D$4:$D64,0),MATCH(M$6,'INPUT CP'!$A$3:$CO$3,0)),"")</f>
        <v>76.66666667</v>
      </c>
      <c r="N22" s="452">
        <f t="array" ref="N22">IFERROR(INDEX('INPUT CP'!$A$4:$BB64,MATCH($D22,'INPUT CP'!$D$4:$D64,0),MATCH(N$6,'INPUT CP'!$A$3:$CO$3,0)),"")</f>
        <v>72</v>
      </c>
      <c r="O22" s="438">
        <f t="array" ref="O22">IFERROR(INDEX('INPUT CP'!$A$4:$BB64,MATCH($D22,'INPUT CP'!$D$4:$D64,0),MATCH(O$6,'INPUT CP'!$A$3:$CO$3,0)),"")</f>
        <v>73.66666667</v>
      </c>
      <c r="P22" s="456">
        <f t="array" ref="P22">IFERROR(INDEX('INPUT CP'!$A$4:$BB64,MATCH($D22,'INPUT CP'!$D$4:$D64,0),MATCH(P$6,'INPUT CP'!$A$3:$CO$3,0)),"")</f>
        <v>80</v>
      </c>
      <c r="Q22" s="456">
        <f t="array" ref="Q22">IFERROR(INDEX('INPUT CP'!$A$4:$BB64,MATCH($D22,'INPUT CP'!$D$4:$D64,0),MATCH(Q$6,'INPUT CP'!$A$3:$CO$3,0)),"")</f>
        <v>37.5</v>
      </c>
      <c r="R22" s="456">
        <f t="array" ref="R22">IFERROR(INDEX('INPUT CP'!$A$4:$BB64,MATCH($D22,'INPUT CP'!$D$4:$D64,0),MATCH(R$6,'INPUT CP'!$A$3:$CO$3,0)),"")</f>
        <v>79.83333333</v>
      </c>
      <c r="S22" s="456">
        <f t="array" ref="S22">IFERROR(INDEX('INPUT CP'!$A$4:$BB64,MATCH($D22,'INPUT CP'!$D$4:$D64,0),MATCH(S$6,'INPUT CP'!$A$3:$CO$3,0)),"")</f>
        <v>78</v>
      </c>
      <c r="T22" s="461" t="str">
        <f t="array" ref="T22">IFERROR(INDEX('INPUT CP'!$A$4:$BB64,MATCH($D22,'INPUT CP'!$D$4:$D64,0),MATCH(T$6,'INPUT CP'!$A$3:$CO$3,0)),"")</f>
        <v/>
      </c>
      <c r="U22" s="463" t="str">
        <f t="array" ref="U22">IFERROR(INDEX('INPUT CP'!$A$4:$BB64,MATCH($D22,'INPUT CP'!$D$4:$D64,0),MATCH(U$6,'INPUT CP'!$A$3:$CO$3,0)),"")</f>
        <v/>
      </c>
      <c r="V22" s="439" t="str">
        <f t="array" ref="V22">IFERROR(INDEX('INPUT CP'!$A$4:$BB64,MATCH($D22,'INPUT CP'!$D$4:$D64,0),MATCH(V$6,'INPUT CP'!$A$3:$CO$3,0)),"")</f>
        <v/>
      </c>
      <c r="W22" s="513" t="str">
        <f t="array" ref="W22">IFERROR(INDEX('INPUT CP'!$A$4:$BB64,MATCH($D22,'INPUT CP'!$D$4:$D64,0),MATCH(W$6,'INPUT CP'!$A$3:$CO$3,0)),"")</f>
        <v/>
      </c>
      <c r="X22" s="514" t="str">
        <f t="array" ref="X22">IFERROR(INDEX('INPUT CP'!$A$4:$BB64,MATCH($D22,'INPUT CP'!$D$4:$D64,0),MATCH(X$6,'INPUT CP'!$A$3:$CO$3,0)),"")</f>
        <v/>
      </c>
      <c r="Y22" s="514" t="str">
        <f t="array" ref="Y22">IFERROR(INDEX('INPUT CP'!$A$4:$BB64,MATCH($D22,'INPUT CP'!$D$4:$D64,0),MATCH(Y$6,'INPUT CP'!$A$3:$CO$3,0)),"")</f>
        <v>-</v>
      </c>
      <c r="Z22" s="514" t="str">
        <f t="array" ref="Z22">IFERROR(INDEX('INPUT CP'!$A$4:$BB64,MATCH($D22,'INPUT CP'!$D$4:$D64,0),MATCH(Z$6,'INPUT CP'!$A$3:$CO$3,0)),"")</f>
        <v>-</v>
      </c>
      <c r="AA22" s="514" t="str">
        <f t="array" ref="AA22">IFERROR(INDEX('INPUT CP'!$A$4:$BB64,MATCH($D22,'INPUT CP'!$D$4:$D64,0),MATCH(AA$6,'INPUT CP'!$A$3:$CO$3,0)),"")</f>
        <v>2</v>
      </c>
      <c r="AB22" s="515">
        <f t="shared" si="2"/>
        <v>987.5</v>
      </c>
      <c r="AC22" s="515">
        <f t="shared" si="3"/>
        <v>75.96153846</v>
      </c>
      <c r="AD22" s="516">
        <f t="shared" si="4"/>
        <v>34</v>
      </c>
    </row>
    <row r="23" ht="11.25" customHeight="1">
      <c r="A23" s="423">
        <f>IFERROR(__xludf.DUMMYFUNCTION("""COMPUTED_VALUE"""),17.0)</f>
        <v>17</v>
      </c>
      <c r="B23" s="425" t="str">
        <f>IFERROR(__xludf.DUMMYFUNCTION("""COMPUTED_VALUE"""),"2526100430")</f>
        <v>2526100430</v>
      </c>
      <c r="C23" s="425" t="str">
        <f>IFERROR(__xludf.DUMMYFUNCTION("""COMPUTED_VALUE"""),"0099084784")</f>
        <v>0099084784</v>
      </c>
      <c r="D23" s="426" t="str">
        <f>IFERROR(__xludf.DUMMYFUNCTION("""COMPUTED_VALUE"""),"MUHAMAD AL FARIZ")</f>
        <v>MUHAMAD AL FARIZ</v>
      </c>
      <c r="E23" s="428" t="str">
        <f>IFERROR(__xludf.DUMMYFUNCTION("""COMPUTED_VALUE"""),"X TO 4")</f>
        <v>X TO 4</v>
      </c>
      <c r="F23" s="428" t="s">
        <v>220</v>
      </c>
      <c r="G23" s="438">
        <f t="array" ref="G23">IFERROR(INDEX('INPUT CP'!$A$4:$BB64,MATCH($D23,'INPUT CP'!$D$4:$D64,0),MATCH(G$6,'INPUT CP'!$A$3:$CO$3,0)),"")</f>
        <v>77.25</v>
      </c>
      <c r="H23" s="439">
        <f t="array" ref="H23">IFERROR(INDEX('INPUT CP'!$A$4:$BB64,MATCH($D23,'INPUT CP'!$D$4:$D64,0),MATCH(H$6,'INPUT CP'!$A$3:$CO$3,0)),"")</f>
        <v>82.25</v>
      </c>
      <c r="I23" s="441">
        <f t="array" ref="I23">IFERROR(INDEX('INPUT CP'!$A$4:$BB64,MATCH($D23,'INPUT CP'!$D$4:$D64,0),MATCH(I$6,'INPUT CP'!$A$3:$CO$3,0)),"")</f>
        <v>88</v>
      </c>
      <c r="J23" s="444">
        <f t="array" ref="J23">IFERROR(INDEX('INPUT CP'!$A$4:$BB64,MATCH($D23,'INPUT CP'!$D$4:$D64,0),MATCH(J$6,'INPUT CP'!$A$3:$CO$3,0)),"")</f>
        <v>92.5</v>
      </c>
      <c r="K23" s="446">
        <f t="array" ref="K23">IFERROR(INDEX('INPUT CP'!$A$4:$BB64,MATCH($D23,'INPUT CP'!$D$4:$D64,0),MATCH(K$6,'INPUT CP'!$A$3:$CO$3,0)),"")</f>
        <v>83</v>
      </c>
      <c r="L23" s="450">
        <f t="array" ref="L23">IFERROR(INDEX('INPUT CP'!$A$4:$BB64,MATCH($D23,'INPUT CP'!$D$4:$D64,0),MATCH(L$6,'INPUT CP'!$A$3:$CO$3,0)),"")</f>
        <v>89.83333333</v>
      </c>
      <c r="M23" s="451">
        <f t="array" ref="M23">IFERROR(INDEX('INPUT CP'!$A$4:$BB64,MATCH($D23,'INPUT CP'!$D$4:$D64,0),MATCH(M$6,'INPUT CP'!$A$3:$CO$3,0)),"")</f>
        <v>85.5</v>
      </c>
      <c r="N23" s="452">
        <f t="array" ref="N23">IFERROR(INDEX('INPUT CP'!$A$4:$BB64,MATCH($D23,'INPUT CP'!$D$4:$D64,0),MATCH(N$6,'INPUT CP'!$A$3:$CO$3,0)),"")</f>
        <v>72</v>
      </c>
      <c r="O23" s="438">
        <f t="array" ref="O23">IFERROR(INDEX('INPUT CP'!$A$4:$BB64,MATCH($D23,'INPUT CP'!$D$4:$D64,0),MATCH(O$6,'INPUT CP'!$A$3:$CO$3,0)),"")</f>
        <v>76.33333333</v>
      </c>
      <c r="P23" s="456">
        <f t="array" ref="P23">IFERROR(INDEX('INPUT CP'!$A$4:$BB64,MATCH($D23,'INPUT CP'!$D$4:$D64,0),MATCH(P$6,'INPUT CP'!$A$3:$CO$3,0)),"")</f>
        <v>80</v>
      </c>
      <c r="Q23" s="456">
        <f t="array" ref="Q23">IFERROR(INDEX('INPUT CP'!$A$4:$BB64,MATCH($D23,'INPUT CP'!$D$4:$D64,0),MATCH(Q$6,'INPUT CP'!$A$3:$CO$3,0)),"")</f>
        <v>54.83333333</v>
      </c>
      <c r="R23" s="456">
        <f t="array" ref="R23">IFERROR(INDEX('INPUT CP'!$A$4:$BB64,MATCH($D23,'INPUT CP'!$D$4:$D64,0),MATCH(R$6,'INPUT CP'!$A$3:$CO$3,0)),"")</f>
        <v>80.5</v>
      </c>
      <c r="S23" s="456">
        <f t="array" ref="S23">IFERROR(INDEX('INPUT CP'!$A$4:$BB64,MATCH($D23,'INPUT CP'!$D$4:$D64,0),MATCH(S$6,'INPUT CP'!$A$3:$CO$3,0)),"")</f>
        <v>79.33333333</v>
      </c>
      <c r="T23" s="461" t="str">
        <f t="array" ref="T23">IFERROR(INDEX('INPUT CP'!$A$4:$BB64,MATCH($D23,'INPUT CP'!$D$4:$D64,0),MATCH(T$6,'INPUT CP'!$A$3:$CO$3,0)),"")</f>
        <v/>
      </c>
      <c r="U23" s="463" t="str">
        <f t="array" ref="U23">IFERROR(INDEX('INPUT CP'!$A$4:$BB64,MATCH($D23,'INPUT CP'!$D$4:$D64,0),MATCH(U$6,'INPUT CP'!$A$3:$CO$3,0)),"")</f>
        <v/>
      </c>
      <c r="V23" s="439" t="str">
        <f t="array" ref="V23">IFERROR(INDEX('INPUT CP'!$A$4:$BB64,MATCH($D23,'INPUT CP'!$D$4:$D64,0),MATCH(V$6,'INPUT CP'!$A$3:$CO$3,0)),"")</f>
        <v/>
      </c>
      <c r="W23" s="468" t="str">
        <f t="array" ref="W23">IFERROR(INDEX('INPUT CP'!$A$4:$BB64,MATCH($D23,'INPUT CP'!$D$4:$D64,0),MATCH(W$6,'INPUT CP'!$A$3:$CO$3,0)),"")</f>
        <v/>
      </c>
      <c r="X23" s="470" t="str">
        <f t="array" ref="X23">IFERROR(INDEX('INPUT CP'!$A$4:$BB64,MATCH($D23,'INPUT CP'!$D$4:$D64,0),MATCH(X$6,'INPUT CP'!$A$3:$CO$3,0)),"")</f>
        <v/>
      </c>
      <c r="Y23" s="470" t="str">
        <f t="array" ref="Y23">IFERROR(INDEX('INPUT CP'!$A$4:$BB64,MATCH($D23,'INPUT CP'!$D$4:$D64,0),MATCH(Y$6,'INPUT CP'!$A$3:$CO$3,0)),"")</f>
        <v>3</v>
      </c>
      <c r="Z23" s="470" t="str">
        <f t="array" ref="Z23">IFERROR(INDEX('INPUT CP'!$A$4:$BB64,MATCH($D23,'INPUT CP'!$D$4:$D64,0),MATCH(Z$6,'INPUT CP'!$A$3:$CO$3,0)),"")</f>
        <v>1</v>
      </c>
      <c r="AA23" s="470" t="str">
        <f t="array" ref="AA23">IFERROR(INDEX('INPUT CP'!$A$4:$BB64,MATCH($D23,'INPUT CP'!$D$4:$D64,0),MATCH(AA$6,'INPUT CP'!$A$3:$CO$3,0)),"")</f>
        <v>-</v>
      </c>
      <c r="AB23" s="476">
        <f t="shared" si="2"/>
        <v>1041.333333</v>
      </c>
      <c r="AC23" s="476">
        <f t="shared" si="3"/>
        <v>80.1025641</v>
      </c>
      <c r="AD23" s="479">
        <f t="shared" si="4"/>
        <v>13</v>
      </c>
    </row>
    <row r="24" ht="11.25" customHeight="1">
      <c r="A24" s="482">
        <f>IFERROR(__xludf.DUMMYFUNCTION("""COMPUTED_VALUE"""),18.0)</f>
        <v>18</v>
      </c>
      <c r="B24" s="485" t="str">
        <f>IFERROR(__xludf.DUMMYFUNCTION("""COMPUTED_VALUE"""),"2526100431")</f>
        <v>2526100431</v>
      </c>
      <c r="C24" s="485" t="str">
        <f>IFERROR(__xludf.DUMMYFUNCTION("""COMPUTED_VALUE"""),"0092469837")</f>
        <v>0092469837</v>
      </c>
      <c r="D24" s="487" t="str">
        <f>IFERROR(__xludf.DUMMYFUNCTION("""COMPUTED_VALUE"""),"MUHAMAD ASRUL")</f>
        <v>MUHAMAD ASRUL</v>
      </c>
      <c r="E24" s="489" t="str">
        <f>IFERROR(__xludf.DUMMYFUNCTION("""COMPUTED_VALUE"""),"X TO 4")</f>
        <v>X TO 4</v>
      </c>
      <c r="F24" s="489" t="s">
        <v>220</v>
      </c>
      <c r="G24" s="438">
        <f t="array" ref="G24">IFERROR(INDEX('INPUT CP'!$A$4:$BB64,MATCH($D24,'INPUT CP'!$D$4:$D64,0),MATCH(G$6,'INPUT CP'!$A$3:$CO$3,0)),"")</f>
        <v>80.5</v>
      </c>
      <c r="H24" s="439">
        <f t="array" ref="H24">IFERROR(INDEX('INPUT CP'!$A$4:$BB64,MATCH($D24,'INPUT CP'!$D$4:$D64,0),MATCH(H$6,'INPUT CP'!$A$3:$CO$3,0)),"")</f>
        <v>82.75</v>
      </c>
      <c r="I24" s="441">
        <f t="array" ref="I24">IFERROR(INDEX('INPUT CP'!$A$4:$BB64,MATCH($D24,'INPUT CP'!$D$4:$D64,0),MATCH(I$6,'INPUT CP'!$A$3:$CO$3,0)),"")</f>
        <v>85.5</v>
      </c>
      <c r="J24" s="444">
        <f t="array" ref="J24">IFERROR(INDEX('INPUT CP'!$A$4:$BB64,MATCH($D24,'INPUT CP'!$D$4:$D64,0),MATCH(J$6,'INPUT CP'!$A$3:$CO$3,0)),"")</f>
        <v>87.5</v>
      </c>
      <c r="K24" s="446">
        <f t="array" ref="K24">IFERROR(INDEX('INPUT CP'!$A$4:$BB64,MATCH($D24,'INPUT CP'!$D$4:$D64,0),MATCH(K$6,'INPUT CP'!$A$3:$CO$3,0)),"")</f>
        <v>84</v>
      </c>
      <c r="L24" s="450">
        <f t="array" ref="L24">IFERROR(INDEX('INPUT CP'!$A$4:$BB64,MATCH($D24,'INPUT CP'!$D$4:$D64,0),MATCH(L$6,'INPUT CP'!$A$3:$CO$3,0)),"")</f>
        <v>89.66666667</v>
      </c>
      <c r="M24" s="451">
        <f t="array" ref="M24">IFERROR(INDEX('INPUT CP'!$A$4:$BB64,MATCH($D24,'INPUT CP'!$D$4:$D64,0),MATCH(M$6,'INPUT CP'!$A$3:$CO$3,0)),"")</f>
        <v>86.66666667</v>
      </c>
      <c r="N24" s="452">
        <f t="array" ref="N24">IFERROR(INDEX('INPUT CP'!$A$4:$BB64,MATCH($D24,'INPUT CP'!$D$4:$D64,0),MATCH(N$6,'INPUT CP'!$A$3:$CO$3,0)),"")</f>
        <v>84</v>
      </c>
      <c r="O24" s="438">
        <f t="array" ref="O24">IFERROR(INDEX('INPUT CP'!$A$4:$BB64,MATCH($D24,'INPUT CP'!$D$4:$D64,0),MATCH(O$6,'INPUT CP'!$A$3:$CO$3,0)),"")</f>
        <v>76.33333333</v>
      </c>
      <c r="P24" s="456">
        <f t="array" ref="P24">IFERROR(INDEX('INPUT CP'!$A$4:$BB64,MATCH($D24,'INPUT CP'!$D$4:$D64,0),MATCH(P$6,'INPUT CP'!$A$3:$CO$3,0)),"")</f>
        <v>80</v>
      </c>
      <c r="Q24" s="456">
        <f t="array" ref="Q24">IFERROR(INDEX('INPUT CP'!$A$4:$BB64,MATCH($D24,'INPUT CP'!$D$4:$D64,0),MATCH(Q$6,'INPUT CP'!$A$3:$CO$3,0)),"")</f>
        <v>56</v>
      </c>
      <c r="R24" s="456">
        <f t="array" ref="R24">IFERROR(INDEX('INPUT CP'!$A$4:$BB64,MATCH($D24,'INPUT CP'!$D$4:$D64,0),MATCH(R$6,'INPUT CP'!$A$3:$CO$3,0)),"")</f>
        <v>85</v>
      </c>
      <c r="S24" s="456">
        <f t="array" ref="S24">IFERROR(INDEX('INPUT CP'!$A$4:$BB64,MATCH($D24,'INPUT CP'!$D$4:$D64,0),MATCH(S$6,'INPUT CP'!$A$3:$CO$3,0)),"")</f>
        <v>77.66666667</v>
      </c>
      <c r="T24" s="461" t="str">
        <f t="array" ref="T24">IFERROR(INDEX('INPUT CP'!$A$4:$BB64,MATCH($D24,'INPUT CP'!$D$4:$D64,0),MATCH(T$6,'INPUT CP'!$A$3:$CO$3,0)),"")</f>
        <v/>
      </c>
      <c r="U24" s="463" t="str">
        <f t="array" ref="U24">IFERROR(INDEX('INPUT CP'!$A$4:$BB64,MATCH($D24,'INPUT CP'!$D$4:$D64,0),MATCH(U$6,'INPUT CP'!$A$3:$CO$3,0)),"")</f>
        <v/>
      </c>
      <c r="V24" s="439" t="str">
        <f t="array" ref="V24">IFERROR(INDEX('INPUT CP'!$A$4:$BB64,MATCH($D24,'INPUT CP'!$D$4:$D64,0),MATCH(V$6,'INPUT CP'!$A$3:$CO$3,0)),"")</f>
        <v/>
      </c>
      <c r="W24" s="513" t="str">
        <f t="array" ref="W24">IFERROR(INDEX('INPUT CP'!$A$4:$BB64,MATCH($D24,'INPUT CP'!$D$4:$D64,0),MATCH(W$6,'INPUT CP'!$A$3:$CO$3,0)),"")</f>
        <v/>
      </c>
      <c r="X24" s="514" t="str">
        <f t="array" ref="X24">IFERROR(INDEX('INPUT CP'!$A$4:$BB64,MATCH($D24,'INPUT CP'!$D$4:$D64,0),MATCH(X$6,'INPUT CP'!$A$3:$CO$3,0)),"")</f>
        <v/>
      </c>
      <c r="Y24" s="514" t="str">
        <f t="array" ref="Y24">IFERROR(INDEX('INPUT CP'!$A$4:$BB64,MATCH($D24,'INPUT CP'!$D$4:$D64,0),MATCH(Y$6,'INPUT CP'!$A$3:$CO$3,0)),"")</f>
        <v>1</v>
      </c>
      <c r="Z24" s="514" t="str">
        <f t="array" ref="Z24">IFERROR(INDEX('INPUT CP'!$A$4:$BB64,MATCH($D24,'INPUT CP'!$D$4:$D64,0),MATCH(Z$6,'INPUT CP'!$A$3:$CO$3,0)),"")</f>
        <v>-</v>
      </c>
      <c r="AA24" s="514" t="str">
        <f t="array" ref="AA24">IFERROR(INDEX('INPUT CP'!$A$4:$BB64,MATCH($D24,'INPUT CP'!$D$4:$D64,0),MATCH(AA$6,'INPUT CP'!$A$3:$CO$3,0)),"")</f>
        <v>-</v>
      </c>
      <c r="AB24" s="515">
        <f t="shared" si="2"/>
        <v>1055.583333</v>
      </c>
      <c r="AC24" s="515">
        <f t="shared" si="3"/>
        <v>81.19871795</v>
      </c>
      <c r="AD24" s="516">
        <f t="shared" si="4"/>
        <v>10</v>
      </c>
    </row>
    <row r="25" ht="11.25" customHeight="1">
      <c r="A25" s="423">
        <f>IFERROR(__xludf.DUMMYFUNCTION("""COMPUTED_VALUE"""),19.0)</f>
        <v>19</v>
      </c>
      <c r="B25" s="425" t="str">
        <f>IFERROR(__xludf.DUMMYFUNCTION("""COMPUTED_VALUE"""),"2526100432")</f>
        <v>2526100432</v>
      </c>
      <c r="C25" s="425" t="str">
        <f>IFERROR(__xludf.DUMMYFUNCTION("""COMPUTED_VALUE"""),"0099940282")</f>
        <v>0099940282</v>
      </c>
      <c r="D25" s="426" t="str">
        <f>IFERROR(__xludf.DUMMYFUNCTION("""COMPUTED_VALUE"""),"MUHAMAD FARHAN")</f>
        <v>MUHAMAD FARHAN</v>
      </c>
      <c r="E25" s="428" t="str">
        <f>IFERROR(__xludf.DUMMYFUNCTION("""COMPUTED_VALUE"""),"X TO 4")</f>
        <v>X TO 4</v>
      </c>
      <c r="F25" s="428" t="s">
        <v>220</v>
      </c>
      <c r="G25" s="438">
        <f t="array" ref="G25">IFERROR(INDEX('INPUT CP'!$A$4:$BB64,MATCH($D25,'INPUT CP'!$D$4:$D64,0),MATCH(G$6,'INPUT CP'!$A$3:$CO$3,0)),"")</f>
        <v>82.5</v>
      </c>
      <c r="H25" s="439">
        <f t="array" ref="H25">IFERROR(INDEX('INPUT CP'!$A$4:$BB64,MATCH($D25,'INPUT CP'!$D$4:$D64,0),MATCH(H$6,'INPUT CP'!$A$3:$CO$3,0)),"")</f>
        <v>81.25</v>
      </c>
      <c r="I25" s="441">
        <f t="array" ref="I25">IFERROR(INDEX('INPUT CP'!$A$4:$BB64,MATCH($D25,'INPUT CP'!$D$4:$D64,0),MATCH(I$6,'INPUT CP'!$A$3:$CO$3,0)),"")</f>
        <v>86.66666667</v>
      </c>
      <c r="J25" s="444">
        <f t="array" ref="J25">IFERROR(INDEX('INPUT CP'!$A$4:$BB64,MATCH($D25,'INPUT CP'!$D$4:$D64,0),MATCH(J$6,'INPUT CP'!$A$3:$CO$3,0)),"")</f>
        <v>82.5</v>
      </c>
      <c r="K25" s="446">
        <f t="array" ref="K25">IFERROR(INDEX('INPUT CP'!$A$4:$BB64,MATCH($D25,'INPUT CP'!$D$4:$D64,0),MATCH(K$6,'INPUT CP'!$A$3:$CO$3,0)),"")</f>
        <v>83</v>
      </c>
      <c r="L25" s="450">
        <f t="array" ref="L25">IFERROR(INDEX('INPUT CP'!$A$4:$BB64,MATCH($D25,'INPUT CP'!$D$4:$D64,0),MATCH(L$6,'INPUT CP'!$A$3:$CO$3,0)),"")</f>
        <v>89.5</v>
      </c>
      <c r="M25" s="451">
        <f t="array" ref="M25">IFERROR(INDEX('INPUT CP'!$A$4:$BB64,MATCH($D25,'INPUT CP'!$D$4:$D64,0),MATCH(M$6,'INPUT CP'!$A$3:$CO$3,0)),"")</f>
        <v>85.66666667</v>
      </c>
      <c r="N25" s="452">
        <f t="array" ref="N25">IFERROR(INDEX('INPUT CP'!$A$4:$BB64,MATCH($D25,'INPUT CP'!$D$4:$D64,0),MATCH(N$6,'INPUT CP'!$A$3:$CO$3,0)),"")</f>
        <v>82</v>
      </c>
      <c r="O25" s="438">
        <f t="array" ref="O25">IFERROR(INDEX('INPUT CP'!$A$4:$BB64,MATCH($D25,'INPUT CP'!$D$4:$D64,0),MATCH(O$6,'INPUT CP'!$A$3:$CO$3,0)),"")</f>
        <v>76.33333333</v>
      </c>
      <c r="P25" s="456">
        <f t="array" ref="P25">IFERROR(INDEX('INPUT CP'!$A$4:$BB64,MATCH($D25,'INPUT CP'!$D$4:$D64,0),MATCH(P$6,'INPUT CP'!$A$3:$CO$3,0)),"")</f>
        <v>80</v>
      </c>
      <c r="Q25" s="456">
        <f t="array" ref="Q25">IFERROR(INDEX('INPUT CP'!$A$4:$BB64,MATCH($D25,'INPUT CP'!$D$4:$D64,0),MATCH(Q$6,'INPUT CP'!$A$3:$CO$3,0)),"")</f>
        <v>82.5</v>
      </c>
      <c r="R25" s="456">
        <f t="array" ref="R25">IFERROR(INDEX('INPUT CP'!$A$4:$BB64,MATCH($D25,'INPUT CP'!$D$4:$D64,0),MATCH(R$6,'INPUT CP'!$A$3:$CO$3,0)),"")</f>
        <v>80.83333333</v>
      </c>
      <c r="S25" s="456">
        <f t="array" ref="S25">IFERROR(INDEX('INPUT CP'!$A$4:$BB64,MATCH($D25,'INPUT CP'!$D$4:$D64,0),MATCH(S$6,'INPUT CP'!$A$3:$CO$3,0)),"")</f>
        <v>77.66666667</v>
      </c>
      <c r="T25" s="461" t="str">
        <f t="array" ref="T25">IFERROR(INDEX('INPUT CP'!$A$4:$BB64,MATCH($D25,'INPUT CP'!$D$4:$D64,0),MATCH(T$6,'INPUT CP'!$A$3:$CO$3,0)),"")</f>
        <v/>
      </c>
      <c r="U25" s="463" t="str">
        <f t="array" ref="U25">IFERROR(INDEX('INPUT CP'!$A$4:$BB64,MATCH($D25,'INPUT CP'!$D$4:$D64,0),MATCH(U$6,'INPUT CP'!$A$3:$CO$3,0)),"")</f>
        <v/>
      </c>
      <c r="V25" s="439" t="str">
        <f t="array" ref="V25">IFERROR(INDEX('INPUT CP'!$A$4:$BB64,MATCH($D25,'INPUT CP'!$D$4:$D64,0),MATCH(V$6,'INPUT CP'!$A$3:$CO$3,0)),"")</f>
        <v/>
      </c>
      <c r="W25" s="468" t="str">
        <f t="array" ref="W25">IFERROR(INDEX('INPUT CP'!$A$4:$BB64,MATCH($D25,'INPUT CP'!$D$4:$D64,0),MATCH(W$6,'INPUT CP'!$A$3:$CO$3,0)),"")</f>
        <v>PKS/POLSIS</v>
      </c>
      <c r="X25" s="470" t="str">
        <f t="array" ref="X25">IFERROR(INDEX('INPUT CP'!$A$4:$BB64,MATCH($D25,'INPUT CP'!$D$4:$D64,0),MATCH(X$6,'INPUT CP'!$A$3:$CO$3,0)),"")</f>
        <v/>
      </c>
      <c r="Y25" s="470" t="str">
        <f t="array" ref="Y25">IFERROR(INDEX('INPUT CP'!$A$4:$BB64,MATCH($D25,'INPUT CP'!$D$4:$D64,0),MATCH(Y$6,'INPUT CP'!$A$3:$CO$3,0)),"")</f>
        <v>4</v>
      </c>
      <c r="Z25" s="470" t="str">
        <f t="array" ref="Z25">IFERROR(INDEX('INPUT CP'!$A$4:$BB64,MATCH($D25,'INPUT CP'!$D$4:$D64,0),MATCH(Z$6,'INPUT CP'!$A$3:$CO$3,0)),"")</f>
        <v>-</v>
      </c>
      <c r="AA25" s="470" t="str">
        <f t="array" ref="AA25">IFERROR(INDEX('INPUT CP'!$A$4:$BB64,MATCH($D25,'INPUT CP'!$D$4:$D64,0),MATCH(AA$6,'INPUT CP'!$A$3:$CO$3,0)),"")</f>
        <v>-</v>
      </c>
      <c r="AB25" s="476">
        <f t="shared" si="2"/>
        <v>1070.416667</v>
      </c>
      <c r="AC25" s="476">
        <f t="shared" si="3"/>
        <v>82.33974359</v>
      </c>
      <c r="AD25" s="479">
        <f t="shared" si="4"/>
        <v>7</v>
      </c>
    </row>
    <row r="26" ht="11.25" customHeight="1">
      <c r="A26" s="482">
        <f>IFERROR(__xludf.DUMMYFUNCTION("""COMPUTED_VALUE"""),20.0)</f>
        <v>20</v>
      </c>
      <c r="B26" s="485" t="str">
        <f>IFERROR(__xludf.DUMMYFUNCTION("""COMPUTED_VALUE"""),"2526100433")</f>
        <v>2526100433</v>
      </c>
      <c r="C26" s="485" t="str">
        <f>IFERROR(__xludf.DUMMYFUNCTION("""COMPUTED_VALUE"""),"0088633294")</f>
        <v>0088633294</v>
      </c>
      <c r="D26" s="487" t="str">
        <f>IFERROR(__xludf.DUMMYFUNCTION("""COMPUTED_VALUE"""),"MUHAMAD MIFTAH NASHIRUDIN")</f>
        <v>MUHAMAD MIFTAH NASHIRUDIN</v>
      </c>
      <c r="E26" s="489" t="str">
        <f>IFERROR(__xludf.DUMMYFUNCTION("""COMPUTED_VALUE"""),"X TO 4")</f>
        <v>X TO 4</v>
      </c>
      <c r="F26" s="489" t="s">
        <v>220</v>
      </c>
      <c r="G26" s="438">
        <f t="array" ref="G26">IFERROR(INDEX('INPUT CP'!$A$4:$BB64,MATCH($D26,'INPUT CP'!$D$4:$D64,0),MATCH(G$6,'INPUT CP'!$A$3:$CO$3,0)),"")</f>
        <v>77.75</v>
      </c>
      <c r="H26" s="439">
        <f t="array" ref="H26">IFERROR(INDEX('INPUT CP'!$A$4:$BB64,MATCH($D26,'INPUT CP'!$D$4:$D64,0),MATCH(H$6,'INPUT CP'!$A$3:$CO$3,0)),"")</f>
        <v>83.25</v>
      </c>
      <c r="I26" s="441">
        <f t="array" ref="I26">IFERROR(INDEX('INPUT CP'!$A$4:$BB64,MATCH($D26,'INPUT CP'!$D$4:$D64,0),MATCH(I$6,'INPUT CP'!$A$3:$CO$3,0)),"")</f>
        <v>84.66666667</v>
      </c>
      <c r="J26" s="444">
        <f t="array" ref="J26">IFERROR(INDEX('INPUT CP'!$A$4:$BB64,MATCH($D26,'INPUT CP'!$D$4:$D64,0),MATCH(J$6,'INPUT CP'!$A$3:$CO$3,0)),"")</f>
        <v>76.75</v>
      </c>
      <c r="K26" s="446">
        <f t="array" ref="K26">IFERROR(INDEX('INPUT CP'!$A$4:$BB64,MATCH($D26,'INPUT CP'!$D$4:$D64,0),MATCH(K$6,'INPUT CP'!$A$3:$CO$3,0)),"")</f>
        <v>79</v>
      </c>
      <c r="L26" s="450">
        <f t="array" ref="L26">IFERROR(INDEX('INPUT CP'!$A$4:$BB64,MATCH($D26,'INPUT CP'!$D$4:$D64,0),MATCH(L$6,'INPUT CP'!$A$3:$CO$3,0)),"")</f>
        <v>89.16666667</v>
      </c>
      <c r="M26" s="451">
        <f t="array" ref="M26">IFERROR(INDEX('INPUT CP'!$A$4:$BB64,MATCH($D26,'INPUT CP'!$D$4:$D64,0),MATCH(M$6,'INPUT CP'!$A$3:$CO$3,0)),"")</f>
        <v>79.66666667</v>
      </c>
      <c r="N26" s="452">
        <f t="array" ref="N26">IFERROR(INDEX('INPUT CP'!$A$4:$BB64,MATCH($D26,'INPUT CP'!$D$4:$D64,0),MATCH(N$6,'INPUT CP'!$A$3:$CO$3,0)),"")</f>
        <v>72</v>
      </c>
      <c r="O26" s="438">
        <f t="array" ref="O26">IFERROR(INDEX('INPUT CP'!$A$4:$BB64,MATCH($D26,'INPUT CP'!$D$4:$D64,0),MATCH(O$6,'INPUT CP'!$A$3:$CO$3,0)),"")</f>
        <v>76.33333333</v>
      </c>
      <c r="P26" s="456">
        <f t="array" ref="P26">IFERROR(INDEX('INPUT CP'!$A$4:$BB64,MATCH($D26,'INPUT CP'!$D$4:$D64,0),MATCH(P$6,'INPUT CP'!$A$3:$CO$3,0)),"")</f>
        <v>80</v>
      </c>
      <c r="Q26" s="456">
        <f t="array" ref="Q26">IFERROR(INDEX('INPUT CP'!$A$4:$BB64,MATCH($D26,'INPUT CP'!$D$4:$D64,0),MATCH(Q$6,'INPUT CP'!$A$3:$CO$3,0)),"")</f>
        <v>83</v>
      </c>
      <c r="R26" s="456">
        <f t="array" ref="R26">IFERROR(INDEX('INPUT CP'!$A$4:$BB64,MATCH($D26,'INPUT CP'!$D$4:$D64,0),MATCH(R$6,'INPUT CP'!$A$3:$CO$3,0)),"")</f>
        <v>80.33333333</v>
      </c>
      <c r="S26" s="456">
        <f t="array" ref="S26">IFERROR(INDEX('INPUT CP'!$A$4:$BB64,MATCH($D26,'INPUT CP'!$D$4:$D64,0),MATCH(S$6,'INPUT CP'!$A$3:$CO$3,0)),"")</f>
        <v>79.33333333</v>
      </c>
      <c r="T26" s="461" t="str">
        <f t="array" ref="T26">IFERROR(INDEX('INPUT CP'!$A$4:$BB64,MATCH($D26,'INPUT CP'!$D$4:$D64,0),MATCH(T$6,'INPUT CP'!$A$3:$CO$3,0)),"")</f>
        <v/>
      </c>
      <c r="U26" s="463" t="str">
        <f t="array" ref="U26">IFERROR(INDEX('INPUT CP'!$A$4:$BB64,MATCH($D26,'INPUT CP'!$D$4:$D64,0),MATCH(U$6,'INPUT CP'!$A$3:$CO$3,0)),"")</f>
        <v/>
      </c>
      <c r="V26" s="439" t="str">
        <f t="array" ref="V26">IFERROR(INDEX('INPUT CP'!$A$4:$BB64,MATCH($D26,'INPUT CP'!$D$4:$D64,0),MATCH(V$6,'INPUT CP'!$A$3:$CO$3,0)),"")</f>
        <v/>
      </c>
      <c r="W26" s="513" t="str">
        <f t="array" ref="W26">IFERROR(INDEX('INPUT CP'!$A$4:$BB64,MATCH($D26,'INPUT CP'!$D$4:$D64,0),MATCH(W$6,'INPUT CP'!$A$3:$CO$3,0)),"")</f>
        <v/>
      </c>
      <c r="X26" s="514" t="str">
        <f t="array" ref="X26">IFERROR(INDEX('INPUT CP'!$A$4:$BB64,MATCH($D26,'INPUT CP'!$D$4:$D64,0),MATCH(X$6,'INPUT CP'!$A$3:$CO$3,0)),"")</f>
        <v/>
      </c>
      <c r="Y26" s="514" t="str">
        <f t="array" ref="Y26">IFERROR(INDEX('INPUT CP'!$A$4:$BB64,MATCH($D26,'INPUT CP'!$D$4:$D64,0),MATCH(Y$6,'INPUT CP'!$A$3:$CO$3,0)),"")</f>
        <v>9</v>
      </c>
      <c r="Z26" s="514" t="str">
        <f t="array" ref="Z26">IFERROR(INDEX('INPUT CP'!$A$4:$BB64,MATCH($D26,'INPUT CP'!$D$4:$D64,0),MATCH(Z$6,'INPUT CP'!$A$3:$CO$3,0)),"")</f>
        <v>-</v>
      </c>
      <c r="AA26" s="514" t="str">
        <f t="array" ref="AA26">IFERROR(INDEX('INPUT CP'!$A$4:$BB64,MATCH($D26,'INPUT CP'!$D$4:$D64,0),MATCH(AA$6,'INPUT CP'!$A$3:$CO$3,0)),"")</f>
        <v>-</v>
      </c>
      <c r="AB26" s="515">
        <f t="shared" si="2"/>
        <v>1041.25</v>
      </c>
      <c r="AC26" s="515">
        <f t="shared" si="3"/>
        <v>80.09615385</v>
      </c>
      <c r="AD26" s="516">
        <f t="shared" si="4"/>
        <v>14</v>
      </c>
    </row>
    <row r="27" ht="11.25" customHeight="1">
      <c r="A27" s="423">
        <f>IFERROR(__xludf.DUMMYFUNCTION("""COMPUTED_VALUE"""),21.0)</f>
        <v>21</v>
      </c>
      <c r="B27" s="425" t="str">
        <f>IFERROR(__xludf.DUMMYFUNCTION("""COMPUTED_VALUE"""),"2526100434")</f>
        <v>2526100434</v>
      </c>
      <c r="C27" s="425" t="str">
        <f>IFERROR(__xludf.DUMMYFUNCTION("""COMPUTED_VALUE"""),"0094805329")</f>
        <v>0094805329</v>
      </c>
      <c r="D27" s="426" t="str">
        <f>IFERROR(__xludf.DUMMYFUNCTION("""COMPUTED_VALUE"""),"MUHAMAD NUR KHOLIS ROMDONI")</f>
        <v>MUHAMAD NUR KHOLIS ROMDONI</v>
      </c>
      <c r="E27" s="428" t="str">
        <f>IFERROR(__xludf.DUMMYFUNCTION("""COMPUTED_VALUE"""),"X TO 4")</f>
        <v>X TO 4</v>
      </c>
      <c r="F27" s="428" t="s">
        <v>220</v>
      </c>
      <c r="G27" s="438">
        <f t="array" ref="G27">IFERROR(INDEX('INPUT CP'!$A$4:$BB64,MATCH($D27,'INPUT CP'!$D$4:$D64,0),MATCH(G$6,'INPUT CP'!$A$3:$CO$3,0)),"")</f>
        <v>77.25</v>
      </c>
      <c r="H27" s="439">
        <f t="array" ref="H27">IFERROR(INDEX('INPUT CP'!$A$4:$BB64,MATCH($D27,'INPUT CP'!$D$4:$D64,0),MATCH(H$6,'INPUT CP'!$A$3:$CO$3,0)),"")</f>
        <v>81.25</v>
      </c>
      <c r="I27" s="441">
        <f t="array" ref="I27">IFERROR(INDEX('INPUT CP'!$A$4:$BB64,MATCH($D27,'INPUT CP'!$D$4:$D64,0),MATCH(I$6,'INPUT CP'!$A$3:$CO$3,0)),"")</f>
        <v>83.83333333</v>
      </c>
      <c r="J27" s="444">
        <f t="array" ref="J27">IFERROR(INDEX('INPUT CP'!$A$4:$BB64,MATCH($D27,'INPUT CP'!$D$4:$D64,0),MATCH(J$6,'INPUT CP'!$A$3:$CO$3,0)),"")</f>
        <v>82.25</v>
      </c>
      <c r="K27" s="446">
        <f t="array" ref="K27">IFERROR(INDEX('INPUT CP'!$A$4:$BB64,MATCH($D27,'INPUT CP'!$D$4:$D64,0),MATCH(K$6,'INPUT CP'!$A$3:$CO$3,0)),"")</f>
        <v>0</v>
      </c>
      <c r="L27" s="450">
        <f t="array" ref="L27">IFERROR(INDEX('INPUT CP'!$A$4:$BB64,MATCH($D27,'INPUT CP'!$D$4:$D64,0),MATCH(L$6,'INPUT CP'!$A$3:$CO$3,0)),"")</f>
        <v>89.5</v>
      </c>
      <c r="M27" s="451">
        <f t="array" ref="M27">IFERROR(INDEX('INPUT CP'!$A$4:$BB64,MATCH($D27,'INPUT CP'!$D$4:$D64,0),MATCH(M$6,'INPUT CP'!$A$3:$CO$3,0)),"")</f>
        <v>3.333333333</v>
      </c>
      <c r="N27" s="452">
        <f t="array" ref="N27">IFERROR(INDEX('INPUT CP'!$A$4:$BB64,MATCH($D27,'INPUT CP'!$D$4:$D64,0),MATCH(N$6,'INPUT CP'!$A$3:$CO$3,0)),"")</f>
        <v>72</v>
      </c>
      <c r="O27" s="438">
        <f t="array" ref="O27">IFERROR(INDEX('INPUT CP'!$A$4:$BB64,MATCH($D27,'INPUT CP'!$D$4:$D64,0),MATCH(O$6,'INPUT CP'!$A$3:$CO$3,0)),"")</f>
        <v>76</v>
      </c>
      <c r="P27" s="456">
        <f t="array" ref="P27">IFERROR(INDEX('INPUT CP'!$A$4:$BB64,MATCH($D27,'INPUT CP'!$D$4:$D64,0),MATCH(P$6,'INPUT CP'!$A$3:$CO$3,0)),"")</f>
        <v>80</v>
      </c>
      <c r="Q27" s="456">
        <f t="array" ref="Q27">IFERROR(INDEX('INPUT CP'!$A$4:$BB64,MATCH($D27,'INPUT CP'!$D$4:$D64,0),MATCH(Q$6,'INPUT CP'!$A$3:$CO$3,0)),"")</f>
        <v>38.5</v>
      </c>
      <c r="R27" s="456">
        <f t="array" ref="R27">IFERROR(INDEX('INPUT CP'!$A$4:$BB64,MATCH($D27,'INPUT CP'!$D$4:$D64,0),MATCH(R$6,'INPUT CP'!$A$3:$CO$3,0)),"")</f>
        <v>80</v>
      </c>
      <c r="S27" s="456">
        <f t="array" ref="S27">IFERROR(INDEX('INPUT CP'!$A$4:$BB64,MATCH($D27,'INPUT CP'!$D$4:$D64,0),MATCH(S$6,'INPUT CP'!$A$3:$CO$3,0)),"")</f>
        <v>77.66666667</v>
      </c>
      <c r="T27" s="461" t="str">
        <f t="array" ref="T27">IFERROR(INDEX('INPUT CP'!$A$4:$BB64,MATCH($D27,'INPUT CP'!$D$4:$D64,0),MATCH(T$6,'INPUT CP'!$A$3:$CO$3,0)),"")</f>
        <v/>
      </c>
      <c r="U27" s="463" t="str">
        <f t="array" ref="U27">IFERROR(INDEX('INPUT CP'!$A$4:$BB64,MATCH($D27,'INPUT CP'!$D$4:$D64,0),MATCH(U$6,'INPUT CP'!$A$3:$CO$3,0)),"")</f>
        <v/>
      </c>
      <c r="V27" s="439" t="str">
        <f t="array" ref="V27">IFERROR(INDEX('INPUT CP'!$A$4:$BB64,MATCH($D27,'INPUT CP'!$D$4:$D64,0),MATCH(V$6,'INPUT CP'!$A$3:$CO$3,0)),"")</f>
        <v/>
      </c>
      <c r="W27" s="468" t="str">
        <f t="array" ref="W27">IFERROR(INDEX('INPUT CP'!$A$4:$BB64,MATCH($D27,'INPUT CP'!$D$4:$D64,0),MATCH(W$6,'INPUT CP'!$A$3:$CO$3,0)),"")</f>
        <v/>
      </c>
      <c r="X27" s="470" t="str">
        <f t="array" ref="X27">IFERROR(INDEX('INPUT CP'!$A$4:$BB64,MATCH($D27,'INPUT CP'!$D$4:$D64,0),MATCH(X$6,'INPUT CP'!$A$3:$CO$3,0)),"")</f>
        <v/>
      </c>
      <c r="Y27" s="470" t="str">
        <f t="array" ref="Y27">IFERROR(INDEX('INPUT CP'!$A$4:$BB64,MATCH($D27,'INPUT CP'!$D$4:$D64,0),MATCH(Y$6,'INPUT CP'!$A$3:$CO$3,0)),"")</f>
        <v>10</v>
      </c>
      <c r="Z27" s="470" t="str">
        <f t="array" ref="Z27">IFERROR(INDEX('INPUT CP'!$A$4:$BB64,MATCH($D27,'INPUT CP'!$D$4:$D64,0),MATCH(Z$6,'INPUT CP'!$A$3:$CO$3,0)),"")</f>
        <v>2</v>
      </c>
      <c r="AA27" s="470" t="str">
        <f t="array" ref="AA27">IFERROR(INDEX('INPUT CP'!$A$4:$BB64,MATCH($D27,'INPUT CP'!$D$4:$D64,0),MATCH(AA$6,'INPUT CP'!$A$3:$CO$3,0)),"")</f>
        <v>-</v>
      </c>
      <c r="AB27" s="476">
        <f t="shared" si="2"/>
        <v>841.5833333</v>
      </c>
      <c r="AC27" s="476">
        <f t="shared" si="3"/>
        <v>64.73717949</v>
      </c>
      <c r="AD27" s="479">
        <f t="shared" si="4"/>
        <v>42</v>
      </c>
    </row>
    <row r="28" ht="11.25" customHeight="1">
      <c r="A28" s="482">
        <f>IFERROR(__xludf.DUMMYFUNCTION("""COMPUTED_VALUE"""),22.0)</f>
        <v>22</v>
      </c>
      <c r="B28" s="485" t="str">
        <f>IFERROR(__xludf.DUMMYFUNCTION("""COMPUTED_VALUE"""),"2526100435")</f>
        <v>2526100435</v>
      </c>
      <c r="C28" s="485" t="str">
        <f>IFERROR(__xludf.DUMMYFUNCTION("""COMPUTED_VALUE"""),"0098562523")</f>
        <v>0098562523</v>
      </c>
      <c r="D28" s="487" t="str">
        <f>IFERROR(__xludf.DUMMYFUNCTION("""COMPUTED_VALUE"""),"MUHAMAD RIDWAN")</f>
        <v>MUHAMAD RIDWAN</v>
      </c>
      <c r="E28" s="489" t="str">
        <f>IFERROR(__xludf.DUMMYFUNCTION("""COMPUTED_VALUE"""),"X TO 4")</f>
        <v>X TO 4</v>
      </c>
      <c r="F28" s="489" t="s">
        <v>220</v>
      </c>
      <c r="G28" s="438">
        <f t="array" ref="G28">IFERROR(INDEX('INPUT CP'!$A$4:$BB64,MATCH($D28,'INPUT CP'!$D$4:$D64,0),MATCH(G$6,'INPUT CP'!$A$3:$CO$3,0)),"")</f>
        <v>78.25</v>
      </c>
      <c r="H28" s="439">
        <f t="array" ref="H28">IFERROR(INDEX('INPUT CP'!$A$4:$BB64,MATCH($D28,'INPUT CP'!$D$4:$D64,0),MATCH(H$6,'INPUT CP'!$A$3:$CO$3,0)),"")</f>
        <v>82.25</v>
      </c>
      <c r="I28" s="441">
        <f t="array" ref="I28">IFERROR(INDEX('INPUT CP'!$A$4:$BB64,MATCH($D28,'INPUT CP'!$D$4:$D64,0),MATCH(I$6,'INPUT CP'!$A$3:$CO$3,0)),"")</f>
        <v>84.16666667</v>
      </c>
      <c r="J28" s="444">
        <f t="array" ref="J28">IFERROR(INDEX('INPUT CP'!$A$4:$BB64,MATCH($D28,'INPUT CP'!$D$4:$D64,0),MATCH(J$6,'INPUT CP'!$A$3:$CO$3,0)),"")</f>
        <v>87.25</v>
      </c>
      <c r="K28" s="446">
        <f t="array" ref="K28">IFERROR(INDEX('INPUT CP'!$A$4:$BB64,MATCH($D28,'INPUT CP'!$D$4:$D64,0),MATCH(K$6,'INPUT CP'!$A$3:$CO$3,0)),"")</f>
        <v>82</v>
      </c>
      <c r="L28" s="450">
        <f t="array" ref="L28">IFERROR(INDEX('INPUT CP'!$A$4:$BB64,MATCH($D28,'INPUT CP'!$D$4:$D64,0),MATCH(L$6,'INPUT CP'!$A$3:$CO$3,0)),"")</f>
        <v>90</v>
      </c>
      <c r="M28" s="451">
        <f t="array" ref="M28">IFERROR(INDEX('INPUT CP'!$A$4:$BB64,MATCH($D28,'INPUT CP'!$D$4:$D64,0),MATCH(M$6,'INPUT CP'!$A$3:$CO$3,0)),"")</f>
        <v>84.5</v>
      </c>
      <c r="N28" s="452">
        <f t="array" ref="N28">IFERROR(INDEX('INPUT CP'!$A$4:$BB64,MATCH($D28,'INPUT CP'!$D$4:$D64,0),MATCH(N$6,'INPUT CP'!$A$3:$CO$3,0)),"")</f>
        <v>72</v>
      </c>
      <c r="O28" s="438">
        <f t="array" ref="O28">IFERROR(INDEX('INPUT CP'!$A$4:$BB64,MATCH($D28,'INPUT CP'!$D$4:$D64,0),MATCH(O$6,'INPUT CP'!$A$3:$CO$3,0)),"")</f>
        <v>76.5</v>
      </c>
      <c r="P28" s="456">
        <f t="array" ref="P28">IFERROR(INDEX('INPUT CP'!$A$4:$BB64,MATCH($D28,'INPUT CP'!$D$4:$D64,0),MATCH(P$6,'INPUT CP'!$A$3:$CO$3,0)),"")</f>
        <v>80</v>
      </c>
      <c r="Q28" s="456">
        <f t="array" ref="Q28">IFERROR(INDEX('INPUT CP'!$A$4:$BB64,MATCH($D28,'INPUT CP'!$D$4:$D64,0),MATCH(Q$6,'INPUT CP'!$A$3:$CO$3,0)),"")</f>
        <v>52.5</v>
      </c>
      <c r="R28" s="456">
        <f t="array" ref="R28">IFERROR(INDEX('INPUT CP'!$A$4:$BB64,MATCH($D28,'INPUT CP'!$D$4:$D64,0),MATCH(R$6,'INPUT CP'!$A$3:$CO$3,0)),"")</f>
        <v>80</v>
      </c>
      <c r="S28" s="456">
        <f t="array" ref="S28">IFERROR(INDEX('INPUT CP'!$A$4:$BB64,MATCH($D28,'INPUT CP'!$D$4:$D64,0),MATCH(S$6,'INPUT CP'!$A$3:$CO$3,0)),"")</f>
        <v>77.66666667</v>
      </c>
      <c r="T28" s="461" t="str">
        <f t="array" ref="T28">IFERROR(INDEX('INPUT CP'!$A$4:$BB64,MATCH($D28,'INPUT CP'!$D$4:$D64,0),MATCH(T$6,'INPUT CP'!$A$3:$CO$3,0)),"")</f>
        <v/>
      </c>
      <c r="U28" s="463" t="str">
        <f t="array" ref="U28">IFERROR(INDEX('INPUT CP'!$A$4:$BB64,MATCH($D28,'INPUT CP'!$D$4:$D64,0),MATCH(U$6,'INPUT CP'!$A$3:$CO$3,0)),"")</f>
        <v/>
      </c>
      <c r="V28" s="439" t="str">
        <f t="array" ref="V28">IFERROR(INDEX('INPUT CP'!$A$4:$BB64,MATCH($D28,'INPUT CP'!$D$4:$D64,0),MATCH(V$6,'INPUT CP'!$A$3:$CO$3,0)),"")</f>
        <v/>
      </c>
      <c r="W28" s="513" t="str">
        <f t="array" ref="W28">IFERROR(INDEX('INPUT CP'!$A$4:$BB64,MATCH($D28,'INPUT CP'!$D$4:$D64,0),MATCH(W$6,'INPUT CP'!$A$3:$CO$3,0)),"")</f>
        <v>POLSIS</v>
      </c>
      <c r="X28" s="514" t="str">
        <f t="array" ref="X28">IFERROR(INDEX('INPUT CP'!$A$4:$BB64,MATCH($D28,'INPUT CP'!$D$4:$D64,0),MATCH(X$6,'INPUT CP'!$A$3:$CO$3,0)),"")</f>
        <v/>
      </c>
      <c r="Y28" s="514" t="str">
        <f t="array" ref="Y28">IFERROR(INDEX('INPUT CP'!$A$4:$BB64,MATCH($D28,'INPUT CP'!$D$4:$D64,0),MATCH(Y$6,'INPUT CP'!$A$3:$CO$3,0)),"")</f>
        <v>10</v>
      </c>
      <c r="Z28" s="514" t="str">
        <f t="array" ref="Z28">IFERROR(INDEX('INPUT CP'!$A$4:$BB64,MATCH($D28,'INPUT CP'!$D$4:$D64,0),MATCH(Z$6,'INPUT CP'!$A$3:$CO$3,0)),"")</f>
        <v>-</v>
      </c>
      <c r="AA28" s="514" t="str">
        <f t="array" ref="AA28">IFERROR(INDEX('INPUT CP'!$A$4:$BB64,MATCH($D28,'INPUT CP'!$D$4:$D64,0),MATCH(AA$6,'INPUT CP'!$A$3:$CO$3,0)),"")</f>
        <v>-</v>
      </c>
      <c r="AB28" s="515">
        <f t="shared" si="2"/>
        <v>1027.083333</v>
      </c>
      <c r="AC28" s="515">
        <f t="shared" si="3"/>
        <v>79.00641026</v>
      </c>
      <c r="AD28" s="516">
        <f t="shared" si="4"/>
        <v>20</v>
      </c>
    </row>
    <row r="29" ht="11.25" customHeight="1">
      <c r="A29" s="423">
        <f>IFERROR(__xludf.DUMMYFUNCTION("""COMPUTED_VALUE"""),23.0)</f>
        <v>23</v>
      </c>
      <c r="B29" s="425" t="str">
        <f>IFERROR(__xludf.DUMMYFUNCTION("""COMPUTED_VALUE"""),"2526100436")</f>
        <v>2526100436</v>
      </c>
      <c r="C29" s="425" t="str">
        <f>IFERROR(__xludf.DUMMYFUNCTION("""COMPUTED_VALUE"""),"0095384573")</f>
        <v>0095384573</v>
      </c>
      <c r="D29" s="426" t="str">
        <f>IFERROR(__xludf.DUMMYFUNCTION("""COMPUTED_VALUE"""),"MUHAMAD RUDI RIVIANSYAH")</f>
        <v>MUHAMAD RUDI RIVIANSYAH</v>
      </c>
      <c r="E29" s="428" t="str">
        <f>IFERROR(__xludf.DUMMYFUNCTION("""COMPUTED_VALUE"""),"X TO 4")</f>
        <v>X TO 4</v>
      </c>
      <c r="F29" s="428" t="s">
        <v>220</v>
      </c>
      <c r="G29" s="438">
        <f t="array" ref="G29">IFERROR(INDEX('INPUT CP'!$A$4:$BB64,MATCH($D29,'INPUT CP'!$D$4:$D64,0),MATCH(G$6,'INPUT CP'!$A$3:$CO$3,0)),"")</f>
        <v>78.75</v>
      </c>
      <c r="H29" s="439">
        <f t="array" ref="H29">IFERROR(INDEX('INPUT CP'!$A$4:$BB64,MATCH($D29,'INPUT CP'!$D$4:$D64,0),MATCH(H$6,'INPUT CP'!$A$3:$CO$3,0)),"")</f>
        <v>83.25</v>
      </c>
      <c r="I29" s="441">
        <f t="array" ref="I29">IFERROR(INDEX('INPUT CP'!$A$4:$BB64,MATCH($D29,'INPUT CP'!$D$4:$D64,0),MATCH(I$6,'INPUT CP'!$A$3:$CO$3,0)),"")</f>
        <v>86.66666667</v>
      </c>
      <c r="J29" s="444">
        <f t="array" ref="J29">IFERROR(INDEX('INPUT CP'!$A$4:$BB64,MATCH($D29,'INPUT CP'!$D$4:$D64,0),MATCH(J$6,'INPUT CP'!$A$3:$CO$3,0)),"")</f>
        <v>88</v>
      </c>
      <c r="K29" s="446">
        <f t="array" ref="K29">IFERROR(INDEX('INPUT CP'!$A$4:$BB64,MATCH($D29,'INPUT CP'!$D$4:$D64,0),MATCH(K$6,'INPUT CP'!$A$3:$CO$3,0)),"")</f>
        <v>81</v>
      </c>
      <c r="L29" s="450">
        <f t="array" ref="L29">IFERROR(INDEX('INPUT CP'!$A$4:$BB64,MATCH($D29,'INPUT CP'!$D$4:$D64,0),MATCH(L$6,'INPUT CP'!$A$3:$CO$3,0)),"")</f>
        <v>89</v>
      </c>
      <c r="M29" s="451">
        <f t="array" ref="M29">IFERROR(INDEX('INPUT CP'!$A$4:$BB64,MATCH($D29,'INPUT CP'!$D$4:$D64,0),MATCH(M$6,'INPUT CP'!$A$3:$CO$3,0)),"")</f>
        <v>84.33333333</v>
      </c>
      <c r="N29" s="452">
        <f t="array" ref="N29">IFERROR(INDEX('INPUT CP'!$A$4:$BB64,MATCH($D29,'INPUT CP'!$D$4:$D64,0),MATCH(N$6,'INPUT CP'!$A$3:$CO$3,0)),"")</f>
        <v>83</v>
      </c>
      <c r="O29" s="438">
        <f t="array" ref="O29">IFERROR(INDEX('INPUT CP'!$A$4:$BB64,MATCH($D29,'INPUT CP'!$D$4:$D64,0),MATCH(O$6,'INPUT CP'!$A$3:$CO$3,0)),"")</f>
        <v>79</v>
      </c>
      <c r="P29" s="456">
        <f t="array" ref="P29">IFERROR(INDEX('INPUT CP'!$A$4:$BB64,MATCH($D29,'INPUT CP'!$D$4:$D64,0),MATCH(P$6,'INPUT CP'!$A$3:$CO$3,0)),"")</f>
        <v>80</v>
      </c>
      <c r="Q29" s="456">
        <f t="array" ref="Q29">IFERROR(INDEX('INPUT CP'!$A$4:$BB64,MATCH($D29,'INPUT CP'!$D$4:$D64,0),MATCH(Q$6,'INPUT CP'!$A$3:$CO$3,0)),"")</f>
        <v>85.83333333</v>
      </c>
      <c r="R29" s="456">
        <f t="array" ref="R29">IFERROR(INDEX('INPUT CP'!$A$4:$BB64,MATCH($D29,'INPUT CP'!$D$4:$D64,0),MATCH(R$6,'INPUT CP'!$A$3:$CO$3,0)),"")</f>
        <v>80.83333333</v>
      </c>
      <c r="S29" s="456">
        <f t="array" ref="S29">IFERROR(INDEX('INPUT CP'!$A$4:$BB64,MATCH($D29,'INPUT CP'!$D$4:$D64,0),MATCH(S$6,'INPUT CP'!$A$3:$CO$3,0)),"")</f>
        <v>79.66666667</v>
      </c>
      <c r="T29" s="461" t="str">
        <f t="array" ref="T29">IFERROR(INDEX('INPUT CP'!$A$4:$BB64,MATCH($D29,'INPUT CP'!$D$4:$D64,0),MATCH(T$6,'INPUT CP'!$A$3:$CO$3,0)),"")</f>
        <v/>
      </c>
      <c r="U29" s="463" t="str">
        <f t="array" ref="U29">IFERROR(INDEX('INPUT CP'!$A$4:$BB64,MATCH($D29,'INPUT CP'!$D$4:$D64,0),MATCH(U$6,'INPUT CP'!$A$3:$CO$3,0)),"")</f>
        <v/>
      </c>
      <c r="V29" s="439" t="str">
        <f t="array" ref="V29">IFERROR(INDEX('INPUT CP'!$A$4:$BB64,MATCH($D29,'INPUT CP'!$D$4:$D64,0),MATCH(V$6,'INPUT CP'!$A$3:$CO$3,0)),"")</f>
        <v/>
      </c>
      <c r="W29" s="468" t="str">
        <f t="array" ref="W29">IFERROR(INDEX('INPUT CP'!$A$4:$BB64,MATCH($D29,'INPUT CP'!$D$4:$D64,0),MATCH(W$6,'INPUT CP'!$A$3:$CO$3,0)),"")</f>
        <v/>
      </c>
      <c r="X29" s="470" t="str">
        <f t="array" ref="X29">IFERROR(INDEX('INPUT CP'!$A$4:$BB64,MATCH($D29,'INPUT CP'!$D$4:$D64,0),MATCH(X$6,'INPUT CP'!$A$3:$CO$3,0)),"")</f>
        <v/>
      </c>
      <c r="Y29" s="470" t="str">
        <f t="array" ref="Y29">IFERROR(INDEX('INPUT CP'!$A$4:$BB64,MATCH($D29,'INPUT CP'!$D$4:$D64,0),MATCH(Y$6,'INPUT CP'!$A$3:$CO$3,0)),"")</f>
        <v>-</v>
      </c>
      <c r="Z29" s="470" t="str">
        <f t="array" ref="Z29">IFERROR(INDEX('INPUT CP'!$A$4:$BB64,MATCH($D29,'INPUT CP'!$D$4:$D64,0),MATCH(Z$6,'INPUT CP'!$A$3:$CO$3,0)),"")</f>
        <v>-</v>
      </c>
      <c r="AA29" s="470" t="str">
        <f t="array" ref="AA29">IFERROR(INDEX('INPUT CP'!$A$4:$BB64,MATCH($D29,'INPUT CP'!$D$4:$D64,0),MATCH(AA$6,'INPUT CP'!$A$3:$CO$3,0)),"")</f>
        <v>-</v>
      </c>
      <c r="AB29" s="476">
        <f t="shared" si="2"/>
        <v>1079.333333</v>
      </c>
      <c r="AC29" s="476">
        <f t="shared" si="3"/>
        <v>83.02564103</v>
      </c>
      <c r="AD29" s="479">
        <f t="shared" si="4"/>
        <v>3</v>
      </c>
    </row>
    <row r="30" ht="11.25" customHeight="1">
      <c r="A30" s="482">
        <f>IFERROR(__xludf.DUMMYFUNCTION("""COMPUTED_VALUE"""),24.0)</f>
        <v>24</v>
      </c>
      <c r="B30" s="485" t="str">
        <f>IFERROR(__xludf.DUMMYFUNCTION("""COMPUTED_VALUE"""),"2526100437")</f>
        <v>2526100437</v>
      </c>
      <c r="C30" s="485" t="str">
        <f>IFERROR(__xludf.DUMMYFUNCTION("""COMPUTED_VALUE"""),"3098503903")</f>
        <v>3098503903</v>
      </c>
      <c r="D30" s="487" t="str">
        <f>IFERROR(__xludf.DUMMYFUNCTION("""COMPUTED_VALUE"""),"MUHAMAD SALMAN")</f>
        <v>MUHAMAD SALMAN</v>
      </c>
      <c r="E30" s="489" t="str">
        <f>IFERROR(__xludf.DUMMYFUNCTION("""COMPUTED_VALUE"""),"X TO 4")</f>
        <v>X TO 4</v>
      </c>
      <c r="F30" s="489" t="s">
        <v>220</v>
      </c>
      <c r="G30" s="438">
        <f t="array" ref="G30">IFERROR(INDEX('INPUT CP'!$A$4:$BB64,MATCH($D30,'INPUT CP'!$D$4:$D64,0),MATCH(G$6,'INPUT CP'!$A$3:$CO$3,0)),"")</f>
        <v>77.25</v>
      </c>
      <c r="H30" s="439">
        <f t="array" ref="H30">IFERROR(INDEX('INPUT CP'!$A$4:$BB64,MATCH($D30,'INPUT CP'!$D$4:$D64,0),MATCH(H$6,'INPUT CP'!$A$3:$CO$3,0)),"")</f>
        <v>80.75</v>
      </c>
      <c r="I30" s="441">
        <f t="array" ref="I30">IFERROR(INDEX('INPUT CP'!$A$4:$BB64,MATCH($D30,'INPUT CP'!$D$4:$D64,0),MATCH(I$6,'INPUT CP'!$A$3:$CO$3,0)),"")</f>
        <v>81.83333333</v>
      </c>
      <c r="J30" s="444">
        <f t="array" ref="J30">IFERROR(INDEX('INPUT CP'!$A$4:$BB64,MATCH($D30,'INPUT CP'!$D$4:$D64,0),MATCH(J$6,'INPUT CP'!$A$3:$CO$3,0)),"")</f>
        <v>88.75</v>
      </c>
      <c r="K30" s="446">
        <f t="array" ref="K30">IFERROR(INDEX('INPUT CP'!$A$4:$BB64,MATCH($D30,'INPUT CP'!$D$4:$D64,0),MATCH(K$6,'INPUT CP'!$A$3:$CO$3,0)),"")</f>
        <v>72</v>
      </c>
      <c r="L30" s="450">
        <f t="array" ref="L30">IFERROR(INDEX('INPUT CP'!$A$4:$BB64,MATCH($D30,'INPUT CP'!$D$4:$D64,0),MATCH(L$6,'INPUT CP'!$A$3:$CO$3,0)),"")</f>
        <v>89.5</v>
      </c>
      <c r="M30" s="451">
        <f t="array" ref="M30">IFERROR(INDEX('INPUT CP'!$A$4:$BB64,MATCH($D30,'INPUT CP'!$D$4:$D64,0),MATCH(M$6,'INPUT CP'!$A$3:$CO$3,0)),"")</f>
        <v>72.83333333</v>
      </c>
      <c r="N30" s="452">
        <f t="array" ref="N30">IFERROR(INDEX('INPUT CP'!$A$4:$BB64,MATCH($D30,'INPUT CP'!$D$4:$D64,0),MATCH(N$6,'INPUT CP'!$A$3:$CO$3,0)),"")</f>
        <v>72</v>
      </c>
      <c r="O30" s="438">
        <f t="array" ref="O30">IFERROR(INDEX('INPUT CP'!$A$4:$BB64,MATCH($D30,'INPUT CP'!$D$4:$D64,0),MATCH(O$6,'INPUT CP'!$A$3:$CO$3,0)),"")</f>
        <v>74</v>
      </c>
      <c r="P30" s="456">
        <f t="array" ref="P30">IFERROR(INDEX('INPUT CP'!$A$4:$BB64,MATCH($D30,'INPUT CP'!$D$4:$D64,0),MATCH(P$6,'INPUT CP'!$A$3:$CO$3,0)),"")</f>
        <v>80</v>
      </c>
      <c r="Q30" s="456">
        <f t="array" ref="Q30">IFERROR(INDEX('INPUT CP'!$A$4:$BB64,MATCH($D30,'INPUT CP'!$D$4:$D64,0),MATCH(Q$6,'INPUT CP'!$A$3:$CO$3,0)),"")</f>
        <v>55.83333333</v>
      </c>
      <c r="R30" s="456">
        <f t="array" ref="R30">IFERROR(INDEX('INPUT CP'!$A$4:$BB64,MATCH($D30,'INPUT CP'!$D$4:$D64,0),MATCH(R$6,'INPUT CP'!$A$3:$CO$3,0)),"")</f>
        <v>79.16666667</v>
      </c>
      <c r="S30" s="456">
        <f t="array" ref="S30">IFERROR(INDEX('INPUT CP'!$A$4:$BB64,MATCH($D30,'INPUT CP'!$D$4:$D64,0),MATCH(S$6,'INPUT CP'!$A$3:$CO$3,0)),"")</f>
        <v>79.33333333</v>
      </c>
      <c r="T30" s="461" t="str">
        <f t="array" ref="T30">IFERROR(INDEX('INPUT CP'!$A$4:$BB64,MATCH($D30,'INPUT CP'!$D$4:$D64,0),MATCH(T$6,'INPUT CP'!$A$3:$CO$3,0)),"")</f>
        <v/>
      </c>
      <c r="U30" s="463" t="str">
        <f t="array" ref="U30">IFERROR(INDEX('INPUT CP'!$A$4:$BB64,MATCH($D30,'INPUT CP'!$D$4:$D64,0),MATCH(U$6,'INPUT CP'!$A$3:$CO$3,0)),"")</f>
        <v/>
      </c>
      <c r="V30" s="439" t="str">
        <f t="array" ref="V30">IFERROR(INDEX('INPUT CP'!$A$4:$BB64,MATCH($D30,'INPUT CP'!$D$4:$D64,0),MATCH(V$6,'INPUT CP'!$A$3:$CO$3,0)),"")</f>
        <v/>
      </c>
      <c r="W30" s="513" t="str">
        <f t="array" ref="W30">IFERROR(INDEX('INPUT CP'!$A$4:$BB64,MATCH($D30,'INPUT CP'!$D$4:$D64,0),MATCH(W$6,'INPUT CP'!$A$3:$CO$3,0)),"")</f>
        <v>Sepak Bola</v>
      </c>
      <c r="X30" s="514" t="str">
        <f t="array" ref="X30">IFERROR(INDEX('INPUT CP'!$A$4:$BB64,MATCH($D30,'INPUT CP'!$D$4:$D64,0),MATCH(X$6,'INPUT CP'!$A$3:$CO$3,0)),"")</f>
        <v/>
      </c>
      <c r="Y30" s="514" t="str">
        <f t="array" ref="Y30">IFERROR(INDEX('INPUT CP'!$A$4:$BB64,MATCH($D30,'INPUT CP'!$D$4:$D64,0),MATCH(Y$6,'INPUT CP'!$A$3:$CO$3,0)),"")</f>
        <v>1</v>
      </c>
      <c r="Z30" s="514" t="str">
        <f t="array" ref="Z30">IFERROR(INDEX('INPUT CP'!$A$4:$BB64,MATCH($D30,'INPUT CP'!$D$4:$D64,0),MATCH(Z$6,'INPUT CP'!$A$3:$CO$3,0)),"")</f>
        <v>1</v>
      </c>
      <c r="AA30" s="514" t="str">
        <f t="array" ref="AA30">IFERROR(INDEX('INPUT CP'!$A$4:$BB64,MATCH($D30,'INPUT CP'!$D$4:$D64,0),MATCH(AA$6,'INPUT CP'!$A$3:$CO$3,0)),"")</f>
        <v>2</v>
      </c>
      <c r="AB30" s="515">
        <f t="shared" si="2"/>
        <v>1003.25</v>
      </c>
      <c r="AC30" s="515">
        <f t="shared" si="3"/>
        <v>77.17307692</v>
      </c>
      <c r="AD30" s="516">
        <f t="shared" si="4"/>
        <v>25</v>
      </c>
    </row>
    <row r="31" ht="11.25" customHeight="1">
      <c r="A31" s="423">
        <f>IFERROR(__xludf.DUMMYFUNCTION("""COMPUTED_VALUE"""),25.0)</f>
        <v>25</v>
      </c>
      <c r="B31" s="425" t="str">
        <f>IFERROR(__xludf.DUMMYFUNCTION("""COMPUTED_VALUE"""),"2526100438")</f>
        <v>2526100438</v>
      </c>
      <c r="C31" s="425" t="str">
        <f>IFERROR(__xludf.DUMMYFUNCTION("""COMPUTED_VALUE"""),"0096750607")</f>
        <v>0096750607</v>
      </c>
      <c r="D31" s="426" t="str">
        <f>IFERROR(__xludf.DUMMYFUNCTION("""COMPUTED_VALUE"""),"MUHAMAD SUTIAWAN ALI")</f>
        <v>MUHAMAD SUTIAWAN ALI</v>
      </c>
      <c r="E31" s="428" t="str">
        <f>IFERROR(__xludf.DUMMYFUNCTION("""COMPUTED_VALUE"""),"X TO 4")</f>
        <v>X TO 4</v>
      </c>
      <c r="F31" s="428" t="s">
        <v>220</v>
      </c>
      <c r="G31" s="438" t="str">
        <f t="array" ref="G31">IFERROR(INDEX('INPUT CP'!$A$4:$BB64,MATCH($D31,'INPUT CP'!$D$4:$D64,0),MATCH(G$6,'INPUT CP'!$A$3:$CO$3,0)),"")</f>
        <v/>
      </c>
      <c r="H31" s="439" t="str">
        <f t="array" ref="H31">IFERROR(INDEX('INPUT CP'!$A$4:$BB64,MATCH($D31,'INPUT CP'!$D$4:$D64,0),MATCH(H$6,'INPUT CP'!$A$3:$CO$3,0)),"")</f>
        <v/>
      </c>
      <c r="I31" s="441">
        <f t="array" ref="I31">IFERROR(INDEX('INPUT CP'!$A$4:$BB64,MATCH($D31,'INPUT CP'!$D$4:$D64,0),MATCH(I$6,'INPUT CP'!$A$3:$CO$3,0)),"")</f>
        <v>0</v>
      </c>
      <c r="J31" s="444">
        <f t="array" ref="J31">IFERROR(INDEX('INPUT CP'!$A$4:$BB64,MATCH($D31,'INPUT CP'!$D$4:$D64,0),MATCH(J$6,'INPUT CP'!$A$3:$CO$3,0)),"")</f>
        <v>75</v>
      </c>
      <c r="K31" s="446">
        <f t="array" ref="K31">IFERROR(INDEX('INPUT CP'!$A$4:$BB64,MATCH($D31,'INPUT CP'!$D$4:$D64,0),MATCH(K$6,'INPUT CP'!$A$3:$CO$3,0)),"")</f>
        <v>0</v>
      </c>
      <c r="L31" s="450">
        <f t="array" ref="L31">IFERROR(INDEX('INPUT CP'!$A$4:$BB64,MATCH($D31,'INPUT CP'!$D$4:$D64,0),MATCH(L$6,'INPUT CP'!$A$3:$CO$3,0)),"")</f>
        <v>89.5</v>
      </c>
      <c r="M31" s="451">
        <f t="array" ref="M31">IFERROR(INDEX('INPUT CP'!$A$4:$BB64,MATCH($D31,'INPUT CP'!$D$4:$D64,0),MATCH(M$6,'INPUT CP'!$A$3:$CO$3,0)),"")</f>
        <v>0</v>
      </c>
      <c r="N31" s="452">
        <f t="array" ref="N31">IFERROR(INDEX('INPUT CP'!$A$4:$BB64,MATCH($D31,'INPUT CP'!$D$4:$D64,0),MATCH(N$6,'INPUT CP'!$A$3:$CO$3,0)),"")</f>
        <v>72</v>
      </c>
      <c r="O31" s="438">
        <f t="array" ref="O31">IFERROR(INDEX('INPUT CP'!$A$4:$BB64,MATCH($D31,'INPUT CP'!$D$4:$D64,0),MATCH(O$6,'INPUT CP'!$A$3:$CO$3,0)),"")</f>
        <v>72</v>
      </c>
      <c r="P31" s="456">
        <f t="array" ref="P31">IFERROR(INDEX('INPUT CP'!$A$4:$BB64,MATCH($D31,'INPUT CP'!$D$4:$D64,0),MATCH(P$6,'INPUT CP'!$A$3:$CO$3,0)),"")</f>
        <v>80</v>
      </c>
      <c r="Q31" s="456">
        <f t="array" ref="Q31">IFERROR(INDEX('INPUT CP'!$A$4:$BB64,MATCH($D31,'INPUT CP'!$D$4:$D64,0),MATCH(Q$6,'INPUT CP'!$A$3:$CO$3,0)),"")</f>
        <v>13.83333333</v>
      </c>
      <c r="R31" s="456">
        <f t="array" ref="R31">IFERROR(INDEX('INPUT CP'!$A$4:$BB64,MATCH($D31,'INPUT CP'!$D$4:$D64,0),MATCH(R$6,'INPUT CP'!$A$3:$CO$3,0)),"")</f>
        <v>50</v>
      </c>
      <c r="S31" s="456">
        <f t="array" ref="S31">IFERROR(INDEX('INPUT CP'!$A$4:$BB64,MATCH($D31,'INPUT CP'!$D$4:$D64,0),MATCH(S$6,'INPUT CP'!$A$3:$CO$3,0)),"")</f>
        <v>46.66666667</v>
      </c>
      <c r="T31" s="461" t="str">
        <f t="array" ref="T31">IFERROR(INDEX('INPUT CP'!$A$4:$BB64,MATCH($D31,'INPUT CP'!$D$4:$D64,0),MATCH(T$6,'INPUT CP'!$A$3:$CO$3,0)),"")</f>
        <v/>
      </c>
      <c r="U31" s="463" t="str">
        <f t="array" ref="U31">IFERROR(INDEX('INPUT CP'!$A$4:$BB64,MATCH($D31,'INPUT CP'!$D$4:$D64,0),MATCH(U$6,'INPUT CP'!$A$3:$CO$3,0)),"")</f>
        <v/>
      </c>
      <c r="V31" s="439" t="str">
        <f t="array" ref="V31">IFERROR(INDEX('INPUT CP'!$A$4:$BB64,MATCH($D31,'INPUT CP'!$D$4:$D64,0),MATCH(V$6,'INPUT CP'!$A$3:$CO$3,0)),"")</f>
        <v/>
      </c>
      <c r="W31" s="468" t="str">
        <f t="array" ref="W31">IFERROR(INDEX('INPUT CP'!$A$4:$BB64,MATCH($D31,'INPUT CP'!$D$4:$D64,0),MATCH(W$6,'INPUT CP'!$A$3:$CO$3,0)),"")</f>
        <v/>
      </c>
      <c r="X31" s="470" t="str">
        <f t="array" ref="X31">IFERROR(INDEX('INPUT CP'!$A$4:$BB64,MATCH($D31,'INPUT CP'!$D$4:$D64,0),MATCH(X$6,'INPUT CP'!$A$3:$CO$3,0)),"")</f>
        <v/>
      </c>
      <c r="Y31" s="470" t="str">
        <f t="array" ref="Y31">IFERROR(INDEX('INPUT CP'!$A$4:$BB64,MATCH($D31,'INPUT CP'!$D$4:$D64,0),MATCH(Y$6,'INPUT CP'!$A$3:$CO$3,0)),"")</f>
        <v>2</v>
      </c>
      <c r="Z31" s="470" t="str">
        <f t="array" ref="Z31">IFERROR(INDEX('INPUT CP'!$A$4:$BB64,MATCH($D31,'INPUT CP'!$D$4:$D64,0),MATCH(Z$6,'INPUT CP'!$A$3:$CO$3,0)),"")</f>
        <v>-</v>
      </c>
      <c r="AA31" s="470" t="str">
        <f t="array" ref="AA31">IFERROR(INDEX('INPUT CP'!$A$4:$BB64,MATCH($D31,'INPUT CP'!$D$4:$D64,0),MATCH(AA$6,'INPUT CP'!$A$3:$CO$3,0)),"")</f>
        <v>50</v>
      </c>
      <c r="AB31" s="476">
        <f t="shared" si="2"/>
        <v>499</v>
      </c>
      <c r="AC31" s="476">
        <f t="shared" si="3"/>
        <v>45.36363636</v>
      </c>
      <c r="AD31" s="479">
        <f t="shared" si="4"/>
        <v>46</v>
      </c>
    </row>
    <row r="32" ht="11.25" customHeight="1">
      <c r="A32" s="482">
        <f>IFERROR(__xludf.DUMMYFUNCTION("""COMPUTED_VALUE"""),26.0)</f>
        <v>26</v>
      </c>
      <c r="B32" s="485" t="str">
        <f>IFERROR(__xludf.DUMMYFUNCTION("""COMPUTED_VALUE"""),"2526100439")</f>
        <v>2526100439</v>
      </c>
      <c r="C32" s="485" t="str">
        <f>IFERROR(__xludf.DUMMYFUNCTION("""COMPUTED_VALUE"""),"0094990767")</f>
        <v>0094990767</v>
      </c>
      <c r="D32" s="487" t="str">
        <f>IFERROR(__xludf.DUMMYFUNCTION("""COMPUTED_VALUE"""),"MUHAMMAD FAHRI MAULANA")</f>
        <v>MUHAMMAD FAHRI MAULANA</v>
      </c>
      <c r="E32" s="489" t="str">
        <f>IFERROR(__xludf.DUMMYFUNCTION("""COMPUTED_VALUE"""),"X TO 4")</f>
        <v>X TO 4</v>
      </c>
      <c r="F32" s="489" t="s">
        <v>220</v>
      </c>
      <c r="G32" s="438">
        <f t="array" ref="G32">IFERROR(INDEX('INPUT CP'!$A$4:$BB64,MATCH($D32,'INPUT CP'!$D$4:$D64,0),MATCH(G$6,'INPUT CP'!$A$3:$CO$3,0)),"")</f>
        <v>76.5</v>
      </c>
      <c r="H32" s="439">
        <f t="array" ref="H32">IFERROR(INDEX('INPUT CP'!$A$4:$BB64,MATCH($D32,'INPUT CP'!$D$4:$D64,0),MATCH(H$6,'INPUT CP'!$A$3:$CO$3,0)),"")</f>
        <v>81.75</v>
      </c>
      <c r="I32" s="441">
        <f t="array" ref="I32">IFERROR(INDEX('INPUT CP'!$A$4:$BB64,MATCH($D32,'INPUT CP'!$D$4:$D64,0),MATCH(I$6,'INPUT CP'!$A$3:$CO$3,0)),"")</f>
        <v>79</v>
      </c>
      <c r="J32" s="444">
        <f t="array" ref="J32">IFERROR(INDEX('INPUT CP'!$A$4:$BB64,MATCH($D32,'INPUT CP'!$D$4:$D64,0),MATCH(J$6,'INPUT CP'!$A$3:$CO$3,0)),"")</f>
        <v>84</v>
      </c>
      <c r="K32" s="446">
        <f t="array" ref="K32">IFERROR(INDEX('INPUT CP'!$A$4:$BB64,MATCH($D32,'INPUT CP'!$D$4:$D64,0),MATCH(K$6,'INPUT CP'!$A$3:$CO$3,0)),"")</f>
        <v>72</v>
      </c>
      <c r="L32" s="450">
        <f t="array" ref="L32">IFERROR(INDEX('INPUT CP'!$A$4:$BB64,MATCH($D32,'INPUT CP'!$D$4:$D64,0),MATCH(L$6,'INPUT CP'!$A$3:$CO$3,0)),"")</f>
        <v>88.83333333</v>
      </c>
      <c r="M32" s="451">
        <f t="array" ref="M32">IFERROR(INDEX('INPUT CP'!$A$4:$BB64,MATCH($D32,'INPUT CP'!$D$4:$D64,0),MATCH(M$6,'INPUT CP'!$A$3:$CO$3,0)),"")</f>
        <v>72.16666667</v>
      </c>
      <c r="N32" s="452">
        <f t="array" ref="N32">IFERROR(INDEX('INPUT CP'!$A$4:$BB64,MATCH($D32,'INPUT CP'!$D$4:$D64,0),MATCH(N$6,'INPUT CP'!$A$3:$CO$3,0)),"")</f>
        <v>72</v>
      </c>
      <c r="O32" s="438">
        <f t="array" ref="O32">IFERROR(INDEX('INPUT CP'!$A$4:$BB64,MATCH($D32,'INPUT CP'!$D$4:$D64,0),MATCH(O$6,'INPUT CP'!$A$3:$CO$3,0)),"")</f>
        <v>72</v>
      </c>
      <c r="P32" s="456">
        <f t="array" ref="P32">IFERROR(INDEX('INPUT CP'!$A$4:$BB64,MATCH($D32,'INPUT CP'!$D$4:$D64,0),MATCH(P$6,'INPUT CP'!$A$3:$CO$3,0)),"")</f>
        <v>80</v>
      </c>
      <c r="Q32" s="456">
        <f t="array" ref="Q32">IFERROR(INDEX('INPUT CP'!$A$4:$BB64,MATCH($D32,'INPUT CP'!$D$4:$D64,0),MATCH(Q$6,'INPUT CP'!$A$3:$CO$3,0)),"")</f>
        <v>52.33333333</v>
      </c>
      <c r="R32" s="456">
        <f t="array" ref="R32">IFERROR(INDEX('INPUT CP'!$A$4:$BB64,MATCH($D32,'INPUT CP'!$D$4:$D64,0),MATCH(R$6,'INPUT CP'!$A$3:$CO$3,0)),"")</f>
        <v>79.16666667</v>
      </c>
      <c r="S32" s="456">
        <f t="array" ref="S32">IFERROR(INDEX('INPUT CP'!$A$4:$BB64,MATCH($D32,'INPUT CP'!$D$4:$D64,0),MATCH(S$6,'INPUT CP'!$A$3:$CO$3,0)),"")</f>
        <v>77.66666667</v>
      </c>
      <c r="T32" s="461" t="str">
        <f t="array" ref="T32">IFERROR(INDEX('INPUT CP'!$A$4:$BB64,MATCH($D32,'INPUT CP'!$D$4:$D64,0),MATCH(T$6,'INPUT CP'!$A$3:$CO$3,0)),"")</f>
        <v/>
      </c>
      <c r="U32" s="463" t="str">
        <f t="array" ref="U32">IFERROR(INDEX('INPUT CP'!$A$4:$BB64,MATCH($D32,'INPUT CP'!$D$4:$D64,0),MATCH(U$6,'INPUT CP'!$A$3:$CO$3,0)),"")</f>
        <v/>
      </c>
      <c r="V32" s="439" t="str">
        <f t="array" ref="V32">IFERROR(INDEX('INPUT CP'!$A$4:$BB64,MATCH($D32,'INPUT CP'!$D$4:$D64,0),MATCH(V$6,'INPUT CP'!$A$3:$CO$3,0)),"")</f>
        <v/>
      </c>
      <c r="W32" s="513" t="str">
        <f t="array" ref="W32">IFERROR(INDEX('INPUT CP'!$A$4:$BB64,MATCH($D32,'INPUT CP'!$D$4:$D64,0),MATCH(W$6,'INPUT CP'!$A$3:$CO$3,0)),"")</f>
        <v/>
      </c>
      <c r="X32" s="514" t="str">
        <f t="array" ref="X32">IFERROR(INDEX('INPUT CP'!$A$4:$BB64,MATCH($D32,'INPUT CP'!$D$4:$D64,0),MATCH(X$6,'INPUT CP'!$A$3:$CO$3,0)),"")</f>
        <v/>
      </c>
      <c r="Y32" s="514" t="str">
        <f t="array" ref="Y32">IFERROR(INDEX('INPUT CP'!$A$4:$BB64,MATCH($D32,'INPUT CP'!$D$4:$D64,0),MATCH(Y$6,'INPUT CP'!$A$3:$CO$3,0)),"")</f>
        <v>5</v>
      </c>
      <c r="Z32" s="514" t="str">
        <f t="array" ref="Z32">IFERROR(INDEX('INPUT CP'!$A$4:$BB64,MATCH($D32,'INPUT CP'!$D$4:$D64,0),MATCH(Z$6,'INPUT CP'!$A$3:$CO$3,0)),"")</f>
        <v>-</v>
      </c>
      <c r="AA32" s="514" t="str">
        <f t="array" ref="AA32">IFERROR(INDEX('INPUT CP'!$A$4:$BB64,MATCH($D32,'INPUT CP'!$D$4:$D64,0),MATCH(AA$6,'INPUT CP'!$A$3:$CO$3,0)),"")</f>
        <v>12</v>
      </c>
      <c r="AB32" s="515">
        <f t="shared" si="2"/>
        <v>987.4166667</v>
      </c>
      <c r="AC32" s="515">
        <f t="shared" si="3"/>
        <v>75.95512821</v>
      </c>
      <c r="AD32" s="516">
        <f t="shared" si="4"/>
        <v>35</v>
      </c>
    </row>
    <row r="33" ht="11.25" customHeight="1">
      <c r="A33" s="423">
        <f>IFERROR(__xludf.DUMMYFUNCTION("""COMPUTED_VALUE"""),27.0)</f>
        <v>27</v>
      </c>
      <c r="B33" s="425" t="str">
        <f>IFERROR(__xludf.DUMMYFUNCTION("""COMPUTED_VALUE"""),"2526100440")</f>
        <v>2526100440</v>
      </c>
      <c r="C33" s="425" t="str">
        <f>IFERROR(__xludf.DUMMYFUNCTION("""COMPUTED_VALUE"""),"0105005356")</f>
        <v>0105005356</v>
      </c>
      <c r="D33" s="426" t="str">
        <f>IFERROR(__xludf.DUMMYFUNCTION("""COMPUTED_VALUE"""),"MUHAMMAD GALANG GUNAWAN")</f>
        <v>MUHAMMAD GALANG GUNAWAN</v>
      </c>
      <c r="E33" s="428" t="str">
        <f>IFERROR(__xludf.DUMMYFUNCTION("""COMPUTED_VALUE"""),"X TO 4")</f>
        <v>X TO 4</v>
      </c>
      <c r="F33" s="428" t="s">
        <v>220</v>
      </c>
      <c r="G33" s="438">
        <f t="array" ref="G33">IFERROR(INDEX('INPUT CP'!$A$4:$BB64,MATCH($D33,'INPUT CP'!$D$4:$D64,0),MATCH(G$6,'INPUT CP'!$A$3:$CO$3,0)),"")</f>
        <v>75</v>
      </c>
      <c r="H33" s="439">
        <f t="array" ref="H33">IFERROR(INDEX('INPUT CP'!$A$4:$BB64,MATCH($D33,'INPUT CP'!$D$4:$D64,0),MATCH(H$6,'INPUT CP'!$A$3:$CO$3,0)),"")</f>
        <v>75</v>
      </c>
      <c r="I33" s="441">
        <f t="array" ref="I33">IFERROR(INDEX('INPUT CP'!$A$4:$BB64,MATCH($D33,'INPUT CP'!$D$4:$D64,0),MATCH(I$6,'INPUT CP'!$A$3:$CO$3,0)),"")</f>
        <v>75.33333333</v>
      </c>
      <c r="J33" s="444">
        <f t="array" ref="J33">IFERROR(INDEX('INPUT CP'!$A$4:$BB64,MATCH($D33,'INPUT CP'!$D$4:$D64,0),MATCH(J$6,'INPUT CP'!$A$3:$CO$3,0)),"")</f>
        <v>75</v>
      </c>
      <c r="K33" s="446">
        <f t="array" ref="K33">IFERROR(INDEX('INPUT CP'!$A$4:$BB64,MATCH($D33,'INPUT CP'!$D$4:$D64,0),MATCH(K$6,'INPUT CP'!$A$3:$CO$3,0)),"")</f>
        <v>75</v>
      </c>
      <c r="L33" s="450">
        <f t="array" ref="L33">IFERROR(INDEX('INPUT CP'!$A$4:$BB64,MATCH($D33,'INPUT CP'!$D$4:$D64,0),MATCH(L$6,'INPUT CP'!$A$3:$CO$3,0)),"")</f>
        <v>89.16666667</v>
      </c>
      <c r="M33" s="451">
        <f t="array" ref="M33">IFERROR(INDEX('INPUT CP'!$A$4:$BB64,MATCH($D33,'INPUT CP'!$D$4:$D64,0),MATCH(M$6,'INPUT CP'!$A$3:$CO$3,0)),"")</f>
        <v>75</v>
      </c>
      <c r="N33" s="452">
        <f t="array" ref="N33">IFERROR(INDEX('INPUT CP'!$A$4:$BB64,MATCH($D33,'INPUT CP'!$D$4:$D64,0),MATCH(N$6,'INPUT CP'!$A$3:$CO$3,0)),"")</f>
        <v>75</v>
      </c>
      <c r="O33" s="438">
        <f t="array" ref="O33">IFERROR(INDEX('INPUT CP'!$A$4:$BB64,MATCH($D33,'INPUT CP'!$D$4:$D64,0),MATCH(O$6,'INPUT CP'!$A$3:$CO$3,0)),"")</f>
        <v>75</v>
      </c>
      <c r="P33" s="456">
        <f t="array" ref="P33">IFERROR(INDEX('INPUT CP'!$A$4:$BB64,MATCH($D33,'INPUT CP'!$D$4:$D64,0),MATCH(P$6,'INPUT CP'!$A$3:$CO$3,0)),"")</f>
        <v>80</v>
      </c>
      <c r="Q33" s="456">
        <f t="array" ref="Q33">IFERROR(INDEX('INPUT CP'!$A$4:$BB64,MATCH($D33,'INPUT CP'!$D$4:$D64,0),MATCH(Q$6,'INPUT CP'!$A$3:$CO$3,0)),"")</f>
        <v>75</v>
      </c>
      <c r="R33" s="456">
        <f t="array" ref="R33">IFERROR(INDEX('INPUT CP'!$A$4:$BB64,MATCH($D33,'INPUT CP'!$D$4:$D64,0),MATCH(R$6,'INPUT CP'!$A$3:$CO$3,0)),"")</f>
        <v>75</v>
      </c>
      <c r="S33" s="456">
        <f t="array" ref="S33">IFERROR(INDEX('INPUT CP'!$A$4:$BB64,MATCH($D33,'INPUT CP'!$D$4:$D64,0),MATCH(S$6,'INPUT CP'!$A$3:$CO$3,0)),"")</f>
        <v>75</v>
      </c>
      <c r="T33" s="461" t="str">
        <f t="array" ref="T33">IFERROR(INDEX('INPUT CP'!$A$4:$BB64,MATCH($D33,'INPUT CP'!$D$4:$D64,0),MATCH(T$6,'INPUT CP'!$A$3:$CO$3,0)),"")</f>
        <v/>
      </c>
      <c r="U33" s="463" t="str">
        <f t="array" ref="U33">IFERROR(INDEX('INPUT CP'!$A$4:$BB64,MATCH($D33,'INPUT CP'!$D$4:$D64,0),MATCH(U$6,'INPUT CP'!$A$3:$CO$3,0)),"")</f>
        <v/>
      </c>
      <c r="V33" s="439" t="str">
        <f t="array" ref="V33">IFERROR(INDEX('INPUT CP'!$A$4:$BB64,MATCH($D33,'INPUT CP'!$D$4:$D64,0),MATCH(V$6,'INPUT CP'!$A$3:$CO$3,0)),"")</f>
        <v/>
      </c>
      <c r="W33" s="468" t="str">
        <f t="array" ref="W33">IFERROR(INDEX('INPUT CP'!$A$4:$BB64,MATCH($D33,'INPUT CP'!$D$4:$D64,0),MATCH(W$6,'INPUT CP'!$A$3:$CO$3,0)),"")</f>
        <v/>
      </c>
      <c r="X33" s="470" t="str">
        <f t="array" ref="X33">IFERROR(INDEX('INPUT CP'!$A$4:$BB64,MATCH($D33,'INPUT CP'!$D$4:$D64,0),MATCH(X$6,'INPUT CP'!$A$3:$CO$3,0)),"")</f>
        <v/>
      </c>
      <c r="Y33" s="470" t="str">
        <f t="array" ref="Y33">IFERROR(INDEX('INPUT CP'!$A$4:$BB64,MATCH($D33,'INPUT CP'!$D$4:$D64,0),MATCH(Y$6,'INPUT CP'!$A$3:$CO$3,0)),"")</f>
        <v>-</v>
      </c>
      <c r="Z33" s="470" t="str">
        <f t="array" ref="Z33">IFERROR(INDEX('INPUT CP'!$A$4:$BB64,MATCH($D33,'INPUT CP'!$D$4:$D64,0),MATCH(Z$6,'INPUT CP'!$A$3:$CO$3,0)),"")</f>
        <v>42</v>
      </c>
      <c r="AA33" s="470" t="str">
        <f t="array" ref="AA33">IFERROR(INDEX('INPUT CP'!$A$4:$BB64,MATCH($D33,'INPUT CP'!$D$4:$D64,0),MATCH(AA$6,'INPUT CP'!$A$3:$CO$3,0)),"")</f>
        <v>42</v>
      </c>
      <c r="AB33" s="476">
        <f t="shared" si="2"/>
        <v>994.5</v>
      </c>
      <c r="AC33" s="476">
        <f t="shared" si="3"/>
        <v>76.5</v>
      </c>
      <c r="AD33" s="479">
        <f t="shared" si="4"/>
        <v>29</v>
      </c>
    </row>
    <row r="34" ht="11.25" customHeight="1">
      <c r="A34" s="482">
        <f>IFERROR(__xludf.DUMMYFUNCTION("""COMPUTED_VALUE"""),28.0)</f>
        <v>28</v>
      </c>
      <c r="B34" s="485" t="str">
        <f>IFERROR(__xludf.DUMMYFUNCTION("""COMPUTED_VALUE"""),"2526100441")</f>
        <v>2526100441</v>
      </c>
      <c r="C34" s="485" t="str">
        <f>IFERROR(__xludf.DUMMYFUNCTION("""COMPUTED_VALUE"""),"0089904752")</f>
        <v>0089904752</v>
      </c>
      <c r="D34" s="487" t="str">
        <f>IFERROR(__xludf.DUMMYFUNCTION("""COMPUTED_VALUE"""),"MUHAMMAD GOZALI")</f>
        <v>MUHAMMAD GOZALI</v>
      </c>
      <c r="E34" s="489" t="str">
        <f>IFERROR(__xludf.DUMMYFUNCTION("""COMPUTED_VALUE"""),"X TO 4")</f>
        <v>X TO 4</v>
      </c>
      <c r="F34" s="489" t="s">
        <v>220</v>
      </c>
      <c r="G34" s="438">
        <f t="array" ref="G34">IFERROR(INDEX('INPUT CP'!$A$4:$BB64,MATCH($D34,'INPUT CP'!$D$4:$D64,0),MATCH(G$6,'INPUT CP'!$A$3:$CO$3,0)),"")</f>
        <v>77.5</v>
      </c>
      <c r="H34" s="439">
        <f t="array" ref="H34">IFERROR(INDEX('INPUT CP'!$A$4:$BB64,MATCH($D34,'INPUT CP'!$D$4:$D64,0),MATCH(H$6,'INPUT CP'!$A$3:$CO$3,0)),"")</f>
        <v>82.75</v>
      </c>
      <c r="I34" s="441">
        <f t="array" ref="I34">IFERROR(INDEX('INPUT CP'!$A$4:$BB64,MATCH($D34,'INPUT CP'!$D$4:$D64,0),MATCH(I$6,'INPUT CP'!$A$3:$CO$3,0)),"")</f>
        <v>84.16666667</v>
      </c>
      <c r="J34" s="444">
        <f t="array" ref="J34">IFERROR(INDEX('INPUT CP'!$A$4:$BB64,MATCH($D34,'INPUT CP'!$D$4:$D64,0),MATCH(J$6,'INPUT CP'!$A$3:$CO$3,0)),"")</f>
        <v>91</v>
      </c>
      <c r="K34" s="446">
        <f t="array" ref="K34">IFERROR(INDEX('INPUT CP'!$A$4:$BB64,MATCH($D34,'INPUT CP'!$D$4:$D64,0),MATCH(K$6,'INPUT CP'!$A$3:$CO$3,0)),"")</f>
        <v>83</v>
      </c>
      <c r="L34" s="450">
        <f t="array" ref="L34">IFERROR(INDEX('INPUT CP'!$A$4:$BB64,MATCH($D34,'INPUT CP'!$D$4:$D64,0),MATCH(L$6,'INPUT CP'!$A$3:$CO$3,0)),"")</f>
        <v>89.66666667</v>
      </c>
      <c r="M34" s="451">
        <f t="array" ref="M34">IFERROR(INDEX('INPUT CP'!$A$4:$BB64,MATCH($D34,'INPUT CP'!$D$4:$D64,0),MATCH(M$6,'INPUT CP'!$A$3:$CO$3,0)),"")</f>
        <v>85.66666667</v>
      </c>
      <c r="N34" s="452">
        <f t="array" ref="N34">IFERROR(INDEX('INPUT CP'!$A$4:$BB64,MATCH($D34,'INPUT CP'!$D$4:$D64,0),MATCH(N$6,'INPUT CP'!$A$3:$CO$3,0)),"")</f>
        <v>75</v>
      </c>
      <c r="O34" s="438">
        <f t="array" ref="O34">IFERROR(INDEX('INPUT CP'!$A$4:$BB64,MATCH($D34,'INPUT CP'!$D$4:$D64,0),MATCH(O$6,'INPUT CP'!$A$3:$CO$3,0)),"")</f>
        <v>77</v>
      </c>
      <c r="P34" s="456">
        <f t="array" ref="P34">IFERROR(INDEX('INPUT CP'!$A$4:$BB64,MATCH($D34,'INPUT CP'!$D$4:$D64,0),MATCH(P$6,'INPUT CP'!$A$3:$CO$3,0)),"")</f>
        <v>80</v>
      </c>
      <c r="Q34" s="456">
        <f t="array" ref="Q34">IFERROR(INDEX('INPUT CP'!$A$4:$BB64,MATCH($D34,'INPUT CP'!$D$4:$D64,0),MATCH(Q$6,'INPUT CP'!$A$3:$CO$3,0)),"")</f>
        <v>82.83333333</v>
      </c>
      <c r="R34" s="456">
        <f t="array" ref="R34">IFERROR(INDEX('INPUT CP'!$A$4:$BB64,MATCH($D34,'INPUT CP'!$D$4:$D64,0),MATCH(R$6,'INPUT CP'!$A$3:$CO$3,0)),"")</f>
        <v>80.5</v>
      </c>
      <c r="S34" s="456">
        <f t="array" ref="S34">IFERROR(INDEX('INPUT CP'!$A$4:$BB64,MATCH($D34,'INPUT CP'!$D$4:$D64,0),MATCH(S$6,'INPUT CP'!$A$3:$CO$3,0)),"")</f>
        <v>78</v>
      </c>
      <c r="T34" s="461" t="str">
        <f t="array" ref="T34">IFERROR(INDEX('INPUT CP'!$A$4:$BB64,MATCH($D34,'INPUT CP'!$D$4:$D64,0),MATCH(T$6,'INPUT CP'!$A$3:$CO$3,0)),"")</f>
        <v/>
      </c>
      <c r="U34" s="463" t="str">
        <f t="array" ref="U34">IFERROR(INDEX('INPUT CP'!$A$4:$BB64,MATCH($D34,'INPUT CP'!$D$4:$D64,0),MATCH(U$6,'INPUT CP'!$A$3:$CO$3,0)),"")</f>
        <v/>
      </c>
      <c r="V34" s="439" t="str">
        <f t="array" ref="V34">IFERROR(INDEX('INPUT CP'!$A$4:$BB64,MATCH($D34,'INPUT CP'!$D$4:$D64,0),MATCH(V$6,'INPUT CP'!$A$3:$CO$3,0)),"")</f>
        <v/>
      </c>
      <c r="W34" s="513" t="str">
        <f t="array" ref="W34">IFERROR(INDEX('INPUT CP'!$A$4:$BB64,MATCH($D34,'INPUT CP'!$D$4:$D64,0),MATCH(W$6,'INPUT CP'!$A$3:$CO$3,0)),"")</f>
        <v>PKS/POLSIS</v>
      </c>
      <c r="X34" s="514" t="str">
        <f t="array" ref="X34">IFERROR(INDEX('INPUT CP'!$A$4:$BB64,MATCH($D34,'INPUT CP'!$D$4:$D64,0),MATCH(X$6,'INPUT CP'!$A$3:$CO$3,0)),"")</f>
        <v/>
      </c>
      <c r="Y34" s="514" t="str">
        <f t="array" ref="Y34">IFERROR(INDEX('INPUT CP'!$A$4:$BB64,MATCH($D34,'INPUT CP'!$D$4:$D64,0),MATCH(Y$6,'INPUT CP'!$A$3:$CO$3,0)),"")</f>
        <v>-</v>
      </c>
      <c r="Z34" s="514" t="str">
        <f t="array" ref="Z34">IFERROR(INDEX('INPUT CP'!$A$4:$BB64,MATCH($D34,'INPUT CP'!$D$4:$D64,0),MATCH(Z$6,'INPUT CP'!$A$3:$CO$3,0)),"")</f>
        <v>-</v>
      </c>
      <c r="AA34" s="514" t="str">
        <f t="array" ref="AA34">IFERROR(INDEX('INPUT CP'!$A$4:$BB64,MATCH($D34,'INPUT CP'!$D$4:$D64,0),MATCH(AA$6,'INPUT CP'!$A$3:$CO$3,0)),"")</f>
        <v>-</v>
      </c>
      <c r="AB34" s="515">
        <f t="shared" si="2"/>
        <v>1067.083333</v>
      </c>
      <c r="AC34" s="515">
        <f t="shared" si="3"/>
        <v>82.08333333</v>
      </c>
      <c r="AD34" s="516">
        <f t="shared" si="4"/>
        <v>9</v>
      </c>
    </row>
    <row r="35" ht="11.25" customHeight="1">
      <c r="A35" s="423">
        <f>IFERROR(__xludf.DUMMYFUNCTION("""COMPUTED_VALUE"""),29.0)</f>
        <v>29</v>
      </c>
      <c r="B35" s="425" t="str">
        <f>IFERROR(__xludf.DUMMYFUNCTION("""COMPUTED_VALUE"""),"2526100442")</f>
        <v>2526100442</v>
      </c>
      <c r="C35" s="425" t="str">
        <f>IFERROR(__xludf.DUMMYFUNCTION("""COMPUTED_VALUE"""),"0093764470")</f>
        <v>0093764470</v>
      </c>
      <c r="D35" s="426" t="str">
        <f>IFERROR(__xludf.DUMMYFUNCTION("""COMPUTED_VALUE"""),"MUHAMMAD HADAD AT'TOILLAH")</f>
        <v>MUHAMMAD HADAD AT'TOILLAH</v>
      </c>
      <c r="E35" s="428" t="str">
        <f>IFERROR(__xludf.DUMMYFUNCTION("""COMPUTED_VALUE"""),"X TO 4")</f>
        <v>X TO 4</v>
      </c>
      <c r="F35" s="428" t="s">
        <v>220</v>
      </c>
      <c r="G35" s="438">
        <f t="array" ref="G35">IFERROR(INDEX('INPUT CP'!$A$4:$BB64,MATCH($D35,'INPUT CP'!$D$4:$D64,0),MATCH(G$6,'INPUT CP'!$A$3:$CO$3,0)),"")</f>
        <v>78.5</v>
      </c>
      <c r="H35" s="439">
        <f t="array" ref="H35">IFERROR(INDEX('INPUT CP'!$A$4:$BB64,MATCH($D35,'INPUT CP'!$D$4:$D64,0),MATCH(H$6,'INPUT CP'!$A$3:$CO$3,0)),"")</f>
        <v>81.25</v>
      </c>
      <c r="I35" s="441">
        <f t="array" ref="I35">IFERROR(INDEX('INPUT CP'!$A$4:$BB64,MATCH($D35,'INPUT CP'!$D$4:$D64,0),MATCH(I$6,'INPUT CP'!$A$3:$CO$3,0)),"")</f>
        <v>80.5</v>
      </c>
      <c r="J35" s="444">
        <f t="array" ref="J35">IFERROR(INDEX('INPUT CP'!$A$4:$BB64,MATCH($D35,'INPUT CP'!$D$4:$D64,0),MATCH(J$6,'INPUT CP'!$A$3:$CO$3,0)),"")</f>
        <v>81.25</v>
      </c>
      <c r="K35" s="446">
        <f t="array" ref="K35">IFERROR(INDEX('INPUT CP'!$A$4:$BB64,MATCH($D35,'INPUT CP'!$D$4:$D64,0),MATCH(K$6,'INPUT CP'!$A$3:$CO$3,0)),"")</f>
        <v>80</v>
      </c>
      <c r="L35" s="450">
        <f t="array" ref="L35">IFERROR(INDEX('INPUT CP'!$A$4:$BB64,MATCH($D35,'INPUT CP'!$D$4:$D64,0),MATCH(L$6,'INPUT CP'!$A$3:$CO$3,0)),"")</f>
        <v>90</v>
      </c>
      <c r="M35" s="451">
        <f t="array" ref="M35">IFERROR(INDEX('INPUT CP'!$A$4:$BB64,MATCH($D35,'INPUT CP'!$D$4:$D64,0),MATCH(M$6,'INPUT CP'!$A$3:$CO$3,0)),"")</f>
        <v>80</v>
      </c>
      <c r="N35" s="452">
        <f t="array" ref="N35">IFERROR(INDEX('INPUT CP'!$A$4:$BB64,MATCH($D35,'INPUT CP'!$D$4:$D64,0),MATCH(N$6,'INPUT CP'!$A$3:$CO$3,0)),"")</f>
        <v>72</v>
      </c>
      <c r="O35" s="438">
        <f t="array" ref="O35">IFERROR(INDEX('INPUT CP'!$A$4:$BB64,MATCH($D35,'INPUT CP'!$D$4:$D64,0),MATCH(O$6,'INPUT CP'!$A$3:$CO$3,0)),"")</f>
        <v>75</v>
      </c>
      <c r="P35" s="456">
        <f t="array" ref="P35">IFERROR(INDEX('INPUT CP'!$A$4:$BB64,MATCH($D35,'INPUT CP'!$D$4:$D64,0),MATCH(P$6,'INPUT CP'!$A$3:$CO$3,0)),"")</f>
        <v>80</v>
      </c>
      <c r="Q35" s="456">
        <f t="array" ref="Q35">IFERROR(INDEX('INPUT CP'!$A$4:$BB64,MATCH($D35,'INPUT CP'!$D$4:$D64,0),MATCH(Q$6,'INPUT CP'!$A$3:$CO$3,0)),"")</f>
        <v>82.33333333</v>
      </c>
      <c r="R35" s="456">
        <f t="array" ref="R35">IFERROR(INDEX('INPUT CP'!$A$4:$BB64,MATCH($D35,'INPUT CP'!$D$4:$D64,0),MATCH(R$6,'INPUT CP'!$A$3:$CO$3,0)),"")</f>
        <v>80.83333333</v>
      </c>
      <c r="S35" s="456">
        <f t="array" ref="S35">IFERROR(INDEX('INPUT CP'!$A$4:$BB64,MATCH($D35,'INPUT CP'!$D$4:$D64,0),MATCH(S$6,'INPUT CP'!$A$3:$CO$3,0)),"")</f>
        <v>77.66666667</v>
      </c>
      <c r="T35" s="461" t="str">
        <f t="array" ref="T35">IFERROR(INDEX('INPUT CP'!$A$4:$BB64,MATCH($D35,'INPUT CP'!$D$4:$D64,0),MATCH(T$6,'INPUT CP'!$A$3:$CO$3,0)),"")</f>
        <v/>
      </c>
      <c r="U35" s="463" t="str">
        <f t="array" ref="U35">IFERROR(INDEX('INPUT CP'!$A$4:$BB64,MATCH($D35,'INPUT CP'!$D$4:$D64,0),MATCH(U$6,'INPUT CP'!$A$3:$CO$3,0)),"")</f>
        <v/>
      </c>
      <c r="V35" s="439" t="str">
        <f t="array" ref="V35">IFERROR(INDEX('INPUT CP'!$A$4:$BB64,MATCH($D35,'INPUT CP'!$D$4:$D64,0),MATCH(V$6,'INPUT CP'!$A$3:$CO$3,0)),"")</f>
        <v/>
      </c>
      <c r="W35" s="468" t="str">
        <f t="array" ref="W35">IFERROR(INDEX('INPUT CP'!$A$4:$BB64,MATCH($D35,'INPUT CP'!$D$4:$D64,0),MATCH(W$6,'INPUT CP'!$A$3:$CO$3,0)),"")</f>
        <v/>
      </c>
      <c r="X35" s="470" t="str">
        <f t="array" ref="X35">IFERROR(INDEX('INPUT CP'!$A$4:$BB64,MATCH($D35,'INPUT CP'!$D$4:$D64,0),MATCH(X$6,'INPUT CP'!$A$3:$CO$3,0)),"")</f>
        <v/>
      </c>
      <c r="Y35" s="470" t="str">
        <f t="array" ref="Y35">IFERROR(INDEX('INPUT CP'!$A$4:$BB64,MATCH($D35,'INPUT CP'!$D$4:$D64,0),MATCH(Y$6,'INPUT CP'!$A$3:$CO$3,0)),"")</f>
        <v>-</v>
      </c>
      <c r="Z35" s="470" t="str">
        <f t="array" ref="Z35">IFERROR(INDEX('INPUT CP'!$A$4:$BB64,MATCH($D35,'INPUT CP'!$D$4:$D64,0),MATCH(Z$6,'INPUT CP'!$A$3:$CO$3,0)),"")</f>
        <v>-</v>
      </c>
      <c r="AA35" s="470" t="str">
        <f t="array" ref="AA35">IFERROR(INDEX('INPUT CP'!$A$4:$BB64,MATCH($D35,'INPUT CP'!$D$4:$D64,0),MATCH(AA$6,'INPUT CP'!$A$3:$CO$3,0)),"")</f>
        <v>-</v>
      </c>
      <c r="AB35" s="476">
        <f t="shared" si="2"/>
        <v>1039.333333</v>
      </c>
      <c r="AC35" s="476">
        <f t="shared" si="3"/>
        <v>79.94871795</v>
      </c>
      <c r="AD35" s="479">
        <f t="shared" si="4"/>
        <v>17</v>
      </c>
    </row>
    <row r="36" ht="11.25" customHeight="1">
      <c r="A36" s="482">
        <f>IFERROR(__xludf.DUMMYFUNCTION("""COMPUTED_VALUE"""),30.0)</f>
        <v>30</v>
      </c>
      <c r="B36" s="485" t="str">
        <f>IFERROR(__xludf.DUMMYFUNCTION("""COMPUTED_VALUE"""),"2526100443")</f>
        <v>2526100443</v>
      </c>
      <c r="C36" s="485" t="str">
        <f>IFERROR(__xludf.DUMMYFUNCTION("""COMPUTED_VALUE"""),"0092995954")</f>
        <v>0092995954</v>
      </c>
      <c r="D36" s="487" t="str">
        <f>IFERROR(__xludf.DUMMYFUNCTION("""COMPUTED_VALUE"""),"MUHAMMAD ILHAM")</f>
        <v>MUHAMMAD ILHAM</v>
      </c>
      <c r="E36" s="489" t="str">
        <f>IFERROR(__xludf.DUMMYFUNCTION("""COMPUTED_VALUE"""),"X TO 4")</f>
        <v>X TO 4</v>
      </c>
      <c r="F36" s="489" t="s">
        <v>220</v>
      </c>
      <c r="G36" s="438">
        <f t="array" ref="G36">IFERROR(INDEX('INPUT CP'!$A$4:$BB64,MATCH($D36,'INPUT CP'!$D$4:$D64,0),MATCH(G$6,'INPUT CP'!$A$3:$CO$3,0)),"")</f>
        <v>80.25</v>
      </c>
      <c r="H36" s="439">
        <f t="array" ref="H36">IFERROR(INDEX('INPUT CP'!$A$4:$BB64,MATCH($D36,'INPUT CP'!$D$4:$D64,0),MATCH(H$6,'INPUT CP'!$A$3:$CO$3,0)),"")</f>
        <v>82.25</v>
      </c>
      <c r="I36" s="441">
        <f t="array" ref="I36">IFERROR(INDEX('INPUT CP'!$A$4:$BB64,MATCH($D36,'INPUT CP'!$D$4:$D64,0),MATCH(I$6,'INPUT CP'!$A$3:$CO$3,0)),"")</f>
        <v>79.66666667</v>
      </c>
      <c r="J36" s="444">
        <f t="array" ref="J36">IFERROR(INDEX('INPUT CP'!$A$4:$BB64,MATCH($D36,'INPUT CP'!$D$4:$D64,0),MATCH(J$6,'INPUT CP'!$A$3:$CO$3,0)),"")</f>
        <v>82.75</v>
      </c>
      <c r="K36" s="446">
        <f t="array" ref="K36">IFERROR(INDEX('INPUT CP'!$A$4:$BB64,MATCH($D36,'INPUT CP'!$D$4:$D64,0),MATCH(K$6,'INPUT CP'!$A$3:$CO$3,0)),"")</f>
        <v>67</v>
      </c>
      <c r="L36" s="450">
        <f t="array" ref="L36">IFERROR(INDEX('INPUT CP'!$A$4:$BB64,MATCH($D36,'INPUT CP'!$D$4:$D64,0),MATCH(L$6,'INPUT CP'!$A$3:$CO$3,0)),"")</f>
        <v>89.83333333</v>
      </c>
      <c r="M36" s="451">
        <f t="array" ref="M36">IFERROR(INDEX('INPUT CP'!$A$4:$BB64,MATCH($D36,'INPUT CP'!$D$4:$D64,0),MATCH(M$6,'INPUT CP'!$A$3:$CO$3,0)),"")</f>
        <v>21.66666667</v>
      </c>
      <c r="N36" s="452">
        <f t="array" ref="N36">IFERROR(INDEX('INPUT CP'!$A$4:$BB64,MATCH($D36,'INPUT CP'!$D$4:$D64,0),MATCH(N$6,'INPUT CP'!$A$3:$CO$3,0)),"")</f>
        <v>72</v>
      </c>
      <c r="O36" s="438">
        <f t="array" ref="O36">IFERROR(INDEX('INPUT CP'!$A$4:$BB64,MATCH($D36,'INPUT CP'!$D$4:$D64,0),MATCH(O$6,'INPUT CP'!$A$3:$CO$3,0)),"")</f>
        <v>72</v>
      </c>
      <c r="P36" s="456">
        <f t="array" ref="P36">IFERROR(INDEX('INPUT CP'!$A$4:$BB64,MATCH($D36,'INPUT CP'!$D$4:$D64,0),MATCH(P$6,'INPUT CP'!$A$3:$CO$3,0)),"")</f>
        <v>80</v>
      </c>
      <c r="Q36" s="456">
        <f t="array" ref="Q36">IFERROR(INDEX('INPUT CP'!$A$4:$BB64,MATCH($D36,'INPUT CP'!$D$4:$D64,0),MATCH(Q$6,'INPUT CP'!$A$3:$CO$3,0)),"")</f>
        <v>54.16666667</v>
      </c>
      <c r="R36" s="456">
        <f t="array" ref="R36">IFERROR(INDEX('INPUT CP'!$A$4:$BB64,MATCH($D36,'INPUT CP'!$D$4:$D64,0),MATCH(R$6,'INPUT CP'!$A$3:$CO$3,0)),"")</f>
        <v>80.5</v>
      </c>
      <c r="S36" s="456">
        <f t="array" ref="S36">IFERROR(INDEX('INPUT CP'!$A$4:$BB64,MATCH($D36,'INPUT CP'!$D$4:$D64,0),MATCH(S$6,'INPUT CP'!$A$3:$CO$3,0)),"")</f>
        <v>79.33333333</v>
      </c>
      <c r="T36" s="461" t="str">
        <f t="array" ref="T36">IFERROR(INDEX('INPUT CP'!$A$4:$BB64,MATCH($D36,'INPUT CP'!$D$4:$D64,0),MATCH(T$6,'INPUT CP'!$A$3:$CO$3,0)),"")</f>
        <v/>
      </c>
      <c r="U36" s="463" t="str">
        <f t="array" ref="U36">IFERROR(INDEX('INPUT CP'!$A$4:$BB64,MATCH($D36,'INPUT CP'!$D$4:$D64,0),MATCH(U$6,'INPUT CP'!$A$3:$CO$3,0)),"")</f>
        <v/>
      </c>
      <c r="V36" s="439" t="str">
        <f t="array" ref="V36">IFERROR(INDEX('INPUT CP'!$A$4:$BB64,MATCH($D36,'INPUT CP'!$D$4:$D64,0),MATCH(V$6,'INPUT CP'!$A$3:$CO$3,0)),"")</f>
        <v/>
      </c>
      <c r="W36" s="513" t="str">
        <f t="array" ref="W36">IFERROR(INDEX('INPUT CP'!$A$4:$BB64,MATCH($D36,'INPUT CP'!$D$4:$D64,0),MATCH(W$6,'INPUT CP'!$A$3:$CO$3,0)),"")</f>
        <v/>
      </c>
      <c r="X36" s="514" t="str">
        <f t="array" ref="X36">IFERROR(INDEX('INPUT CP'!$A$4:$BB64,MATCH($D36,'INPUT CP'!$D$4:$D64,0),MATCH(X$6,'INPUT CP'!$A$3:$CO$3,0)),"")</f>
        <v/>
      </c>
      <c r="Y36" s="514" t="str">
        <f t="array" ref="Y36">IFERROR(INDEX('INPUT CP'!$A$4:$BB64,MATCH($D36,'INPUT CP'!$D$4:$D64,0),MATCH(Y$6,'INPUT CP'!$A$3:$CO$3,0)),"")</f>
        <v>5</v>
      </c>
      <c r="Z36" s="514" t="str">
        <f t="array" ref="Z36">IFERROR(INDEX('INPUT CP'!$A$4:$BB64,MATCH($D36,'INPUT CP'!$D$4:$D64,0),MATCH(Z$6,'INPUT CP'!$A$3:$CO$3,0)),"")</f>
        <v>-</v>
      </c>
      <c r="AA36" s="514" t="str">
        <f t="array" ref="AA36">IFERROR(INDEX('INPUT CP'!$A$4:$BB64,MATCH($D36,'INPUT CP'!$D$4:$D64,0),MATCH(AA$6,'INPUT CP'!$A$3:$CO$3,0)),"")</f>
        <v>-</v>
      </c>
      <c r="AB36" s="515">
        <f t="shared" si="2"/>
        <v>941.4166667</v>
      </c>
      <c r="AC36" s="515">
        <f t="shared" si="3"/>
        <v>72.41666667</v>
      </c>
      <c r="AD36" s="516">
        <f t="shared" si="4"/>
        <v>37</v>
      </c>
    </row>
    <row r="37" ht="11.25" customHeight="1">
      <c r="A37" s="423">
        <f>IFERROR(__xludf.DUMMYFUNCTION("""COMPUTED_VALUE"""),31.0)</f>
        <v>31</v>
      </c>
      <c r="B37" s="425" t="str">
        <f>IFERROR(__xludf.DUMMYFUNCTION("""COMPUTED_VALUE"""),"2526100444")</f>
        <v>2526100444</v>
      </c>
      <c r="C37" s="425" t="str">
        <f>IFERROR(__xludf.DUMMYFUNCTION("""COMPUTED_VALUE"""),"0091433917")</f>
        <v>0091433917</v>
      </c>
      <c r="D37" s="426" t="str">
        <f>IFERROR(__xludf.DUMMYFUNCTION("""COMPUTED_VALUE"""),"M. IRPAN SAEPUL IBRAHIM ")</f>
        <v>M. IRPAN SAEPUL IBRAHIM </v>
      </c>
      <c r="E37" s="428" t="str">
        <f>IFERROR(__xludf.DUMMYFUNCTION("""COMPUTED_VALUE"""),"X TO 4")</f>
        <v>X TO 4</v>
      </c>
      <c r="F37" s="428" t="s">
        <v>220</v>
      </c>
      <c r="G37" s="438">
        <f t="array" ref="G37">IFERROR(INDEX('INPUT CP'!$A$4:$BB64,MATCH($D37,'INPUT CP'!$D$4:$D64,0),MATCH(G$6,'INPUT CP'!$A$3:$CO$3,0)),"")</f>
        <v>76.5</v>
      </c>
      <c r="H37" s="439" t="str">
        <f t="array" ref="H37">IFERROR(INDEX('INPUT CP'!$A$4:$BB64,MATCH($D37,'INPUT CP'!$D$4:$D64,0),MATCH(H$6,'INPUT CP'!$A$3:$CO$3,0)),"")</f>
        <v/>
      </c>
      <c r="I37" s="441">
        <f t="array" ref="I37">IFERROR(INDEX('INPUT CP'!$A$4:$BB64,MATCH($D37,'INPUT CP'!$D$4:$D64,0),MATCH(I$6,'INPUT CP'!$A$3:$CO$3,0)),"")</f>
        <v>34.16666667</v>
      </c>
      <c r="J37" s="444">
        <f t="array" ref="J37">IFERROR(INDEX('INPUT CP'!$A$4:$BB64,MATCH($D37,'INPUT CP'!$D$4:$D64,0),MATCH(J$6,'INPUT CP'!$A$3:$CO$3,0)),"")</f>
        <v>77.5</v>
      </c>
      <c r="K37" s="446">
        <f t="array" ref="K37">IFERROR(INDEX('INPUT CP'!$A$4:$BB64,MATCH($D37,'INPUT CP'!$D$4:$D64,0),MATCH(K$6,'INPUT CP'!$A$3:$CO$3,0)),"")</f>
        <v>72</v>
      </c>
      <c r="L37" s="450">
        <f t="array" ref="L37">IFERROR(INDEX('INPUT CP'!$A$4:$BB64,MATCH($D37,'INPUT CP'!$D$4:$D64,0),MATCH(L$6,'INPUT CP'!$A$3:$CO$3,0)),"")</f>
        <v>90</v>
      </c>
      <c r="M37" s="451">
        <f t="array" ref="M37">IFERROR(INDEX('INPUT CP'!$A$4:$BB64,MATCH($D37,'INPUT CP'!$D$4:$D64,0),MATCH(M$6,'INPUT CP'!$A$3:$CO$3,0)),"")</f>
        <v>71.33333333</v>
      </c>
      <c r="N37" s="452">
        <f t="array" ref="N37">IFERROR(INDEX('INPUT CP'!$A$4:$BB64,MATCH($D37,'INPUT CP'!$D$4:$D64,0),MATCH(N$6,'INPUT CP'!$A$3:$CO$3,0)),"")</f>
        <v>72</v>
      </c>
      <c r="O37" s="438">
        <f t="array" ref="O37">IFERROR(INDEX('INPUT CP'!$A$4:$BB64,MATCH($D37,'INPUT CP'!$D$4:$D64,0),MATCH(O$6,'INPUT CP'!$A$3:$CO$3,0)),"")</f>
        <v>73.66666667</v>
      </c>
      <c r="P37" s="456">
        <f t="array" ref="P37">IFERROR(INDEX('INPUT CP'!$A$4:$BB64,MATCH($D37,'INPUT CP'!$D$4:$D64,0),MATCH(P$6,'INPUT CP'!$A$3:$CO$3,0)),"")</f>
        <v>80</v>
      </c>
      <c r="Q37" s="456">
        <f t="array" ref="Q37">IFERROR(INDEX('INPUT CP'!$A$4:$BB64,MATCH($D37,'INPUT CP'!$D$4:$D64,0),MATCH(Q$6,'INPUT CP'!$A$3:$CO$3,0)),"")</f>
        <v>53.33333333</v>
      </c>
      <c r="R37" s="456">
        <f t="array" ref="R37">IFERROR(INDEX('INPUT CP'!$A$4:$BB64,MATCH($D37,'INPUT CP'!$D$4:$D64,0),MATCH(R$6,'INPUT CP'!$A$3:$CO$3,0)),"")</f>
        <v>80</v>
      </c>
      <c r="S37" s="456">
        <f t="array" ref="S37">IFERROR(INDEX('INPUT CP'!$A$4:$BB64,MATCH($D37,'INPUT CP'!$D$4:$D64,0),MATCH(S$6,'INPUT CP'!$A$3:$CO$3,0)),"")</f>
        <v>77.33333333</v>
      </c>
      <c r="T37" s="461" t="str">
        <f t="array" ref="T37">IFERROR(INDEX('INPUT CP'!$A$4:$BB64,MATCH($D37,'INPUT CP'!$D$4:$D64,0),MATCH(T$6,'INPUT CP'!$A$3:$CO$3,0)),"")</f>
        <v/>
      </c>
      <c r="U37" s="463" t="str">
        <f t="array" ref="U37">IFERROR(INDEX('INPUT CP'!$A$4:$BB64,MATCH($D37,'INPUT CP'!$D$4:$D64,0),MATCH(U$6,'INPUT CP'!$A$3:$CO$3,0)),"")</f>
        <v/>
      </c>
      <c r="V37" s="439" t="str">
        <f t="array" ref="V37">IFERROR(INDEX('INPUT CP'!$A$4:$BB64,MATCH($D37,'INPUT CP'!$D$4:$D64,0),MATCH(V$6,'INPUT CP'!$A$3:$CO$3,0)),"")</f>
        <v/>
      </c>
      <c r="W37" s="468" t="str">
        <f t="array" ref="W37">IFERROR(INDEX('INPUT CP'!$A$4:$BB64,MATCH($D37,'INPUT CP'!$D$4:$D64,0),MATCH(W$6,'INPUT CP'!$A$3:$CO$3,0)),"")</f>
        <v/>
      </c>
      <c r="X37" s="470" t="str">
        <f t="array" ref="X37">IFERROR(INDEX('INPUT CP'!$A$4:$BB64,MATCH($D37,'INPUT CP'!$D$4:$D64,0),MATCH(X$6,'INPUT CP'!$A$3:$CO$3,0)),"")</f>
        <v/>
      </c>
      <c r="Y37" s="470" t="str">
        <f t="array" ref="Y37">IFERROR(INDEX('INPUT CP'!$A$4:$BB64,MATCH($D37,'INPUT CP'!$D$4:$D64,0),MATCH(Y$6,'INPUT CP'!$A$3:$CO$3,0)),"")</f>
        <v>14</v>
      </c>
      <c r="Z37" s="470" t="str">
        <f t="array" ref="Z37">IFERROR(INDEX('INPUT CP'!$A$4:$BB64,MATCH($D37,'INPUT CP'!$D$4:$D64,0),MATCH(Z$6,'INPUT CP'!$A$3:$CO$3,0)),"")</f>
        <v>-</v>
      </c>
      <c r="AA37" s="470" t="str">
        <f t="array" ref="AA37">IFERROR(INDEX('INPUT CP'!$A$4:$BB64,MATCH($D37,'INPUT CP'!$D$4:$D64,0),MATCH(AA$6,'INPUT CP'!$A$3:$CO$3,0)),"")</f>
        <v>2</v>
      </c>
      <c r="AB37" s="476">
        <f t="shared" si="2"/>
        <v>857.8333333</v>
      </c>
      <c r="AC37" s="476">
        <f t="shared" si="3"/>
        <v>71.48611111</v>
      </c>
      <c r="AD37" s="479">
        <f t="shared" si="4"/>
        <v>41</v>
      </c>
    </row>
    <row r="38" ht="11.25" customHeight="1">
      <c r="A38" s="482">
        <f>IFERROR(__xludf.DUMMYFUNCTION("""COMPUTED_VALUE"""),32.0)</f>
        <v>32</v>
      </c>
      <c r="B38" s="485" t="str">
        <f>IFERROR(__xludf.DUMMYFUNCTION("""COMPUTED_VALUE"""),"2526100445")</f>
        <v>2526100445</v>
      </c>
      <c r="C38" s="485" t="str">
        <f>IFERROR(__xludf.DUMMYFUNCTION("""COMPUTED_VALUE"""),"0093505472")</f>
        <v>0093505472</v>
      </c>
      <c r="D38" s="487" t="str">
        <f>IFERROR(__xludf.DUMMYFUNCTION("""COMPUTED_VALUE"""),"MUHAMMAD NAZIL SIBTHURRIDHO")</f>
        <v>MUHAMMAD NAZIL SIBTHURRIDHO</v>
      </c>
      <c r="E38" s="489" t="str">
        <f>IFERROR(__xludf.DUMMYFUNCTION("""COMPUTED_VALUE"""),"X TO 4")</f>
        <v>X TO 4</v>
      </c>
      <c r="F38" s="489" t="s">
        <v>220</v>
      </c>
      <c r="G38" s="438">
        <f t="array" ref="G38">IFERROR(INDEX('INPUT CP'!$A$4:$BB64,MATCH($D38,'INPUT CP'!$D$4:$D64,0),MATCH(G$6,'INPUT CP'!$A$3:$CO$3,0)),"")</f>
        <v>80.5</v>
      </c>
      <c r="H38" s="439" t="str">
        <f t="array" ref="H38">IFERROR(INDEX('INPUT CP'!$A$4:$BB64,MATCH($D38,'INPUT CP'!$D$4:$D64,0),MATCH(H$6,'INPUT CP'!$A$3:$CO$3,0)),"")</f>
        <v/>
      </c>
      <c r="I38" s="441">
        <f t="array" ref="I38">IFERROR(INDEX('INPUT CP'!$A$4:$BB64,MATCH($D38,'INPUT CP'!$D$4:$D64,0),MATCH(I$6,'INPUT CP'!$A$3:$CO$3,0)),"")</f>
        <v>73.66666667</v>
      </c>
      <c r="J38" s="444">
        <f t="array" ref="J38">IFERROR(INDEX('INPUT CP'!$A$4:$BB64,MATCH($D38,'INPUT CP'!$D$4:$D64,0),MATCH(J$6,'INPUT CP'!$A$3:$CO$3,0)),"")</f>
        <v>88.5</v>
      </c>
      <c r="K38" s="446">
        <f t="array" ref="K38">IFERROR(INDEX('INPUT CP'!$A$4:$BB64,MATCH($D38,'INPUT CP'!$D$4:$D64,0),MATCH(K$6,'INPUT CP'!$A$3:$CO$3,0)),"")</f>
        <v>47</v>
      </c>
      <c r="L38" s="450">
        <f t="array" ref="L38">IFERROR(INDEX('INPUT CP'!$A$4:$BB64,MATCH($D38,'INPUT CP'!$D$4:$D64,0),MATCH(L$6,'INPUT CP'!$A$3:$CO$3,0)),"")</f>
        <v>89.16666667</v>
      </c>
      <c r="M38" s="451">
        <f t="array" ref="M38">IFERROR(INDEX('INPUT CP'!$A$4:$BB64,MATCH($D38,'INPUT CP'!$D$4:$D64,0),MATCH(M$6,'INPUT CP'!$A$3:$CO$3,0)),"")</f>
        <v>18.33333333</v>
      </c>
      <c r="N38" s="452">
        <f t="array" ref="N38">IFERROR(INDEX('INPUT CP'!$A$4:$BB64,MATCH($D38,'INPUT CP'!$D$4:$D64,0),MATCH(N$6,'INPUT CP'!$A$3:$CO$3,0)),"")</f>
        <v>72</v>
      </c>
      <c r="O38" s="438" t="str">
        <f t="array" ref="O38">IFERROR(INDEX('INPUT CP'!$A$4:$BB64,MATCH($D38,'INPUT CP'!$D$4:$D64,0),MATCH(O$6,'INPUT CP'!$A$3:$CO$3,0)),"")</f>
        <v/>
      </c>
      <c r="P38" s="456">
        <f t="array" ref="P38">IFERROR(INDEX('INPUT CP'!$A$4:$BB64,MATCH($D38,'INPUT CP'!$D$4:$D64,0),MATCH(P$6,'INPUT CP'!$A$3:$CO$3,0)),"")</f>
        <v>80</v>
      </c>
      <c r="Q38" s="456">
        <f t="array" ref="Q38">IFERROR(INDEX('INPUT CP'!$A$4:$BB64,MATCH($D38,'INPUT CP'!$D$4:$D64,0),MATCH(Q$6,'INPUT CP'!$A$3:$CO$3,0)),"")</f>
        <v>52.66666667</v>
      </c>
      <c r="R38" s="456">
        <f t="array" ref="R38">IFERROR(INDEX('INPUT CP'!$A$4:$BB64,MATCH($D38,'INPUT CP'!$D$4:$D64,0),MATCH(R$6,'INPUT CP'!$A$3:$CO$3,0)),"")</f>
        <v>78.33333333</v>
      </c>
      <c r="S38" s="456">
        <f t="array" ref="S38">IFERROR(INDEX('INPUT CP'!$A$4:$BB64,MATCH($D38,'INPUT CP'!$D$4:$D64,0),MATCH(S$6,'INPUT CP'!$A$3:$CO$3,0)),"")</f>
        <v>77.66666667</v>
      </c>
      <c r="T38" s="461" t="str">
        <f t="array" ref="T38">IFERROR(INDEX('INPUT CP'!$A$4:$BB64,MATCH($D38,'INPUT CP'!$D$4:$D64,0),MATCH(T$6,'INPUT CP'!$A$3:$CO$3,0)),"")</f>
        <v/>
      </c>
      <c r="U38" s="463" t="str">
        <f t="array" ref="U38">IFERROR(INDEX('INPUT CP'!$A$4:$BB64,MATCH($D38,'INPUT CP'!$D$4:$D64,0),MATCH(U$6,'INPUT CP'!$A$3:$CO$3,0)),"")</f>
        <v/>
      </c>
      <c r="V38" s="439" t="str">
        <f t="array" ref="V38">IFERROR(INDEX('INPUT CP'!$A$4:$BB64,MATCH($D38,'INPUT CP'!$D$4:$D64,0),MATCH(V$6,'INPUT CP'!$A$3:$CO$3,0)),"")</f>
        <v/>
      </c>
      <c r="W38" s="513" t="str">
        <f t="array" ref="W38">IFERROR(INDEX('INPUT CP'!$A$4:$BB64,MATCH($D38,'INPUT CP'!$D$4:$D64,0),MATCH(W$6,'INPUT CP'!$A$3:$CO$3,0)),"")</f>
        <v>SISPALA PANEL</v>
      </c>
      <c r="X38" s="514" t="str">
        <f t="array" ref="X38">IFERROR(INDEX('INPUT CP'!$A$4:$BB64,MATCH($D38,'INPUT CP'!$D$4:$D64,0),MATCH(X$6,'INPUT CP'!$A$3:$CO$3,0)),"")</f>
        <v/>
      </c>
      <c r="Y38" s="514" t="str">
        <f t="array" ref="Y38">IFERROR(INDEX('INPUT CP'!$A$4:$BB64,MATCH($D38,'INPUT CP'!$D$4:$D64,0),MATCH(Y$6,'INPUT CP'!$A$3:$CO$3,0)),"")</f>
        <v>3</v>
      </c>
      <c r="Z38" s="514" t="str">
        <f t="array" ref="Z38">IFERROR(INDEX('INPUT CP'!$A$4:$BB64,MATCH($D38,'INPUT CP'!$D$4:$D64,0),MATCH(Z$6,'INPUT CP'!$A$3:$CO$3,0)),"")</f>
        <v>2</v>
      </c>
      <c r="AA38" s="514" t="str">
        <f t="array" ref="AA38">IFERROR(INDEX('INPUT CP'!$A$4:$BB64,MATCH($D38,'INPUT CP'!$D$4:$D64,0),MATCH(AA$6,'INPUT CP'!$A$3:$CO$3,0)),"")</f>
        <v>5</v>
      </c>
      <c r="AB38" s="476">
        <f t="shared" si="2"/>
        <v>757.8333333</v>
      </c>
      <c r="AC38" s="476">
        <f t="shared" si="3"/>
        <v>68.89393939</v>
      </c>
      <c r="AD38" s="479">
        <f t="shared" si="4"/>
        <v>43</v>
      </c>
    </row>
    <row r="39" ht="11.25" customHeight="1">
      <c r="A39" s="423">
        <f>IFERROR(__xludf.DUMMYFUNCTION("""COMPUTED_VALUE"""),33.0)</f>
        <v>33</v>
      </c>
      <c r="B39" s="425" t="str">
        <f>IFERROR(__xludf.DUMMYFUNCTION("""COMPUTED_VALUE"""),"2526100446")</f>
        <v>2526100446</v>
      </c>
      <c r="C39" s="425" t="str">
        <f>IFERROR(__xludf.DUMMYFUNCTION("""COMPUTED_VALUE"""),"0078810983")</f>
        <v>0078810983</v>
      </c>
      <c r="D39" s="426" t="str">
        <f>IFERROR(__xludf.DUMMYFUNCTION("""COMPUTED_VALUE"""),"MUHAMMAD RAGIL")</f>
        <v>MUHAMMAD RAGIL</v>
      </c>
      <c r="E39" s="428" t="str">
        <f>IFERROR(__xludf.DUMMYFUNCTION("""COMPUTED_VALUE"""),"X TO 4")</f>
        <v>X TO 4</v>
      </c>
      <c r="F39" s="428" t="s">
        <v>220</v>
      </c>
      <c r="G39" s="438">
        <f t="array" ref="G39">IFERROR(INDEX('INPUT CP'!$A$4:$BB64,MATCH($D39,'INPUT CP'!$D$4:$D64,0),MATCH(G$6,'INPUT CP'!$A$3:$CO$3,0)),"")</f>
        <v>80.5</v>
      </c>
      <c r="H39" s="439">
        <f t="array" ref="H39">IFERROR(INDEX('INPUT CP'!$A$4:$BB64,MATCH($D39,'INPUT CP'!$D$4:$D64,0),MATCH(H$6,'INPUT CP'!$A$3:$CO$3,0)),"")</f>
        <v>77.25</v>
      </c>
      <c r="I39" s="441">
        <f t="array" ref="I39">IFERROR(INDEX('INPUT CP'!$A$4:$BB64,MATCH($D39,'INPUT CP'!$D$4:$D64,0),MATCH(I$6,'INPUT CP'!$A$3:$CO$3,0)),"")</f>
        <v>82.16666667</v>
      </c>
      <c r="J39" s="444">
        <f t="array" ref="J39">IFERROR(INDEX('INPUT CP'!$A$4:$BB64,MATCH($D39,'INPUT CP'!$D$4:$D64,0),MATCH(J$6,'INPUT CP'!$A$3:$CO$3,0)),"")</f>
        <v>83.5</v>
      </c>
      <c r="K39" s="446">
        <f t="array" ref="K39">IFERROR(INDEX('INPUT CP'!$A$4:$BB64,MATCH($D39,'INPUT CP'!$D$4:$D64,0),MATCH(K$6,'INPUT CP'!$A$3:$CO$3,0)),"")</f>
        <v>79</v>
      </c>
      <c r="L39" s="450">
        <f t="array" ref="L39">IFERROR(INDEX('INPUT CP'!$A$4:$BB64,MATCH($D39,'INPUT CP'!$D$4:$D64,0),MATCH(L$6,'INPUT CP'!$A$3:$CO$3,0)),"")</f>
        <v>89.83333333</v>
      </c>
      <c r="M39" s="451">
        <f t="array" ref="M39">IFERROR(INDEX('INPUT CP'!$A$4:$BB64,MATCH($D39,'INPUT CP'!$D$4:$D64,0),MATCH(M$6,'INPUT CP'!$A$3:$CO$3,0)),"")</f>
        <v>79.16666667</v>
      </c>
      <c r="N39" s="452">
        <f t="array" ref="N39">IFERROR(INDEX('INPUT CP'!$A$4:$BB64,MATCH($D39,'INPUT CP'!$D$4:$D64,0),MATCH(N$6,'INPUT CP'!$A$3:$CO$3,0)),"")</f>
        <v>81</v>
      </c>
      <c r="O39" s="438">
        <f t="array" ref="O39">IFERROR(INDEX('INPUT CP'!$A$4:$BB64,MATCH($D39,'INPUT CP'!$D$4:$D64,0),MATCH(O$6,'INPUT CP'!$A$3:$CO$3,0)),"")</f>
        <v>75.5</v>
      </c>
      <c r="P39" s="456">
        <f t="array" ref="P39">IFERROR(INDEX('INPUT CP'!$A$4:$BB64,MATCH($D39,'INPUT CP'!$D$4:$D64,0),MATCH(P$6,'INPUT CP'!$A$3:$CO$3,0)),"")</f>
        <v>80</v>
      </c>
      <c r="Q39" s="456">
        <f t="array" ref="Q39">IFERROR(INDEX('INPUT CP'!$A$4:$BB64,MATCH($D39,'INPUT CP'!$D$4:$D64,0),MATCH(Q$6,'INPUT CP'!$A$3:$CO$3,0)),"")</f>
        <v>55.83333333</v>
      </c>
      <c r="R39" s="456">
        <f t="array" ref="R39">IFERROR(INDEX('INPUT CP'!$A$4:$BB64,MATCH($D39,'INPUT CP'!$D$4:$D64,0),MATCH(R$6,'INPUT CP'!$A$3:$CO$3,0)),"")</f>
        <v>80.33333333</v>
      </c>
      <c r="S39" s="456">
        <f t="array" ref="S39">IFERROR(INDEX('INPUT CP'!$A$4:$BB64,MATCH($D39,'INPUT CP'!$D$4:$D64,0),MATCH(S$6,'INPUT CP'!$A$3:$CO$3,0)),"")</f>
        <v>79.33333333</v>
      </c>
      <c r="T39" s="461" t="str">
        <f t="array" ref="T39">IFERROR(INDEX('INPUT CP'!$A$4:$BB64,MATCH($D39,'INPUT CP'!$D$4:$D64,0),MATCH(T$6,'INPUT CP'!$A$3:$CO$3,0)),"")</f>
        <v/>
      </c>
      <c r="U39" s="463" t="str">
        <f t="array" ref="U39">IFERROR(INDEX('INPUT CP'!$A$4:$BB64,MATCH($D39,'INPUT CP'!$D$4:$D64,0),MATCH(U$6,'INPUT CP'!$A$3:$CO$3,0)),"")</f>
        <v/>
      </c>
      <c r="V39" s="439" t="str">
        <f t="array" ref="V39">IFERROR(INDEX('INPUT CP'!$A$4:$BB64,MATCH($D39,'INPUT CP'!$D$4:$D64,0),MATCH(V$6,'INPUT CP'!$A$3:$CO$3,0)),"")</f>
        <v/>
      </c>
      <c r="W39" s="468" t="str">
        <f t="array" ref="W39">IFERROR(INDEX('INPUT CP'!$A$4:$BB64,MATCH($D39,'INPUT CP'!$D$4:$D64,0),MATCH(W$6,'INPUT CP'!$A$3:$CO$3,0)),"")</f>
        <v/>
      </c>
      <c r="X39" s="470" t="str">
        <f t="array" ref="X39">IFERROR(INDEX('INPUT CP'!$A$4:$BB64,MATCH($D39,'INPUT CP'!$D$4:$D64,0),MATCH(X$6,'INPUT CP'!$A$3:$CO$3,0)),"")</f>
        <v/>
      </c>
      <c r="Y39" s="470" t="str">
        <f t="array" ref="Y39">IFERROR(INDEX('INPUT CP'!$A$4:$BB64,MATCH($D39,'INPUT CP'!$D$4:$D64,0),MATCH(Y$6,'INPUT CP'!$A$3:$CO$3,0)),"")</f>
        <v>2</v>
      </c>
      <c r="Z39" s="470" t="str">
        <f t="array" ref="Z39">IFERROR(INDEX('INPUT CP'!$A$4:$BB64,MATCH($D39,'INPUT CP'!$D$4:$D64,0),MATCH(Z$6,'INPUT CP'!$A$3:$CO$3,0)),"")</f>
        <v>-</v>
      </c>
      <c r="AA39" s="470" t="str">
        <f t="array" ref="AA39">IFERROR(INDEX('INPUT CP'!$A$4:$BB64,MATCH($D39,'INPUT CP'!$D$4:$D64,0),MATCH(AA$6,'INPUT CP'!$A$3:$CO$3,0)),"")</f>
        <v>-</v>
      </c>
      <c r="AB39" s="476">
        <f t="shared" si="2"/>
        <v>1023.416667</v>
      </c>
      <c r="AC39" s="476">
        <f t="shared" si="3"/>
        <v>78.72435897</v>
      </c>
      <c r="AD39" s="479">
        <f t="shared" si="4"/>
        <v>22</v>
      </c>
    </row>
    <row r="40" ht="11.25" customHeight="1">
      <c r="A40" s="482">
        <f>IFERROR(__xludf.DUMMYFUNCTION("""COMPUTED_VALUE"""),34.0)</f>
        <v>34</v>
      </c>
      <c r="B40" s="485" t="str">
        <f>IFERROR(__xludf.DUMMYFUNCTION("""COMPUTED_VALUE"""),"2526100447")</f>
        <v>2526100447</v>
      </c>
      <c r="C40" s="485" t="str">
        <f>IFERROR(__xludf.DUMMYFUNCTION("""COMPUTED_VALUE"""),"0098041660")</f>
        <v>0098041660</v>
      </c>
      <c r="D40" s="487" t="str">
        <f>IFERROR(__xludf.DUMMYFUNCTION("""COMPUTED_VALUE"""),"NAJMI ERIANA")</f>
        <v>NAJMI ERIANA</v>
      </c>
      <c r="E40" s="489" t="str">
        <f>IFERROR(__xludf.DUMMYFUNCTION("""COMPUTED_VALUE"""),"X TO 4")</f>
        <v>X TO 4</v>
      </c>
      <c r="F40" s="489" t="s">
        <v>220</v>
      </c>
      <c r="G40" s="438">
        <f t="array" ref="G40">IFERROR(INDEX('INPUT CP'!$A$4:$BB64,MATCH($D40,'INPUT CP'!$D$4:$D64,0),MATCH(G$6,'INPUT CP'!$A$3:$CO$3,0)),"")</f>
        <v>79</v>
      </c>
      <c r="H40" s="439">
        <f t="array" ref="H40">IFERROR(INDEX('INPUT CP'!$A$4:$BB64,MATCH($D40,'INPUT CP'!$D$4:$D64,0),MATCH(H$6,'INPUT CP'!$A$3:$CO$3,0)),"")</f>
        <v>83.25</v>
      </c>
      <c r="I40" s="441">
        <f t="array" ref="I40">IFERROR(INDEX('INPUT CP'!$A$4:$BB64,MATCH($D40,'INPUT CP'!$D$4:$D64,0),MATCH(I$6,'INPUT CP'!$A$3:$CO$3,0)),"")</f>
        <v>83</v>
      </c>
      <c r="J40" s="444">
        <f t="array" ref="J40">IFERROR(INDEX('INPUT CP'!$A$4:$BB64,MATCH($D40,'INPUT CP'!$D$4:$D64,0),MATCH(J$6,'INPUT CP'!$A$3:$CO$3,0)),"")</f>
        <v>83.25</v>
      </c>
      <c r="K40" s="446">
        <f t="array" ref="K40">IFERROR(INDEX('INPUT CP'!$A$4:$BB64,MATCH($D40,'INPUT CP'!$D$4:$D64,0),MATCH(K$6,'INPUT CP'!$A$3:$CO$3,0)),"")</f>
        <v>80</v>
      </c>
      <c r="L40" s="450">
        <f t="array" ref="L40">IFERROR(INDEX('INPUT CP'!$A$4:$BB64,MATCH($D40,'INPUT CP'!$D$4:$D64,0),MATCH(L$6,'INPUT CP'!$A$3:$CO$3,0)),"")</f>
        <v>89.83333333</v>
      </c>
      <c r="M40" s="451">
        <f t="array" ref="M40">IFERROR(INDEX('INPUT CP'!$A$4:$BB64,MATCH($D40,'INPUT CP'!$D$4:$D64,0),MATCH(M$6,'INPUT CP'!$A$3:$CO$3,0)),"")</f>
        <v>75</v>
      </c>
      <c r="N40" s="452">
        <f t="array" ref="N40">IFERROR(INDEX('INPUT CP'!$A$4:$BB64,MATCH($D40,'INPUT CP'!$D$4:$D64,0),MATCH(N$6,'INPUT CP'!$A$3:$CO$3,0)),"")</f>
        <v>81</v>
      </c>
      <c r="O40" s="438">
        <f t="array" ref="O40">IFERROR(INDEX('INPUT CP'!$A$4:$BB64,MATCH($D40,'INPUT CP'!$D$4:$D64,0),MATCH(O$6,'INPUT CP'!$A$3:$CO$3,0)),"")</f>
        <v>76.33333333</v>
      </c>
      <c r="P40" s="456">
        <f t="array" ref="P40">IFERROR(INDEX('INPUT CP'!$A$4:$BB64,MATCH($D40,'INPUT CP'!$D$4:$D64,0),MATCH(P$6,'INPUT CP'!$A$3:$CO$3,0)),"")</f>
        <v>80</v>
      </c>
      <c r="Q40" s="456">
        <f t="array" ref="Q40">IFERROR(INDEX('INPUT CP'!$A$4:$BB64,MATCH($D40,'INPUT CP'!$D$4:$D64,0),MATCH(Q$6,'INPUT CP'!$A$3:$CO$3,0)),"")</f>
        <v>82.16666667</v>
      </c>
      <c r="R40" s="456">
        <f t="array" ref="R40">IFERROR(INDEX('INPUT CP'!$A$4:$BB64,MATCH($D40,'INPUT CP'!$D$4:$D64,0),MATCH(R$6,'INPUT CP'!$A$3:$CO$3,0)),"")</f>
        <v>80.66666667</v>
      </c>
      <c r="S40" s="456">
        <f t="array" ref="S40">IFERROR(INDEX('INPUT CP'!$A$4:$BB64,MATCH($D40,'INPUT CP'!$D$4:$D64,0),MATCH(S$6,'INPUT CP'!$A$3:$CO$3,0)),"")</f>
        <v>77</v>
      </c>
      <c r="T40" s="461" t="str">
        <f t="array" ref="T40">IFERROR(INDEX('INPUT CP'!$A$4:$BB64,MATCH($D40,'INPUT CP'!$D$4:$D64,0),MATCH(T$6,'INPUT CP'!$A$3:$CO$3,0)),"")</f>
        <v/>
      </c>
      <c r="U40" s="463" t="str">
        <f t="array" ref="U40">IFERROR(INDEX('INPUT CP'!$A$4:$BB64,MATCH($D40,'INPUT CP'!$D$4:$D64,0),MATCH(U$6,'INPUT CP'!$A$3:$CO$3,0)),"")</f>
        <v/>
      </c>
      <c r="V40" s="439" t="str">
        <f t="array" ref="V40">IFERROR(INDEX('INPUT CP'!$A$4:$BB64,MATCH($D40,'INPUT CP'!$D$4:$D64,0),MATCH(V$6,'INPUT CP'!$A$3:$CO$3,0)),"")</f>
        <v/>
      </c>
      <c r="W40" s="513" t="str">
        <f t="array" ref="W40">IFERROR(INDEX('INPUT CP'!$A$4:$BB64,MATCH($D40,'INPUT CP'!$D$4:$D64,0),MATCH(W$6,'INPUT CP'!$A$3:$CO$3,0)),"")</f>
        <v>PASKIBRA</v>
      </c>
      <c r="X40" s="514" t="str">
        <f t="array" ref="X40">IFERROR(INDEX('INPUT CP'!$A$4:$BB64,MATCH($D40,'INPUT CP'!$D$4:$D64,0),MATCH(X$6,'INPUT CP'!$A$3:$CO$3,0)),"")</f>
        <v>PKS/POLSIS</v>
      </c>
      <c r="Y40" s="514" t="str">
        <f t="array" ref="Y40">IFERROR(INDEX('INPUT CP'!$A$4:$BB64,MATCH($D40,'INPUT CP'!$D$4:$D64,0),MATCH(Y$6,'INPUT CP'!$A$3:$CO$3,0)),"")</f>
        <v>7</v>
      </c>
      <c r="Z40" s="514" t="str">
        <f t="array" ref="Z40">IFERROR(INDEX('INPUT CP'!$A$4:$BB64,MATCH($D40,'INPUT CP'!$D$4:$D64,0),MATCH(Z$6,'INPUT CP'!$A$3:$CO$3,0)),"")</f>
        <v>-</v>
      </c>
      <c r="AA40" s="514" t="str">
        <f t="array" ref="AA40">IFERROR(INDEX('INPUT CP'!$A$4:$BB64,MATCH($D40,'INPUT CP'!$D$4:$D64,0),MATCH(AA$6,'INPUT CP'!$A$3:$CO$3,0)),"")</f>
        <v>-</v>
      </c>
      <c r="AB40" s="476">
        <f t="shared" si="2"/>
        <v>1050.5</v>
      </c>
      <c r="AC40" s="476">
        <f t="shared" si="3"/>
        <v>80.80769231</v>
      </c>
      <c r="AD40" s="479">
        <f t="shared" si="4"/>
        <v>11</v>
      </c>
    </row>
    <row r="41" ht="11.25" customHeight="1">
      <c r="A41" s="423">
        <f>IFERROR(__xludf.DUMMYFUNCTION("""COMPUTED_VALUE"""),35.0)</f>
        <v>35</v>
      </c>
      <c r="B41" s="425" t="str">
        <f>IFERROR(__xludf.DUMMYFUNCTION("""COMPUTED_VALUE"""),"2526100448")</f>
        <v>2526100448</v>
      </c>
      <c r="C41" s="425" t="str">
        <f>IFERROR(__xludf.DUMMYFUNCTION("""COMPUTED_VALUE"""),"0094411174")</f>
        <v>0094411174</v>
      </c>
      <c r="D41" s="426" t="str">
        <f>IFERROR(__xludf.DUMMYFUNCTION("""COMPUTED_VALUE"""),"PANO PAIZAL")</f>
        <v>PANO PAIZAL</v>
      </c>
      <c r="E41" s="428" t="str">
        <f>IFERROR(__xludf.DUMMYFUNCTION("""COMPUTED_VALUE"""),"X TO 4")</f>
        <v>X TO 4</v>
      </c>
      <c r="F41" s="428" t="s">
        <v>220</v>
      </c>
      <c r="G41" s="438">
        <f t="array" ref="G41">IFERROR(INDEX('INPUT CP'!$A$4:$BB64,MATCH($D41,'INPUT CP'!$D$4:$D64,0),MATCH(G$6,'INPUT CP'!$A$3:$CO$3,0)),"")</f>
        <v>79</v>
      </c>
      <c r="H41" s="439">
        <f t="array" ref="H41">IFERROR(INDEX('INPUT CP'!$A$4:$BB64,MATCH($D41,'INPUT CP'!$D$4:$D64,0),MATCH(H$6,'INPUT CP'!$A$3:$CO$3,0)),"")</f>
        <v>82.25</v>
      </c>
      <c r="I41" s="441">
        <f t="array" ref="I41">IFERROR(INDEX('INPUT CP'!$A$4:$BB64,MATCH($D41,'INPUT CP'!$D$4:$D64,0),MATCH(I$6,'INPUT CP'!$A$3:$CO$3,0)),"")</f>
        <v>82.5</v>
      </c>
      <c r="J41" s="444">
        <f t="array" ref="J41">IFERROR(INDEX('INPUT CP'!$A$4:$BB64,MATCH($D41,'INPUT CP'!$D$4:$D64,0),MATCH(J$6,'INPUT CP'!$A$3:$CO$3,0)),"")</f>
        <v>86.75</v>
      </c>
      <c r="K41" s="446">
        <f t="array" ref="K41">IFERROR(INDEX('INPUT CP'!$A$4:$BB64,MATCH($D41,'INPUT CP'!$D$4:$D64,0),MATCH(K$6,'INPUT CP'!$A$3:$CO$3,0)),"")</f>
        <v>79</v>
      </c>
      <c r="L41" s="450">
        <f t="array" ref="L41">IFERROR(INDEX('INPUT CP'!$A$4:$BB64,MATCH($D41,'INPUT CP'!$D$4:$D64,0),MATCH(L$6,'INPUT CP'!$A$3:$CO$3,0)),"")</f>
        <v>88.66666667</v>
      </c>
      <c r="M41" s="451">
        <f t="array" ref="M41">IFERROR(INDEX('INPUT CP'!$A$4:$BB64,MATCH($D41,'INPUT CP'!$D$4:$D64,0),MATCH(M$6,'INPUT CP'!$A$3:$CO$3,0)),"")</f>
        <v>77.16666667</v>
      </c>
      <c r="N41" s="452">
        <f t="array" ref="N41">IFERROR(INDEX('INPUT CP'!$A$4:$BB64,MATCH($D41,'INPUT CP'!$D$4:$D64,0),MATCH(N$6,'INPUT CP'!$A$3:$CO$3,0)),"")</f>
        <v>75</v>
      </c>
      <c r="O41" s="438">
        <f t="array" ref="O41">IFERROR(INDEX('INPUT CP'!$A$4:$BB64,MATCH($D41,'INPUT CP'!$D$4:$D64,0),MATCH(O$6,'INPUT CP'!$A$3:$CO$3,0)),"")</f>
        <v>72.83333333</v>
      </c>
      <c r="P41" s="456">
        <f t="array" ref="P41">IFERROR(INDEX('INPUT CP'!$A$4:$BB64,MATCH($D41,'INPUT CP'!$D$4:$D64,0),MATCH(P$6,'INPUT CP'!$A$3:$CO$3,0)),"")</f>
        <v>80</v>
      </c>
      <c r="Q41" s="456">
        <f t="array" ref="Q41">IFERROR(INDEX('INPUT CP'!$A$4:$BB64,MATCH($D41,'INPUT CP'!$D$4:$D64,0),MATCH(Q$6,'INPUT CP'!$A$3:$CO$3,0)),"")</f>
        <v>53.33333333</v>
      </c>
      <c r="R41" s="456">
        <f t="array" ref="R41">IFERROR(INDEX('INPUT CP'!$A$4:$BB64,MATCH($D41,'INPUT CP'!$D$4:$D64,0),MATCH(R$6,'INPUT CP'!$A$3:$CO$3,0)),"")</f>
        <v>80.5</v>
      </c>
      <c r="S41" s="456">
        <f t="array" ref="S41">IFERROR(INDEX('INPUT CP'!$A$4:$BB64,MATCH($D41,'INPUT CP'!$D$4:$D64,0),MATCH(S$6,'INPUT CP'!$A$3:$CO$3,0)),"")</f>
        <v>77.66666667</v>
      </c>
      <c r="T41" s="461" t="str">
        <f t="array" ref="T41">IFERROR(INDEX('INPUT CP'!$A$4:$BB64,MATCH($D41,'INPUT CP'!$D$4:$D64,0),MATCH(T$6,'INPUT CP'!$A$3:$CO$3,0)),"")</f>
        <v/>
      </c>
      <c r="U41" s="463" t="str">
        <f t="array" ref="U41">IFERROR(INDEX('INPUT CP'!$A$4:$BB64,MATCH($D41,'INPUT CP'!$D$4:$D64,0),MATCH(U$6,'INPUT CP'!$A$3:$CO$3,0)),"")</f>
        <v/>
      </c>
      <c r="V41" s="439" t="str">
        <f t="array" ref="V41">IFERROR(INDEX('INPUT CP'!$A$4:$BB64,MATCH($D41,'INPUT CP'!$D$4:$D64,0),MATCH(V$6,'INPUT CP'!$A$3:$CO$3,0)),"")</f>
        <v/>
      </c>
      <c r="W41" s="468" t="str">
        <f t="array" ref="W41">IFERROR(INDEX('INPUT CP'!$A$4:$BB64,MATCH($D41,'INPUT CP'!$D$4:$D64,0),MATCH(W$6,'INPUT CP'!$A$3:$CO$3,0)),"")</f>
        <v>SISPALA PANEL</v>
      </c>
      <c r="X41" s="470" t="str">
        <f t="array" ref="X41">IFERROR(INDEX('INPUT CP'!$A$4:$BB64,MATCH($D41,'INPUT CP'!$D$4:$D64,0),MATCH(X$6,'INPUT CP'!$A$3:$CO$3,0)),"")</f>
        <v/>
      </c>
      <c r="Y41" s="470" t="str">
        <f t="array" ref="Y41">IFERROR(INDEX('INPUT CP'!$A$4:$BB64,MATCH($D41,'INPUT CP'!$D$4:$D64,0),MATCH(Y$6,'INPUT CP'!$A$3:$CO$3,0)),"")</f>
        <v>4</v>
      </c>
      <c r="Z41" s="470" t="str">
        <f t="array" ref="Z41">IFERROR(INDEX('INPUT CP'!$A$4:$BB64,MATCH($D41,'INPUT CP'!$D$4:$D64,0),MATCH(Z$6,'INPUT CP'!$A$3:$CO$3,0)),"")</f>
        <v>-</v>
      </c>
      <c r="AA41" s="470" t="str">
        <f t="array" ref="AA41">IFERROR(INDEX('INPUT CP'!$A$4:$BB64,MATCH($D41,'INPUT CP'!$D$4:$D64,0),MATCH(AA$6,'INPUT CP'!$A$3:$CO$3,0)),"")</f>
        <v>-</v>
      </c>
      <c r="AB41" s="476">
        <f t="shared" si="2"/>
        <v>1014.666667</v>
      </c>
      <c r="AC41" s="476">
        <f t="shared" si="3"/>
        <v>78.05128205</v>
      </c>
      <c r="AD41" s="479">
        <f t="shared" si="4"/>
        <v>23</v>
      </c>
    </row>
    <row r="42" ht="11.25" customHeight="1">
      <c r="A42" s="482">
        <f>IFERROR(__xludf.DUMMYFUNCTION("""COMPUTED_VALUE"""),36.0)</f>
        <v>36</v>
      </c>
      <c r="B42" s="485" t="str">
        <f>IFERROR(__xludf.DUMMYFUNCTION("""COMPUTED_VALUE"""),"2526100449")</f>
        <v>2526100449</v>
      </c>
      <c r="C42" s="485" t="str">
        <f>IFERROR(__xludf.DUMMYFUNCTION("""COMPUTED_VALUE"""),"3104749923")</f>
        <v>3104749923</v>
      </c>
      <c r="D42" s="487" t="str">
        <f>IFERROR(__xludf.DUMMYFUNCTION("""COMPUTED_VALUE"""),"PIRMAN ADRIYANI PUTRA")</f>
        <v>PIRMAN ADRIYANI PUTRA</v>
      </c>
      <c r="E42" s="489" t="str">
        <f>IFERROR(__xludf.DUMMYFUNCTION("""COMPUTED_VALUE"""),"X TO 4")</f>
        <v>X TO 4</v>
      </c>
      <c r="F42" s="489" t="s">
        <v>220</v>
      </c>
      <c r="G42" s="438">
        <f t="array" ref="G42">IFERROR(INDEX('INPUT CP'!$A$4:$BB64,MATCH($D42,'INPUT CP'!$D$4:$D64,0),MATCH(G$6,'INPUT CP'!$A$3:$CO$3,0)),"")</f>
        <v>78.5</v>
      </c>
      <c r="H42" s="439">
        <f t="array" ref="H42">IFERROR(INDEX('INPUT CP'!$A$4:$BB64,MATCH($D42,'INPUT CP'!$D$4:$D64,0),MATCH(H$6,'INPUT CP'!$A$3:$CO$3,0)),"")</f>
        <v>77.75</v>
      </c>
      <c r="I42" s="441">
        <f t="array" ref="I42">IFERROR(INDEX('INPUT CP'!$A$4:$BB64,MATCH($D42,'INPUT CP'!$D$4:$D64,0),MATCH(I$6,'INPUT CP'!$A$3:$CO$3,0)),"")</f>
        <v>82.16666667</v>
      </c>
      <c r="J42" s="444">
        <f t="array" ref="J42">IFERROR(INDEX('INPUT CP'!$A$4:$BB64,MATCH($D42,'INPUT CP'!$D$4:$D64,0),MATCH(J$6,'INPUT CP'!$A$3:$CO$3,0)),"")</f>
        <v>83</v>
      </c>
      <c r="K42" s="446">
        <f t="array" ref="K42">IFERROR(INDEX('INPUT CP'!$A$4:$BB64,MATCH($D42,'INPUT CP'!$D$4:$D64,0),MATCH(K$6,'INPUT CP'!$A$3:$CO$3,0)),"")</f>
        <v>78</v>
      </c>
      <c r="L42" s="450">
        <f t="array" ref="L42">IFERROR(INDEX('INPUT CP'!$A$4:$BB64,MATCH($D42,'INPUT CP'!$D$4:$D64,0),MATCH(L$6,'INPUT CP'!$A$3:$CO$3,0)),"")</f>
        <v>89.33333333</v>
      </c>
      <c r="M42" s="451">
        <f t="array" ref="M42">IFERROR(INDEX('INPUT CP'!$A$4:$BB64,MATCH($D42,'INPUT CP'!$D$4:$D64,0),MATCH(M$6,'INPUT CP'!$A$3:$CO$3,0)),"")</f>
        <v>76.5</v>
      </c>
      <c r="N42" s="452">
        <f t="array" ref="N42">IFERROR(INDEX('INPUT CP'!$A$4:$BB64,MATCH($D42,'INPUT CP'!$D$4:$D64,0),MATCH(N$6,'INPUT CP'!$A$3:$CO$3,0)),"")</f>
        <v>72</v>
      </c>
      <c r="O42" s="438">
        <f t="array" ref="O42">IFERROR(INDEX('INPUT CP'!$A$4:$BB64,MATCH($D42,'INPUT CP'!$D$4:$D64,0),MATCH(O$6,'INPUT CP'!$A$3:$CO$3,0)),"")</f>
        <v>73.5</v>
      </c>
      <c r="P42" s="456">
        <f t="array" ref="P42">IFERROR(INDEX('INPUT CP'!$A$4:$BB64,MATCH($D42,'INPUT CP'!$D$4:$D64,0),MATCH(P$6,'INPUT CP'!$A$3:$CO$3,0)),"")</f>
        <v>80</v>
      </c>
      <c r="Q42" s="456">
        <f t="array" ref="Q42">IFERROR(INDEX('INPUT CP'!$A$4:$BB64,MATCH($D42,'INPUT CP'!$D$4:$D64,0),MATCH(Q$6,'INPUT CP'!$A$3:$CO$3,0)),"")</f>
        <v>53.16666667</v>
      </c>
      <c r="R42" s="456">
        <f t="array" ref="R42">IFERROR(INDEX('INPUT CP'!$A$4:$BB64,MATCH($D42,'INPUT CP'!$D$4:$D64,0),MATCH(R$6,'INPUT CP'!$A$3:$CO$3,0)),"")</f>
        <v>80.83333333</v>
      </c>
      <c r="S42" s="456">
        <f t="array" ref="S42">IFERROR(INDEX('INPUT CP'!$A$4:$BB64,MATCH($D42,'INPUT CP'!$D$4:$D64,0),MATCH(S$6,'INPUT CP'!$A$3:$CO$3,0)),"")</f>
        <v>77.66666667</v>
      </c>
      <c r="T42" s="461" t="str">
        <f t="array" ref="T42">IFERROR(INDEX('INPUT CP'!$A$4:$BB64,MATCH($D42,'INPUT CP'!$D$4:$D64,0),MATCH(T$6,'INPUT CP'!$A$3:$CO$3,0)),"")</f>
        <v/>
      </c>
      <c r="U42" s="463" t="str">
        <f t="array" ref="U42">IFERROR(INDEX('INPUT CP'!$A$4:$BB64,MATCH($D42,'INPUT CP'!$D$4:$D64,0),MATCH(U$6,'INPUT CP'!$A$3:$CO$3,0)),"")</f>
        <v/>
      </c>
      <c r="V42" s="439" t="str">
        <f t="array" ref="V42">IFERROR(INDEX('INPUT CP'!$A$4:$BB64,MATCH($D42,'INPUT CP'!$D$4:$D64,0),MATCH(V$6,'INPUT CP'!$A$3:$CO$3,0)),"")</f>
        <v/>
      </c>
      <c r="W42" s="513" t="str">
        <f t="array" ref="W42">IFERROR(INDEX('INPUT CP'!$A$4:$BB64,MATCH($D42,'INPUT CP'!$D$4:$D64,0),MATCH(W$6,'INPUT CP'!$A$3:$CO$3,0)),"")</f>
        <v/>
      </c>
      <c r="X42" s="514" t="str">
        <f t="array" ref="X42">IFERROR(INDEX('INPUT CP'!$A$4:$BB64,MATCH($D42,'INPUT CP'!$D$4:$D64,0),MATCH(X$6,'INPUT CP'!$A$3:$CO$3,0)),"")</f>
        <v/>
      </c>
      <c r="Y42" s="514" t="str">
        <f t="array" ref="Y42">IFERROR(INDEX('INPUT CP'!$A$4:$BB64,MATCH($D42,'INPUT CP'!$D$4:$D64,0),MATCH(Y$6,'INPUT CP'!$A$3:$CO$3,0)),"")</f>
        <v>1</v>
      </c>
      <c r="Z42" s="514" t="str">
        <f t="array" ref="Z42">IFERROR(INDEX('INPUT CP'!$A$4:$BB64,MATCH($D42,'INPUT CP'!$D$4:$D64,0),MATCH(Z$6,'INPUT CP'!$A$3:$CO$3,0)),"")</f>
        <v>-</v>
      </c>
      <c r="AA42" s="514" t="str">
        <f t="array" ref="AA42">IFERROR(INDEX('INPUT CP'!$A$4:$BB64,MATCH($D42,'INPUT CP'!$D$4:$D64,0),MATCH(AA$6,'INPUT CP'!$A$3:$CO$3,0)),"")</f>
        <v>1</v>
      </c>
      <c r="AB42" s="476">
        <f t="shared" si="2"/>
        <v>1002.416667</v>
      </c>
      <c r="AC42" s="476">
        <f t="shared" si="3"/>
        <v>77.10897436</v>
      </c>
      <c r="AD42" s="479">
        <f t="shared" si="4"/>
        <v>26</v>
      </c>
    </row>
    <row r="43" ht="11.25" customHeight="1">
      <c r="A43" s="423">
        <f>IFERROR(__xludf.DUMMYFUNCTION("""COMPUTED_VALUE"""),37.0)</f>
        <v>37</v>
      </c>
      <c r="B43" s="425" t="str">
        <f>IFERROR(__xludf.DUMMYFUNCTION("""COMPUTED_VALUE"""),"2526100450")</f>
        <v>2526100450</v>
      </c>
      <c r="C43" s="425" t="str">
        <f>IFERROR(__xludf.DUMMYFUNCTION("""COMPUTED_VALUE"""),"0106511353")</f>
        <v>0106511353</v>
      </c>
      <c r="D43" s="426" t="str">
        <f>IFERROR(__xludf.DUMMYFUNCTION("""COMPUTED_VALUE"""),"RAFFA RAMADHAN")</f>
        <v>RAFFA RAMADHAN</v>
      </c>
      <c r="E43" s="428" t="str">
        <f>IFERROR(__xludf.DUMMYFUNCTION("""COMPUTED_VALUE"""),"X TO 4")</f>
        <v>X TO 4</v>
      </c>
      <c r="F43" s="428" t="s">
        <v>220</v>
      </c>
      <c r="G43" s="438">
        <f t="array" ref="G43">IFERROR(INDEX('INPUT CP'!$A$4:$BB64,MATCH($D43,'INPUT CP'!$D$4:$D64,0),MATCH(G$6,'INPUT CP'!$A$3:$CO$3,0)),"")</f>
        <v>80.75</v>
      </c>
      <c r="H43" s="439">
        <f t="array" ref="H43">IFERROR(INDEX('INPUT CP'!$A$4:$BB64,MATCH($D43,'INPUT CP'!$D$4:$D64,0),MATCH(H$6,'INPUT CP'!$A$3:$CO$3,0)),"")</f>
        <v>82.75</v>
      </c>
      <c r="I43" s="441">
        <f t="array" ref="I43">IFERROR(INDEX('INPUT CP'!$A$4:$BB64,MATCH($D43,'INPUT CP'!$D$4:$D64,0),MATCH(I$6,'INPUT CP'!$A$3:$CO$3,0)),"")</f>
        <v>84.66666667</v>
      </c>
      <c r="J43" s="444">
        <f t="array" ref="J43">IFERROR(INDEX('INPUT CP'!$A$4:$BB64,MATCH($D43,'INPUT CP'!$D$4:$D64,0),MATCH(J$6,'INPUT CP'!$A$3:$CO$3,0)),"")</f>
        <v>89.75</v>
      </c>
      <c r="K43" s="446">
        <f t="array" ref="K43">IFERROR(INDEX('INPUT CP'!$A$4:$BB64,MATCH($D43,'INPUT CP'!$D$4:$D64,0),MATCH(K$6,'INPUT CP'!$A$3:$CO$3,0)),"")</f>
        <v>85</v>
      </c>
      <c r="L43" s="450">
        <f t="array" ref="L43">IFERROR(INDEX('INPUT CP'!$A$4:$BB64,MATCH($D43,'INPUT CP'!$D$4:$D64,0),MATCH(L$6,'INPUT CP'!$A$3:$CO$3,0)),"")</f>
        <v>89</v>
      </c>
      <c r="M43" s="451">
        <f t="array" ref="M43">IFERROR(INDEX('INPUT CP'!$A$4:$BB64,MATCH($D43,'INPUT CP'!$D$4:$D64,0),MATCH(M$6,'INPUT CP'!$A$3:$CO$3,0)),"")</f>
        <v>87.83333333</v>
      </c>
      <c r="N43" s="452">
        <f t="array" ref="N43">IFERROR(INDEX('INPUT CP'!$A$4:$BB64,MATCH($D43,'INPUT CP'!$D$4:$D64,0),MATCH(N$6,'INPUT CP'!$A$3:$CO$3,0)),"")</f>
        <v>80</v>
      </c>
      <c r="O43" s="438">
        <f t="array" ref="O43">IFERROR(INDEX('INPUT CP'!$A$4:$BB64,MATCH($D43,'INPUT CP'!$D$4:$D64,0),MATCH(O$6,'INPUT CP'!$A$3:$CO$3,0)),"")</f>
        <v>83</v>
      </c>
      <c r="P43" s="456">
        <f t="array" ref="P43">IFERROR(INDEX('INPUT CP'!$A$4:$BB64,MATCH($D43,'INPUT CP'!$D$4:$D64,0),MATCH(P$6,'INPUT CP'!$A$3:$CO$3,0)),"")</f>
        <v>80</v>
      </c>
      <c r="Q43" s="456">
        <f t="array" ref="Q43">IFERROR(INDEX('INPUT CP'!$A$4:$BB64,MATCH($D43,'INPUT CP'!$D$4:$D64,0),MATCH(Q$6,'INPUT CP'!$A$3:$CO$3,0)),"")</f>
        <v>83</v>
      </c>
      <c r="R43" s="456">
        <f t="array" ref="R43">IFERROR(INDEX('INPUT CP'!$A$4:$BB64,MATCH($D43,'INPUT CP'!$D$4:$D64,0),MATCH(R$6,'INPUT CP'!$A$3:$CO$3,0)),"")</f>
        <v>80.83333333</v>
      </c>
      <c r="S43" s="456">
        <f t="array" ref="S43">IFERROR(INDEX('INPUT CP'!$A$4:$BB64,MATCH($D43,'INPUT CP'!$D$4:$D64,0),MATCH(S$6,'INPUT CP'!$A$3:$CO$3,0)),"")</f>
        <v>79.33333333</v>
      </c>
      <c r="T43" s="461" t="str">
        <f t="array" ref="T43">IFERROR(INDEX('INPUT CP'!$A$4:$BB64,MATCH($D43,'INPUT CP'!$D$4:$D64,0),MATCH(T$6,'INPUT CP'!$A$3:$CO$3,0)),"")</f>
        <v/>
      </c>
      <c r="U43" s="463" t="str">
        <f t="array" ref="U43">IFERROR(INDEX('INPUT CP'!$A$4:$BB64,MATCH($D43,'INPUT CP'!$D$4:$D64,0),MATCH(U$6,'INPUT CP'!$A$3:$CO$3,0)),"")</f>
        <v/>
      </c>
      <c r="V43" s="439" t="str">
        <f t="array" ref="V43">IFERROR(INDEX('INPUT CP'!$A$4:$BB64,MATCH($D43,'INPUT CP'!$D$4:$D64,0),MATCH(V$6,'INPUT CP'!$A$3:$CO$3,0)),"")</f>
        <v/>
      </c>
      <c r="W43" s="468" t="str">
        <f t="array" ref="W43">IFERROR(INDEX('INPUT CP'!$A$4:$BB64,MATCH($D43,'INPUT CP'!$D$4:$D64,0),MATCH(W$6,'INPUT CP'!$A$3:$CO$3,0)),"")</f>
        <v/>
      </c>
      <c r="X43" s="470" t="str">
        <f t="array" ref="X43">IFERROR(INDEX('INPUT CP'!$A$4:$BB64,MATCH($D43,'INPUT CP'!$D$4:$D64,0),MATCH(X$6,'INPUT CP'!$A$3:$CO$3,0)),"")</f>
        <v/>
      </c>
      <c r="Y43" s="470" t="str">
        <f t="array" ref="Y43">IFERROR(INDEX('INPUT CP'!$A$4:$BB64,MATCH($D43,'INPUT CP'!$D$4:$D64,0),MATCH(Y$6,'INPUT CP'!$A$3:$CO$3,0)),"")</f>
        <v>2</v>
      </c>
      <c r="Z43" s="470" t="str">
        <f t="array" ref="Z43">IFERROR(INDEX('INPUT CP'!$A$4:$BB64,MATCH($D43,'INPUT CP'!$D$4:$D64,0),MATCH(Z$6,'INPUT CP'!$A$3:$CO$3,0)),"")</f>
        <v>-</v>
      </c>
      <c r="AA43" s="470" t="str">
        <f t="array" ref="AA43">IFERROR(INDEX('INPUT CP'!$A$4:$BB64,MATCH($D43,'INPUT CP'!$D$4:$D64,0),MATCH(AA$6,'INPUT CP'!$A$3:$CO$3,0)),"")</f>
        <v>-</v>
      </c>
      <c r="AB43" s="476">
        <f t="shared" si="2"/>
        <v>1085.916667</v>
      </c>
      <c r="AC43" s="476">
        <f t="shared" si="3"/>
        <v>83.53205128</v>
      </c>
      <c r="AD43" s="479">
        <f t="shared" si="4"/>
        <v>1</v>
      </c>
    </row>
    <row r="44" ht="11.25" customHeight="1">
      <c r="A44" s="482">
        <f>IFERROR(__xludf.DUMMYFUNCTION("""COMPUTED_VALUE"""),38.0)</f>
        <v>38</v>
      </c>
      <c r="B44" s="485" t="str">
        <f>IFERROR(__xludf.DUMMYFUNCTION("""COMPUTED_VALUE"""),"2526100451")</f>
        <v>2526100451</v>
      </c>
      <c r="C44" s="485" t="str">
        <f>IFERROR(__xludf.DUMMYFUNCTION("""COMPUTED_VALUE"""),"3100673583")</f>
        <v>3100673583</v>
      </c>
      <c r="D44" s="487" t="str">
        <f>IFERROR(__xludf.DUMMYFUNCTION("""COMPUTED_VALUE"""),"RAFQA NUZULUL AKBAR SETIANA")</f>
        <v>RAFQA NUZULUL AKBAR SETIANA</v>
      </c>
      <c r="E44" s="489" t="str">
        <f>IFERROR(__xludf.DUMMYFUNCTION("""COMPUTED_VALUE"""),"X TO 4")</f>
        <v>X TO 4</v>
      </c>
      <c r="F44" s="489" t="s">
        <v>220</v>
      </c>
      <c r="G44" s="438">
        <f t="array" ref="G44">IFERROR(INDEX('INPUT CP'!$A$4:$BB64,MATCH($D44,'INPUT CP'!$D$4:$D64,0),MATCH(G$6,'INPUT CP'!$A$3:$CO$3,0)),"")</f>
        <v>81</v>
      </c>
      <c r="H44" s="439">
        <f t="array" ref="H44">IFERROR(INDEX('INPUT CP'!$A$4:$BB64,MATCH($D44,'INPUT CP'!$D$4:$D64,0),MATCH(H$6,'INPUT CP'!$A$3:$CO$3,0)),"")</f>
        <v>81.75</v>
      </c>
      <c r="I44" s="441">
        <f t="array" ref="I44">IFERROR(INDEX('INPUT CP'!$A$4:$BB64,MATCH($D44,'INPUT CP'!$D$4:$D64,0),MATCH(I$6,'INPUT CP'!$A$3:$CO$3,0)),"")</f>
        <v>83.66666667</v>
      </c>
      <c r="J44" s="444">
        <f t="array" ref="J44">IFERROR(INDEX('INPUT CP'!$A$4:$BB64,MATCH($D44,'INPUT CP'!$D$4:$D64,0),MATCH(J$6,'INPUT CP'!$A$3:$CO$3,0)),"")</f>
        <v>86.25</v>
      </c>
      <c r="K44" s="446">
        <f t="array" ref="K44">IFERROR(INDEX('INPUT CP'!$A$4:$BB64,MATCH($D44,'INPUT CP'!$D$4:$D64,0),MATCH(K$6,'INPUT CP'!$A$3:$CO$3,0)),"")</f>
        <v>83</v>
      </c>
      <c r="L44" s="450">
        <f t="array" ref="L44">IFERROR(INDEX('INPUT CP'!$A$4:$BB64,MATCH($D44,'INPUT CP'!$D$4:$D64,0),MATCH(L$6,'INPUT CP'!$A$3:$CO$3,0)),"")</f>
        <v>90</v>
      </c>
      <c r="M44" s="451">
        <f t="array" ref="M44">IFERROR(INDEX('INPUT CP'!$A$4:$BB64,MATCH($D44,'INPUT CP'!$D$4:$D64,0),MATCH(M$6,'INPUT CP'!$A$3:$CO$3,0)),"")</f>
        <v>86.33333333</v>
      </c>
      <c r="N44" s="452">
        <f t="array" ref="N44">IFERROR(INDEX('INPUT CP'!$A$4:$BB64,MATCH($D44,'INPUT CP'!$D$4:$D64,0),MATCH(N$6,'INPUT CP'!$A$3:$CO$3,0)),"")</f>
        <v>82</v>
      </c>
      <c r="O44" s="438">
        <f t="array" ref="O44">IFERROR(INDEX('INPUT CP'!$A$4:$BB64,MATCH($D44,'INPUT CP'!$D$4:$D64,0),MATCH(O$6,'INPUT CP'!$A$3:$CO$3,0)),"")</f>
        <v>81.66666667</v>
      </c>
      <c r="P44" s="456">
        <f t="array" ref="P44">IFERROR(INDEX('INPUT CP'!$A$4:$BB64,MATCH($D44,'INPUT CP'!$D$4:$D64,0),MATCH(P$6,'INPUT CP'!$A$3:$CO$3,0)),"")</f>
        <v>80</v>
      </c>
      <c r="Q44" s="456">
        <f t="array" ref="Q44">IFERROR(INDEX('INPUT CP'!$A$4:$BB64,MATCH($D44,'INPUT CP'!$D$4:$D64,0),MATCH(Q$6,'INPUT CP'!$A$3:$CO$3,0)),"")</f>
        <v>84.66666667</v>
      </c>
      <c r="R44" s="456">
        <f t="array" ref="R44">IFERROR(INDEX('INPUT CP'!$A$4:$BB64,MATCH($D44,'INPUT CP'!$D$4:$D64,0),MATCH(R$6,'INPUT CP'!$A$3:$CO$3,0)),"")</f>
        <v>85</v>
      </c>
      <c r="S44" s="456">
        <f t="array" ref="S44">IFERROR(INDEX('INPUT CP'!$A$4:$BB64,MATCH($D44,'INPUT CP'!$D$4:$D64,0),MATCH(S$6,'INPUT CP'!$A$3:$CO$3,0)),"")</f>
        <v>79.66666667</v>
      </c>
      <c r="T44" s="461" t="str">
        <f t="array" ref="T44">IFERROR(INDEX('INPUT CP'!$A$4:$BB64,MATCH($D44,'INPUT CP'!$D$4:$D64,0),MATCH(T$6,'INPUT CP'!$A$3:$CO$3,0)),"")</f>
        <v/>
      </c>
      <c r="U44" s="463" t="str">
        <f t="array" ref="U44">IFERROR(INDEX('INPUT CP'!$A$4:$BB64,MATCH($D44,'INPUT CP'!$D$4:$D64,0),MATCH(U$6,'INPUT CP'!$A$3:$CO$3,0)),"")</f>
        <v/>
      </c>
      <c r="V44" s="439" t="str">
        <f t="array" ref="V44">IFERROR(INDEX('INPUT CP'!$A$4:$BB64,MATCH($D44,'INPUT CP'!$D$4:$D64,0),MATCH(V$6,'INPUT CP'!$A$3:$CO$3,0)),"")</f>
        <v/>
      </c>
      <c r="W44" s="513" t="str">
        <f t="array" ref="W44">IFERROR(INDEX('INPUT CP'!$A$4:$BB64,MATCH($D44,'INPUT CP'!$D$4:$D64,0),MATCH(W$6,'INPUT CP'!$A$3:$CO$3,0)),"")</f>
        <v/>
      </c>
      <c r="X44" s="514" t="str">
        <f t="array" ref="X44">IFERROR(INDEX('INPUT CP'!$A$4:$BB64,MATCH($D44,'INPUT CP'!$D$4:$D64,0),MATCH(X$6,'INPUT CP'!$A$3:$CO$3,0)),"")</f>
        <v/>
      </c>
      <c r="Y44" s="514" t="str">
        <f t="array" ref="Y44">IFERROR(INDEX('INPUT CP'!$A$4:$BB64,MATCH($D44,'INPUT CP'!$D$4:$D64,0),MATCH(Y$6,'INPUT CP'!$A$3:$CO$3,0)),"")</f>
        <v>2</v>
      </c>
      <c r="Z44" s="514" t="str">
        <f t="array" ref="Z44">IFERROR(INDEX('INPUT CP'!$A$4:$BB64,MATCH($D44,'INPUT CP'!$D$4:$D64,0),MATCH(Z$6,'INPUT CP'!$A$3:$CO$3,0)),"")</f>
        <v>-</v>
      </c>
      <c r="AA44" s="514" t="str">
        <f t="array" ref="AA44">IFERROR(INDEX('INPUT CP'!$A$4:$BB64,MATCH($D44,'INPUT CP'!$D$4:$D64,0),MATCH(AA$6,'INPUT CP'!$A$3:$CO$3,0)),"")</f>
        <v>-</v>
      </c>
      <c r="AB44" s="476">
        <f t="shared" si="2"/>
        <v>1085</v>
      </c>
      <c r="AC44" s="476">
        <f t="shared" si="3"/>
        <v>83.46153846</v>
      </c>
      <c r="AD44" s="479">
        <f t="shared" si="4"/>
        <v>2</v>
      </c>
    </row>
    <row r="45" ht="11.25" customHeight="1">
      <c r="A45" s="423">
        <f>IFERROR(__xludf.DUMMYFUNCTION("""COMPUTED_VALUE"""),39.0)</f>
        <v>39</v>
      </c>
      <c r="B45" s="425" t="str">
        <f>IFERROR(__xludf.DUMMYFUNCTION("""COMPUTED_VALUE"""),"2526100452")</f>
        <v>2526100452</v>
      </c>
      <c r="C45" s="425" t="str">
        <f>IFERROR(__xludf.DUMMYFUNCTION("""COMPUTED_VALUE"""),"0098144365")</f>
        <v>0098144365</v>
      </c>
      <c r="D45" s="426" t="str">
        <f>IFERROR(__xludf.DUMMYFUNCTION("""COMPUTED_VALUE"""),"RIDO MUHAMAD NUR FADILAH")</f>
        <v>RIDO MUHAMAD NUR FADILAH</v>
      </c>
      <c r="E45" s="428" t="str">
        <f>IFERROR(__xludf.DUMMYFUNCTION("""COMPUTED_VALUE"""),"X TO 4")</f>
        <v>X TO 4</v>
      </c>
      <c r="F45" s="428" t="s">
        <v>220</v>
      </c>
      <c r="G45" s="438">
        <f t="array" ref="G45">IFERROR(INDEX('INPUT CP'!$A$4:$BB64,MATCH($D45,'INPUT CP'!$D$4:$D64,0),MATCH(G$6,'INPUT CP'!$A$3:$CO$3,0)),"")</f>
        <v>79</v>
      </c>
      <c r="H45" s="439">
        <f t="array" ref="H45">IFERROR(INDEX('INPUT CP'!$A$4:$BB64,MATCH($D45,'INPUT CP'!$D$4:$D64,0),MATCH(H$6,'INPUT CP'!$A$3:$CO$3,0)),"")</f>
        <v>80.75</v>
      </c>
      <c r="I45" s="441">
        <f t="array" ref="I45">IFERROR(INDEX('INPUT CP'!$A$4:$BB64,MATCH($D45,'INPUT CP'!$D$4:$D64,0),MATCH(I$6,'INPUT CP'!$A$3:$CO$3,0)),"")</f>
        <v>79.66666667</v>
      </c>
      <c r="J45" s="444">
        <f t="array" ref="J45">IFERROR(INDEX('INPUT CP'!$A$4:$BB64,MATCH($D45,'INPUT CP'!$D$4:$D64,0),MATCH(J$6,'INPUT CP'!$A$3:$CO$3,0)),"")</f>
        <v>92.5</v>
      </c>
      <c r="K45" s="446">
        <f t="array" ref="K45">IFERROR(INDEX('INPUT CP'!$A$4:$BB64,MATCH($D45,'INPUT CP'!$D$4:$D64,0),MATCH(K$6,'INPUT CP'!$A$3:$CO$3,0)),"")</f>
        <v>37</v>
      </c>
      <c r="L45" s="450">
        <f t="array" ref="L45">IFERROR(INDEX('INPUT CP'!$A$4:$BB64,MATCH($D45,'INPUT CP'!$D$4:$D64,0),MATCH(L$6,'INPUT CP'!$A$3:$CO$3,0)),"")</f>
        <v>90</v>
      </c>
      <c r="M45" s="451">
        <f t="array" ref="M45">IFERROR(INDEX('INPUT CP'!$A$4:$BB64,MATCH($D45,'INPUT CP'!$D$4:$D64,0),MATCH(M$6,'INPUT CP'!$A$3:$CO$3,0)),"")</f>
        <v>19.16666667</v>
      </c>
      <c r="N45" s="452">
        <f t="array" ref="N45">IFERROR(INDEX('INPUT CP'!$A$4:$BB64,MATCH($D45,'INPUT CP'!$D$4:$D64,0),MATCH(N$6,'INPUT CP'!$A$3:$CO$3,0)),"")</f>
        <v>78</v>
      </c>
      <c r="O45" s="438">
        <f t="array" ref="O45">IFERROR(INDEX('INPUT CP'!$A$4:$BB64,MATCH($D45,'INPUT CP'!$D$4:$D64,0),MATCH(O$6,'INPUT CP'!$A$3:$CO$3,0)),"")</f>
        <v>73.33333333</v>
      </c>
      <c r="P45" s="456">
        <f t="array" ref="P45">IFERROR(INDEX('INPUT CP'!$A$4:$BB64,MATCH($D45,'INPUT CP'!$D$4:$D64,0),MATCH(P$6,'INPUT CP'!$A$3:$CO$3,0)),"")</f>
        <v>80</v>
      </c>
      <c r="Q45" s="456">
        <f t="array" ref="Q45">IFERROR(INDEX('INPUT CP'!$A$4:$BB64,MATCH($D45,'INPUT CP'!$D$4:$D64,0),MATCH(Q$6,'INPUT CP'!$A$3:$CO$3,0)),"")</f>
        <v>55.33333333</v>
      </c>
      <c r="R45" s="456">
        <f t="array" ref="R45">IFERROR(INDEX('INPUT CP'!$A$4:$BB64,MATCH($D45,'INPUT CP'!$D$4:$D64,0),MATCH(R$6,'INPUT CP'!$A$3:$CO$3,0)),"")</f>
        <v>80.5</v>
      </c>
      <c r="S45" s="456">
        <f t="array" ref="S45">IFERROR(INDEX('INPUT CP'!$A$4:$BB64,MATCH($D45,'INPUT CP'!$D$4:$D64,0),MATCH(S$6,'INPUT CP'!$A$3:$CO$3,0)),"")</f>
        <v>78.33333333</v>
      </c>
      <c r="T45" s="461" t="str">
        <f t="array" ref="T45">IFERROR(INDEX('INPUT CP'!$A$4:$BB64,MATCH($D45,'INPUT CP'!$D$4:$D64,0),MATCH(T$6,'INPUT CP'!$A$3:$CO$3,0)),"")</f>
        <v/>
      </c>
      <c r="U45" s="463" t="str">
        <f t="array" ref="U45">IFERROR(INDEX('INPUT CP'!$A$4:$BB64,MATCH($D45,'INPUT CP'!$D$4:$D64,0),MATCH(U$6,'INPUT CP'!$A$3:$CO$3,0)),"")</f>
        <v/>
      </c>
      <c r="V45" s="439" t="str">
        <f t="array" ref="V45">IFERROR(INDEX('INPUT CP'!$A$4:$BB64,MATCH($D45,'INPUT CP'!$D$4:$D64,0),MATCH(V$6,'INPUT CP'!$A$3:$CO$3,0)),"")</f>
        <v/>
      </c>
      <c r="W45" s="468" t="str">
        <f t="array" ref="W45">IFERROR(INDEX('INPUT CP'!$A$4:$BB64,MATCH($D45,'INPUT CP'!$D$4:$D64,0),MATCH(W$6,'INPUT CP'!$A$3:$CO$3,0)),"")</f>
        <v/>
      </c>
      <c r="X45" s="470" t="str">
        <f t="array" ref="X45">IFERROR(INDEX('INPUT CP'!$A$4:$BB64,MATCH($D45,'INPUT CP'!$D$4:$D64,0),MATCH(X$6,'INPUT CP'!$A$3:$CO$3,0)),"")</f>
        <v/>
      </c>
      <c r="Y45" s="470" t="str">
        <f t="array" ref="Y45">IFERROR(INDEX('INPUT CP'!$A$4:$BB64,MATCH($D45,'INPUT CP'!$D$4:$D64,0),MATCH(Y$6,'INPUT CP'!$A$3:$CO$3,0)),"")</f>
        <v>-</v>
      </c>
      <c r="Z45" s="470" t="str">
        <f t="array" ref="Z45">IFERROR(INDEX('INPUT CP'!$A$4:$BB64,MATCH($D45,'INPUT CP'!$D$4:$D64,0),MATCH(Z$6,'INPUT CP'!$A$3:$CO$3,0)),"")</f>
        <v>2</v>
      </c>
      <c r="AA45" s="470" t="str">
        <f t="array" ref="AA45">IFERROR(INDEX('INPUT CP'!$A$4:$BB64,MATCH($D45,'INPUT CP'!$D$4:$D64,0),MATCH(AA$6,'INPUT CP'!$A$3:$CO$3,0)),"")</f>
        <v>3</v>
      </c>
      <c r="AB45" s="476">
        <f t="shared" si="2"/>
        <v>923.5833333</v>
      </c>
      <c r="AC45" s="476">
        <f t="shared" si="3"/>
        <v>71.04487179</v>
      </c>
      <c r="AD45" s="479">
        <f t="shared" si="4"/>
        <v>39</v>
      </c>
    </row>
    <row r="46" ht="11.25" customHeight="1">
      <c r="A46" s="482">
        <f>IFERROR(__xludf.DUMMYFUNCTION("""COMPUTED_VALUE"""),40.0)</f>
        <v>40</v>
      </c>
      <c r="B46" s="485" t="str">
        <f>IFERROR(__xludf.DUMMYFUNCTION("""COMPUTED_VALUE"""),"2526100453")</f>
        <v>2526100453</v>
      </c>
      <c r="C46" s="485" t="str">
        <f>IFERROR(__xludf.DUMMYFUNCTION("""COMPUTED_VALUE"""),"0101384399")</f>
        <v>0101384399</v>
      </c>
      <c r="D46" s="487" t="str">
        <f>IFERROR(__xludf.DUMMYFUNCTION("""COMPUTED_VALUE"""),"RIFAL KAMILUL AJHAR")</f>
        <v>RIFAL KAMILUL AJHAR</v>
      </c>
      <c r="E46" s="489" t="str">
        <f>IFERROR(__xludf.DUMMYFUNCTION("""COMPUTED_VALUE"""),"X TO 4")</f>
        <v>X TO 4</v>
      </c>
      <c r="F46" s="489" t="s">
        <v>220</v>
      </c>
      <c r="G46" s="438">
        <f t="array" ref="G46">IFERROR(INDEX('INPUT CP'!$A$4:$BB64,MATCH($D46,'INPUT CP'!$D$4:$D64,0),MATCH(G$6,'INPUT CP'!$A$3:$CO$3,0)),"")</f>
        <v>80.25</v>
      </c>
      <c r="H46" s="439">
        <f t="array" ref="H46">IFERROR(INDEX('INPUT CP'!$A$4:$BB64,MATCH($D46,'INPUT CP'!$D$4:$D64,0),MATCH(H$6,'INPUT CP'!$A$3:$CO$3,0)),"")</f>
        <v>82.25</v>
      </c>
      <c r="I46" s="441">
        <f t="array" ref="I46">IFERROR(INDEX('INPUT CP'!$A$4:$BB64,MATCH($D46,'INPUT CP'!$D$4:$D64,0),MATCH(I$6,'INPUT CP'!$A$3:$CO$3,0)),"")</f>
        <v>79.66666667</v>
      </c>
      <c r="J46" s="444">
        <f t="array" ref="J46">IFERROR(INDEX('INPUT CP'!$A$4:$BB64,MATCH($D46,'INPUT CP'!$D$4:$D64,0),MATCH(J$6,'INPUT CP'!$A$3:$CO$3,0)),"")</f>
        <v>92.25</v>
      </c>
      <c r="K46" s="446">
        <f t="array" ref="K46">IFERROR(INDEX('INPUT CP'!$A$4:$BB64,MATCH($D46,'INPUT CP'!$D$4:$D64,0),MATCH(K$6,'INPUT CP'!$A$3:$CO$3,0)),"")</f>
        <v>83</v>
      </c>
      <c r="L46" s="450">
        <f t="array" ref="L46">IFERROR(INDEX('INPUT CP'!$A$4:$BB64,MATCH($D46,'INPUT CP'!$D$4:$D64,0),MATCH(L$6,'INPUT CP'!$A$3:$CO$3,0)),"")</f>
        <v>89.83333333</v>
      </c>
      <c r="M46" s="451">
        <f t="array" ref="M46">IFERROR(INDEX('INPUT CP'!$A$4:$BB64,MATCH($D46,'INPUT CP'!$D$4:$D64,0),MATCH(M$6,'INPUT CP'!$A$3:$CO$3,0)),"")</f>
        <v>86.33333333</v>
      </c>
      <c r="N46" s="452">
        <f t="array" ref="N46">IFERROR(INDEX('INPUT CP'!$A$4:$BB64,MATCH($D46,'INPUT CP'!$D$4:$D64,0),MATCH(N$6,'INPUT CP'!$A$3:$CO$3,0)),"")</f>
        <v>78</v>
      </c>
      <c r="O46" s="438">
        <f t="array" ref="O46">IFERROR(INDEX('INPUT CP'!$A$4:$BB64,MATCH($D46,'INPUT CP'!$D$4:$D64,0),MATCH(O$6,'INPUT CP'!$A$3:$CO$3,0)),"")</f>
        <v>73.33333333</v>
      </c>
      <c r="P46" s="456">
        <f t="array" ref="P46">IFERROR(INDEX('INPUT CP'!$A$4:$BB64,MATCH($D46,'INPUT CP'!$D$4:$D64,0),MATCH(P$6,'INPUT CP'!$A$3:$CO$3,0)),"")</f>
        <v>80</v>
      </c>
      <c r="Q46" s="456">
        <f t="array" ref="Q46">IFERROR(INDEX('INPUT CP'!$A$4:$BB64,MATCH($D46,'INPUT CP'!$D$4:$D64,0),MATCH(Q$6,'INPUT CP'!$A$3:$CO$3,0)),"")</f>
        <v>52.83333333</v>
      </c>
      <c r="R46" s="456">
        <f t="array" ref="R46">IFERROR(INDEX('INPUT CP'!$A$4:$BB64,MATCH($D46,'INPUT CP'!$D$4:$D64,0),MATCH(R$6,'INPUT CP'!$A$3:$CO$3,0)),"")</f>
        <v>80.83333333</v>
      </c>
      <c r="S46" s="456">
        <f t="array" ref="S46">IFERROR(INDEX('INPUT CP'!$A$4:$BB64,MATCH($D46,'INPUT CP'!$D$4:$D64,0),MATCH(S$6,'INPUT CP'!$A$3:$CO$3,0)),"")</f>
        <v>78.66666667</v>
      </c>
      <c r="T46" s="461" t="str">
        <f t="array" ref="T46">IFERROR(INDEX('INPUT CP'!$A$4:$BB64,MATCH($D46,'INPUT CP'!$D$4:$D64,0),MATCH(T$6,'INPUT CP'!$A$3:$CO$3,0)),"")</f>
        <v/>
      </c>
      <c r="U46" s="463" t="str">
        <f t="array" ref="U46">IFERROR(INDEX('INPUT CP'!$A$4:$BB64,MATCH($D46,'INPUT CP'!$D$4:$D64,0),MATCH(U$6,'INPUT CP'!$A$3:$CO$3,0)),"")</f>
        <v/>
      </c>
      <c r="V46" s="439" t="str">
        <f t="array" ref="V46">IFERROR(INDEX('INPUT CP'!$A$4:$BB64,MATCH($D46,'INPUT CP'!$D$4:$D64,0),MATCH(V$6,'INPUT CP'!$A$3:$CO$3,0)),"")</f>
        <v/>
      </c>
      <c r="W46" s="513" t="str">
        <f t="array" ref="W46">IFERROR(INDEX('INPUT CP'!$A$4:$BB64,MATCH($D46,'INPUT CP'!$D$4:$D64,0),MATCH(W$6,'INPUT CP'!$A$3:$CO$3,0)),"")</f>
        <v/>
      </c>
      <c r="X46" s="514" t="str">
        <f t="array" ref="X46">IFERROR(INDEX('INPUT CP'!$A$4:$BB64,MATCH($D46,'INPUT CP'!$D$4:$D64,0),MATCH(X$6,'INPUT CP'!$A$3:$CO$3,0)),"")</f>
        <v/>
      </c>
      <c r="Y46" s="514" t="str">
        <f t="array" ref="Y46">IFERROR(INDEX('INPUT CP'!$A$4:$BB64,MATCH($D46,'INPUT CP'!$D$4:$D64,0),MATCH(Y$6,'INPUT CP'!$A$3:$CO$3,0)),"")</f>
        <v>2</v>
      </c>
      <c r="Z46" s="514" t="str">
        <f t="array" ref="Z46">IFERROR(INDEX('INPUT CP'!$A$4:$BB64,MATCH($D46,'INPUT CP'!$D$4:$D64,0),MATCH(Z$6,'INPUT CP'!$A$3:$CO$3,0)),"")</f>
        <v>-</v>
      </c>
      <c r="AA46" s="514" t="str">
        <f t="array" ref="AA46">IFERROR(INDEX('INPUT CP'!$A$4:$BB64,MATCH($D46,'INPUT CP'!$D$4:$D64,0),MATCH(AA$6,'INPUT CP'!$A$3:$CO$3,0)),"")</f>
        <v>-</v>
      </c>
      <c r="AB46" s="476">
        <f t="shared" si="2"/>
        <v>1037.25</v>
      </c>
      <c r="AC46" s="476">
        <f t="shared" si="3"/>
        <v>79.78846154</v>
      </c>
      <c r="AD46" s="479">
        <f t="shared" si="4"/>
        <v>18</v>
      </c>
    </row>
    <row r="47" ht="11.25" customHeight="1">
      <c r="A47" s="423">
        <f>IFERROR(__xludf.DUMMYFUNCTION("""COMPUTED_VALUE"""),41.0)</f>
        <v>41</v>
      </c>
      <c r="B47" s="425" t="str">
        <f>IFERROR(__xludf.DUMMYFUNCTION("""COMPUTED_VALUE"""),"2526100454")</f>
        <v>2526100454</v>
      </c>
      <c r="C47" s="425" t="str">
        <f>IFERROR(__xludf.DUMMYFUNCTION("""COMPUTED_VALUE"""),"0095007656")</f>
        <v>0095007656</v>
      </c>
      <c r="D47" s="426" t="str">
        <f>IFERROR(__xludf.DUMMYFUNCTION("""COMPUTED_VALUE"""),"RIVALDI MAULANA")</f>
        <v>RIVALDI MAULANA</v>
      </c>
      <c r="E47" s="428" t="str">
        <f>IFERROR(__xludf.DUMMYFUNCTION("""COMPUTED_VALUE"""),"X TO 4")</f>
        <v>X TO 4</v>
      </c>
      <c r="F47" s="428" t="s">
        <v>220</v>
      </c>
      <c r="G47" s="438" t="str">
        <f t="array" ref="G47">IFERROR(INDEX('INPUT CP'!$A$4:$BB64,MATCH($D47,'INPUT CP'!$D$4:$D64,0),MATCH(G$6,'INPUT CP'!$A$3:$CO$3,0)),"")</f>
        <v/>
      </c>
      <c r="H47" s="439" t="str">
        <f t="array" ref="H47">IFERROR(INDEX('INPUT CP'!$A$4:$BB64,MATCH($D47,'INPUT CP'!$D$4:$D64,0),MATCH(H$6,'INPUT CP'!$A$3:$CO$3,0)),"")</f>
        <v/>
      </c>
      <c r="I47" s="441">
        <f t="array" ref="I47">IFERROR(INDEX('INPUT CP'!$A$4:$BB64,MATCH($D47,'INPUT CP'!$D$4:$D64,0),MATCH(I$6,'INPUT CP'!$A$3:$CO$3,0)),"")</f>
        <v>34.33333333</v>
      </c>
      <c r="J47" s="444">
        <f t="array" ref="J47">IFERROR(INDEX('INPUT CP'!$A$4:$BB64,MATCH($D47,'INPUT CP'!$D$4:$D64,0),MATCH(J$6,'INPUT CP'!$A$3:$CO$3,0)),"")</f>
        <v>77.5</v>
      </c>
      <c r="K47" s="446">
        <f t="array" ref="K47">IFERROR(INDEX('INPUT CP'!$A$4:$BB64,MATCH($D47,'INPUT CP'!$D$4:$D64,0),MATCH(K$6,'INPUT CP'!$A$3:$CO$3,0)),"")</f>
        <v>67</v>
      </c>
      <c r="L47" s="450">
        <f t="array" ref="L47">IFERROR(INDEX('INPUT CP'!$A$4:$BB64,MATCH($D47,'INPUT CP'!$D$4:$D64,0),MATCH(L$6,'INPUT CP'!$A$3:$CO$3,0)),"")</f>
        <v>89.16666667</v>
      </c>
      <c r="M47" s="451">
        <f t="array" ref="M47">IFERROR(INDEX('INPUT CP'!$A$4:$BB64,MATCH($D47,'INPUT CP'!$D$4:$D64,0),MATCH(M$6,'INPUT CP'!$A$3:$CO$3,0)),"")</f>
        <v>11.66666667</v>
      </c>
      <c r="N47" s="452">
        <f t="array" ref="N47">IFERROR(INDEX('INPUT CP'!$A$4:$BB64,MATCH($D47,'INPUT CP'!$D$4:$D64,0),MATCH(N$6,'INPUT CP'!$A$3:$CO$3,0)),"")</f>
        <v>72</v>
      </c>
      <c r="O47" s="438">
        <f t="array" ref="O47">IFERROR(INDEX('INPUT CP'!$A$4:$BB64,MATCH($D47,'INPUT CP'!$D$4:$D64,0),MATCH(O$6,'INPUT CP'!$A$3:$CO$3,0)),"")</f>
        <v>72.16666667</v>
      </c>
      <c r="P47" s="456">
        <f t="array" ref="P47">IFERROR(INDEX('INPUT CP'!$A$4:$BB64,MATCH($D47,'INPUT CP'!$D$4:$D64,0),MATCH(P$6,'INPUT CP'!$A$3:$CO$3,0)),"")</f>
        <v>80</v>
      </c>
      <c r="Q47" s="456">
        <f t="array" ref="Q47">IFERROR(INDEX('INPUT CP'!$A$4:$BB64,MATCH($D47,'INPUT CP'!$D$4:$D64,0),MATCH(Q$6,'INPUT CP'!$A$3:$CO$3,0)),"")</f>
        <v>0</v>
      </c>
      <c r="R47" s="456">
        <f t="array" ref="R47">IFERROR(INDEX('INPUT CP'!$A$4:$BB64,MATCH($D47,'INPUT CP'!$D$4:$D64,0),MATCH(R$6,'INPUT CP'!$A$3:$CO$3,0)),"")</f>
        <v>50</v>
      </c>
      <c r="S47" s="456">
        <f t="array" ref="S47">IFERROR(INDEX('INPUT CP'!$A$4:$BB64,MATCH($D47,'INPUT CP'!$D$4:$D64,0),MATCH(S$6,'INPUT CP'!$A$3:$CO$3,0)),"")</f>
        <v>46.66666667</v>
      </c>
      <c r="T47" s="461" t="str">
        <f t="array" ref="T47">IFERROR(INDEX('INPUT CP'!$A$4:$BB64,MATCH($D47,'INPUT CP'!$D$4:$D64,0),MATCH(T$6,'INPUT CP'!$A$3:$CO$3,0)),"")</f>
        <v/>
      </c>
      <c r="U47" s="463" t="str">
        <f t="array" ref="U47">IFERROR(INDEX('INPUT CP'!$A$4:$BB64,MATCH($D47,'INPUT CP'!$D$4:$D64,0),MATCH(U$6,'INPUT CP'!$A$3:$CO$3,0)),"")</f>
        <v/>
      </c>
      <c r="V47" s="439" t="str">
        <f t="array" ref="V47">IFERROR(INDEX('INPUT CP'!$A$4:$BB64,MATCH($D47,'INPUT CP'!$D$4:$D64,0),MATCH(V$6,'INPUT CP'!$A$3:$CO$3,0)),"")</f>
        <v/>
      </c>
      <c r="W47" s="468" t="str">
        <f t="array" ref="W47">IFERROR(INDEX('INPUT CP'!$A$4:$BB64,MATCH($D47,'INPUT CP'!$D$4:$D64,0),MATCH(W$6,'INPUT CP'!$A$3:$CO$3,0)),"")</f>
        <v/>
      </c>
      <c r="X47" s="470" t="str">
        <f t="array" ref="X47">IFERROR(INDEX('INPUT CP'!$A$4:$BB64,MATCH($D47,'INPUT CP'!$D$4:$D64,0),MATCH(X$6,'INPUT CP'!$A$3:$CO$3,0)),"")</f>
        <v/>
      </c>
      <c r="Y47" s="470" t="str">
        <f t="array" ref="Y47">IFERROR(INDEX('INPUT CP'!$A$4:$BB64,MATCH($D47,'INPUT CP'!$D$4:$D64,0),MATCH(Y$6,'INPUT CP'!$A$3:$CO$3,0)),"")</f>
        <v>9</v>
      </c>
      <c r="Z47" s="470" t="str">
        <f t="array" ref="Z47">IFERROR(INDEX('INPUT CP'!$A$4:$BB64,MATCH($D47,'INPUT CP'!$D$4:$D64,0),MATCH(Z$6,'INPUT CP'!$A$3:$CO$3,0)),"")</f>
        <v>1</v>
      </c>
      <c r="AA47" s="470" t="str">
        <f t="array" ref="AA47">IFERROR(INDEX('INPUT CP'!$A$4:$BB64,MATCH($D47,'INPUT CP'!$D$4:$D64,0),MATCH(AA$6,'INPUT CP'!$A$3:$CO$3,0)),"")</f>
        <v>25</v>
      </c>
      <c r="AB47" s="476">
        <f t="shared" si="2"/>
        <v>600.5</v>
      </c>
      <c r="AC47" s="476">
        <f t="shared" si="3"/>
        <v>54.59090909</v>
      </c>
      <c r="AD47" s="479">
        <f t="shared" si="4"/>
        <v>44</v>
      </c>
    </row>
    <row r="48" ht="11.25" customHeight="1">
      <c r="A48" s="482">
        <f>IFERROR(__xludf.DUMMYFUNCTION("""COMPUTED_VALUE"""),42.0)</f>
        <v>42</v>
      </c>
      <c r="B48" s="485" t="str">
        <f>IFERROR(__xludf.DUMMYFUNCTION("""COMPUTED_VALUE"""),"2526100455")</f>
        <v>2526100455</v>
      </c>
      <c r="C48" s="485" t="str">
        <f>IFERROR(__xludf.DUMMYFUNCTION("""COMPUTED_VALUE"""),"3095900062")</f>
        <v>3095900062</v>
      </c>
      <c r="D48" s="487" t="str">
        <f>IFERROR(__xludf.DUMMYFUNCTION("""COMPUTED_VALUE"""),"RIZAL RISMAYANDI")</f>
        <v>RIZAL RISMAYANDI</v>
      </c>
      <c r="E48" s="489" t="str">
        <f>IFERROR(__xludf.DUMMYFUNCTION("""COMPUTED_VALUE"""),"X TO 4")</f>
        <v>X TO 4</v>
      </c>
      <c r="F48" s="489" t="s">
        <v>220</v>
      </c>
      <c r="G48" s="438">
        <f t="array" ref="G48">IFERROR(INDEX('INPUT CP'!$A$4:$BB64,MATCH($D48,'INPUT CP'!$D$4:$D64,0),MATCH(G$6,'INPUT CP'!$A$3:$CO$3,0)),"")</f>
        <v>78.25</v>
      </c>
      <c r="H48" s="439">
        <f t="array" ref="H48">IFERROR(INDEX('INPUT CP'!$A$4:$BB64,MATCH($D48,'INPUT CP'!$D$4:$D64,0),MATCH(H$6,'INPUT CP'!$A$3:$CO$3,0)),"")</f>
        <v>81.75</v>
      </c>
      <c r="I48" s="441">
        <f t="array" ref="I48">IFERROR(INDEX('INPUT CP'!$A$4:$BB64,MATCH($D48,'INPUT CP'!$D$4:$D64,0),MATCH(I$6,'INPUT CP'!$A$3:$CO$3,0)),"")</f>
        <v>79.33333333</v>
      </c>
      <c r="J48" s="444">
        <f t="array" ref="J48">IFERROR(INDEX('INPUT CP'!$A$4:$BB64,MATCH($D48,'INPUT CP'!$D$4:$D64,0),MATCH(J$6,'INPUT CP'!$A$3:$CO$3,0)),"")</f>
        <v>85</v>
      </c>
      <c r="K48" s="446">
        <f t="array" ref="K48">IFERROR(INDEX('INPUT CP'!$A$4:$BB64,MATCH($D48,'INPUT CP'!$D$4:$D64,0),MATCH(K$6,'INPUT CP'!$A$3:$CO$3,0)),"")</f>
        <v>67</v>
      </c>
      <c r="L48" s="450">
        <f t="array" ref="L48">IFERROR(INDEX('INPUT CP'!$A$4:$BB64,MATCH($D48,'INPUT CP'!$D$4:$D64,0),MATCH(L$6,'INPUT CP'!$A$3:$CO$3,0)),"")</f>
        <v>89.66666667</v>
      </c>
      <c r="M48" s="451">
        <f t="array" ref="M48">IFERROR(INDEX('INPUT CP'!$A$4:$BB64,MATCH($D48,'INPUT CP'!$D$4:$D64,0),MATCH(M$6,'INPUT CP'!$A$3:$CO$3,0)),"")</f>
        <v>21.66666667</v>
      </c>
      <c r="N48" s="452">
        <f t="array" ref="N48">IFERROR(INDEX('INPUT CP'!$A$4:$BB64,MATCH($D48,'INPUT CP'!$D$4:$D64,0),MATCH(N$6,'INPUT CP'!$A$3:$CO$3,0)),"")</f>
        <v>72</v>
      </c>
      <c r="O48" s="438">
        <f t="array" ref="O48">IFERROR(INDEX('INPUT CP'!$A$4:$BB64,MATCH($D48,'INPUT CP'!$D$4:$D64,0),MATCH(O$6,'INPUT CP'!$A$3:$CO$3,0)),"")</f>
        <v>73</v>
      </c>
      <c r="P48" s="456">
        <f t="array" ref="P48">IFERROR(INDEX('INPUT CP'!$A$4:$BB64,MATCH($D48,'INPUT CP'!$D$4:$D64,0),MATCH(P$6,'INPUT CP'!$A$3:$CO$3,0)),"")</f>
        <v>80</v>
      </c>
      <c r="Q48" s="456">
        <f t="array" ref="Q48">IFERROR(INDEX('INPUT CP'!$A$4:$BB64,MATCH($D48,'INPUT CP'!$D$4:$D64,0),MATCH(Q$6,'INPUT CP'!$A$3:$CO$3,0)),"")</f>
        <v>52.16666667</v>
      </c>
      <c r="R48" s="456">
        <f t="array" ref="R48">IFERROR(INDEX('INPUT CP'!$A$4:$BB64,MATCH($D48,'INPUT CP'!$D$4:$D64,0),MATCH(R$6,'INPUT CP'!$A$3:$CO$3,0)),"")</f>
        <v>79.66666667</v>
      </c>
      <c r="S48" s="456">
        <f t="array" ref="S48">IFERROR(INDEX('INPUT CP'!$A$4:$BB64,MATCH($D48,'INPUT CP'!$D$4:$D64,0),MATCH(S$6,'INPUT CP'!$A$3:$CO$3,0)),"")</f>
        <v>78.66666667</v>
      </c>
      <c r="T48" s="461" t="str">
        <f t="array" ref="T48">IFERROR(INDEX('INPUT CP'!$A$4:$BB64,MATCH($D48,'INPUT CP'!$D$4:$D64,0),MATCH(T$6,'INPUT CP'!$A$3:$CO$3,0)),"")</f>
        <v/>
      </c>
      <c r="U48" s="463" t="str">
        <f t="array" ref="U48">IFERROR(INDEX('INPUT CP'!$A$4:$BB64,MATCH($D48,'INPUT CP'!$D$4:$D64,0),MATCH(U$6,'INPUT CP'!$A$3:$CO$3,0)),"")</f>
        <v/>
      </c>
      <c r="V48" s="439" t="str">
        <f t="array" ref="V48">IFERROR(INDEX('INPUT CP'!$A$4:$BB64,MATCH($D48,'INPUT CP'!$D$4:$D64,0),MATCH(V$6,'INPUT CP'!$A$3:$CO$3,0)),"")</f>
        <v/>
      </c>
      <c r="W48" s="513" t="str">
        <f t="array" ref="W48">IFERROR(INDEX('INPUT CP'!$A$4:$BB64,MATCH($D48,'INPUT CP'!$D$4:$D64,0),MATCH(W$6,'INPUT CP'!$A$3:$CO$3,0)),"")</f>
        <v/>
      </c>
      <c r="X48" s="514" t="str">
        <f t="array" ref="X48">IFERROR(INDEX('INPUT CP'!$A$4:$BB64,MATCH($D48,'INPUT CP'!$D$4:$D64,0),MATCH(X$6,'INPUT CP'!$A$3:$CO$3,0)),"")</f>
        <v/>
      </c>
      <c r="Y48" s="514" t="str">
        <f t="array" ref="Y48">IFERROR(INDEX('INPUT CP'!$A$4:$BB64,MATCH($D48,'INPUT CP'!$D$4:$D64,0),MATCH(Y$6,'INPUT CP'!$A$3:$CO$3,0)),"")</f>
        <v>16</v>
      </c>
      <c r="Z48" s="514" t="str">
        <f t="array" ref="Z48">IFERROR(INDEX('INPUT CP'!$A$4:$BB64,MATCH($D48,'INPUT CP'!$D$4:$D64,0),MATCH(Z$6,'INPUT CP'!$A$3:$CO$3,0)),"")</f>
        <v>-</v>
      </c>
      <c r="AA48" s="514" t="str">
        <f t="array" ref="AA48">IFERROR(INDEX('INPUT CP'!$A$4:$BB64,MATCH($D48,'INPUT CP'!$D$4:$D64,0),MATCH(AA$6,'INPUT CP'!$A$3:$CO$3,0)),"")</f>
        <v>1</v>
      </c>
      <c r="AB48" s="476">
        <f t="shared" si="2"/>
        <v>938.1666667</v>
      </c>
      <c r="AC48" s="476">
        <f t="shared" si="3"/>
        <v>72.16666667</v>
      </c>
      <c r="AD48" s="479">
        <f t="shared" si="4"/>
        <v>38</v>
      </c>
    </row>
    <row r="49" ht="11.25" customHeight="1">
      <c r="A49" s="423">
        <f>IFERROR(__xludf.DUMMYFUNCTION("""COMPUTED_VALUE"""),43.0)</f>
        <v>43</v>
      </c>
      <c r="B49" s="425" t="str">
        <f>IFERROR(__xludf.DUMMYFUNCTION("""COMPUTED_VALUE"""),"2526100456")</f>
        <v>2526100456</v>
      </c>
      <c r="C49" s="425" t="str">
        <f>IFERROR(__xludf.DUMMYFUNCTION("""COMPUTED_VALUE"""),"0097206975")</f>
        <v>0097206975</v>
      </c>
      <c r="D49" s="426" t="str">
        <f>IFERROR(__xludf.DUMMYFUNCTION("""COMPUTED_VALUE"""),"RIZKI ADITIA PRATAMA")</f>
        <v>RIZKI ADITIA PRATAMA</v>
      </c>
      <c r="E49" s="428" t="str">
        <f>IFERROR(__xludf.DUMMYFUNCTION("""COMPUTED_VALUE"""),"X TO 4")</f>
        <v>X TO 4</v>
      </c>
      <c r="F49" s="428" t="s">
        <v>220</v>
      </c>
      <c r="G49" s="438">
        <f t="array" ref="G49">IFERROR(INDEX('INPUT CP'!$A$4:$BB64,MATCH($D49,'INPUT CP'!$D$4:$D64,0),MATCH(G$6,'INPUT CP'!$A$3:$CO$3,0)),"")</f>
        <v>78.75</v>
      </c>
      <c r="H49" s="439">
        <f t="array" ref="H49">IFERROR(INDEX('INPUT CP'!$A$4:$BB64,MATCH($D49,'INPUT CP'!$D$4:$D64,0),MATCH(H$6,'INPUT CP'!$A$3:$CO$3,0)),"")</f>
        <v>83.25</v>
      </c>
      <c r="I49" s="441">
        <f t="array" ref="I49">IFERROR(INDEX('INPUT CP'!$A$4:$BB64,MATCH($D49,'INPUT CP'!$D$4:$D64,0),MATCH(I$6,'INPUT CP'!$A$3:$CO$3,0)),"")</f>
        <v>75.66666667</v>
      </c>
      <c r="J49" s="444">
        <f t="array" ref="J49">IFERROR(INDEX('INPUT CP'!$A$4:$BB64,MATCH($D49,'INPUT CP'!$D$4:$D64,0),MATCH(J$6,'INPUT CP'!$A$3:$CO$3,0)),"")</f>
        <v>90.5</v>
      </c>
      <c r="K49" s="446">
        <f t="array" ref="K49">IFERROR(INDEX('INPUT CP'!$A$4:$BB64,MATCH($D49,'INPUT CP'!$D$4:$D64,0),MATCH(K$6,'INPUT CP'!$A$3:$CO$3,0)),"")</f>
        <v>78</v>
      </c>
      <c r="L49" s="450">
        <f t="array" ref="L49">IFERROR(INDEX('INPUT CP'!$A$4:$BB64,MATCH($D49,'INPUT CP'!$D$4:$D64,0),MATCH(L$6,'INPUT CP'!$A$3:$CO$3,0)),"")</f>
        <v>90</v>
      </c>
      <c r="M49" s="451">
        <f t="array" ref="M49">IFERROR(INDEX('INPUT CP'!$A$4:$BB64,MATCH($D49,'INPUT CP'!$D$4:$D64,0),MATCH(M$6,'INPUT CP'!$A$3:$CO$3,0)),"")</f>
        <v>78.33333333</v>
      </c>
      <c r="N49" s="452">
        <f t="array" ref="N49">IFERROR(INDEX('INPUT CP'!$A$4:$BB64,MATCH($D49,'INPUT CP'!$D$4:$D64,0),MATCH(N$6,'INPUT CP'!$A$3:$CO$3,0)),"")</f>
        <v>72</v>
      </c>
      <c r="O49" s="438">
        <f t="array" ref="O49">IFERROR(INDEX('INPUT CP'!$A$4:$BB64,MATCH($D49,'INPUT CP'!$D$4:$D64,0),MATCH(O$6,'INPUT CP'!$A$3:$CO$3,0)),"")</f>
        <v>73</v>
      </c>
      <c r="P49" s="456">
        <f t="array" ref="P49">IFERROR(INDEX('INPUT CP'!$A$4:$BB64,MATCH($D49,'INPUT CP'!$D$4:$D64,0),MATCH(P$6,'INPUT CP'!$A$3:$CO$3,0)),"")</f>
        <v>80</v>
      </c>
      <c r="Q49" s="456">
        <f t="array" ref="Q49">IFERROR(INDEX('INPUT CP'!$A$4:$BB64,MATCH($D49,'INPUT CP'!$D$4:$D64,0),MATCH(Q$6,'INPUT CP'!$A$3:$CO$3,0)),"")</f>
        <v>52.33333333</v>
      </c>
      <c r="R49" s="456">
        <f t="array" ref="R49">IFERROR(INDEX('INPUT CP'!$A$4:$BB64,MATCH($D49,'INPUT CP'!$D$4:$D64,0),MATCH(R$6,'INPUT CP'!$A$3:$CO$3,0)),"")</f>
        <v>80</v>
      </c>
      <c r="S49" s="456">
        <f t="array" ref="S49">IFERROR(INDEX('INPUT CP'!$A$4:$BB64,MATCH($D49,'INPUT CP'!$D$4:$D64,0),MATCH(S$6,'INPUT CP'!$A$3:$CO$3,0)),"")</f>
        <v>78</v>
      </c>
      <c r="T49" s="461" t="str">
        <f t="array" ref="T49">IFERROR(INDEX('INPUT CP'!$A$4:$BB64,MATCH($D49,'INPUT CP'!$D$4:$D64,0),MATCH(T$6,'INPUT CP'!$A$3:$CO$3,0)),"")</f>
        <v/>
      </c>
      <c r="U49" s="463" t="str">
        <f t="array" ref="U49">IFERROR(INDEX('INPUT CP'!$A$4:$BB64,MATCH($D49,'INPUT CP'!$D$4:$D64,0),MATCH(U$6,'INPUT CP'!$A$3:$CO$3,0)),"")</f>
        <v/>
      </c>
      <c r="V49" s="439" t="str">
        <f t="array" ref="V49">IFERROR(INDEX('INPUT CP'!$A$4:$BB64,MATCH($D49,'INPUT CP'!$D$4:$D64,0),MATCH(V$6,'INPUT CP'!$A$3:$CO$3,0)),"")</f>
        <v/>
      </c>
      <c r="W49" s="468" t="str">
        <f t="array" ref="W49">IFERROR(INDEX('INPUT CP'!$A$4:$BB64,MATCH($D49,'INPUT CP'!$D$4:$D64,0),MATCH(W$6,'INPUT CP'!$A$3:$CO$3,0)),"")</f>
        <v/>
      </c>
      <c r="X49" s="470" t="str">
        <f t="array" ref="X49">IFERROR(INDEX('INPUT CP'!$A$4:$BB64,MATCH($D49,'INPUT CP'!$D$4:$D64,0),MATCH(X$6,'INPUT CP'!$A$3:$CO$3,0)),"")</f>
        <v/>
      </c>
      <c r="Y49" s="470" t="str">
        <f t="array" ref="Y49">IFERROR(INDEX('INPUT CP'!$A$4:$BB64,MATCH($D49,'INPUT CP'!$D$4:$D64,0),MATCH(Y$6,'INPUT CP'!$A$3:$CO$3,0)),"")</f>
        <v>2</v>
      </c>
      <c r="Z49" s="470" t="str">
        <f t="array" ref="Z49">IFERROR(INDEX('INPUT CP'!$A$4:$BB64,MATCH($D49,'INPUT CP'!$D$4:$D64,0),MATCH(Z$6,'INPUT CP'!$A$3:$CO$3,0)),"")</f>
        <v>-</v>
      </c>
      <c r="AA49" s="470" t="str">
        <f t="array" ref="AA49">IFERROR(INDEX('INPUT CP'!$A$4:$BB64,MATCH($D49,'INPUT CP'!$D$4:$D64,0),MATCH(AA$6,'INPUT CP'!$A$3:$CO$3,0)),"")</f>
        <v>1</v>
      </c>
      <c r="AB49" s="476">
        <f t="shared" si="2"/>
        <v>1009.833333</v>
      </c>
      <c r="AC49" s="476">
        <f t="shared" si="3"/>
        <v>77.67948718</v>
      </c>
      <c r="AD49" s="479">
        <f t="shared" si="4"/>
        <v>24</v>
      </c>
    </row>
    <row r="50" ht="11.25" customHeight="1">
      <c r="A50" s="482">
        <f>IFERROR(__xludf.DUMMYFUNCTION("""COMPUTED_VALUE"""),44.0)</f>
        <v>44</v>
      </c>
      <c r="B50" s="485" t="str">
        <f>IFERROR(__xludf.DUMMYFUNCTION("""COMPUTED_VALUE"""),"2526100457")</f>
        <v>2526100457</v>
      </c>
      <c r="C50" s="485" t="str">
        <f>IFERROR(__xludf.DUMMYFUNCTION("""COMPUTED_VALUE"""),"0099911084")</f>
        <v>0099911084</v>
      </c>
      <c r="D50" s="487" t="str">
        <f>IFERROR(__xludf.DUMMYFUNCTION("""COMPUTED_VALUE"""),"SURYA BAGJA JUNIOR")</f>
        <v>SURYA BAGJA JUNIOR</v>
      </c>
      <c r="E50" s="489" t="str">
        <f>IFERROR(__xludf.DUMMYFUNCTION("""COMPUTED_VALUE"""),"X TO 4")</f>
        <v>X TO 4</v>
      </c>
      <c r="F50" s="489" t="s">
        <v>220</v>
      </c>
      <c r="G50" s="438">
        <f t="array" ref="G50">IFERROR(INDEX('INPUT CP'!$A$4:$BB64,MATCH($D50,'INPUT CP'!$D$4:$D64,0),MATCH(G$6,'INPUT CP'!$A$3:$CO$3,0)),"")</f>
        <v>78.25</v>
      </c>
      <c r="H50" s="439">
        <f t="array" ref="H50">IFERROR(INDEX('INPUT CP'!$A$4:$BB64,MATCH($D50,'INPUT CP'!$D$4:$D64,0),MATCH(H$6,'INPUT CP'!$A$3:$CO$3,0)),"")</f>
        <v>82.75</v>
      </c>
      <c r="I50" s="441">
        <f t="array" ref="I50">IFERROR(INDEX('INPUT CP'!$A$4:$BB64,MATCH($D50,'INPUT CP'!$D$4:$D64,0),MATCH(I$6,'INPUT CP'!$A$3:$CO$3,0)),"")</f>
        <v>73.66666667</v>
      </c>
      <c r="J50" s="444">
        <f t="array" ref="J50">IFERROR(INDEX('INPUT CP'!$A$4:$BB64,MATCH($D50,'INPUT CP'!$D$4:$D64,0),MATCH(J$6,'INPUT CP'!$A$3:$CO$3,0)),"")</f>
        <v>84.5</v>
      </c>
      <c r="K50" s="446">
        <f t="array" ref="K50">IFERROR(INDEX('INPUT CP'!$A$4:$BB64,MATCH($D50,'INPUT CP'!$D$4:$D64,0),MATCH(K$6,'INPUT CP'!$A$3:$CO$3,0)),"")</f>
        <v>78</v>
      </c>
      <c r="L50" s="450">
        <f t="array" ref="L50">IFERROR(INDEX('INPUT CP'!$A$4:$BB64,MATCH($D50,'INPUT CP'!$D$4:$D64,0),MATCH(L$6,'INPUT CP'!$A$3:$CO$3,0)),"")</f>
        <v>89.33333333</v>
      </c>
      <c r="M50" s="451">
        <f t="array" ref="M50">IFERROR(INDEX('INPUT CP'!$A$4:$BB64,MATCH($D50,'INPUT CP'!$D$4:$D64,0),MATCH(M$6,'INPUT CP'!$A$3:$CO$3,0)),"")</f>
        <v>78.16666667</v>
      </c>
      <c r="N50" s="452">
        <f t="array" ref="N50">IFERROR(INDEX('INPUT CP'!$A$4:$BB64,MATCH($D50,'INPUT CP'!$D$4:$D64,0),MATCH(N$6,'INPUT CP'!$A$3:$CO$3,0)),"")</f>
        <v>72</v>
      </c>
      <c r="O50" s="438">
        <f t="array" ref="O50">IFERROR(INDEX('INPUT CP'!$A$4:$BB64,MATCH($D50,'INPUT CP'!$D$4:$D64,0),MATCH(O$6,'INPUT CP'!$A$3:$CO$3,0)),"")</f>
        <v>72</v>
      </c>
      <c r="P50" s="456">
        <f t="array" ref="P50">IFERROR(INDEX('INPUT CP'!$A$4:$BB64,MATCH($D50,'INPUT CP'!$D$4:$D64,0),MATCH(P$6,'INPUT CP'!$A$3:$CO$3,0)),"")</f>
        <v>80</v>
      </c>
      <c r="Q50" s="456">
        <f t="array" ref="Q50">IFERROR(INDEX('INPUT CP'!$A$4:$BB64,MATCH($D50,'INPUT CP'!$D$4:$D64,0),MATCH(Q$6,'INPUT CP'!$A$3:$CO$3,0)),"")</f>
        <v>52.33333333</v>
      </c>
      <c r="R50" s="456">
        <f t="array" ref="R50">IFERROR(INDEX('INPUT CP'!$A$4:$BB64,MATCH($D50,'INPUT CP'!$D$4:$D64,0),MATCH(R$6,'INPUT CP'!$A$3:$CO$3,0)),"")</f>
        <v>79.83333333</v>
      </c>
      <c r="S50" s="456">
        <f t="array" ref="S50">IFERROR(INDEX('INPUT CP'!$A$4:$BB64,MATCH($D50,'INPUT CP'!$D$4:$D64,0),MATCH(S$6,'INPUT CP'!$A$3:$CO$3,0)),"")</f>
        <v>78</v>
      </c>
      <c r="T50" s="461" t="str">
        <f t="array" ref="T50">IFERROR(INDEX('INPUT CP'!$A$4:$BB64,MATCH($D50,'INPUT CP'!$D$4:$D64,0),MATCH(T$6,'INPUT CP'!$A$3:$CO$3,0)),"")</f>
        <v/>
      </c>
      <c r="U50" s="463" t="str">
        <f t="array" ref="U50">IFERROR(INDEX('INPUT CP'!$A$4:$BB64,MATCH($D50,'INPUT CP'!$D$4:$D64,0),MATCH(U$6,'INPUT CP'!$A$3:$CO$3,0)),"")</f>
        <v/>
      </c>
      <c r="V50" s="439" t="str">
        <f t="array" ref="V50">IFERROR(INDEX('INPUT CP'!$A$4:$BB64,MATCH($D50,'INPUT CP'!$D$4:$D64,0),MATCH(V$6,'INPUT CP'!$A$3:$CO$3,0)),"")</f>
        <v/>
      </c>
      <c r="W50" s="513" t="str">
        <f t="array" ref="W50">IFERROR(INDEX('INPUT CP'!$A$4:$BB64,MATCH($D50,'INPUT CP'!$D$4:$D64,0),MATCH(W$6,'INPUT CP'!$A$3:$CO$3,0)),"")</f>
        <v/>
      </c>
      <c r="X50" s="514" t="str">
        <f t="array" ref="X50">IFERROR(INDEX('INPUT CP'!$A$4:$BB64,MATCH($D50,'INPUT CP'!$D$4:$D64,0),MATCH(X$6,'INPUT CP'!$A$3:$CO$3,0)),"")</f>
        <v/>
      </c>
      <c r="Y50" s="514" t="str">
        <f t="array" ref="Y50">IFERROR(INDEX('INPUT CP'!$A$4:$BB64,MATCH($D50,'INPUT CP'!$D$4:$D64,0),MATCH(Y$6,'INPUT CP'!$A$3:$CO$3,0)),"")</f>
        <v>13</v>
      </c>
      <c r="Z50" s="514" t="str">
        <f t="array" ref="Z50">IFERROR(INDEX('INPUT CP'!$A$4:$BB64,MATCH($D50,'INPUT CP'!$D$4:$D64,0),MATCH(Z$6,'INPUT CP'!$A$3:$CO$3,0)),"")</f>
        <v>-</v>
      </c>
      <c r="AA50" s="514" t="str">
        <f t="array" ref="AA50">IFERROR(INDEX('INPUT CP'!$A$4:$BB64,MATCH($D50,'INPUT CP'!$D$4:$D64,0),MATCH(AA$6,'INPUT CP'!$A$3:$CO$3,0)),"")</f>
        <v>3</v>
      </c>
      <c r="AB50" s="476">
        <f t="shared" si="2"/>
        <v>998.8333333</v>
      </c>
      <c r="AC50" s="476">
        <f t="shared" si="3"/>
        <v>76.83333333</v>
      </c>
      <c r="AD50" s="479">
        <f t="shared" si="4"/>
        <v>28</v>
      </c>
    </row>
    <row r="51" ht="11.25" customHeight="1">
      <c r="A51" s="423">
        <f>IFERROR(__xludf.DUMMYFUNCTION("""COMPUTED_VALUE"""),45.0)</f>
        <v>45</v>
      </c>
      <c r="B51" s="425" t="str">
        <f>IFERROR(__xludf.DUMMYFUNCTION("""COMPUTED_VALUE"""),"2526100458")</f>
        <v>2526100458</v>
      </c>
      <c r="C51" s="425" t="str">
        <f>IFERROR(__xludf.DUMMYFUNCTION("""COMPUTED_VALUE"""),"3096786504")</f>
        <v>3096786504</v>
      </c>
      <c r="D51" s="426" t="str">
        <f>IFERROR(__xludf.DUMMYFUNCTION("""COMPUTED_VALUE"""),"WILDAN RIPAI")</f>
        <v>WILDAN RIPAI</v>
      </c>
      <c r="E51" s="428" t="str">
        <f>IFERROR(__xludf.DUMMYFUNCTION("""COMPUTED_VALUE"""),"X TO 4")</f>
        <v>X TO 4</v>
      </c>
      <c r="F51" s="428" t="s">
        <v>220</v>
      </c>
      <c r="G51" s="438">
        <f t="array" ref="G51">IFERROR(INDEX('INPUT CP'!$A$4:$BB64,MATCH($D51,'INPUT CP'!$D$4:$D64,0),MATCH(G$6,'INPUT CP'!$A$3:$CO$3,0)),"")</f>
        <v>80.75</v>
      </c>
      <c r="H51" s="439">
        <f t="array" ref="H51">IFERROR(INDEX('INPUT CP'!$A$4:$BB64,MATCH($D51,'INPUT CP'!$D$4:$D64,0),MATCH(H$6,'INPUT CP'!$A$3:$CO$3,0)),"")</f>
        <v>81.75</v>
      </c>
      <c r="I51" s="441">
        <f t="array" ref="I51">IFERROR(INDEX('INPUT CP'!$A$4:$BB64,MATCH($D51,'INPUT CP'!$D$4:$D64,0),MATCH(I$6,'INPUT CP'!$A$3:$CO$3,0)),"")</f>
        <v>83</v>
      </c>
      <c r="J51" s="444">
        <f t="array" ref="J51">IFERROR(INDEX('INPUT CP'!$A$4:$BB64,MATCH($D51,'INPUT CP'!$D$4:$D64,0),MATCH(J$6,'INPUT CP'!$A$3:$CO$3,0)),"")</f>
        <v>81.75</v>
      </c>
      <c r="K51" s="446">
        <f t="array" ref="K51">IFERROR(INDEX('INPUT CP'!$A$4:$BB64,MATCH($D51,'INPUT CP'!$D$4:$D64,0),MATCH(K$6,'INPUT CP'!$A$3:$CO$3,0)),"")</f>
        <v>85</v>
      </c>
      <c r="L51" s="450">
        <f t="array" ref="L51">IFERROR(INDEX('INPUT CP'!$A$4:$BB64,MATCH($D51,'INPUT CP'!$D$4:$D64,0),MATCH(L$6,'INPUT CP'!$A$3:$CO$3,0)),"")</f>
        <v>89.16666667</v>
      </c>
      <c r="M51" s="451">
        <f t="array" ref="M51">IFERROR(INDEX('INPUT CP'!$A$4:$BB64,MATCH($D51,'INPUT CP'!$D$4:$D64,0),MATCH(M$6,'INPUT CP'!$A$3:$CO$3,0)),"")</f>
        <v>87.83333333</v>
      </c>
      <c r="N51" s="452">
        <f t="array" ref="N51">IFERROR(INDEX('INPUT CP'!$A$4:$BB64,MATCH($D51,'INPUT CP'!$D$4:$D64,0),MATCH(N$6,'INPUT CP'!$A$3:$CO$3,0)),"")</f>
        <v>83</v>
      </c>
      <c r="O51" s="438">
        <f t="array" ref="O51">IFERROR(INDEX('INPUT CP'!$A$4:$BB64,MATCH($D51,'INPUT CP'!$D$4:$D64,0),MATCH(O$6,'INPUT CP'!$A$3:$CO$3,0)),"")</f>
        <v>79</v>
      </c>
      <c r="P51" s="456">
        <f t="array" ref="P51">IFERROR(INDEX('INPUT CP'!$A$4:$BB64,MATCH($D51,'INPUT CP'!$D$4:$D64,0),MATCH(P$6,'INPUT CP'!$A$3:$CO$3,0)),"")</f>
        <v>80</v>
      </c>
      <c r="Q51" s="456">
        <f t="array" ref="Q51">IFERROR(INDEX('INPUT CP'!$A$4:$BB64,MATCH($D51,'INPUT CP'!$D$4:$D64,0),MATCH(Q$6,'INPUT CP'!$A$3:$CO$3,0)),"")</f>
        <v>82.16666667</v>
      </c>
      <c r="R51" s="456">
        <f t="array" ref="R51">IFERROR(INDEX('INPUT CP'!$A$4:$BB64,MATCH($D51,'INPUT CP'!$D$4:$D64,0),MATCH(R$6,'INPUT CP'!$A$3:$CO$3,0)),"")</f>
        <v>80</v>
      </c>
      <c r="S51" s="456">
        <f t="array" ref="S51">IFERROR(INDEX('INPUT CP'!$A$4:$BB64,MATCH($D51,'INPUT CP'!$D$4:$D64,0),MATCH(S$6,'INPUT CP'!$A$3:$CO$3,0)),"")</f>
        <v>80.66666667</v>
      </c>
      <c r="T51" s="461" t="str">
        <f t="array" ref="T51">IFERROR(INDEX('INPUT CP'!$A$4:$BB64,MATCH($D51,'INPUT CP'!$D$4:$D64,0),MATCH(T$6,'INPUT CP'!$A$3:$CO$3,0)),"")</f>
        <v/>
      </c>
      <c r="U51" s="463" t="str">
        <f t="array" ref="U51">IFERROR(INDEX('INPUT CP'!$A$4:$BB64,MATCH($D51,'INPUT CP'!$D$4:$D64,0),MATCH(U$6,'INPUT CP'!$A$3:$CO$3,0)),"")</f>
        <v/>
      </c>
      <c r="V51" s="439" t="str">
        <f t="array" ref="V51">IFERROR(INDEX('INPUT CP'!$A$4:$BB64,MATCH($D51,'INPUT CP'!$D$4:$D64,0),MATCH(V$6,'INPUT CP'!$A$3:$CO$3,0)),"")</f>
        <v/>
      </c>
      <c r="W51" s="468" t="str">
        <f t="array" ref="W51">IFERROR(INDEX('INPUT CP'!$A$4:$BB64,MATCH($D51,'INPUT CP'!$D$4:$D64,0),MATCH(W$6,'INPUT CP'!$A$3:$CO$3,0)),"")</f>
        <v>Sepak Bola</v>
      </c>
      <c r="X51" s="470" t="str">
        <f t="array" ref="X51">IFERROR(INDEX('INPUT CP'!$A$4:$BB64,MATCH($D51,'INPUT CP'!$D$4:$D64,0),MATCH(X$6,'INPUT CP'!$A$3:$CO$3,0)),"")</f>
        <v/>
      </c>
      <c r="Y51" s="470" t="str">
        <f t="array" ref="Y51">IFERROR(INDEX('INPUT CP'!$A$4:$BB64,MATCH($D51,'INPUT CP'!$D$4:$D64,0),MATCH(Y$6,'INPUT CP'!$A$3:$CO$3,0)),"")</f>
        <v>5</v>
      </c>
      <c r="Z51" s="470" t="str">
        <f t="array" ref="Z51">IFERROR(INDEX('INPUT CP'!$A$4:$BB64,MATCH($D51,'INPUT CP'!$D$4:$D64,0),MATCH(Z$6,'INPUT CP'!$A$3:$CO$3,0)),"")</f>
        <v>-</v>
      </c>
      <c r="AA51" s="470" t="str">
        <f t="array" ref="AA51">IFERROR(INDEX('INPUT CP'!$A$4:$BB64,MATCH($D51,'INPUT CP'!$D$4:$D64,0),MATCH(AA$6,'INPUT CP'!$A$3:$CO$3,0)),"")</f>
        <v>-</v>
      </c>
      <c r="AB51" s="476">
        <f t="shared" si="2"/>
        <v>1074.083333</v>
      </c>
      <c r="AC51" s="476">
        <f t="shared" si="3"/>
        <v>82.62179487</v>
      </c>
      <c r="AD51" s="479">
        <f t="shared" si="4"/>
        <v>4</v>
      </c>
    </row>
    <row r="52" ht="11.25" customHeight="1">
      <c r="A52" s="482">
        <f>IFERROR(__xludf.DUMMYFUNCTION("""COMPUTED_VALUE"""),46.0)</f>
        <v>46</v>
      </c>
      <c r="B52" s="485" t="str">
        <f>IFERROR(__xludf.DUMMYFUNCTION("""COMPUTED_VALUE"""),"2526100459")</f>
        <v>2526100459</v>
      </c>
      <c r="C52" s="485" t="str">
        <f>IFERROR(__xludf.DUMMYFUNCTION("""COMPUTED_VALUE"""),"3100392230")</f>
        <v>3100392230</v>
      </c>
      <c r="D52" s="487" t="str">
        <f>IFERROR(__xludf.DUMMYFUNCTION("""COMPUTED_VALUE"""),"YUDHA PRASETYO")</f>
        <v>YUDHA PRASETYO</v>
      </c>
      <c r="E52" s="489" t="str">
        <f>IFERROR(__xludf.DUMMYFUNCTION("""COMPUTED_VALUE"""),"X TO 4")</f>
        <v>X TO 4</v>
      </c>
      <c r="F52" s="489" t="s">
        <v>220</v>
      </c>
      <c r="G52" s="438">
        <f t="array" ref="G52">IFERROR(INDEX('INPUT CP'!$A$4:$BB64,MATCH($D52,'INPUT CP'!$D$4:$D64,0),MATCH(G$6,'INPUT CP'!$A$3:$CO$3,0)),"")</f>
        <v>78.25</v>
      </c>
      <c r="H52" s="439">
        <f t="array" ref="H52">IFERROR(INDEX('INPUT CP'!$A$4:$BB64,MATCH($D52,'INPUT CP'!$D$4:$D64,0),MATCH(H$6,'INPUT CP'!$A$3:$CO$3,0)),"")</f>
        <v>80.25</v>
      </c>
      <c r="I52" s="441">
        <f t="array" ref="I52">IFERROR(INDEX('INPUT CP'!$A$4:$BB64,MATCH($D52,'INPUT CP'!$D$4:$D64,0),MATCH(I$6,'INPUT CP'!$A$3:$CO$3,0)),"")</f>
        <v>73.5</v>
      </c>
      <c r="J52" s="444">
        <f t="array" ref="J52">IFERROR(INDEX('INPUT CP'!$A$4:$BB64,MATCH($D52,'INPUT CP'!$D$4:$D64,0),MATCH(J$6,'INPUT CP'!$A$3:$CO$3,0)),"")</f>
        <v>81</v>
      </c>
      <c r="K52" s="446">
        <f t="array" ref="K52">IFERROR(INDEX('INPUT CP'!$A$4:$BB64,MATCH($D52,'INPUT CP'!$D$4:$D64,0),MATCH(K$6,'INPUT CP'!$A$3:$CO$3,0)),"")</f>
        <v>78</v>
      </c>
      <c r="L52" s="450">
        <f t="array" ref="L52">IFERROR(INDEX('INPUT CP'!$A$4:$BB64,MATCH($D52,'INPUT CP'!$D$4:$D64,0),MATCH(L$6,'INPUT CP'!$A$3:$CO$3,0)),"")</f>
        <v>89.33333333</v>
      </c>
      <c r="M52" s="451">
        <f t="array" ref="M52">IFERROR(INDEX('INPUT CP'!$A$4:$BB64,MATCH($D52,'INPUT CP'!$D$4:$D64,0),MATCH(M$6,'INPUT CP'!$A$3:$CO$3,0)),"")</f>
        <v>78.16666667</v>
      </c>
      <c r="N52" s="452">
        <f t="array" ref="N52">IFERROR(INDEX('INPUT CP'!$A$4:$BB64,MATCH($D52,'INPUT CP'!$D$4:$D64,0),MATCH(N$6,'INPUT CP'!$A$3:$CO$3,0)),"")</f>
        <v>72</v>
      </c>
      <c r="O52" s="438">
        <f t="array" ref="O52">IFERROR(INDEX('INPUT CP'!$A$4:$BB64,MATCH($D52,'INPUT CP'!$D$4:$D64,0),MATCH(O$6,'INPUT CP'!$A$3:$CO$3,0)),"")</f>
        <v>72</v>
      </c>
      <c r="P52" s="456">
        <f t="array" ref="P52">IFERROR(INDEX('INPUT CP'!$A$4:$BB64,MATCH($D52,'INPUT CP'!$D$4:$D64,0),MATCH(P$6,'INPUT CP'!$A$3:$CO$3,0)),"")</f>
        <v>80</v>
      </c>
      <c r="Q52" s="456">
        <f t="array" ref="Q52">IFERROR(INDEX('INPUT CP'!$A$4:$BB64,MATCH($D52,'INPUT CP'!$D$4:$D64,0),MATCH(Q$6,'INPUT CP'!$A$3:$CO$3,0)),"")</f>
        <v>52.16666667</v>
      </c>
      <c r="R52" s="456">
        <f t="array" ref="R52">IFERROR(INDEX('INPUT CP'!$A$4:$BB64,MATCH($D52,'INPUT CP'!$D$4:$D64,0),MATCH(R$6,'INPUT CP'!$A$3:$CO$3,0)),"")</f>
        <v>80</v>
      </c>
      <c r="S52" s="456">
        <f t="array" ref="S52">IFERROR(INDEX('INPUT CP'!$A$4:$BB64,MATCH($D52,'INPUT CP'!$D$4:$D64,0),MATCH(S$6,'INPUT CP'!$A$3:$CO$3,0)),"")</f>
        <v>79.33333333</v>
      </c>
      <c r="T52" s="461" t="str">
        <f t="array" ref="T52">IFERROR(INDEX('INPUT CP'!$A$4:$BB64,MATCH($D52,'INPUT CP'!$D$4:$D64,0),MATCH(T$6,'INPUT CP'!$A$3:$CO$3,0)),"")</f>
        <v/>
      </c>
      <c r="U52" s="463" t="str">
        <f t="array" ref="U52">IFERROR(INDEX('INPUT CP'!$A$4:$BB64,MATCH($D52,'INPUT CP'!$D$4:$D64,0),MATCH(U$6,'INPUT CP'!$A$3:$CO$3,0)),"")</f>
        <v/>
      </c>
      <c r="V52" s="439" t="str">
        <f t="array" ref="V52">IFERROR(INDEX('INPUT CP'!$A$4:$BB64,MATCH($D52,'INPUT CP'!$D$4:$D64,0),MATCH(V$6,'INPUT CP'!$A$3:$CO$3,0)),"")</f>
        <v/>
      </c>
      <c r="W52" s="513" t="str">
        <f t="array" ref="W52">IFERROR(INDEX('INPUT CP'!$A$4:$BB64,MATCH($D52,'INPUT CP'!$D$4:$D64,0),MATCH(W$6,'INPUT CP'!$A$3:$CO$3,0)),"")</f>
        <v/>
      </c>
      <c r="X52" s="514" t="str">
        <f t="array" ref="X52">IFERROR(INDEX('INPUT CP'!$A$4:$BB64,MATCH($D52,'INPUT CP'!$D$4:$D64,0),MATCH(X$6,'INPUT CP'!$A$3:$CO$3,0)),"")</f>
        <v/>
      </c>
      <c r="Y52" s="514" t="str">
        <f t="array" ref="Y52">IFERROR(INDEX('INPUT CP'!$A$4:$BB64,MATCH($D52,'INPUT CP'!$D$4:$D64,0),MATCH(Y$6,'INPUT CP'!$A$3:$CO$3,0)),"")</f>
        <v>-</v>
      </c>
      <c r="Z52" s="514" t="str">
        <f t="array" ref="Z52">IFERROR(INDEX('INPUT CP'!$A$4:$BB64,MATCH($D52,'INPUT CP'!$D$4:$D64,0),MATCH(Z$6,'INPUT CP'!$A$3:$CO$3,0)),"")</f>
        <v>2</v>
      </c>
      <c r="AA52" s="514" t="str">
        <f t="array" ref="AA52">IFERROR(INDEX('INPUT CP'!$A$4:$BB64,MATCH($D52,'INPUT CP'!$D$4:$D64,0),MATCH(AA$6,'INPUT CP'!$A$3:$CO$3,0)),"")</f>
        <v>1</v>
      </c>
      <c r="AB52" s="476">
        <f t="shared" si="2"/>
        <v>994</v>
      </c>
      <c r="AC52" s="476">
        <f t="shared" si="3"/>
        <v>76.46153846</v>
      </c>
      <c r="AD52" s="479">
        <f t="shared" si="4"/>
        <v>30</v>
      </c>
    </row>
    <row r="53" ht="11.25" hidden="1" customHeight="1">
      <c r="A53" s="423"/>
      <c r="B53" s="425"/>
      <c r="C53" s="425"/>
      <c r="D53" s="426"/>
      <c r="E53" s="428"/>
      <c r="F53" s="428" t="s">
        <v>244</v>
      </c>
      <c r="G53" s="438" t="str">
        <f t="array" ref="G53">IFERROR(INDEX('INPUT CP'!$A$4:$BB64,MATCH($D53,'INPUT CP'!$D$4:$D64,0),MATCH(G$6,'INPUT CP'!$A$3:$CO$3,0)),"")</f>
        <v/>
      </c>
      <c r="H53" s="439" t="str">
        <f t="array" ref="H53">IFERROR(INDEX('INPUT CP'!$A$4:$BB64,MATCH($D53,'INPUT CP'!$D$4:$D64,0),MATCH(H$6,'INPUT CP'!$A$3:$CO$3,0)),"")</f>
        <v/>
      </c>
      <c r="I53" s="441" t="str">
        <f t="array" ref="I53">IFERROR(INDEX('INPUT CP'!$A$4:$BB64,MATCH($D53,'INPUT CP'!$D$4:$D64,0),MATCH(I$6,'INPUT CP'!$A$3:$CO$3,0)),"")</f>
        <v/>
      </c>
      <c r="J53" s="444" t="str">
        <f t="array" ref="J53">IFERROR(INDEX('INPUT CP'!$A$4:$BB64,MATCH($D53,'INPUT CP'!$D$4:$D64,0),MATCH(J$6,'INPUT CP'!$A$3:$CO$3,0)),"")</f>
        <v/>
      </c>
      <c r="K53" s="446" t="str">
        <f t="array" ref="K53">IFERROR(INDEX('INPUT CP'!$A$4:$BB64,MATCH($D53,'INPUT CP'!$D$4:$D64,0),MATCH(K$6,'INPUT CP'!$A$3:$CO$3,0)),"")</f>
        <v/>
      </c>
      <c r="L53" s="450" t="str">
        <f t="array" ref="L53">IFERROR(INDEX('INPUT CP'!$A$4:$BB64,MATCH($D53,'INPUT CP'!$D$4:$D64,0),MATCH(L$6,'INPUT CP'!$A$3:$CO$3,0)),"")</f>
        <v/>
      </c>
      <c r="M53" s="451" t="str">
        <f t="array" ref="M53">IFERROR(INDEX('INPUT CP'!$A$4:$BB64,MATCH($D53,'INPUT CP'!$D$4:$D64,0),MATCH(M$6,'INPUT CP'!$A$3:$CO$3,0)),"")</f>
        <v/>
      </c>
      <c r="N53" s="452" t="str">
        <f t="array" ref="N53">IFERROR(INDEX('INPUT CP'!$A$4:$BB64,MATCH($D53,'INPUT CP'!$D$4:$D64,0),MATCH(N$6,'INPUT CP'!$A$3:$CO$3,0)),"")</f>
        <v/>
      </c>
      <c r="O53" s="438" t="str">
        <f t="array" ref="O53">IFERROR(INDEX('INPUT CP'!$A$4:$BB64,MATCH($D53,'INPUT CP'!$D$4:$D64,0),MATCH(O$6,'INPUT CP'!$A$3:$CO$3,0)),"")</f>
        <v/>
      </c>
      <c r="P53" s="456" t="str">
        <f t="array" ref="P53">IFERROR(INDEX('INPUT CP'!$A$4:$BB64,MATCH($D53,'INPUT CP'!$D$4:$D64,0),MATCH(P$6,'INPUT CP'!$A$3:$CO$3,0)),"")</f>
        <v/>
      </c>
      <c r="Q53" s="456" t="str">
        <f t="array" ref="Q53">IFERROR(INDEX('INPUT CP'!$A$4:$BB64,MATCH($D53,'INPUT CP'!$D$4:$D64,0),MATCH(Q$6,'INPUT CP'!$A$3:$CO$3,0)),"")</f>
        <v/>
      </c>
      <c r="R53" s="456" t="str">
        <f t="array" ref="R53">IFERROR(INDEX('INPUT CP'!$A$4:$BB64,MATCH($D53,'INPUT CP'!$D$4:$D64,0),MATCH(R$6,'INPUT CP'!$A$3:$CO$3,0)),"")</f>
        <v/>
      </c>
      <c r="S53" s="456" t="str">
        <f t="array" ref="S53">IFERROR(INDEX('INPUT CP'!$A$4:$BB64,MATCH($D53,'INPUT CP'!$D$4:$D64,0),MATCH(S$6,'INPUT CP'!$A$3:$CO$3,0)),"")</f>
        <v/>
      </c>
      <c r="T53" s="461" t="str">
        <f t="array" ref="T53">IFERROR(INDEX('INPUT CP'!$A$4:$BB64,MATCH($D53,'INPUT CP'!$D$4:$D64,0),MATCH(T$6,'INPUT CP'!$A$3:$CO$3,0)),"")</f>
        <v/>
      </c>
      <c r="U53" s="463" t="str">
        <f t="array" ref="U53">IFERROR(INDEX('INPUT CP'!$A$4:$BB64,MATCH($D53,'INPUT CP'!$D$4:$D64,0),MATCH(U$6,'INPUT CP'!$A$3:$CO$3,0)),"")</f>
        <v/>
      </c>
      <c r="V53" s="439" t="str">
        <f t="array" ref="V53">IFERROR(INDEX('INPUT CP'!$A$4:$BB64,MATCH($D53,'INPUT CP'!$D$4:$D64,0),MATCH(V$6,'INPUT CP'!$A$3:$CO$3,0)),"")</f>
        <v/>
      </c>
      <c r="W53" s="468" t="str">
        <f t="array" ref="W53">IFERROR(INDEX('INPUT CP'!$A$4:$BB64,MATCH($D53,'INPUT CP'!$D$4:$D64,0),MATCH(W$6,'INPUT CP'!$A$3:$CO$3,0)),"")</f>
        <v/>
      </c>
      <c r="X53" s="470" t="str">
        <f t="array" ref="X53">IFERROR(INDEX('INPUT CP'!$A$4:$BB64,MATCH($D53,'INPUT CP'!$D$4:$D64,0),MATCH(X$6,'INPUT CP'!$A$3:$CO$3,0)),"")</f>
        <v/>
      </c>
      <c r="Y53" s="470" t="str">
        <f t="array" ref="Y53">IFERROR(INDEX('INPUT CP'!$A$4:$BB64,MATCH($D53,'INPUT CP'!$D$4:$D64,0),MATCH(Y$6,'INPUT CP'!$A$3:$CO$3,0)),"")</f>
        <v/>
      </c>
      <c r="Z53" s="470" t="str">
        <f t="array" ref="Z53">IFERROR(INDEX('INPUT CP'!$A$4:$BB64,MATCH($D53,'INPUT CP'!$D$4:$D64,0),MATCH(Z$6,'INPUT CP'!$A$3:$CO$3,0)),"")</f>
        <v/>
      </c>
      <c r="AA53" s="470" t="str">
        <f t="array" ref="AA53">IFERROR(INDEX('INPUT CP'!$A$4:$BB64,MATCH($D53,'INPUT CP'!$D$4:$D64,0),MATCH(AA$6,'INPUT CP'!$A$3:$CO$3,0)),"")</f>
        <v/>
      </c>
      <c r="AB53" s="476" t="str">
        <f t="shared" si="2"/>
        <v/>
      </c>
      <c r="AC53" s="476" t="str">
        <f t="shared" si="3"/>
        <v/>
      </c>
      <c r="AD53" s="479" t="str">
        <f t="shared" si="4"/>
        <v/>
      </c>
    </row>
    <row r="54" ht="11.25" hidden="1" customHeight="1">
      <c r="A54" s="482"/>
      <c r="B54" s="485"/>
      <c r="C54" s="485"/>
      <c r="D54" s="487"/>
      <c r="E54" s="489"/>
      <c r="F54" s="489" t="s">
        <v>244</v>
      </c>
      <c r="G54" s="438" t="str">
        <f t="array" ref="G54">IFERROR(INDEX('INPUT CP'!$A$4:$BB64,MATCH($D54,'INPUT CP'!$D$4:$D64,0),MATCH(G$6,'INPUT CP'!$A$3:$CO$3,0)),"")</f>
        <v/>
      </c>
      <c r="H54" s="439" t="str">
        <f t="array" ref="H54">IFERROR(INDEX('INPUT CP'!$A$4:$BB64,MATCH($D54,'INPUT CP'!$D$4:$D64,0),MATCH(H$6,'INPUT CP'!$A$3:$CO$3,0)),"")</f>
        <v/>
      </c>
      <c r="I54" s="441" t="str">
        <f t="array" ref="I54">IFERROR(INDEX('INPUT CP'!$A$4:$BB64,MATCH($D54,'INPUT CP'!$D$4:$D64,0),MATCH(I$6,'INPUT CP'!$A$3:$CO$3,0)),"")</f>
        <v/>
      </c>
      <c r="J54" s="444" t="str">
        <f t="array" ref="J54">IFERROR(INDEX('INPUT CP'!$A$4:$BB64,MATCH($D54,'INPUT CP'!$D$4:$D64,0),MATCH(J$6,'INPUT CP'!$A$3:$CO$3,0)),"")</f>
        <v/>
      </c>
      <c r="K54" s="446" t="str">
        <f t="array" ref="K54">IFERROR(INDEX('INPUT CP'!$A$4:$BB64,MATCH($D54,'INPUT CP'!$D$4:$D64,0),MATCH(K$6,'INPUT CP'!$A$3:$CO$3,0)),"")</f>
        <v/>
      </c>
      <c r="L54" s="450" t="str">
        <f t="array" ref="L54">IFERROR(INDEX('INPUT CP'!$A$4:$BB64,MATCH($D54,'INPUT CP'!$D$4:$D64,0),MATCH(L$6,'INPUT CP'!$A$3:$CO$3,0)),"")</f>
        <v/>
      </c>
      <c r="M54" s="451" t="str">
        <f t="array" ref="M54">IFERROR(INDEX('INPUT CP'!$A$4:$BB64,MATCH($D54,'INPUT CP'!$D$4:$D64,0),MATCH(M$6,'INPUT CP'!$A$3:$CO$3,0)),"")</f>
        <v/>
      </c>
      <c r="N54" s="452" t="str">
        <f t="array" ref="N54">IFERROR(INDEX('INPUT CP'!$A$4:$BB64,MATCH($D54,'INPUT CP'!$D$4:$D64,0),MATCH(N$6,'INPUT CP'!$A$3:$CO$3,0)),"")</f>
        <v/>
      </c>
      <c r="O54" s="438" t="str">
        <f t="array" ref="O54">IFERROR(INDEX('INPUT CP'!$A$4:$BB64,MATCH($D54,'INPUT CP'!$D$4:$D64,0),MATCH(O$6,'INPUT CP'!$A$3:$CO$3,0)),"")</f>
        <v/>
      </c>
      <c r="P54" s="456" t="str">
        <f t="array" ref="P54">IFERROR(INDEX('INPUT CP'!$A$4:$BB64,MATCH($D54,'INPUT CP'!$D$4:$D64,0),MATCH(P$6,'INPUT CP'!$A$3:$CO$3,0)),"")</f>
        <v/>
      </c>
      <c r="Q54" s="456" t="str">
        <f t="array" ref="Q54">IFERROR(INDEX('INPUT CP'!$A$4:$BB64,MATCH($D54,'INPUT CP'!$D$4:$D64,0),MATCH(Q$6,'INPUT CP'!$A$3:$CO$3,0)),"")</f>
        <v/>
      </c>
      <c r="R54" s="456" t="str">
        <f t="array" ref="R54">IFERROR(INDEX('INPUT CP'!$A$4:$BB64,MATCH($D54,'INPUT CP'!$D$4:$D64,0),MATCH(R$6,'INPUT CP'!$A$3:$CO$3,0)),"")</f>
        <v/>
      </c>
      <c r="S54" s="456" t="str">
        <f t="array" ref="S54">IFERROR(INDEX('INPUT CP'!$A$4:$BB64,MATCH($D54,'INPUT CP'!$D$4:$D64,0),MATCH(S$6,'INPUT CP'!$A$3:$CO$3,0)),"")</f>
        <v/>
      </c>
      <c r="T54" s="461" t="str">
        <f t="array" ref="T54">IFERROR(INDEX('INPUT CP'!$A$4:$BB64,MATCH($D54,'INPUT CP'!$D$4:$D64,0),MATCH(T$6,'INPUT CP'!$A$3:$CO$3,0)),"")</f>
        <v/>
      </c>
      <c r="U54" s="463" t="str">
        <f t="array" ref="U54">IFERROR(INDEX('INPUT CP'!$A$4:$BB64,MATCH($D54,'INPUT CP'!$D$4:$D64,0),MATCH(U$6,'INPUT CP'!$A$3:$CO$3,0)),"")</f>
        <v/>
      </c>
      <c r="V54" s="439" t="str">
        <f t="array" ref="V54">IFERROR(INDEX('INPUT CP'!$A$4:$BB64,MATCH($D54,'INPUT CP'!$D$4:$D64,0),MATCH(V$6,'INPUT CP'!$A$3:$CO$3,0)),"")</f>
        <v/>
      </c>
      <c r="W54" s="513" t="str">
        <f t="array" ref="W54">IFERROR(INDEX('INPUT CP'!$A$4:$BB64,MATCH($D54,'INPUT CP'!$D$4:$D64,0),MATCH(W$6,'INPUT CP'!$A$3:$CO$3,0)),"")</f>
        <v/>
      </c>
      <c r="X54" s="514" t="str">
        <f t="array" ref="X54">IFERROR(INDEX('INPUT CP'!$A$4:$BB64,MATCH($D54,'INPUT CP'!$D$4:$D64,0),MATCH(X$6,'INPUT CP'!$A$3:$CO$3,0)),"")</f>
        <v/>
      </c>
      <c r="Y54" s="514" t="str">
        <f t="array" ref="Y54">IFERROR(INDEX('INPUT CP'!$A$4:$BB64,MATCH($D54,'INPUT CP'!$D$4:$D64,0),MATCH(Y$6,'INPUT CP'!$A$3:$CO$3,0)),"")</f>
        <v/>
      </c>
      <c r="Z54" s="514" t="str">
        <f t="array" ref="Z54">IFERROR(INDEX('INPUT CP'!$A$4:$BB64,MATCH($D54,'INPUT CP'!$D$4:$D64,0),MATCH(Z$6,'INPUT CP'!$A$3:$CO$3,0)),"")</f>
        <v/>
      </c>
      <c r="AA54" s="514" t="str">
        <f t="array" ref="AA54">IFERROR(INDEX('INPUT CP'!$A$4:$BB64,MATCH($D54,'INPUT CP'!$D$4:$D64,0),MATCH(AA$6,'INPUT CP'!$A$3:$CO$3,0)),"")</f>
        <v/>
      </c>
      <c r="AB54" s="476" t="str">
        <f t="shared" si="2"/>
        <v/>
      </c>
      <c r="AC54" s="476" t="str">
        <f t="shared" si="3"/>
        <v/>
      </c>
      <c r="AD54" s="479" t="str">
        <f t="shared" si="4"/>
        <v/>
      </c>
    </row>
    <row r="55" ht="11.25" hidden="1" customHeight="1">
      <c r="A55" s="423"/>
      <c r="B55" s="425"/>
      <c r="C55" s="425"/>
      <c r="D55" s="426"/>
      <c r="E55" s="428"/>
      <c r="F55" s="428" t="s">
        <v>244</v>
      </c>
      <c r="G55" s="438" t="str">
        <f t="array" ref="G55">IFERROR(INDEX('INPUT CP'!$A$4:$BB64,MATCH($D55,'INPUT CP'!$D$4:$D64,0),MATCH(G$6,'INPUT CP'!$A$3:$CO$3,0)),"")</f>
        <v/>
      </c>
      <c r="H55" s="439" t="str">
        <f t="array" ref="H55">IFERROR(INDEX('INPUT CP'!$A$4:$BB64,MATCH($D55,'INPUT CP'!$D$4:$D64,0),MATCH(H$6,'INPUT CP'!$A$3:$CO$3,0)),"")</f>
        <v/>
      </c>
      <c r="I55" s="441" t="str">
        <f t="array" ref="I55">IFERROR(INDEX('INPUT CP'!$A$4:$BB64,MATCH($D55,'INPUT CP'!$D$4:$D64,0),MATCH(I$6,'INPUT CP'!$A$3:$CO$3,0)),"")</f>
        <v/>
      </c>
      <c r="J55" s="444" t="str">
        <f t="array" ref="J55">IFERROR(INDEX('INPUT CP'!$A$4:$BB64,MATCH($D55,'INPUT CP'!$D$4:$D64,0),MATCH(J$6,'INPUT CP'!$A$3:$CO$3,0)),"")</f>
        <v/>
      </c>
      <c r="K55" s="446" t="str">
        <f t="array" ref="K55">IFERROR(INDEX('INPUT CP'!$A$4:$BB64,MATCH($D55,'INPUT CP'!$D$4:$D64,0),MATCH(K$6,'INPUT CP'!$A$3:$CO$3,0)),"")</f>
        <v/>
      </c>
      <c r="L55" s="450" t="str">
        <f t="array" ref="L55">IFERROR(INDEX('INPUT CP'!$A$4:$BB64,MATCH($D55,'INPUT CP'!$D$4:$D64,0),MATCH(L$6,'INPUT CP'!$A$3:$CO$3,0)),"")</f>
        <v/>
      </c>
      <c r="M55" s="451" t="str">
        <f t="array" ref="M55">IFERROR(INDEX('INPUT CP'!$A$4:$BB64,MATCH($D55,'INPUT CP'!$D$4:$D64,0),MATCH(M$6,'INPUT CP'!$A$3:$CO$3,0)),"")</f>
        <v/>
      </c>
      <c r="N55" s="452" t="str">
        <f t="array" ref="N55">IFERROR(INDEX('INPUT CP'!$A$4:$BB64,MATCH($D55,'INPUT CP'!$D$4:$D64,0),MATCH(N$6,'INPUT CP'!$A$3:$CO$3,0)),"")</f>
        <v/>
      </c>
      <c r="O55" s="438" t="str">
        <f t="array" ref="O55">IFERROR(INDEX('INPUT CP'!$A$4:$BB64,MATCH($D55,'INPUT CP'!$D$4:$D64,0),MATCH(O$6,'INPUT CP'!$A$3:$CO$3,0)),"")</f>
        <v/>
      </c>
      <c r="P55" s="456" t="str">
        <f t="array" ref="P55">IFERROR(INDEX('INPUT CP'!$A$4:$BB64,MATCH($D55,'INPUT CP'!$D$4:$D64,0),MATCH(P$6,'INPUT CP'!$A$3:$CO$3,0)),"")</f>
        <v/>
      </c>
      <c r="Q55" s="456" t="str">
        <f t="array" ref="Q55">IFERROR(INDEX('INPUT CP'!$A$4:$BB64,MATCH($D55,'INPUT CP'!$D$4:$D64,0),MATCH(Q$6,'INPUT CP'!$A$3:$CO$3,0)),"")</f>
        <v/>
      </c>
      <c r="R55" s="456" t="str">
        <f t="array" ref="R55">IFERROR(INDEX('INPUT CP'!$A$4:$BB64,MATCH($D55,'INPUT CP'!$D$4:$D64,0),MATCH(R$6,'INPUT CP'!$A$3:$CO$3,0)),"")</f>
        <v/>
      </c>
      <c r="S55" s="456" t="str">
        <f t="array" ref="S55">IFERROR(INDEX('INPUT CP'!$A$4:$BB64,MATCH($D55,'INPUT CP'!$D$4:$D64,0),MATCH(S$6,'INPUT CP'!$A$3:$CO$3,0)),"")</f>
        <v/>
      </c>
      <c r="T55" s="461" t="str">
        <f t="array" ref="T55">IFERROR(INDEX('INPUT CP'!$A$4:$BB64,MATCH($D55,'INPUT CP'!$D$4:$D64,0),MATCH(T$6,'INPUT CP'!$A$3:$CO$3,0)),"")</f>
        <v/>
      </c>
      <c r="U55" s="463" t="str">
        <f t="array" ref="U55">IFERROR(INDEX('INPUT CP'!$A$4:$BB64,MATCH($D55,'INPUT CP'!$D$4:$D64,0),MATCH(U$6,'INPUT CP'!$A$3:$CO$3,0)),"")</f>
        <v/>
      </c>
      <c r="V55" s="439" t="str">
        <f t="array" ref="V55">IFERROR(INDEX('INPUT CP'!$A$4:$BB64,MATCH($D55,'INPUT CP'!$D$4:$D64,0),MATCH(V$6,'INPUT CP'!$A$3:$CO$3,0)),"")</f>
        <v/>
      </c>
      <c r="W55" s="468" t="str">
        <f t="array" ref="W55">IFERROR(INDEX('INPUT CP'!$A$4:$BB64,MATCH($D55,'INPUT CP'!$D$4:$D64,0),MATCH(W$6,'INPUT CP'!$A$3:$CO$3,0)),"")</f>
        <v/>
      </c>
      <c r="X55" s="470" t="str">
        <f t="array" ref="X55">IFERROR(INDEX('INPUT CP'!$A$4:$BB64,MATCH($D55,'INPUT CP'!$D$4:$D64,0),MATCH(X$6,'INPUT CP'!$A$3:$CO$3,0)),"")</f>
        <v/>
      </c>
      <c r="Y55" s="470" t="str">
        <f t="array" ref="Y55">IFERROR(INDEX('INPUT CP'!$A$4:$BB64,MATCH($D55,'INPUT CP'!$D$4:$D64,0),MATCH(Y$6,'INPUT CP'!$A$3:$CO$3,0)),"")</f>
        <v/>
      </c>
      <c r="Z55" s="470" t="str">
        <f t="array" ref="Z55">IFERROR(INDEX('INPUT CP'!$A$4:$BB64,MATCH($D55,'INPUT CP'!$D$4:$D64,0),MATCH(Z$6,'INPUT CP'!$A$3:$CO$3,0)),"")</f>
        <v/>
      </c>
      <c r="AA55" s="470" t="str">
        <f t="array" ref="AA55">IFERROR(INDEX('INPUT CP'!$A$4:$BB64,MATCH($D55,'INPUT CP'!$D$4:$D64,0),MATCH(AA$6,'INPUT CP'!$A$3:$CO$3,0)),"")</f>
        <v/>
      </c>
      <c r="AB55" s="476" t="str">
        <f t="shared" si="2"/>
        <v/>
      </c>
      <c r="AC55" s="476" t="str">
        <f t="shared" si="3"/>
        <v/>
      </c>
      <c r="AD55" s="479" t="str">
        <f t="shared" si="4"/>
        <v/>
      </c>
    </row>
    <row r="56" ht="11.25" hidden="1" customHeight="1">
      <c r="A56" s="979"/>
      <c r="B56" s="980"/>
      <c r="C56" s="980"/>
      <c r="D56" s="981"/>
      <c r="E56" s="982"/>
      <c r="F56" s="982" t="s">
        <v>244</v>
      </c>
      <c r="G56" s="983" t="str">
        <f t="array" ref="G56">IFERROR(INDEX('INPUT CP'!$A$4:$BB64,MATCH($D56,'INPUT CP'!$D$4:$D64,0),MATCH(G$6,'INPUT CP'!$A$3:$CO$3,0)),"")</f>
        <v/>
      </c>
      <c r="H56" s="985" t="str">
        <f t="array" ref="H56">IFERROR(INDEX('INPUT CP'!$A$4:$BB64,MATCH($D56,'INPUT CP'!$D$4:$D64,0),MATCH(H$6,'INPUT CP'!$A$3:$CO$3,0)),"")</f>
        <v/>
      </c>
      <c r="I56" s="986" t="str">
        <f t="array" ref="I56">IFERROR(INDEX('INPUT CP'!$A$4:$BB64,MATCH($D56,'INPUT CP'!$D$4:$D64,0),MATCH(I$6,'INPUT CP'!$A$3:$CO$3,0)),"")</f>
        <v/>
      </c>
      <c r="J56" s="987" t="str">
        <f t="array" ref="J56">IFERROR(INDEX('INPUT CP'!$A$4:$BB64,MATCH($D56,'INPUT CP'!$D$4:$D64,0),MATCH(J$6,'INPUT CP'!$A$3:$CO$3,0)),"")</f>
        <v/>
      </c>
      <c r="K56" s="988" t="str">
        <f t="array" ref="K56">IFERROR(INDEX('INPUT CP'!$A$4:$BB64,MATCH($D56,'INPUT CP'!$D$4:$D64,0),MATCH(K$6,'INPUT CP'!$A$3:$CO$3,0)),"")</f>
        <v/>
      </c>
      <c r="L56" s="989" t="str">
        <f t="array" ref="L56">IFERROR(INDEX('INPUT CP'!$A$4:$BB64,MATCH($D56,'INPUT CP'!$D$4:$D64,0),MATCH(L$6,'INPUT CP'!$A$3:$CO$3,0)),"")</f>
        <v/>
      </c>
      <c r="M56" s="990" t="str">
        <f t="array" ref="M56">IFERROR(INDEX('INPUT CP'!$A$4:$BB64,MATCH($D56,'INPUT CP'!$D$4:$D64,0),MATCH(M$6,'INPUT CP'!$A$3:$CO$3,0)),"")</f>
        <v/>
      </c>
      <c r="N56" s="991" t="str">
        <f t="array" ref="N56">IFERROR(INDEX('INPUT CP'!$A$4:$BB64,MATCH($D56,'INPUT CP'!$D$4:$D64,0),MATCH(N$6,'INPUT CP'!$A$3:$CO$3,0)),"")</f>
        <v/>
      </c>
      <c r="O56" s="992" t="str">
        <f t="array" ref="O56">IFERROR(INDEX('INPUT CP'!$A$4:$BB64,MATCH($D56,'INPUT CP'!$D$4:$D64,0),MATCH(O$6,'INPUT CP'!$A$3:$CO$3,0)),"")</f>
        <v/>
      </c>
      <c r="P56" s="993" t="str">
        <f t="array" ref="P56">IFERROR(INDEX('INPUT CP'!$A$4:$BB64,MATCH($D56,'INPUT CP'!$D$4:$D64,0),MATCH(P$6,'INPUT CP'!$A$3:$CO$3,0)),"")</f>
        <v/>
      </c>
      <c r="Q56" s="993" t="str">
        <f t="array" ref="Q56">IFERROR(INDEX('INPUT CP'!$A$4:$BB64,MATCH($D56,'INPUT CP'!$D$4:$D64,0),MATCH(Q$6,'INPUT CP'!$A$3:$CO$3,0)),"")</f>
        <v/>
      </c>
      <c r="R56" s="993" t="str">
        <f t="array" ref="R56">IFERROR(INDEX('INPUT CP'!$A$4:$BB64,MATCH($D56,'INPUT CP'!$D$4:$D64,0),MATCH(R$6,'INPUT CP'!$A$3:$CO$3,0)),"")</f>
        <v/>
      </c>
      <c r="S56" s="993" t="str">
        <f t="array" ref="S56">IFERROR(INDEX('INPUT CP'!$A$4:$BB64,MATCH($D56,'INPUT CP'!$D$4:$D64,0),MATCH(S$6,'INPUT CP'!$A$3:$CO$3,0)),"")</f>
        <v/>
      </c>
      <c r="T56" s="994" t="str">
        <f t="array" ref="T56">IFERROR(INDEX('INPUT CP'!$A$4:$BB64,MATCH($D56,'INPUT CP'!$D$4:$D64,0),MATCH(T$6,'INPUT CP'!$A$3:$CO$3,0)),"")</f>
        <v/>
      </c>
      <c r="U56" s="995" t="str">
        <f t="array" ref="U56">IFERROR(INDEX('INPUT CP'!$A$4:$BB64,MATCH($D56,'INPUT CP'!$D$4:$D64,0),MATCH(U$6,'INPUT CP'!$A$3:$CO$3,0)),"")</f>
        <v/>
      </c>
      <c r="V56" s="985" t="str">
        <f t="array" ref="V56">IFERROR(INDEX('INPUT CP'!$A$4:$BB64,MATCH($D56,'INPUT CP'!$D$4:$D64,0),MATCH(V$6,'INPUT CP'!$A$3:$CO$3,0)),"")</f>
        <v/>
      </c>
      <c r="W56" s="996" t="str">
        <f t="array" ref="W56">IFERROR(INDEX('INPUT CP'!$A$4:$BB64,MATCH($D56,'INPUT CP'!$D$4:$D64,0),MATCH(W$6,'INPUT CP'!$A$3:$CO$3,0)),"")</f>
        <v/>
      </c>
      <c r="X56" s="997" t="str">
        <f t="array" ref="X56">IFERROR(INDEX('INPUT CP'!$A$4:$BB64,MATCH($D56,'INPUT CP'!$D$4:$D64,0),MATCH(X$6,'INPUT CP'!$A$3:$CO$3,0)),"")</f>
        <v/>
      </c>
      <c r="Y56" s="997" t="str">
        <f t="array" ref="Y56">IFERROR(INDEX('INPUT CP'!$A$4:$BB64,MATCH($D56,'INPUT CP'!$D$4:$D64,0),MATCH(Y$6,'INPUT CP'!$A$3:$CO$3,0)),"")</f>
        <v/>
      </c>
      <c r="Z56" s="997" t="str">
        <f t="array" ref="Z56">IFERROR(INDEX('INPUT CP'!$A$4:$BB64,MATCH($D56,'INPUT CP'!$D$4:$D64,0),MATCH(Z$6,'INPUT CP'!$A$3:$CO$3,0)),"")</f>
        <v/>
      </c>
      <c r="AA56" s="997" t="str">
        <f t="array" ref="AA56">IFERROR(INDEX('INPUT CP'!$A$4:$BB64,MATCH($D56,'INPUT CP'!$D$4:$D64,0),MATCH(AA$6,'INPUT CP'!$A$3:$CO$3,0)),"")</f>
        <v/>
      </c>
      <c r="AB56" s="997" t="str">
        <f t="shared" si="2"/>
        <v/>
      </c>
      <c r="AC56" s="997" t="str">
        <f t="shared" si="3"/>
        <v/>
      </c>
      <c r="AD56" s="998" t="str">
        <f t="shared" si="4"/>
        <v/>
      </c>
    </row>
    <row r="57" ht="12.0" customHeight="1">
      <c r="A57" s="999"/>
      <c r="B57" s="999"/>
      <c r="C57" s="999"/>
      <c r="D57" s="999"/>
      <c r="E57" s="1000"/>
      <c r="F57" s="1000" t="s">
        <v>244</v>
      </c>
      <c r="G57" s="999"/>
      <c r="H57" s="999"/>
      <c r="I57" s="999"/>
      <c r="J57" s="999"/>
      <c r="K57" s="999"/>
      <c r="L57" s="999"/>
      <c r="M57" s="999"/>
      <c r="N57" s="999"/>
      <c r="O57" s="999"/>
      <c r="P57" s="999"/>
      <c r="Q57" s="999"/>
      <c r="R57" s="999"/>
      <c r="S57" s="1001"/>
      <c r="T57" s="1001"/>
      <c r="U57" s="999"/>
      <c r="V57" s="999"/>
      <c r="W57" s="999"/>
      <c r="X57" s="999"/>
      <c r="Y57" s="999"/>
      <c r="Z57" s="999"/>
      <c r="AA57" s="999"/>
      <c r="AB57" s="999"/>
      <c r="AC57" s="999"/>
      <c r="AD57" s="999"/>
    </row>
    <row r="58" ht="12.0" customHeight="1">
      <c r="A58" s="1003"/>
      <c r="B58" s="1004"/>
      <c r="C58" s="1004"/>
      <c r="D58" s="1004"/>
      <c r="E58" s="1000"/>
      <c r="F58" s="1006" t="s">
        <v>244</v>
      </c>
      <c r="G58" s="1007"/>
      <c r="H58" s="1007"/>
      <c r="I58" s="1007"/>
      <c r="J58" s="1008"/>
      <c r="K58" s="1008"/>
      <c r="L58" s="1009"/>
      <c r="M58" s="1009"/>
      <c r="N58" s="1009"/>
      <c r="O58" s="1009"/>
      <c r="P58" s="1009"/>
      <c r="Q58" s="1009"/>
      <c r="R58" s="1008"/>
      <c r="S58" s="1010"/>
      <c r="T58" s="1010"/>
      <c r="U58" s="1009"/>
      <c r="V58" s="1011"/>
      <c r="W58" s="1009"/>
      <c r="X58" s="1009"/>
      <c r="Y58" s="1012" t="str">
        <f t="array" ref="Y58">INDEX(SETTING!$C$34:$C$35,MATCH(SETTING!$C$3,SETTING!$D$34:$D$35,0))</f>
        <v>Purwakarta, 22 Desember 2025</v>
      </c>
      <c r="Z58" s="1009"/>
      <c r="AA58" s="1009"/>
      <c r="AB58" s="1013"/>
      <c r="AC58" s="1013"/>
      <c r="AD58" s="1014"/>
    </row>
    <row r="59" ht="12.0" customHeight="1">
      <c r="A59" s="1003"/>
      <c r="B59" s="1015"/>
      <c r="C59" s="1015"/>
      <c r="D59" s="1015" t="s">
        <v>366</v>
      </c>
      <c r="E59" s="1000"/>
      <c r="F59" s="1006" t="s">
        <v>220</v>
      </c>
      <c r="G59" s="1007"/>
      <c r="H59" s="1007"/>
      <c r="I59" s="1007"/>
      <c r="J59" s="1008"/>
      <c r="K59" s="1008"/>
      <c r="L59" s="1009"/>
      <c r="M59" s="1009"/>
      <c r="N59" s="1009"/>
      <c r="O59" s="1009"/>
      <c r="P59" s="1009"/>
      <c r="Q59" s="1009"/>
      <c r="R59" s="1008"/>
      <c r="S59" s="1010"/>
      <c r="T59" s="1010"/>
      <c r="U59" s="1009"/>
      <c r="V59" s="1011"/>
      <c r="W59" s="1009"/>
      <c r="X59" s="1009"/>
      <c r="Y59" s="1012"/>
      <c r="Z59" s="1009"/>
      <c r="AA59" s="1009"/>
      <c r="AB59" s="1013"/>
      <c r="AC59" s="1013"/>
      <c r="AD59" s="1014"/>
    </row>
    <row r="60" ht="12.0" customHeight="1">
      <c r="A60" s="1003"/>
      <c r="B60" s="1015"/>
      <c r="C60" s="1015"/>
      <c r="D60" s="1015" t="str">
        <f>"Kepala "&amp;SETTING!$C$30</f>
        <v>Kepala SMKN 1 PLERED</v>
      </c>
      <c r="E60" s="1000"/>
      <c r="F60" s="1006" t="s">
        <v>220</v>
      </c>
      <c r="G60" s="1007"/>
      <c r="H60" s="1007"/>
      <c r="I60" s="1007"/>
      <c r="J60" s="1008"/>
      <c r="K60" s="1008"/>
      <c r="L60" s="1009"/>
      <c r="M60" s="1009"/>
      <c r="N60" s="1009"/>
      <c r="O60" s="1009"/>
      <c r="P60" s="1009"/>
      <c r="Q60" s="1009"/>
      <c r="R60" s="1008"/>
      <c r="S60" s="1010"/>
      <c r="T60" s="1010"/>
      <c r="U60" s="1009"/>
      <c r="V60" s="1011"/>
      <c r="W60" s="1009"/>
      <c r="X60" s="1009"/>
      <c r="Y60" s="1012" t="s">
        <v>368</v>
      </c>
      <c r="Z60" s="1009"/>
      <c r="AA60" s="1009"/>
      <c r="AB60" s="1013"/>
      <c r="AC60" s="1013"/>
      <c r="AD60" s="1014"/>
    </row>
    <row r="61" ht="12.0" customHeight="1">
      <c r="A61" s="1003"/>
      <c r="B61" s="1015"/>
      <c r="C61" s="1015"/>
      <c r="D61" s="1015"/>
      <c r="E61" s="1000"/>
      <c r="F61" s="1006" t="s">
        <v>244</v>
      </c>
      <c r="G61" s="1007"/>
      <c r="H61" s="1007"/>
      <c r="I61" s="1007"/>
      <c r="J61" s="1008"/>
      <c r="K61" s="1008"/>
      <c r="L61" s="1009"/>
      <c r="M61" s="1009"/>
      <c r="N61" s="1009"/>
      <c r="O61" s="1009"/>
      <c r="P61" s="1009"/>
      <c r="Q61" s="1009"/>
      <c r="R61" s="1008"/>
      <c r="S61" s="1010"/>
      <c r="T61" s="1010"/>
      <c r="U61" s="1009"/>
      <c r="V61" s="1011"/>
      <c r="W61" s="1009"/>
      <c r="X61" s="1009"/>
      <c r="Y61" s="1012"/>
      <c r="Z61" s="1009"/>
      <c r="AA61" s="1009"/>
      <c r="AB61" s="1013"/>
      <c r="AC61" s="1013"/>
      <c r="AD61" s="1014"/>
    </row>
    <row r="62" ht="12.0" customHeight="1">
      <c r="A62" s="1003"/>
      <c r="B62" s="1015"/>
      <c r="C62" s="1015"/>
      <c r="D62" s="1015"/>
      <c r="E62" s="1000"/>
      <c r="F62" s="1006" t="s">
        <v>244</v>
      </c>
      <c r="G62" s="1007"/>
      <c r="H62" s="1007"/>
      <c r="I62" s="1007"/>
      <c r="J62" s="1008"/>
      <c r="K62" s="1008"/>
      <c r="L62" s="1009"/>
      <c r="M62" s="1009"/>
      <c r="N62" s="1009"/>
      <c r="O62" s="1009"/>
      <c r="P62" s="1009"/>
      <c r="Q62" s="1009"/>
      <c r="R62" s="1008"/>
      <c r="S62" s="1010"/>
      <c r="T62" s="1010"/>
      <c r="U62" s="1009"/>
      <c r="V62" s="1011"/>
      <c r="W62" s="1009"/>
      <c r="X62" s="1009"/>
      <c r="Y62" s="1012"/>
      <c r="Z62" s="1009"/>
      <c r="AA62" s="1009"/>
      <c r="AB62" s="1013"/>
      <c r="AC62" s="1013"/>
      <c r="AD62" s="1014"/>
    </row>
    <row r="63" ht="12.0" customHeight="1">
      <c r="A63" s="1003"/>
      <c r="B63" s="1016"/>
      <c r="C63" s="1016"/>
      <c r="D63" s="1016" t="str">
        <f>SETTING!$C$32</f>
        <v>WAHYU TAMIMBARKAH, S,Pd.</v>
      </c>
      <c r="E63" s="1000"/>
      <c r="F63" s="1006" t="s">
        <v>220</v>
      </c>
      <c r="G63" s="1007"/>
      <c r="H63" s="1007"/>
      <c r="I63" s="1007"/>
      <c r="J63" s="1008"/>
      <c r="K63" s="1008"/>
      <c r="L63" s="1009"/>
      <c r="M63" s="1009"/>
      <c r="N63" s="1009"/>
      <c r="O63" s="1009"/>
      <c r="P63" s="1009"/>
      <c r="Q63" s="1009"/>
      <c r="R63" s="1008"/>
      <c r="S63" s="1010"/>
      <c r="T63" s="1010"/>
      <c r="U63" s="1009"/>
      <c r="V63" s="1011"/>
      <c r="W63" s="1009"/>
      <c r="X63" s="1009"/>
      <c r="Y63" s="1017" t="str">
        <f>SETTING!$C$9</f>
        <v>ASEP SANDIANA AZHAR, S.T.</v>
      </c>
      <c r="Z63" s="1009"/>
      <c r="AA63" s="1009"/>
      <c r="AB63" s="1013"/>
      <c r="AC63" s="1013"/>
      <c r="AD63" s="1014"/>
    </row>
    <row r="64" ht="12.0" customHeight="1">
      <c r="A64" s="1003"/>
      <c r="B64" s="1015"/>
      <c r="C64" s="1015"/>
      <c r="D64" s="1015" t="str">
        <f>SETTING!$C$33</f>
        <v>NIP. 197111022008011001</v>
      </c>
      <c r="E64" s="1000"/>
      <c r="F64" s="1006" t="s">
        <v>220</v>
      </c>
      <c r="G64" s="1007"/>
      <c r="H64" s="1007"/>
      <c r="I64" s="1007"/>
      <c r="J64" s="1008"/>
      <c r="K64" s="1008"/>
      <c r="L64" s="1009"/>
      <c r="M64" s="1009"/>
      <c r="N64" s="1009"/>
      <c r="O64" s="1009"/>
      <c r="P64" s="1009"/>
      <c r="Q64" s="1009"/>
      <c r="R64" s="1008"/>
      <c r="S64" s="1010"/>
      <c r="T64" s="1010"/>
      <c r="U64" s="1009"/>
      <c r="V64" s="1011"/>
      <c r="W64" s="1009"/>
      <c r="X64" s="1009"/>
      <c r="Y64" s="1018" t="str">
        <f>SETTING!$C$10</f>
        <v>NIP. 199203032025211186</v>
      </c>
      <c r="Z64" s="1009"/>
      <c r="AA64" s="1009"/>
      <c r="AB64" s="1013"/>
      <c r="AC64" s="1013"/>
      <c r="AD64" s="1014"/>
    </row>
  </sheetData>
  <mergeCells count="4">
    <mergeCell ref="A1:AA1"/>
    <mergeCell ref="AB1:AD3"/>
    <mergeCell ref="A2:AA2"/>
    <mergeCell ref="A3:AA3"/>
  </mergeCells>
  <conditionalFormatting sqref="AD7:AD55 AD58:AD64">
    <cfRule type="colorScale" priority="1">
      <colorScale>
        <cfvo type="formula" val="1"/>
        <cfvo type="formula" val="12"/>
        <cfvo type="formula" val="24"/>
        <color rgb="FF57BB8A"/>
        <color rgb="FFFFD666"/>
        <color rgb="FFE67C73"/>
      </colorScale>
    </cfRule>
  </conditionalFormatting>
  <conditionalFormatting sqref="G7:V56">
    <cfRule type="cellIs" dxfId="9" priority="2" operator="lessThan">
      <formula>72</formula>
    </cfRule>
  </conditionalFormatting>
  <printOptions/>
  <pageMargins bottom="0.0" footer="0.0" header="0.0" left="0.5118110236220472" right="0.0" top="0.2362204724409449"/>
  <pageSetup paperSize="9" scale="8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fitToPage="1"/>
  </sheetPr>
  <sheetViews>
    <sheetView workbookViewId="0"/>
  </sheetViews>
  <sheetFormatPr customHeight="1" defaultColWidth="14.43" defaultRowHeight="15.0"/>
  <cols>
    <col customWidth="1" min="1" max="1" width="5.14"/>
    <col customWidth="1" min="2" max="2" width="10.57"/>
    <col customWidth="1" min="3" max="3" width="8.43"/>
    <col customWidth="1" min="4" max="4" width="19.86"/>
    <col customWidth="1" min="5" max="5" width="2.86"/>
    <col customWidth="1" min="6" max="6" width="9.57"/>
    <col customWidth="1" min="7" max="7" width="8.0"/>
    <col customWidth="1" min="8" max="8" width="1.57"/>
    <col customWidth="1" min="9" max="9" width="8.0"/>
    <col customWidth="1" min="10" max="10" width="1.29"/>
    <col customWidth="1" min="11" max="11" width="8.0"/>
    <col customWidth="1" min="12" max="12" width="1.57"/>
    <col customWidth="1" min="13" max="13" width="8.0"/>
    <col customWidth="1" min="14" max="14" width="1.14"/>
    <col customWidth="1" min="15" max="15" width="8.0"/>
    <col customWidth="1" min="16" max="16" width="2.29"/>
    <col customWidth="1" min="17" max="17" width="1.57"/>
    <col customWidth="1" min="18" max="18" width="10.86"/>
    <col customWidth="1" min="19" max="19" width="7.86"/>
    <col customWidth="1" min="20" max="20" width="15.14"/>
    <col customWidth="1" min="21" max="21" width="3.0"/>
    <col customWidth="1" min="22" max="22" width="21.14"/>
    <col customWidth="1" min="23" max="23" width="2.86"/>
    <col customWidth="1" min="24" max="24" width="6.0"/>
    <col customWidth="1" min="25" max="25" width="21.14"/>
    <col customWidth="1" min="26" max="26" width="20.57"/>
    <col customWidth="1" min="27" max="27" width="2.43"/>
    <col customWidth="1" min="28" max="28" width="42.14"/>
    <col customWidth="1" min="29" max="82" width="24.86"/>
  </cols>
  <sheetData>
    <row r="1" ht="14.25" customHeight="1">
      <c r="A1" s="422" t="s">
        <v>335</v>
      </c>
      <c r="C1" s="424" t="s">
        <v>336</v>
      </c>
      <c r="D1" s="427" t="str">
        <f>'AREA-WALAS'!$B$5</f>
        <v>MUHAMMAD GALANG GUNAWAN</v>
      </c>
      <c r="E1" s="429"/>
      <c r="F1" s="429"/>
      <c r="G1" s="427"/>
      <c r="H1" s="427"/>
      <c r="I1" s="427"/>
      <c r="J1" s="427"/>
      <c r="K1" s="430" t="s">
        <v>337</v>
      </c>
      <c r="L1" s="429"/>
      <c r="M1" s="427"/>
      <c r="N1" s="427"/>
      <c r="O1" s="431" t="s">
        <v>336</v>
      </c>
      <c r="P1" s="430" t="str">
        <f>SETTING!$C$2</f>
        <v>X TO 4</v>
      </c>
      <c r="Q1" s="432"/>
      <c r="R1" s="429"/>
      <c r="S1" s="433">
        <v>4.0</v>
      </c>
      <c r="T1" s="434"/>
      <c r="U1" s="435"/>
      <c r="V1" s="435"/>
      <c r="W1" s="15"/>
      <c r="X1" s="15"/>
      <c r="Y1" s="15"/>
      <c r="Z1" s="15"/>
      <c r="AA1" s="15"/>
      <c r="AB1" s="436"/>
      <c r="AD1" s="436"/>
      <c r="AE1" s="437"/>
      <c r="AF1" s="437"/>
      <c r="AG1" s="437"/>
      <c r="AH1" s="437"/>
      <c r="AI1" s="437"/>
      <c r="AJ1" s="437"/>
      <c r="AK1" s="437"/>
      <c r="AL1" s="437"/>
      <c r="AM1" s="437"/>
      <c r="AN1" s="437"/>
      <c r="AO1" s="437"/>
      <c r="AP1" s="437"/>
      <c r="AQ1" s="437"/>
      <c r="AR1" s="437"/>
      <c r="AS1" s="437"/>
      <c r="AT1" s="437"/>
      <c r="AU1" s="437"/>
      <c r="AV1" s="437"/>
      <c r="AW1" s="437"/>
      <c r="AX1" s="437"/>
      <c r="AY1" s="437"/>
      <c r="AZ1" s="437"/>
      <c r="BA1" s="437"/>
      <c r="BB1" s="437"/>
      <c r="BC1" s="437"/>
      <c r="BD1" s="437"/>
      <c r="BE1" s="437"/>
      <c r="BF1" s="437"/>
      <c r="BG1" s="437"/>
      <c r="BH1" s="437"/>
      <c r="BI1" s="437"/>
      <c r="BJ1" s="437"/>
      <c r="BK1" s="437"/>
      <c r="BL1" s="437"/>
      <c r="BM1" s="437"/>
      <c r="BN1" s="437"/>
      <c r="BO1" s="437"/>
      <c r="BP1" s="437"/>
      <c r="BQ1" s="437"/>
      <c r="BR1" s="437"/>
      <c r="BS1" s="437"/>
      <c r="BT1" s="437"/>
      <c r="BU1" s="437"/>
      <c r="BV1" s="437"/>
      <c r="BW1" s="437"/>
      <c r="BX1" s="437"/>
      <c r="BY1" s="437"/>
      <c r="BZ1" s="437"/>
      <c r="CA1" s="437"/>
      <c r="CB1" s="437"/>
      <c r="CC1" s="437"/>
      <c r="CD1" s="437"/>
    </row>
    <row r="2" ht="14.25" customHeight="1">
      <c r="A2" s="440" t="s">
        <v>338</v>
      </c>
      <c r="C2" s="424" t="s">
        <v>336</v>
      </c>
      <c r="D2" s="442" t="str">
        <f t="array" ref="D2">index('INPUT SUMATIF'!$B$5:$B$54,match($D$1,'INPUT SUMATIF'!$D$5:$D$54,0))&amp;" / "&amp;
index('INPUT SUMATIF'!$C$5:$C$54,match($D$1,'INPUT SUMATIF'!$D$5:$D$54,0))</f>
        <v>2526100440 / 0105005356</v>
      </c>
      <c r="E2" s="429"/>
      <c r="F2" s="429"/>
      <c r="G2" s="443"/>
      <c r="H2" s="429"/>
      <c r="I2" s="429"/>
      <c r="J2" s="429"/>
      <c r="K2" s="429" t="s">
        <v>339</v>
      </c>
      <c r="L2" s="429"/>
      <c r="M2" s="429"/>
      <c r="N2" s="429"/>
      <c r="O2" s="431" t="s">
        <v>336</v>
      </c>
      <c r="P2" s="430" t="str">
        <f>SETTING!$C$5</f>
        <v>E</v>
      </c>
      <c r="Q2" s="432"/>
      <c r="R2" s="429"/>
      <c r="S2" s="429"/>
      <c r="T2" s="429"/>
      <c r="V2" s="435"/>
      <c r="W2" s="15"/>
      <c r="X2" s="15"/>
      <c r="Y2" s="15"/>
      <c r="Z2" s="15"/>
      <c r="AA2" s="15"/>
      <c r="AB2" s="436"/>
      <c r="AD2" s="1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5"/>
      <c r="BO2" s="445"/>
      <c r="BP2" s="445"/>
      <c r="BQ2" s="445"/>
      <c r="BR2" s="445"/>
      <c r="BS2" s="445"/>
      <c r="BT2" s="445"/>
      <c r="BU2" s="445"/>
      <c r="BV2" s="445"/>
      <c r="BW2" s="445"/>
      <c r="BX2" s="445"/>
      <c r="BY2" s="445"/>
      <c r="BZ2" s="445"/>
      <c r="CA2" s="445"/>
      <c r="CB2" s="445"/>
      <c r="CC2" s="445"/>
      <c r="CD2" s="445"/>
    </row>
    <row r="3" ht="15.0" customHeight="1">
      <c r="A3" s="440" t="s">
        <v>340</v>
      </c>
      <c r="C3" s="424" t="s">
        <v>336</v>
      </c>
      <c r="D3" s="430" t="str">
        <f>SETTING!$C$30</f>
        <v>SMKN 1 PLERED</v>
      </c>
      <c r="E3" s="429"/>
      <c r="F3" s="429"/>
      <c r="G3" s="430"/>
      <c r="H3" s="429"/>
      <c r="I3" s="429"/>
      <c r="J3" s="429"/>
      <c r="K3" s="429" t="s">
        <v>341</v>
      </c>
      <c r="L3" s="429"/>
      <c r="M3" s="429"/>
      <c r="N3" s="429"/>
      <c r="O3" s="431" t="s">
        <v>336</v>
      </c>
      <c r="P3" s="430" t="str">
        <f>SETTING!$C$3</f>
        <v>Ganjil</v>
      </c>
      <c r="Q3" s="430"/>
      <c r="R3" s="430"/>
      <c r="S3" s="429"/>
      <c r="T3" s="429"/>
      <c r="V3" s="435"/>
      <c r="W3" s="447"/>
      <c r="Y3" s="448"/>
      <c r="Z3" s="449"/>
      <c r="AA3" s="15"/>
      <c r="AB3" s="15"/>
      <c r="AD3" s="15"/>
      <c r="AE3" s="445"/>
      <c r="AF3" s="445"/>
      <c r="AG3" s="445"/>
      <c r="AH3" s="445"/>
      <c r="AI3" s="445"/>
      <c r="AJ3" s="445"/>
      <c r="AK3" s="445"/>
      <c r="AL3" s="445"/>
      <c r="AM3" s="445"/>
      <c r="AN3" s="445"/>
      <c r="AO3" s="445"/>
      <c r="AP3" s="445"/>
      <c r="AQ3" s="445"/>
      <c r="AR3" s="445"/>
      <c r="AS3" s="445"/>
      <c r="AT3" s="445"/>
      <c r="AU3" s="445"/>
      <c r="AV3" s="445"/>
      <c r="AW3" s="445"/>
      <c r="AX3" s="445"/>
      <c r="AY3" s="445"/>
      <c r="AZ3" s="445"/>
      <c r="BA3" s="445"/>
      <c r="BB3" s="445"/>
      <c r="BC3" s="445"/>
      <c r="BD3" s="445"/>
      <c r="BE3" s="445"/>
      <c r="BF3" s="445"/>
      <c r="BG3" s="445"/>
      <c r="BH3" s="445"/>
      <c r="BI3" s="445"/>
      <c r="BJ3" s="445"/>
      <c r="BK3" s="445"/>
      <c r="BL3" s="445"/>
      <c r="BM3" s="445"/>
      <c r="BN3" s="445"/>
      <c r="BO3" s="445"/>
      <c r="BP3" s="445"/>
      <c r="BQ3" s="445"/>
      <c r="BR3" s="445"/>
      <c r="BS3" s="445"/>
      <c r="BT3" s="445"/>
      <c r="BU3" s="445"/>
      <c r="BV3" s="445"/>
      <c r="BW3" s="445"/>
      <c r="BX3" s="445"/>
      <c r="BY3" s="445"/>
      <c r="BZ3" s="445"/>
      <c r="CA3" s="445"/>
      <c r="CB3" s="445"/>
      <c r="CC3" s="445"/>
      <c r="CD3" s="445"/>
    </row>
    <row r="4" ht="14.25" customHeight="1">
      <c r="A4" s="440" t="s">
        <v>342</v>
      </c>
      <c r="C4" s="424" t="s">
        <v>336</v>
      </c>
      <c r="D4" s="430" t="str">
        <f>SETTING!$C$31</f>
        <v>Jl.Rawasari, Plered</v>
      </c>
      <c r="E4" s="429"/>
      <c r="F4" s="429"/>
      <c r="G4" s="430"/>
      <c r="H4" s="429"/>
      <c r="I4" s="429"/>
      <c r="J4" s="429"/>
      <c r="K4" s="429" t="s">
        <v>343</v>
      </c>
      <c r="L4" s="429"/>
      <c r="M4" s="429"/>
      <c r="N4" s="429"/>
      <c r="O4" s="431" t="s">
        <v>336</v>
      </c>
      <c r="P4" s="430" t="str">
        <f>SETTING!$C$4</f>
        <v>2025 / 2026</v>
      </c>
      <c r="Q4" s="432"/>
      <c r="R4" s="429"/>
      <c r="S4" s="429"/>
      <c r="T4" s="429"/>
      <c r="U4" s="15"/>
      <c r="V4" s="15"/>
      <c r="W4" s="447"/>
      <c r="Y4" s="448"/>
      <c r="Z4" s="449"/>
      <c r="AA4" s="15"/>
      <c r="AB4" s="15"/>
      <c r="AD4" s="15"/>
      <c r="AE4" s="445"/>
      <c r="AF4" s="445"/>
      <c r="AG4" s="445"/>
      <c r="AH4" s="445"/>
      <c r="AI4" s="445"/>
      <c r="AJ4" s="445"/>
      <c r="AK4" s="445"/>
      <c r="AL4" s="445"/>
      <c r="AM4" s="445"/>
      <c r="AN4" s="445"/>
      <c r="AO4" s="445"/>
      <c r="AP4" s="445"/>
      <c r="AQ4" s="445"/>
      <c r="AR4" s="445"/>
      <c r="AS4" s="445"/>
      <c r="AT4" s="445"/>
      <c r="AU4" s="445"/>
      <c r="AV4" s="445"/>
      <c r="AW4" s="445"/>
      <c r="AX4" s="445"/>
      <c r="AY4" s="445"/>
      <c r="AZ4" s="445"/>
      <c r="BA4" s="445"/>
      <c r="BB4" s="445"/>
      <c r="BC4" s="445"/>
      <c r="BD4" s="445"/>
      <c r="BE4" s="445"/>
      <c r="BF4" s="445"/>
      <c r="BG4" s="445"/>
      <c r="BH4" s="445"/>
      <c r="BI4" s="445"/>
      <c r="BJ4" s="445"/>
      <c r="BK4" s="445"/>
      <c r="BL4" s="445"/>
      <c r="BM4" s="445"/>
      <c r="BN4" s="445"/>
      <c r="BO4" s="445"/>
      <c r="BP4" s="445"/>
      <c r="BQ4" s="445"/>
      <c r="BR4" s="445"/>
      <c r="BS4" s="445"/>
      <c r="BT4" s="445"/>
      <c r="BU4" s="445"/>
      <c r="BV4" s="445"/>
      <c r="BW4" s="445"/>
      <c r="BX4" s="445"/>
      <c r="BY4" s="445"/>
      <c r="BZ4" s="445"/>
      <c r="CA4" s="445"/>
      <c r="CB4" s="445"/>
      <c r="CC4" s="445"/>
      <c r="CD4" s="445"/>
    </row>
    <row r="5" ht="14.25" customHeight="1">
      <c r="A5" s="453"/>
      <c r="B5" s="453"/>
      <c r="C5" s="453"/>
      <c r="D5" s="453"/>
      <c r="E5" s="454"/>
      <c r="F5" s="455"/>
      <c r="G5" s="455"/>
      <c r="H5" s="454"/>
      <c r="I5" s="454"/>
      <c r="J5" s="454"/>
      <c r="K5" s="454"/>
      <c r="L5" s="454"/>
      <c r="M5" s="454"/>
      <c r="N5" s="454"/>
      <c r="O5" s="454"/>
      <c r="P5" s="454"/>
      <c r="Q5" s="454"/>
      <c r="R5" s="457"/>
      <c r="S5" s="15"/>
      <c r="T5" s="15"/>
      <c r="U5" s="15"/>
      <c r="V5" s="15"/>
      <c r="W5" s="447"/>
      <c r="X5" s="447"/>
      <c r="Y5" s="448"/>
      <c r="Z5" s="449"/>
      <c r="AA5" s="15"/>
      <c r="AB5" s="15"/>
      <c r="AD5" s="15"/>
      <c r="AE5" s="445"/>
      <c r="AF5" s="445"/>
      <c r="AG5" s="445"/>
      <c r="AH5" s="445"/>
      <c r="AI5" s="445"/>
      <c r="AJ5" s="445"/>
      <c r="AK5" s="445"/>
      <c r="AL5" s="445"/>
      <c r="AM5" s="445"/>
      <c r="AN5" s="445"/>
      <c r="AO5" s="445"/>
      <c r="AP5" s="445"/>
      <c r="AQ5" s="445"/>
      <c r="AR5" s="445"/>
      <c r="AS5" s="445"/>
      <c r="AT5" s="445"/>
      <c r="AU5" s="445"/>
      <c r="AV5" s="445"/>
      <c r="AW5" s="445"/>
      <c r="AX5" s="445"/>
      <c r="AY5" s="445"/>
      <c r="AZ5" s="445"/>
      <c r="BA5" s="445"/>
      <c r="BB5" s="445"/>
      <c r="BC5" s="445"/>
      <c r="BD5" s="445"/>
      <c r="BE5" s="445"/>
      <c r="BF5" s="445"/>
      <c r="BG5" s="445"/>
      <c r="BH5" s="445"/>
      <c r="BI5" s="445"/>
      <c r="BJ5" s="445"/>
      <c r="BK5" s="445"/>
      <c r="BL5" s="445"/>
      <c r="BM5" s="445"/>
      <c r="BN5" s="445"/>
      <c r="BO5" s="445"/>
      <c r="BP5" s="445"/>
      <c r="BQ5" s="445"/>
      <c r="BR5" s="445"/>
      <c r="BS5" s="445"/>
      <c r="BT5" s="445"/>
      <c r="BU5" s="445"/>
      <c r="BV5" s="445"/>
      <c r="BW5" s="445"/>
      <c r="BX5" s="445"/>
      <c r="BY5" s="445"/>
      <c r="BZ5" s="445"/>
      <c r="CA5" s="445"/>
      <c r="CB5" s="445"/>
      <c r="CC5" s="445"/>
      <c r="CD5" s="445"/>
    </row>
    <row r="6" ht="14.25" customHeight="1">
      <c r="A6" s="458"/>
      <c r="B6" s="458"/>
      <c r="C6" s="458"/>
      <c r="D6" s="458"/>
      <c r="E6" s="15"/>
      <c r="F6" s="449"/>
      <c r="G6" s="449"/>
      <c r="H6" s="15"/>
      <c r="I6" s="15"/>
      <c r="J6" s="15"/>
      <c r="K6" s="15"/>
      <c r="L6" s="15"/>
      <c r="M6" s="15"/>
      <c r="N6" s="15"/>
      <c r="O6" s="15"/>
      <c r="P6" s="15"/>
      <c r="Q6" s="15"/>
      <c r="R6" s="459"/>
      <c r="S6" s="15"/>
      <c r="T6" s="15"/>
      <c r="U6" s="15"/>
      <c r="V6" s="15"/>
      <c r="W6" s="447"/>
      <c r="X6" s="447"/>
      <c r="Y6" s="448"/>
      <c r="Z6" s="449"/>
      <c r="AA6" s="15"/>
      <c r="AB6" s="15"/>
      <c r="AD6" s="15"/>
      <c r="AE6" s="445"/>
      <c r="AF6" s="445"/>
      <c r="AG6" s="445"/>
      <c r="AH6" s="445"/>
      <c r="AI6" s="445"/>
      <c r="AJ6" s="445"/>
      <c r="AK6" s="445"/>
      <c r="AL6" s="445"/>
      <c r="AM6" s="445"/>
      <c r="AN6" s="445"/>
      <c r="AO6" s="445"/>
      <c r="AP6" s="445"/>
      <c r="AQ6" s="445"/>
      <c r="AR6" s="445"/>
      <c r="AS6" s="445"/>
      <c r="AT6" s="445"/>
      <c r="AU6" s="445"/>
      <c r="AV6" s="445"/>
      <c r="AW6" s="445"/>
      <c r="AX6" s="445"/>
      <c r="AY6" s="445"/>
      <c r="AZ6" s="445"/>
      <c r="BA6" s="445"/>
      <c r="BB6" s="445"/>
      <c r="BC6" s="445"/>
      <c r="BD6" s="445"/>
      <c r="BE6" s="445"/>
      <c r="BF6" s="445"/>
      <c r="BG6" s="445"/>
      <c r="BH6" s="445"/>
      <c r="BI6" s="445"/>
      <c r="BJ6" s="445"/>
      <c r="BK6" s="445"/>
      <c r="BL6" s="445"/>
      <c r="BM6" s="445"/>
      <c r="BN6" s="445"/>
      <c r="BO6" s="445"/>
      <c r="BP6" s="445"/>
      <c r="BQ6" s="445"/>
      <c r="BR6" s="445"/>
      <c r="BS6" s="445"/>
      <c r="BT6" s="445"/>
      <c r="BU6" s="445"/>
      <c r="BV6" s="445"/>
      <c r="BW6" s="445"/>
      <c r="BX6" s="445"/>
      <c r="BY6" s="445"/>
      <c r="BZ6" s="445"/>
      <c r="CA6" s="445"/>
      <c r="CB6" s="445"/>
      <c r="CC6" s="445"/>
      <c r="CD6" s="445"/>
    </row>
    <row r="7" ht="14.25" customHeight="1">
      <c r="A7" s="460" t="s">
        <v>345</v>
      </c>
      <c r="S7" s="15"/>
      <c r="T7" s="15"/>
      <c r="U7" s="15"/>
      <c r="V7" s="15"/>
      <c r="W7" s="447"/>
      <c r="X7" s="447"/>
      <c r="Y7" s="448"/>
      <c r="Z7" s="449"/>
      <c r="AA7" s="15"/>
      <c r="AB7" s="15"/>
      <c r="AD7" s="15"/>
      <c r="AE7" s="445"/>
      <c r="AF7" s="445"/>
      <c r="AG7" s="445"/>
      <c r="AH7" s="445"/>
      <c r="AI7" s="445"/>
      <c r="AJ7" s="445"/>
      <c r="AK7" s="445"/>
      <c r="AL7" s="445"/>
      <c r="AM7" s="445"/>
      <c r="AN7" s="445"/>
      <c r="AO7" s="445"/>
      <c r="AP7" s="445"/>
      <c r="AQ7" s="445"/>
      <c r="AR7" s="445"/>
      <c r="AS7" s="445"/>
      <c r="AT7" s="445"/>
      <c r="AU7" s="445"/>
      <c r="AV7" s="445"/>
      <c r="AW7" s="445"/>
      <c r="AX7" s="445"/>
      <c r="AY7" s="445"/>
      <c r="AZ7" s="445"/>
      <c r="BA7" s="445"/>
      <c r="BB7" s="445"/>
      <c r="BC7" s="445"/>
      <c r="BD7" s="445"/>
      <c r="BE7" s="445"/>
      <c r="BF7" s="445"/>
      <c r="BG7" s="445"/>
      <c r="BH7" s="445"/>
      <c r="BI7" s="445"/>
      <c r="BJ7" s="445"/>
      <c r="BK7" s="445"/>
      <c r="BL7" s="445"/>
      <c r="BM7" s="445"/>
      <c r="BN7" s="445"/>
      <c r="BO7" s="445"/>
      <c r="BP7" s="445"/>
      <c r="BQ7" s="445"/>
      <c r="BR7" s="445"/>
      <c r="BS7" s="445"/>
      <c r="BT7" s="445"/>
      <c r="BU7" s="445"/>
      <c r="BV7" s="445"/>
      <c r="BW7" s="445"/>
      <c r="BX7" s="445"/>
      <c r="BY7" s="445"/>
      <c r="BZ7" s="445"/>
      <c r="CA7" s="445"/>
      <c r="CB7" s="445"/>
      <c r="CC7" s="445"/>
      <c r="CD7" s="445"/>
    </row>
    <row r="8" ht="14.25" customHeight="1">
      <c r="A8" s="462"/>
      <c r="B8" s="15"/>
      <c r="C8" s="15"/>
      <c r="D8" s="15"/>
      <c r="E8" s="15"/>
      <c r="F8" s="15"/>
      <c r="G8" s="15"/>
      <c r="H8" s="15"/>
      <c r="I8" s="15"/>
      <c r="J8" s="15"/>
      <c r="K8" s="15"/>
      <c r="L8" s="15"/>
      <c r="M8" s="15"/>
      <c r="N8" s="15"/>
      <c r="O8" s="15"/>
      <c r="P8" s="15"/>
      <c r="Q8" s="15"/>
      <c r="R8" s="15"/>
      <c r="S8" s="15"/>
      <c r="T8" s="15"/>
      <c r="U8" s="15"/>
      <c r="V8" s="15"/>
      <c r="W8" s="447"/>
      <c r="Y8" s="448"/>
      <c r="Z8" s="449"/>
      <c r="AA8" s="15"/>
      <c r="AB8" s="15"/>
      <c r="AD8" s="15"/>
      <c r="AE8" s="445"/>
      <c r="AF8" s="445"/>
      <c r="AG8" s="445"/>
      <c r="AH8" s="445"/>
      <c r="AI8" s="445"/>
      <c r="AJ8" s="445"/>
      <c r="AK8" s="445"/>
      <c r="AL8" s="445"/>
      <c r="AM8" s="445"/>
      <c r="AN8" s="445"/>
      <c r="AO8" s="445"/>
      <c r="AP8" s="445"/>
      <c r="AQ8" s="445"/>
      <c r="AR8" s="445"/>
      <c r="AS8" s="445"/>
      <c r="AT8" s="445"/>
      <c r="AU8" s="445"/>
      <c r="AV8" s="445"/>
      <c r="AW8" s="445"/>
      <c r="AX8" s="445"/>
      <c r="AY8" s="445"/>
      <c r="AZ8" s="445"/>
      <c r="BA8" s="445"/>
      <c r="BB8" s="445"/>
      <c r="BC8" s="445"/>
      <c r="BD8" s="445"/>
      <c r="BE8" s="445"/>
      <c r="BF8" s="445"/>
      <c r="BG8" s="445"/>
      <c r="BH8" s="445"/>
      <c r="BI8" s="445"/>
      <c r="BJ8" s="445"/>
      <c r="BK8" s="445"/>
      <c r="BL8" s="445"/>
      <c r="BM8" s="445"/>
      <c r="BN8" s="445"/>
      <c r="BO8" s="445"/>
      <c r="BP8" s="445"/>
      <c r="BQ8" s="445"/>
      <c r="BR8" s="445"/>
      <c r="BS8" s="445"/>
      <c r="BT8" s="445"/>
      <c r="BU8" s="445"/>
      <c r="BV8" s="445"/>
      <c r="BW8" s="445"/>
      <c r="BX8" s="445"/>
      <c r="BY8" s="445"/>
      <c r="BZ8" s="445"/>
      <c r="CA8" s="445"/>
      <c r="CB8" s="445"/>
      <c r="CC8" s="445"/>
      <c r="CD8" s="445"/>
    </row>
    <row r="9" ht="30.75" customHeight="1">
      <c r="A9" s="464" t="s">
        <v>346</v>
      </c>
      <c r="B9" s="465" t="s">
        <v>347</v>
      </c>
      <c r="C9" s="466"/>
      <c r="D9" s="467"/>
      <c r="E9" s="465" t="s">
        <v>348</v>
      </c>
      <c r="F9" s="467"/>
      <c r="G9" s="465" t="s">
        <v>349</v>
      </c>
      <c r="H9" s="466"/>
      <c r="I9" s="466"/>
      <c r="J9" s="466"/>
      <c r="K9" s="466"/>
      <c r="L9" s="466"/>
      <c r="M9" s="466"/>
      <c r="N9" s="466"/>
      <c r="O9" s="466"/>
      <c r="P9" s="466"/>
      <c r="Q9" s="466"/>
      <c r="R9" s="467"/>
      <c r="S9" s="15"/>
      <c r="T9" s="15"/>
      <c r="U9" s="15"/>
      <c r="V9" s="15"/>
      <c r="W9" s="15"/>
      <c r="X9" s="15"/>
      <c r="Y9" s="15"/>
      <c r="Z9" s="15"/>
      <c r="AA9" s="15"/>
      <c r="AB9" s="15"/>
      <c r="AD9" s="15"/>
      <c r="AE9" s="445"/>
      <c r="AF9" s="445"/>
      <c r="AG9" s="445"/>
      <c r="AH9" s="445"/>
      <c r="AI9" s="445"/>
      <c r="AJ9" s="445"/>
      <c r="AK9" s="445"/>
      <c r="AL9" s="445"/>
      <c r="AM9" s="445"/>
      <c r="AN9" s="445"/>
      <c r="AO9" s="445"/>
      <c r="AP9" s="445"/>
      <c r="AQ9" s="445"/>
      <c r="AR9" s="445"/>
      <c r="AS9" s="445"/>
      <c r="AT9" s="445"/>
      <c r="AU9" s="445"/>
      <c r="AV9" s="445"/>
      <c r="AW9" s="445"/>
      <c r="AX9" s="445"/>
      <c r="AY9" s="445"/>
      <c r="AZ9" s="445"/>
      <c r="BA9" s="445"/>
      <c r="BB9" s="445"/>
      <c r="BC9" s="445"/>
      <c r="BD9" s="445"/>
      <c r="BE9" s="445"/>
      <c r="BF9" s="445"/>
      <c r="BG9" s="445"/>
      <c r="BH9" s="445"/>
      <c r="BI9" s="445"/>
      <c r="BJ9" s="445"/>
      <c r="BK9" s="445"/>
      <c r="BL9" s="445"/>
      <c r="BM9" s="445"/>
      <c r="BN9" s="445"/>
      <c r="BO9" s="445"/>
      <c r="BP9" s="445"/>
      <c r="BQ9" s="445"/>
      <c r="BR9" s="445"/>
      <c r="BS9" s="445"/>
      <c r="BT9" s="445"/>
      <c r="BU9" s="445"/>
      <c r="BV9" s="445"/>
      <c r="BW9" s="445"/>
      <c r="BX9" s="445"/>
      <c r="BY9" s="445"/>
      <c r="BZ9" s="445"/>
      <c r="CA9" s="445"/>
      <c r="CB9" s="445"/>
      <c r="CC9" s="445"/>
      <c r="CD9" s="445"/>
    </row>
    <row r="10" ht="19.5" customHeight="1">
      <c r="A10" s="469" t="s">
        <v>350</v>
      </c>
      <c r="B10" s="466"/>
      <c r="C10" s="466"/>
      <c r="D10" s="466"/>
      <c r="E10" s="466"/>
      <c r="F10" s="466"/>
      <c r="G10" s="466"/>
      <c r="H10" s="466"/>
      <c r="I10" s="466"/>
      <c r="J10" s="466"/>
      <c r="K10" s="466"/>
      <c r="L10" s="466"/>
      <c r="M10" s="466"/>
      <c r="N10" s="466"/>
      <c r="O10" s="466"/>
      <c r="P10" s="466"/>
      <c r="Q10" s="466"/>
      <c r="R10" s="467"/>
      <c r="S10" s="15"/>
      <c r="T10" s="15"/>
      <c r="U10" s="15"/>
      <c r="V10" s="15"/>
      <c r="W10" s="15"/>
      <c r="X10" s="15"/>
      <c r="AD10" s="15"/>
      <c r="AE10" s="445"/>
      <c r="AF10" s="445"/>
      <c r="AG10" s="445"/>
      <c r="AH10" s="445"/>
      <c r="AI10" s="445"/>
      <c r="AJ10" s="445"/>
      <c r="AK10" s="445"/>
      <c r="AL10" s="445"/>
      <c r="AM10" s="445"/>
      <c r="AN10" s="445"/>
      <c r="AO10" s="445"/>
      <c r="AP10" s="445"/>
      <c r="AQ10" s="445"/>
      <c r="AR10" s="445"/>
      <c r="AS10" s="445"/>
      <c r="AT10" s="445"/>
      <c r="AU10" s="445"/>
      <c r="AV10" s="445"/>
      <c r="AW10" s="445"/>
      <c r="AX10" s="445"/>
      <c r="AY10" s="445"/>
      <c r="AZ10" s="445"/>
      <c r="BA10" s="445"/>
      <c r="BB10" s="445"/>
      <c r="BC10" s="445"/>
      <c r="BD10" s="445"/>
      <c r="BE10" s="445"/>
      <c r="BF10" s="445"/>
      <c r="BG10" s="445"/>
      <c r="BH10" s="445"/>
      <c r="BI10" s="445"/>
      <c r="BJ10" s="445"/>
      <c r="BK10" s="445"/>
      <c r="BL10" s="445"/>
      <c r="BM10" s="445"/>
      <c r="BN10" s="445"/>
      <c r="BO10" s="445"/>
      <c r="BP10" s="445"/>
      <c r="BQ10" s="445"/>
      <c r="BR10" s="445"/>
      <c r="BS10" s="445"/>
      <c r="BT10" s="445"/>
      <c r="BU10" s="445"/>
      <c r="BV10" s="445"/>
      <c r="BW10" s="445"/>
      <c r="BX10" s="445"/>
      <c r="BY10" s="445"/>
      <c r="BZ10" s="445"/>
      <c r="CA10" s="445"/>
      <c r="CB10" s="445"/>
      <c r="CC10" s="445"/>
      <c r="CD10" s="445"/>
    </row>
    <row r="11" ht="16.5" customHeight="1">
      <c r="A11" s="471">
        <v>1.0</v>
      </c>
      <c r="B11" s="472" t="s">
        <v>351</v>
      </c>
      <c r="C11" s="466"/>
      <c r="D11" s="467"/>
      <c r="E11" s="474">
        <f t="array" ref="E11">INDEX(DataInputSumatif,MATCH($D$1,DataNamaInputSumatif,0),MATCH("PAI RATA-RATA SUMATIF",HeaderInputSumatif,0))</f>
        <v>75</v>
      </c>
      <c r="F11" s="467"/>
      <c r="G11" s="474" t="s">
        <v>199</v>
      </c>
      <c r="H11" s="475" t="s">
        <v>336</v>
      </c>
      <c r="I11" s="475">
        <f t="array" ref="I11">INDEX(DataInputSumatif,MATCH($D$1,DataNamaInputSumatif,0),MATCH("PAI SUMATIF 1",HeaderInputSumatif,0))</f>
        <v>75</v>
      </c>
      <c r="J11" s="477" t="s">
        <v>352</v>
      </c>
      <c r="K11" s="475" t="s">
        <v>199</v>
      </c>
      <c r="L11" s="475" t="s">
        <v>336</v>
      </c>
      <c r="M11" s="475">
        <f t="array" ref="M11">INDEX(DataInputSumatif,MATCH($D$1,DataNamaInputSumatif,0),MATCH("PAI SUMATIF 2",HeaderInputSumatif,0))</f>
        <v>75</v>
      </c>
      <c r="N11" s="480" t="s">
        <v>352</v>
      </c>
      <c r="O11" s="484" t="s">
        <v>199</v>
      </c>
      <c r="P11" s="475" t="s">
        <v>336</v>
      </c>
      <c r="Q11" s="475" t="str">
        <f t="array" ref="Q11">INDEX(DataInputSumatif,MATCH($D$1,DataNamaInputSumatif,0),MATCH("PAI SUMATIF 3",HeaderInputSumatif,0))</f>
        <v/>
      </c>
      <c r="R11" s="467"/>
      <c r="S11" s="15"/>
      <c r="T11" s="15"/>
      <c r="U11" s="492"/>
      <c r="V11" s="492"/>
      <c r="W11" s="436"/>
      <c r="X11" s="15"/>
      <c r="AD11" s="15"/>
      <c r="AE11" s="445"/>
      <c r="AF11" s="445"/>
      <c r="AG11" s="445"/>
      <c r="AH11" s="445"/>
      <c r="AI11" s="445"/>
      <c r="AJ11" s="445"/>
      <c r="AK11" s="445"/>
      <c r="AL11" s="445"/>
      <c r="AM11" s="445"/>
      <c r="AN11" s="445"/>
      <c r="AO11" s="445"/>
      <c r="AP11" s="445"/>
      <c r="AQ11" s="445"/>
      <c r="AR11" s="445"/>
      <c r="AS11" s="445"/>
      <c r="AT11" s="445"/>
      <c r="AU11" s="445"/>
      <c r="AV11" s="445"/>
      <c r="AW11" s="445"/>
      <c r="AX11" s="445"/>
      <c r="AY11" s="445"/>
      <c r="AZ11" s="445"/>
      <c r="BA11" s="445"/>
      <c r="BB11" s="445"/>
      <c r="BC11" s="445"/>
      <c r="BD11" s="445"/>
      <c r="BE11" s="445"/>
      <c r="BF11" s="445"/>
      <c r="BG11" s="445"/>
      <c r="BH11" s="445"/>
      <c r="BI11" s="445"/>
      <c r="BJ11" s="445"/>
      <c r="BK11" s="445"/>
      <c r="BL11" s="445"/>
      <c r="BM11" s="445"/>
      <c r="BN11" s="445"/>
      <c r="BO11" s="445"/>
      <c r="BP11" s="445"/>
      <c r="BQ11" s="445"/>
      <c r="BR11" s="445"/>
      <c r="BS11" s="445"/>
      <c r="BT11" s="445"/>
      <c r="BU11" s="445"/>
      <c r="BV11" s="445"/>
      <c r="BW11" s="445"/>
      <c r="BX11" s="445"/>
      <c r="BY11" s="445"/>
      <c r="BZ11" s="445"/>
      <c r="CA11" s="445"/>
      <c r="CB11" s="445"/>
      <c r="CC11" s="445"/>
      <c r="CD11" s="445"/>
    </row>
    <row r="12" ht="16.5" customHeight="1">
      <c r="A12" s="471">
        <v>2.0</v>
      </c>
      <c r="B12" s="472" t="s">
        <v>354</v>
      </c>
      <c r="C12" s="466"/>
      <c r="D12" s="467"/>
      <c r="E12" s="474">
        <f t="array" ref="E12">INDEX(DataInputSumatif,MATCH($D$1,DataNamaInputSumatif,0),MATCH("PKN RATA-RATA SUMATIF",HeaderInputSumatif,0))</f>
        <v>75</v>
      </c>
      <c r="F12" s="467"/>
      <c r="G12" s="474" t="s">
        <v>199</v>
      </c>
      <c r="H12" s="475" t="s">
        <v>336</v>
      </c>
      <c r="I12" s="475">
        <f t="array" ref="I12">INDEX(DataInputSumatif,MATCH($D$1,DataNamaInputSumatif,0),MATCH("PKN SUMATIF 1",HeaderInputSumatif,0))</f>
        <v>75</v>
      </c>
      <c r="J12" s="512" t="s">
        <v>352</v>
      </c>
      <c r="K12" s="475" t="s">
        <v>199</v>
      </c>
      <c r="L12" s="475" t="s">
        <v>336</v>
      </c>
      <c r="M12" s="475">
        <f t="array" ref="M12">INDEX(DataInputSumatif,MATCH($D$1,DataNamaInputSumatif,0),MATCH("PKN SUMATIF 2",HeaderInputSumatif,0))</f>
        <v>75</v>
      </c>
      <c r="N12" s="480" t="s">
        <v>352</v>
      </c>
      <c r="O12" s="484" t="s">
        <v>199</v>
      </c>
      <c r="P12" s="475" t="s">
        <v>336</v>
      </c>
      <c r="Q12" s="475" t="str">
        <f t="array" ref="Q12">INDEX(DataInputSumatif,MATCH($D$1,DataNamaInputSumatif,0),MATCH("PKN SUMATIF 3",HeaderInputSumatif,0))</f>
        <v/>
      </c>
      <c r="R12" s="467"/>
      <c r="S12" s="15"/>
      <c r="T12" s="15"/>
      <c r="U12" s="492"/>
      <c r="V12" s="492"/>
      <c r="W12" s="436"/>
      <c r="X12" s="15"/>
      <c r="AD12" s="15"/>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8"/>
      <c r="BK12" s="328"/>
      <c r="BL12" s="328"/>
      <c r="BM12" s="328"/>
      <c r="BN12" s="328"/>
      <c r="BO12" s="328"/>
      <c r="BP12" s="328"/>
      <c r="BQ12" s="328"/>
      <c r="BR12" s="328"/>
      <c r="BS12" s="328"/>
      <c r="BT12" s="328"/>
      <c r="BU12" s="328"/>
      <c r="BV12" s="328"/>
      <c r="BW12" s="328"/>
      <c r="BX12" s="328"/>
      <c r="BY12" s="328"/>
      <c r="BZ12" s="328"/>
      <c r="CA12" s="328"/>
      <c r="CB12" s="328"/>
      <c r="CC12" s="328"/>
      <c r="CD12" s="328"/>
    </row>
    <row r="13" ht="16.5" customHeight="1">
      <c r="A13" s="471">
        <v>3.0</v>
      </c>
      <c r="B13" s="472" t="s">
        <v>361</v>
      </c>
      <c r="C13" s="466"/>
      <c r="D13" s="467"/>
      <c r="E13" s="474">
        <f t="array" ref="E13">INDEX(DataInputSumatif,MATCH($D$1,DataNamaInputSumatif,0),MATCH("B. INDONESIA RATA-RATA SUMATIF",HeaderInputSumatif,0))</f>
        <v>75.66666667</v>
      </c>
      <c r="F13" s="467"/>
      <c r="G13" s="474" t="s">
        <v>199</v>
      </c>
      <c r="H13" s="475" t="s">
        <v>336</v>
      </c>
      <c r="I13" s="475">
        <f t="array" ref="I13">INDEX(DataInputSumatif,MATCH($D$1,DataNamaInputSumatif,0),MATCH("B. INDONESIA SUMATIF 1",HeaderInputSumatif,0))</f>
        <v>76</v>
      </c>
      <c r="J13" s="512" t="s">
        <v>352</v>
      </c>
      <c r="K13" s="475" t="s">
        <v>199</v>
      </c>
      <c r="L13" s="475" t="s">
        <v>336</v>
      </c>
      <c r="M13" s="475">
        <f t="array" ref="M13">INDEX(DataInputSumatif,MATCH($D$1,DataNamaInputSumatif,0),MATCH("B. INDONESIA SUMATIF 2",HeaderInputSumatif,0))</f>
        <v>76</v>
      </c>
      <c r="N13" s="512" t="s">
        <v>352</v>
      </c>
      <c r="O13" s="484" t="s">
        <v>199</v>
      </c>
      <c r="P13" s="475" t="s">
        <v>336</v>
      </c>
      <c r="Q13" s="475">
        <f t="array" ref="Q13">INDEX(DataInputSumatif,MATCH($D$1,DataNamaInputSumatif,0),MATCH("B. INDONESIA SUMATIF 3",HeaderInputSumatif,0))</f>
        <v>75</v>
      </c>
      <c r="R13" s="467"/>
      <c r="S13" s="15"/>
      <c r="T13" s="15"/>
      <c r="U13" s="492"/>
      <c r="V13" s="492"/>
      <c r="W13" s="436"/>
      <c r="X13" s="15"/>
      <c r="AD13" s="15"/>
      <c r="AE13" s="445"/>
      <c r="AF13" s="445"/>
      <c r="AG13" s="445"/>
      <c r="AH13" s="445"/>
      <c r="AI13" s="445"/>
      <c r="AJ13" s="445"/>
      <c r="AK13" s="445"/>
      <c r="AL13" s="445"/>
      <c r="AM13" s="445"/>
      <c r="AN13" s="445"/>
      <c r="AO13" s="445"/>
      <c r="AP13" s="445"/>
      <c r="AQ13" s="445"/>
      <c r="AR13" s="445"/>
      <c r="AS13" s="445"/>
      <c r="AT13" s="445"/>
      <c r="AU13" s="445"/>
      <c r="AV13" s="445"/>
      <c r="AW13" s="445"/>
      <c r="AX13" s="445"/>
      <c r="AY13" s="445"/>
      <c r="AZ13" s="445"/>
      <c r="BA13" s="445"/>
      <c r="BB13" s="445"/>
      <c r="BC13" s="445"/>
      <c r="BD13" s="445"/>
      <c r="BE13" s="445"/>
      <c r="BF13" s="445"/>
      <c r="BG13" s="445"/>
      <c r="BH13" s="445"/>
      <c r="BI13" s="445"/>
      <c r="BJ13" s="445"/>
      <c r="BK13" s="445"/>
      <c r="BL13" s="445"/>
      <c r="BM13" s="445"/>
      <c r="BN13" s="445"/>
      <c r="BO13" s="445"/>
      <c r="BP13" s="445"/>
      <c r="BQ13" s="445"/>
      <c r="BR13" s="445"/>
      <c r="BS13" s="445"/>
      <c r="BT13" s="445"/>
      <c r="BU13" s="445"/>
      <c r="BV13" s="445"/>
      <c r="BW13" s="445"/>
      <c r="BX13" s="445"/>
      <c r="BY13" s="445"/>
      <c r="BZ13" s="445"/>
      <c r="CA13" s="445"/>
      <c r="CB13" s="445"/>
      <c r="CC13" s="445"/>
      <c r="CD13" s="445"/>
    </row>
    <row r="14" ht="16.5" customHeight="1">
      <c r="A14" s="471">
        <v>4.0</v>
      </c>
      <c r="B14" s="472" t="s">
        <v>362</v>
      </c>
      <c r="C14" s="466"/>
      <c r="D14" s="467"/>
      <c r="E14" s="474">
        <f t="array" ref="E14">INDEX(DataInputSumatif,MATCH($D$1,DataNamaInputSumatif,0),MATCH("PJOK RATA-RATA SUMATIF",HeaderInputSumatif,0))</f>
        <v>75</v>
      </c>
      <c r="F14" s="467"/>
      <c r="G14" s="474" t="s">
        <v>199</v>
      </c>
      <c r="H14" s="475" t="s">
        <v>336</v>
      </c>
      <c r="I14" s="475">
        <f t="array" ref="I14">INDEX(DataInputSumatif,MATCH($D$1,DataNamaInputSumatif,0),MATCH("PJOK SUMATIF 1",HeaderInputSumatif,0))</f>
        <v>75</v>
      </c>
      <c r="J14" s="512" t="s">
        <v>352</v>
      </c>
      <c r="K14" s="475" t="s">
        <v>199</v>
      </c>
      <c r="L14" s="475" t="s">
        <v>336</v>
      </c>
      <c r="M14" s="475">
        <f t="array" ref="M14">INDEX(DataInputSumatif,MATCH($D$1,DataNamaInputSumatif,0),MATCH("PJOK SUMATIF 2",HeaderInputSumatif,0))</f>
        <v>75</v>
      </c>
      <c r="N14" s="512" t="s">
        <v>352</v>
      </c>
      <c r="O14" s="484" t="s">
        <v>199</v>
      </c>
      <c r="P14" s="475" t="s">
        <v>336</v>
      </c>
      <c r="Q14" s="475" t="str">
        <f t="array" ref="Q14">INDEX(DataInputSumatif,MATCH($D$1,DataNamaInputSumatif,0),MATCH("PJOK SUMATIF 3",HeaderInputSumatif,0))</f>
        <v/>
      </c>
      <c r="R14" s="467"/>
      <c r="S14" s="15"/>
      <c r="T14" s="15"/>
      <c r="U14" s="492"/>
      <c r="V14" s="492"/>
      <c r="W14" s="436"/>
      <c r="X14" s="15"/>
      <c r="AD14" s="15"/>
      <c r="AE14" s="445"/>
      <c r="AF14" s="445"/>
      <c r="AG14" s="445"/>
      <c r="AH14" s="445"/>
      <c r="AI14" s="445"/>
      <c r="AJ14" s="445"/>
      <c r="AK14" s="445"/>
      <c r="AL14" s="445"/>
      <c r="AM14" s="445"/>
      <c r="AN14" s="445"/>
      <c r="AO14" s="445"/>
      <c r="AP14" s="445"/>
      <c r="AQ14" s="445"/>
      <c r="AR14" s="445"/>
      <c r="AS14" s="445"/>
      <c r="AT14" s="445"/>
      <c r="AU14" s="445"/>
      <c r="AV14" s="445"/>
      <c r="AW14" s="445"/>
      <c r="AX14" s="445"/>
      <c r="AY14" s="445"/>
      <c r="AZ14" s="445"/>
      <c r="BA14" s="445"/>
      <c r="BB14" s="445"/>
      <c r="BC14" s="445"/>
      <c r="BD14" s="445"/>
      <c r="BE14" s="445"/>
      <c r="BF14" s="445"/>
      <c r="BG14" s="445"/>
      <c r="BH14" s="445"/>
      <c r="BI14" s="445"/>
      <c r="BJ14" s="445"/>
      <c r="BK14" s="445"/>
      <c r="BL14" s="445"/>
      <c r="BM14" s="445"/>
      <c r="BN14" s="445"/>
      <c r="BO14" s="445"/>
      <c r="BP14" s="445"/>
      <c r="BQ14" s="445"/>
      <c r="BR14" s="445"/>
      <c r="BS14" s="445"/>
      <c r="BT14" s="445"/>
      <c r="BU14" s="445"/>
      <c r="BV14" s="445"/>
      <c r="BW14" s="445"/>
      <c r="BX14" s="445"/>
      <c r="BY14" s="445"/>
      <c r="BZ14" s="445"/>
      <c r="CA14" s="445"/>
      <c r="CB14" s="445"/>
      <c r="CC14" s="445"/>
      <c r="CD14" s="445"/>
    </row>
    <row r="15" ht="16.5" customHeight="1">
      <c r="A15" s="471">
        <v>5.0</v>
      </c>
      <c r="B15" s="472" t="s">
        <v>363</v>
      </c>
      <c r="C15" s="466"/>
      <c r="D15" s="467"/>
      <c r="E15" s="474">
        <f t="array" ref="E15">INDEX(DataInputSumatif,MATCH($D$1,DataNamaInputSumatif,0),MATCH("SEJARAH RATA-RATA SUMATIF",HeaderInputSumatif,0))</f>
        <v>75</v>
      </c>
      <c r="F15" s="467"/>
      <c r="G15" s="474" t="s">
        <v>199</v>
      </c>
      <c r="H15" s="475" t="s">
        <v>336</v>
      </c>
      <c r="I15" s="475">
        <f t="array" ref="I15">INDEX(DataInputSumatif,MATCH($D$1,DataNamaInputSumatif,0),MATCH("SEJARAH SUMATIF 1",HeaderInputSumatif,0))</f>
        <v>75</v>
      </c>
      <c r="J15" s="512" t="s">
        <v>352</v>
      </c>
      <c r="K15" s="475" t="s">
        <v>199</v>
      </c>
      <c r="L15" s="475" t="s">
        <v>336</v>
      </c>
      <c r="M15" s="475">
        <f t="array" ref="M15">INDEX(DataInputSumatif,MATCH($D$1,DataNamaInputSumatif,0),MATCH("SEJARAH SUMATIF 2",HeaderInputSumatif,0))</f>
        <v>75</v>
      </c>
      <c r="N15" s="512" t="s">
        <v>352</v>
      </c>
      <c r="O15" s="484" t="s">
        <v>199</v>
      </c>
      <c r="P15" s="475" t="s">
        <v>336</v>
      </c>
      <c r="Q15" s="475">
        <f t="array" ref="Q15">INDEX(DataInputSumatif,MATCH($D$1,DataNamaInputSumatif,0),MATCH("SEJARAH SUMATIF 3",HeaderInputSumatif,0))</f>
        <v>75</v>
      </c>
      <c r="R15" s="467"/>
      <c r="S15" s="15"/>
      <c r="T15" s="15"/>
      <c r="U15" s="492"/>
      <c r="V15" s="492"/>
      <c r="W15" s="436"/>
      <c r="X15" s="15"/>
      <c r="AD15" s="15"/>
      <c r="AE15" s="445"/>
      <c r="AF15" s="445"/>
      <c r="AG15" s="445"/>
      <c r="AH15" s="445"/>
      <c r="AI15" s="445"/>
      <c r="AJ15" s="445"/>
      <c r="AK15" s="445"/>
      <c r="AL15" s="445"/>
      <c r="AM15" s="445"/>
      <c r="AN15" s="445"/>
      <c r="AO15" s="445"/>
      <c r="AP15" s="445"/>
      <c r="AQ15" s="445"/>
      <c r="AR15" s="445"/>
      <c r="AS15" s="445"/>
      <c r="AT15" s="445"/>
      <c r="AU15" s="445"/>
      <c r="AV15" s="445"/>
      <c r="AW15" s="445"/>
      <c r="AX15" s="445"/>
      <c r="AY15" s="445"/>
      <c r="AZ15" s="445"/>
      <c r="BA15" s="445"/>
      <c r="BB15" s="445"/>
      <c r="BC15" s="445"/>
      <c r="BD15" s="445"/>
      <c r="BE15" s="445"/>
      <c r="BF15" s="445"/>
      <c r="BG15" s="445"/>
      <c r="BH15" s="445"/>
      <c r="BI15" s="445"/>
      <c r="BJ15" s="445"/>
      <c r="BK15" s="445"/>
      <c r="BL15" s="445"/>
      <c r="BM15" s="445"/>
      <c r="BN15" s="445"/>
      <c r="BO15" s="445"/>
      <c r="BP15" s="445"/>
      <c r="BQ15" s="445"/>
      <c r="BR15" s="445"/>
      <c r="BS15" s="445"/>
      <c r="BT15" s="445"/>
      <c r="BU15" s="445"/>
      <c r="BV15" s="445"/>
      <c r="BW15" s="445"/>
      <c r="BX15" s="445"/>
      <c r="BY15" s="445"/>
      <c r="BZ15" s="445"/>
      <c r="CA15" s="445"/>
      <c r="CB15" s="445"/>
      <c r="CC15" s="445"/>
      <c r="CD15" s="445"/>
    </row>
    <row r="16" ht="16.5" customHeight="1">
      <c r="A16" s="471">
        <v>6.0</v>
      </c>
      <c r="B16" s="517" t="s">
        <v>364</v>
      </c>
      <c r="C16" s="466"/>
      <c r="D16" s="467"/>
      <c r="E16" s="474">
        <f t="array" ref="E16">INDEX(DataInputSumatif,MATCH($D$1,DataNamaInputSumatif,0),MATCH("SENI BUDAYA RATA-RATA SUMATIF",HeaderInputSumatif,0))</f>
        <v>89.33333333</v>
      </c>
      <c r="F16" s="467"/>
      <c r="G16" s="474" t="s">
        <v>199</v>
      </c>
      <c r="H16" s="475" t="s">
        <v>336</v>
      </c>
      <c r="I16" s="475">
        <f t="array" ref="I16">INDEX(DataInputSumatif,MATCH($D$1,DataNamaInputSumatif,0),MATCH("SENI BUDAYA SUMATIF 1",HeaderInputSumatif,0))</f>
        <v>90</v>
      </c>
      <c r="J16" s="512" t="s">
        <v>352</v>
      </c>
      <c r="K16" s="475" t="s">
        <v>199</v>
      </c>
      <c r="L16" s="475" t="s">
        <v>336</v>
      </c>
      <c r="M16" s="475">
        <f t="array" ref="M16">INDEX(DataInputSumatif,MATCH($D$1,DataNamaInputSumatif,0),MATCH("SENI BUDAYA SUMATIF 2",HeaderInputSumatif,0))</f>
        <v>90</v>
      </c>
      <c r="N16" s="512" t="s">
        <v>352</v>
      </c>
      <c r="O16" s="484" t="s">
        <v>199</v>
      </c>
      <c r="P16" s="475" t="s">
        <v>336</v>
      </c>
      <c r="Q16" s="475">
        <f t="array" ref="Q16">INDEX(DataInputSumatif,MATCH($D$1,DataNamaInputSumatif,0),MATCH("SENI BUDAYA SUMATIF 3",HeaderInputSumatif,0))</f>
        <v>88</v>
      </c>
      <c r="R16" s="467"/>
      <c r="S16" s="15"/>
      <c r="T16" s="15"/>
      <c r="U16" s="492"/>
      <c r="V16" s="492"/>
      <c r="W16" s="436"/>
      <c r="X16" s="15"/>
      <c r="AD16" s="15"/>
      <c r="AE16" s="445"/>
      <c r="AF16" s="445"/>
      <c r="AG16" s="445"/>
      <c r="AH16" s="445"/>
      <c r="AI16" s="445"/>
      <c r="AJ16" s="445"/>
      <c r="AK16" s="445"/>
      <c r="AL16" s="445"/>
      <c r="AM16" s="445"/>
      <c r="AN16" s="445"/>
      <c r="AO16" s="445"/>
      <c r="AP16" s="445"/>
      <c r="AQ16" s="445"/>
      <c r="AR16" s="445"/>
      <c r="AS16" s="445"/>
      <c r="AT16" s="445"/>
      <c r="AU16" s="445"/>
      <c r="AV16" s="445"/>
      <c r="AW16" s="445"/>
      <c r="AX16" s="445"/>
      <c r="AY16" s="445"/>
      <c r="AZ16" s="445"/>
      <c r="BA16" s="445"/>
      <c r="BB16" s="445"/>
      <c r="BC16" s="445"/>
      <c r="BD16" s="445"/>
      <c r="BE16" s="445"/>
      <c r="BF16" s="445"/>
      <c r="BG16" s="445"/>
      <c r="BH16" s="445"/>
      <c r="BI16" s="445"/>
      <c r="BJ16" s="445"/>
      <c r="BK16" s="445"/>
      <c r="BL16" s="445"/>
      <c r="BM16" s="445"/>
      <c r="BN16" s="445"/>
      <c r="BO16" s="445"/>
      <c r="BP16" s="445"/>
      <c r="BQ16" s="445"/>
      <c r="BR16" s="445"/>
      <c r="BS16" s="445"/>
      <c r="BT16" s="445"/>
      <c r="BU16" s="445"/>
      <c r="BV16" s="445"/>
      <c r="BW16" s="445"/>
      <c r="BX16" s="445"/>
      <c r="BY16" s="445"/>
      <c r="BZ16" s="445"/>
      <c r="CA16" s="445"/>
      <c r="CB16" s="445"/>
      <c r="CC16" s="445"/>
      <c r="CD16" s="445"/>
    </row>
    <row r="17" ht="19.5" customHeight="1">
      <c r="A17" s="469" t="s">
        <v>365</v>
      </c>
      <c r="B17" s="466"/>
      <c r="C17" s="466"/>
      <c r="D17" s="466"/>
      <c r="E17" s="466"/>
      <c r="F17" s="466"/>
      <c r="G17" s="466"/>
      <c r="H17" s="466"/>
      <c r="I17" s="466"/>
      <c r="J17" s="466"/>
      <c r="K17" s="466"/>
      <c r="L17" s="466"/>
      <c r="M17" s="466"/>
      <c r="N17" s="466"/>
      <c r="O17" s="466"/>
      <c r="P17" s="466"/>
      <c r="Q17" s="466"/>
      <c r="R17" s="467"/>
      <c r="S17" s="15"/>
      <c r="T17" s="15"/>
      <c r="U17" s="492"/>
      <c r="V17" s="492"/>
      <c r="W17" s="15"/>
      <c r="X17" s="15"/>
      <c r="AD17" s="15"/>
      <c r="AE17" s="445"/>
      <c r="AF17" s="445"/>
      <c r="AG17" s="445"/>
      <c r="AH17" s="445"/>
      <c r="AI17" s="445"/>
      <c r="AJ17" s="445"/>
      <c r="AK17" s="445"/>
      <c r="AL17" s="445"/>
      <c r="AM17" s="445"/>
      <c r="AN17" s="445"/>
      <c r="AO17" s="445"/>
      <c r="AP17" s="445"/>
      <c r="AQ17" s="445"/>
      <c r="AR17" s="445"/>
      <c r="AS17" s="445"/>
      <c r="AT17" s="445"/>
      <c r="AU17" s="445"/>
      <c r="AV17" s="445"/>
      <c r="AW17" s="445"/>
      <c r="AX17" s="445"/>
      <c r="AY17" s="445"/>
      <c r="AZ17" s="445"/>
      <c r="BA17" s="445"/>
      <c r="BB17" s="445"/>
      <c r="BC17" s="445"/>
      <c r="BD17" s="445"/>
      <c r="BE17" s="445"/>
      <c r="BF17" s="445"/>
      <c r="BG17" s="445"/>
      <c r="BH17" s="445"/>
      <c r="BI17" s="445"/>
      <c r="BJ17" s="445"/>
      <c r="BK17" s="445"/>
      <c r="BL17" s="445"/>
      <c r="BM17" s="445"/>
      <c r="BN17" s="445"/>
      <c r="BO17" s="445"/>
      <c r="BP17" s="445"/>
      <c r="BQ17" s="445"/>
      <c r="BR17" s="445"/>
      <c r="BS17" s="445"/>
      <c r="BT17" s="445"/>
      <c r="BU17" s="445"/>
      <c r="BV17" s="445"/>
      <c r="BW17" s="445"/>
      <c r="BX17" s="445"/>
      <c r="BY17" s="445"/>
      <c r="BZ17" s="445"/>
      <c r="CA17" s="445"/>
      <c r="CB17" s="445"/>
      <c r="CC17" s="445"/>
      <c r="CD17" s="445"/>
    </row>
    <row r="18" ht="16.5" customHeight="1">
      <c r="A18" s="471">
        <v>1.0</v>
      </c>
      <c r="B18" s="472" t="s">
        <v>367</v>
      </c>
      <c r="C18" s="466"/>
      <c r="D18" s="467"/>
      <c r="E18" s="474">
        <f t="array" ref="E18">INDEX(DataInputSumatif,MATCH($D$1,DataNamaInputSumatif,0),MATCH("MATEMATIKA RATA-RATA SUMATIF",HeaderInputSumatif,0))</f>
        <v>75</v>
      </c>
      <c r="F18" s="467"/>
      <c r="G18" s="475" t="s">
        <v>199</v>
      </c>
      <c r="H18" s="475" t="s">
        <v>336</v>
      </c>
      <c r="I18" s="475">
        <f t="array" ref="I18">INDEX(DataInputSumatif,MATCH($D$1,DataNamaInputSumatif,0),MATCH("MATEMATIKA SUMATIF 1",HeaderInputSumatif,0))</f>
        <v>75</v>
      </c>
      <c r="J18" s="529" t="s">
        <v>352</v>
      </c>
      <c r="K18" s="475" t="s">
        <v>199</v>
      </c>
      <c r="L18" s="475" t="s">
        <v>336</v>
      </c>
      <c r="M18" s="475">
        <f t="array" ref="M18">INDEX(DataInputSumatif,MATCH($D$1,DataNamaInputSumatif,0),MATCH("MATEMATIKA SUMATIF 2",HeaderInputSumatif,0))</f>
        <v>75</v>
      </c>
      <c r="N18" s="529" t="s">
        <v>352</v>
      </c>
      <c r="O18" s="484" t="s">
        <v>199</v>
      </c>
      <c r="P18" s="475" t="s">
        <v>336</v>
      </c>
      <c r="Q18" s="475">
        <f t="array" ref="Q18">INDEX(DataInputSumatif,MATCH($D$1,DataNamaInputSumatif,0),MATCH("MATEMATIKA SUMATIF 3",HeaderInputSumatif,0))</f>
        <v>75</v>
      </c>
      <c r="R18" s="467"/>
      <c r="S18" s="15"/>
      <c r="T18" s="15"/>
      <c r="U18" s="15"/>
      <c r="V18" s="15"/>
      <c r="W18" s="15"/>
      <c r="X18" s="15"/>
      <c r="AD18" s="15"/>
      <c r="AE18" s="445"/>
      <c r="AF18" s="445"/>
      <c r="AG18" s="445"/>
      <c r="AH18" s="445"/>
      <c r="AI18" s="445"/>
      <c r="AJ18" s="445"/>
      <c r="AK18" s="445"/>
      <c r="AL18" s="445"/>
      <c r="AM18" s="445"/>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5"/>
      <c r="BK18" s="445"/>
      <c r="BL18" s="445"/>
      <c r="BM18" s="445"/>
      <c r="BN18" s="445"/>
      <c r="BO18" s="445"/>
      <c r="BP18" s="445"/>
      <c r="BQ18" s="445"/>
      <c r="BR18" s="445"/>
      <c r="BS18" s="445"/>
      <c r="BT18" s="445"/>
      <c r="BU18" s="445"/>
      <c r="BV18" s="445"/>
      <c r="BW18" s="445"/>
      <c r="BX18" s="445"/>
      <c r="BY18" s="445"/>
      <c r="BZ18" s="445"/>
      <c r="CA18" s="445"/>
      <c r="CB18" s="445"/>
      <c r="CC18" s="445"/>
      <c r="CD18" s="445"/>
    </row>
    <row r="19" ht="16.5" customHeight="1">
      <c r="A19" s="471">
        <v>2.0</v>
      </c>
      <c r="B19" s="472" t="s">
        <v>370</v>
      </c>
      <c r="C19" s="466"/>
      <c r="D19" s="467"/>
      <c r="E19" s="474">
        <f t="array" ref="E19">INDEX(DataInputSumatif,MATCH($D$1,DataNamaInputSumatif,0),MATCH("B. INGGRIS RATA-RATA SUMATIF",HeaderInputSumatif,0))</f>
        <v>75</v>
      </c>
      <c r="F19" s="467"/>
      <c r="G19" s="475" t="s">
        <v>199</v>
      </c>
      <c r="H19" s="475" t="s">
        <v>336</v>
      </c>
      <c r="I19" s="475">
        <f t="array" ref="I19">INDEX(DataInputSumatif,MATCH($D$1,DataNamaInputSumatif,0),MATCH("B. INGGRIS SUMATIF 1",HeaderInputSumatif,0))</f>
        <v>75</v>
      </c>
      <c r="J19" s="529" t="s">
        <v>352</v>
      </c>
      <c r="K19" s="475" t="s">
        <v>199</v>
      </c>
      <c r="L19" s="475" t="s">
        <v>336</v>
      </c>
      <c r="M19" s="475">
        <f t="array" ref="M19">INDEX(DataInputSumatif,MATCH($D$1,DataNamaInputSumatif,0),MATCH("B. INGGRIS SUMATIF 2",HeaderInputSumatif,0))</f>
        <v>75</v>
      </c>
      <c r="N19" s="529" t="s">
        <v>352</v>
      </c>
      <c r="O19" s="484" t="s">
        <v>199</v>
      </c>
      <c r="P19" s="475" t="s">
        <v>336</v>
      </c>
      <c r="Q19" s="475">
        <f t="array" ref="Q19">INDEX(DataInputSumatif,MATCH($D$1,DataNamaInputSumatif,0),MATCH("B. INGGRIS SUMATIF 3",HeaderInputSumatif,0))</f>
        <v>75</v>
      </c>
      <c r="R19" s="467"/>
      <c r="S19" s="15"/>
      <c r="T19" s="15"/>
      <c r="U19" s="15"/>
      <c r="V19" s="15"/>
      <c r="W19" s="15"/>
      <c r="X19" s="15"/>
      <c r="AD19" s="15"/>
      <c r="AE19" s="445"/>
      <c r="AF19" s="445"/>
      <c r="AG19" s="445"/>
      <c r="AH19" s="445"/>
      <c r="AI19" s="445"/>
      <c r="AJ19" s="445"/>
      <c r="AK19" s="445"/>
      <c r="AL19" s="445"/>
      <c r="AM19" s="445"/>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5"/>
      <c r="BK19" s="445"/>
      <c r="BL19" s="445"/>
      <c r="BM19" s="445"/>
      <c r="BN19" s="445"/>
      <c r="BO19" s="445"/>
      <c r="BP19" s="445"/>
      <c r="BQ19" s="445"/>
      <c r="BR19" s="445"/>
      <c r="BS19" s="445"/>
      <c r="BT19" s="445"/>
      <c r="BU19" s="445"/>
      <c r="BV19" s="445"/>
      <c r="BW19" s="445"/>
      <c r="BX19" s="445"/>
      <c r="BY19" s="445"/>
      <c r="BZ19" s="445"/>
      <c r="CA19" s="445"/>
      <c r="CB19" s="445"/>
      <c r="CC19" s="445"/>
      <c r="CD19" s="445"/>
    </row>
    <row r="20" ht="16.5" customHeight="1">
      <c r="A20" s="471">
        <v>3.0</v>
      </c>
      <c r="B20" s="517" t="s">
        <v>371</v>
      </c>
      <c r="C20" s="466"/>
      <c r="D20" s="467"/>
      <c r="E20" s="474">
        <f t="array" ref="E20">INDEX(DataInputSumatif,MATCH($D$1,DataNamaInputSumatif,0),MATCH("INFORMATIKA RATA-RATA SUMATIF",HeaderInputSumatif,0))</f>
        <v>80</v>
      </c>
      <c r="F20" s="467"/>
      <c r="G20" s="475" t="s">
        <v>199</v>
      </c>
      <c r="H20" s="475" t="s">
        <v>336</v>
      </c>
      <c r="I20" s="475">
        <f t="array" ref="I20">INDEX(DataInputSumatif,MATCH($D$1,DataNamaInputSumatif,0),MATCH("INFORMATIKA SUMATIF 1",HeaderInputSumatif,0))</f>
        <v>80</v>
      </c>
      <c r="J20" s="529" t="s">
        <v>352</v>
      </c>
      <c r="K20" s="475" t="s">
        <v>199</v>
      </c>
      <c r="L20" s="475" t="s">
        <v>336</v>
      </c>
      <c r="M20" s="475">
        <f t="array" ref="M20">INDEX(DataInputSumatif,MATCH($D$1,DataNamaInputSumatif,0),MATCH("INFORMATIKA SUMATIF 2",HeaderInputSumatif,0))</f>
        <v>80</v>
      </c>
      <c r="N20" s="529" t="s">
        <v>352</v>
      </c>
      <c r="O20" s="484" t="s">
        <v>199</v>
      </c>
      <c r="P20" s="475" t="s">
        <v>336</v>
      </c>
      <c r="Q20" s="475" t="str">
        <f t="array" ref="Q20">INDEX(DataInputSumatif,MATCH($D$1,DataNamaInputSumatif,0),MATCH("INFORMATIKA SUMATIF 3",HeaderInputSumatif,0))</f>
        <v/>
      </c>
      <c r="R20" s="467"/>
      <c r="S20" s="15"/>
      <c r="T20" s="15"/>
      <c r="U20" s="15"/>
      <c r="V20" s="15"/>
      <c r="W20" s="15"/>
      <c r="X20" s="15"/>
      <c r="AD20" s="15"/>
      <c r="AE20" s="445"/>
      <c r="AF20" s="445"/>
      <c r="AG20" s="445"/>
      <c r="AH20" s="445"/>
      <c r="AI20" s="445"/>
      <c r="AJ20" s="445"/>
      <c r="AK20" s="445"/>
      <c r="AL20" s="445"/>
      <c r="AM20" s="445"/>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5"/>
      <c r="BK20" s="445"/>
      <c r="BL20" s="445"/>
      <c r="BM20" s="445"/>
      <c r="BN20" s="445"/>
      <c r="BO20" s="445"/>
      <c r="BP20" s="445"/>
      <c r="BQ20" s="445"/>
      <c r="BR20" s="445"/>
      <c r="BS20" s="445"/>
      <c r="BT20" s="445"/>
      <c r="BU20" s="445"/>
      <c r="BV20" s="445"/>
      <c r="BW20" s="445"/>
      <c r="BX20" s="445"/>
      <c r="BY20" s="445"/>
      <c r="BZ20" s="445"/>
      <c r="CA20" s="445"/>
      <c r="CB20" s="445"/>
      <c r="CC20" s="445"/>
      <c r="CD20" s="445"/>
    </row>
    <row r="21" ht="16.5" customHeight="1">
      <c r="A21" s="471">
        <v>4.0</v>
      </c>
      <c r="B21" s="517" t="s">
        <v>372</v>
      </c>
      <c r="C21" s="466"/>
      <c r="D21" s="467"/>
      <c r="E21" s="474">
        <f t="array" ref="E21">INDEX(DataInputSumatif,MATCH($D$1,DataNamaInputSumatif,0),MATCH("PROJEK IPAS RATA-RATA SUMATIF",HeaderInputSumatif,0))</f>
        <v>75</v>
      </c>
      <c r="F21" s="467"/>
      <c r="G21" s="475" t="s">
        <v>199</v>
      </c>
      <c r="H21" s="475" t="s">
        <v>336</v>
      </c>
      <c r="I21" s="475">
        <f t="array" ref="I21">INDEX(DataInputSumatif,MATCH($D$1,DataNamaInputSumatif,0),MATCH("PROJEK IPAS SUMATIF 1",HeaderInputSumatif,0))</f>
        <v>75</v>
      </c>
      <c r="J21" s="529" t="s">
        <v>352</v>
      </c>
      <c r="K21" s="475" t="s">
        <v>199</v>
      </c>
      <c r="L21" s="475" t="s">
        <v>336</v>
      </c>
      <c r="M21" s="475">
        <f t="array" ref="M21">INDEX(DataInputSumatif,MATCH($D$1,DataNamaInputSumatif,0),MATCH("PROJEK IPAS SUMATIF 2",HeaderInputSumatif,0))</f>
        <v>75</v>
      </c>
      <c r="N21" s="529" t="s">
        <v>352</v>
      </c>
      <c r="O21" s="484" t="s">
        <v>199</v>
      </c>
      <c r="P21" s="475" t="s">
        <v>336</v>
      </c>
      <c r="Q21" s="475">
        <f t="array" ref="Q21">INDEX(DataInputSumatif,MATCH($D$1,DataNamaInputSumatif,0),MATCH("PROJEK IPAS SUMATIF 3",HeaderInputSumatif,0))</f>
        <v>75</v>
      </c>
      <c r="R21" s="467"/>
      <c r="S21" s="15"/>
      <c r="T21" s="15"/>
      <c r="U21" s="15"/>
      <c r="V21" s="15"/>
      <c r="W21" s="15"/>
      <c r="X21" s="15"/>
      <c r="AD21" s="15"/>
      <c r="AE21" s="445"/>
      <c r="AF21" s="445"/>
      <c r="AG21" s="445"/>
      <c r="AH21" s="445"/>
      <c r="AI21" s="445"/>
      <c r="AJ21" s="445"/>
      <c r="AK21" s="445"/>
      <c r="AL21" s="445"/>
      <c r="AM21" s="445"/>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5"/>
      <c r="BK21" s="445"/>
      <c r="BL21" s="445"/>
      <c r="BM21" s="445"/>
      <c r="BN21" s="445"/>
      <c r="BO21" s="445"/>
      <c r="BP21" s="445"/>
      <c r="BQ21" s="445"/>
      <c r="BR21" s="445"/>
      <c r="BS21" s="445"/>
      <c r="BT21" s="445"/>
      <c r="BU21" s="445"/>
      <c r="BV21" s="445"/>
      <c r="BW21" s="445"/>
      <c r="BX21" s="445"/>
      <c r="BY21" s="445"/>
      <c r="BZ21" s="445"/>
      <c r="CA21" s="445"/>
      <c r="CB21" s="445"/>
      <c r="CC21" s="445"/>
      <c r="CD21" s="445"/>
    </row>
    <row r="22" ht="16.5" customHeight="1">
      <c r="A22" s="471">
        <v>5.0</v>
      </c>
      <c r="B22" s="517" t="s">
        <v>373</v>
      </c>
      <c r="C22" s="466"/>
      <c r="D22" s="467"/>
      <c r="E22" s="474">
        <f t="array" ref="E22">INDEX(DataInputSumatif,MATCH($D$1,DataNamaInputSumatif,0),MATCH("DDPK RATA-RATA SUMATIF",HeaderInputSumatif,0))</f>
        <v>75</v>
      </c>
      <c r="F22" s="467"/>
      <c r="G22" s="475" t="s">
        <v>199</v>
      </c>
      <c r="H22" s="475" t="s">
        <v>336</v>
      </c>
      <c r="I22" s="475">
        <f t="array" ref="I22">INDEX(DataInputSumatif,MATCH($D$1,DataNamaInputSumatif,0),MATCH("DDPK SUMATIF 1",HeaderInputSumatif,0))</f>
        <v>75</v>
      </c>
      <c r="J22" s="529" t="s">
        <v>352</v>
      </c>
      <c r="K22" s="475" t="s">
        <v>199</v>
      </c>
      <c r="L22" s="475" t="s">
        <v>336</v>
      </c>
      <c r="M22" s="475">
        <f t="array" ref="M22">INDEX(DataInputSumatif,MATCH($D$1,DataNamaInputSumatif,0),MATCH("DDPK SUMATIF 2",HeaderInputSumatif,0))</f>
        <v>75</v>
      </c>
      <c r="N22" s="529" t="s">
        <v>352</v>
      </c>
      <c r="O22" s="484" t="s">
        <v>199</v>
      </c>
      <c r="P22" s="475" t="s">
        <v>336</v>
      </c>
      <c r="Q22" s="475">
        <f t="array" ref="Q22">INDEX(DataInputSumatif,MATCH($D$1,DataNamaInputSumatif,0),MATCH("DDPK SUMATIF 3",HeaderInputSumatif,0))</f>
        <v>75</v>
      </c>
      <c r="R22" s="467"/>
      <c r="S22" s="15"/>
      <c r="T22" s="15"/>
      <c r="U22" s="15"/>
      <c r="V22" s="15"/>
      <c r="W22" s="15"/>
      <c r="X22" s="15"/>
      <c r="AD22" s="15"/>
      <c r="AE22" s="445"/>
      <c r="AF22" s="445"/>
      <c r="AG22" s="445"/>
      <c r="AH22" s="445"/>
      <c r="AI22" s="445"/>
      <c r="AJ22" s="445"/>
      <c r="AK22" s="445"/>
      <c r="AL22" s="445"/>
      <c r="AM22" s="445"/>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5"/>
      <c r="BK22" s="445"/>
      <c r="BL22" s="445"/>
      <c r="BM22" s="445"/>
      <c r="BN22" s="445"/>
      <c r="BO22" s="445"/>
      <c r="BP22" s="445"/>
      <c r="BQ22" s="445"/>
      <c r="BR22" s="445"/>
      <c r="BS22" s="445"/>
      <c r="BT22" s="445"/>
      <c r="BU22" s="445"/>
      <c r="BV22" s="445"/>
      <c r="BW22" s="445"/>
      <c r="BX22" s="445"/>
      <c r="BY22" s="445"/>
      <c r="BZ22" s="445"/>
      <c r="CA22" s="445"/>
      <c r="CB22" s="445"/>
      <c r="CC22" s="445"/>
      <c r="CD22" s="445"/>
    </row>
    <row r="23" ht="16.5" hidden="1" customHeight="1">
      <c r="A23" s="533">
        <v>4.0</v>
      </c>
      <c r="B23" s="517" t="s">
        <v>375</v>
      </c>
      <c r="C23" s="466"/>
      <c r="D23" s="467"/>
      <c r="E23" s="474" t="str">
        <f t="array" ref="E23">INDEX(DataInputSumatif,MATCH($D$1,DataNamaInputSumatif,0),MATCH("PKK RATA-RATA SUMATIF",HeaderInputSumatif,0))</f>
        <v/>
      </c>
      <c r="F23" s="467"/>
      <c r="G23" s="475" t="s">
        <v>199</v>
      </c>
      <c r="H23" s="475" t="s">
        <v>336</v>
      </c>
      <c r="I23" s="475" t="str">
        <f t="array" ref="I23">INDEX(DataInputSumatif,MATCH($D$1,DataNamaInputSumatif,0),MATCH("PKK SUMATIF 1",HeaderInputSumatif,0))</f>
        <v/>
      </c>
      <c r="J23" s="529" t="s">
        <v>352</v>
      </c>
      <c r="K23" s="475" t="s">
        <v>199</v>
      </c>
      <c r="L23" s="475" t="s">
        <v>336</v>
      </c>
      <c r="M23" s="475" t="str">
        <f t="array" ref="M23">INDEX(DataInputSumatif,MATCH($D$1,DataNamaInputSumatif,0),MATCH("PKK SUMATIF 2",HeaderInputSumatif,0))</f>
        <v/>
      </c>
      <c r="N23" s="529" t="s">
        <v>352</v>
      </c>
      <c r="O23" s="484" t="s">
        <v>199</v>
      </c>
      <c r="P23" s="475" t="s">
        <v>336</v>
      </c>
      <c r="Q23" s="475" t="str">
        <f t="array" ref="Q23">INDEX(DataInputSumatif,MATCH($D$1,DataNamaInputSumatif,0),MATCH("PKK SUMATIF 3",HeaderInputSumatif,0))</f>
        <v/>
      </c>
      <c r="R23" s="467"/>
      <c r="S23" s="15"/>
      <c r="T23" s="15"/>
      <c r="U23" s="15"/>
      <c r="V23" s="15"/>
      <c r="W23" s="15"/>
      <c r="X23" s="15"/>
      <c r="AD23" s="15"/>
      <c r="AE23" s="445"/>
      <c r="AF23" s="445"/>
      <c r="AG23" s="445"/>
      <c r="AH23" s="445"/>
      <c r="AI23" s="445"/>
      <c r="AJ23" s="445"/>
      <c r="AK23" s="445"/>
      <c r="AL23" s="445"/>
      <c r="AM23" s="445"/>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5"/>
      <c r="BK23" s="445"/>
      <c r="BL23" s="445"/>
      <c r="BM23" s="445"/>
      <c r="BN23" s="445"/>
      <c r="BO23" s="445"/>
      <c r="BP23" s="445"/>
      <c r="BQ23" s="445"/>
      <c r="BR23" s="445"/>
      <c r="BS23" s="445"/>
      <c r="BT23" s="445"/>
      <c r="BU23" s="445"/>
      <c r="BV23" s="445"/>
      <c r="BW23" s="445"/>
      <c r="BX23" s="445"/>
      <c r="BY23" s="445"/>
      <c r="BZ23" s="445"/>
      <c r="CA23" s="445"/>
      <c r="CB23" s="445"/>
      <c r="CC23" s="445"/>
      <c r="CD23" s="445"/>
    </row>
    <row r="24" ht="16.5" hidden="1" customHeight="1">
      <c r="A24" s="471">
        <v>4.0</v>
      </c>
      <c r="B24" s="517" t="s">
        <v>376</v>
      </c>
      <c r="C24" s="466"/>
      <c r="D24" s="467"/>
      <c r="E24" s="474" t="str">
        <f t="array" ref="E24">INDEX(DataInputSumatif,MATCH($D$1,DataNamaInputSumatif,0),MATCH("KONS. KEAHLIAN RATA-RATA SUMATIF",HeaderInputSumatif,0))</f>
        <v/>
      </c>
      <c r="F24" s="467"/>
      <c r="G24" s="475" t="s">
        <v>199</v>
      </c>
      <c r="H24" s="475" t="s">
        <v>336</v>
      </c>
      <c r="I24" s="475" t="str">
        <f t="array" ref="I24">INDEX(DataInputSumatif,MATCH($D$1,DataNamaInputSumatif,0),MATCH("KONS. KEAHLIAN SUMATIF 1",HeaderInputSumatif,0))</f>
        <v/>
      </c>
      <c r="J24" s="529" t="s">
        <v>352</v>
      </c>
      <c r="K24" s="475" t="s">
        <v>199</v>
      </c>
      <c r="L24" s="475" t="s">
        <v>336</v>
      </c>
      <c r="M24" s="475" t="str">
        <f t="array" ref="M24">INDEX(DataInputSumatif,MATCH($D$1,DataNamaInputSumatif,0),MATCH("KONS. KEAHLIAN SUMATIF 2",HeaderInputSumatif,0))</f>
        <v/>
      </c>
      <c r="N24" s="529" t="s">
        <v>352</v>
      </c>
      <c r="O24" s="484" t="s">
        <v>199</v>
      </c>
      <c r="P24" s="475" t="s">
        <v>336</v>
      </c>
      <c r="Q24" s="475" t="str">
        <f t="array" ref="Q24">INDEX(DataInputSumatif,MATCH($D$1,DataNamaInputSumatif,0),MATCH("KONS. KEAHLIAN SUMATIF 3",HeaderInputSumatif,0))</f>
        <v/>
      </c>
      <c r="R24" s="467"/>
      <c r="S24" s="15"/>
      <c r="T24" s="15"/>
      <c r="U24" s="15"/>
      <c r="V24" s="15"/>
      <c r="W24" s="15"/>
      <c r="X24" s="15"/>
      <c r="AD24" s="15"/>
      <c r="AE24" s="445"/>
      <c r="AF24" s="445"/>
      <c r="AG24" s="445"/>
      <c r="AH24" s="445"/>
      <c r="AI24" s="445"/>
      <c r="AJ24" s="445"/>
      <c r="AK24" s="445"/>
      <c r="AL24" s="445"/>
      <c r="AM24" s="445"/>
      <c r="AN24" s="445"/>
      <c r="AO24" s="445"/>
      <c r="AP24" s="445"/>
      <c r="AQ24" s="445"/>
      <c r="AR24" s="445"/>
      <c r="AS24" s="445"/>
      <c r="AT24" s="445"/>
      <c r="AU24" s="445"/>
      <c r="AV24" s="445"/>
      <c r="AW24" s="445"/>
      <c r="AX24" s="445"/>
      <c r="AY24" s="445"/>
      <c r="AZ24" s="445"/>
      <c r="BA24" s="445"/>
      <c r="BB24" s="445"/>
      <c r="BC24" s="445"/>
      <c r="BD24" s="445"/>
      <c r="BE24" s="445"/>
      <c r="BF24" s="445"/>
      <c r="BG24" s="445"/>
      <c r="BH24" s="445"/>
      <c r="BI24" s="445"/>
      <c r="BJ24" s="445"/>
      <c r="BK24" s="445"/>
      <c r="BL24" s="445"/>
      <c r="BM24" s="445"/>
      <c r="BN24" s="445"/>
      <c r="BO24" s="445"/>
      <c r="BP24" s="445"/>
      <c r="BQ24" s="445"/>
      <c r="BR24" s="445"/>
      <c r="BS24" s="445"/>
      <c r="BT24" s="445"/>
      <c r="BU24" s="445"/>
      <c r="BV24" s="445"/>
      <c r="BW24" s="445"/>
      <c r="BX24" s="445"/>
      <c r="BY24" s="445"/>
      <c r="BZ24" s="445"/>
      <c r="CA24" s="445"/>
      <c r="CB24" s="445"/>
      <c r="CC24" s="445"/>
      <c r="CD24" s="445"/>
    </row>
    <row r="25" ht="19.5" customHeight="1">
      <c r="A25" s="469" t="s">
        <v>377</v>
      </c>
      <c r="B25" s="466"/>
      <c r="C25" s="466"/>
      <c r="D25" s="466"/>
      <c r="E25" s="466"/>
      <c r="F25" s="466"/>
      <c r="G25" s="466"/>
      <c r="H25" s="466"/>
      <c r="I25" s="466"/>
      <c r="J25" s="466"/>
      <c r="K25" s="466"/>
      <c r="L25" s="466"/>
      <c r="M25" s="466"/>
      <c r="N25" s="466"/>
      <c r="O25" s="466"/>
      <c r="P25" s="466"/>
      <c r="Q25" s="466"/>
      <c r="R25" s="467"/>
      <c r="S25" s="15"/>
      <c r="T25" s="15"/>
      <c r="U25" s="492"/>
      <c r="V25" s="492"/>
      <c r="W25" s="15"/>
      <c r="X25" s="15"/>
      <c r="AD25" s="15"/>
      <c r="AE25" s="445"/>
      <c r="AF25" s="445"/>
      <c r="AG25" s="445"/>
      <c r="AH25" s="445"/>
      <c r="AI25" s="445"/>
      <c r="AJ25" s="445"/>
      <c r="AK25" s="445"/>
      <c r="AL25" s="445"/>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5"/>
      <c r="BK25" s="445"/>
      <c r="BL25" s="445"/>
      <c r="BM25" s="445"/>
      <c r="BN25" s="445"/>
      <c r="BO25" s="445"/>
      <c r="BP25" s="445"/>
      <c r="BQ25" s="445"/>
      <c r="BR25" s="445"/>
      <c r="BS25" s="445"/>
      <c r="BT25" s="445"/>
      <c r="BU25" s="445"/>
      <c r="BV25" s="445"/>
      <c r="BW25" s="445"/>
      <c r="BX25" s="445"/>
      <c r="BY25" s="445"/>
      <c r="BZ25" s="445"/>
      <c r="CA25" s="445"/>
      <c r="CB25" s="445"/>
      <c r="CC25" s="445"/>
      <c r="CD25" s="445"/>
    </row>
    <row r="26" ht="16.5" customHeight="1">
      <c r="A26" s="533">
        <v>1.0</v>
      </c>
      <c r="B26" s="517" t="s">
        <v>378</v>
      </c>
      <c r="C26" s="466"/>
      <c r="D26" s="467"/>
      <c r="E26" s="474">
        <f t="array" ref="E26">INDEX(DataInputSumatif,MATCH($D$1,DataNamaInputSumatif,0),MATCH("KODING RATA-RATA SUMATIF",HeaderInputSumatif,0))</f>
        <v>75</v>
      </c>
      <c r="F26" s="467"/>
      <c r="G26" s="475" t="s">
        <v>199</v>
      </c>
      <c r="H26" s="475" t="s">
        <v>336</v>
      </c>
      <c r="I26" s="475">
        <f t="array" ref="I26">INDEX(DataInputSumatif,MATCH($D$1,DataNamaInputSumatif,0),MATCH("KODING SUMATIF 1",HeaderInputSumatif,0))</f>
        <v>75</v>
      </c>
      <c r="J26" s="529" t="s">
        <v>352</v>
      </c>
      <c r="K26" s="475" t="s">
        <v>199</v>
      </c>
      <c r="L26" s="475" t="s">
        <v>336</v>
      </c>
      <c r="M26" s="475">
        <f t="array" ref="M26">INDEX(DataInputSumatif,MATCH($D$1,DataNamaInputSumatif,0),MATCH("KODING SUMATIF 2",HeaderInputSumatif,0))</f>
        <v>75</v>
      </c>
      <c r="N26" s="529" t="s">
        <v>352</v>
      </c>
      <c r="O26" s="484" t="s">
        <v>199</v>
      </c>
      <c r="P26" s="475" t="s">
        <v>336</v>
      </c>
      <c r="Q26" s="475">
        <f t="array" ref="Q26">INDEX(DataInputSumatif,MATCH($D$1,DataNamaInputSumatif,0),MATCH("KODING SUMATIF 3",HeaderInputSumatif,0))</f>
        <v>75</v>
      </c>
      <c r="R26" s="467"/>
      <c r="S26" s="15"/>
      <c r="T26" s="15"/>
      <c r="U26" s="15"/>
      <c r="V26" s="15"/>
      <c r="W26" s="15"/>
      <c r="X26" s="15"/>
      <c r="AD26" s="15"/>
      <c r="AE26" s="445"/>
      <c r="AF26" s="445"/>
      <c r="AG26" s="445"/>
      <c r="AH26" s="445"/>
      <c r="AI26" s="445"/>
      <c r="AJ26" s="445"/>
      <c r="AK26" s="445"/>
      <c r="AL26" s="445"/>
      <c r="AM26" s="445"/>
      <c r="AN26" s="445"/>
      <c r="AO26" s="445"/>
      <c r="AP26" s="445"/>
      <c r="AQ26" s="445"/>
      <c r="AR26" s="445"/>
      <c r="AS26" s="445"/>
      <c r="AT26" s="445"/>
      <c r="AU26" s="445"/>
      <c r="AV26" s="445"/>
      <c r="AW26" s="445"/>
      <c r="AX26" s="445"/>
      <c r="AY26" s="445"/>
      <c r="AZ26" s="445"/>
      <c r="BA26" s="445"/>
      <c r="BB26" s="445"/>
      <c r="BC26" s="445"/>
      <c r="BD26" s="445"/>
      <c r="BE26" s="445"/>
      <c r="BF26" s="445"/>
      <c r="BG26" s="445"/>
      <c r="BH26" s="445"/>
      <c r="BI26" s="445"/>
      <c r="BJ26" s="445"/>
      <c r="BK26" s="445"/>
      <c r="BL26" s="445"/>
      <c r="BM26" s="445"/>
      <c r="BN26" s="445"/>
      <c r="BO26" s="445"/>
      <c r="BP26" s="445"/>
      <c r="BQ26" s="445"/>
      <c r="BR26" s="445"/>
      <c r="BS26" s="445"/>
      <c r="BT26" s="445"/>
      <c r="BU26" s="445"/>
      <c r="BV26" s="445"/>
      <c r="BW26" s="445"/>
      <c r="BX26" s="445"/>
      <c r="BY26" s="445"/>
      <c r="BZ26" s="445"/>
      <c r="CA26" s="445"/>
      <c r="CB26" s="445"/>
      <c r="CC26" s="445"/>
      <c r="CD26" s="445"/>
    </row>
    <row r="27" ht="16.5" hidden="1" customHeight="1">
      <c r="A27" s="533">
        <v>1.0</v>
      </c>
      <c r="B27" s="517" t="s">
        <v>377</v>
      </c>
      <c r="C27" s="466"/>
      <c r="D27" s="467"/>
      <c r="E27" s="474" t="str">
        <f t="array" ref="E27">INDEX(DataInputSumatif,MATCH($D$1,DataNamaInputSumatif,0),MATCH("MAPEL PILIHAN RATA-RATA SUMATIF",HeaderInputSumatif,0))</f>
        <v/>
      </c>
      <c r="F27" s="467"/>
      <c r="G27" s="475" t="s">
        <v>199</v>
      </c>
      <c r="H27" s="475" t="s">
        <v>336</v>
      </c>
      <c r="I27" s="475" t="str">
        <f t="array" ref="I27">INDEX(DataInputSumatif,MATCH($D$1,DataNamaInputSumatif,0),MATCH("MAPEL PILIHAN SUMATIF 1",HeaderInputSumatif,0))</f>
        <v/>
      </c>
      <c r="J27" s="529" t="s">
        <v>352</v>
      </c>
      <c r="K27" s="475" t="s">
        <v>199</v>
      </c>
      <c r="L27" s="475" t="s">
        <v>336</v>
      </c>
      <c r="M27" s="475" t="str">
        <f t="array" ref="M27">INDEX(DataInputSumatif,MATCH($D$1,DataNamaInputSumatif,0),MATCH("MAPEL PILIHAN SUMATIF 2",HeaderInputSumatif,0))</f>
        <v/>
      </c>
      <c r="N27" s="529" t="s">
        <v>352</v>
      </c>
      <c r="O27" s="484" t="s">
        <v>199</v>
      </c>
      <c r="P27" s="475" t="s">
        <v>336</v>
      </c>
      <c r="Q27" s="475" t="str">
        <f t="array" ref="Q27">INDEX(DataInputSumatif,MATCH($D$1,DataNamaInputSumatif,0),MATCH("MAPEL PILIHAN SUMATIF 3",HeaderInputSumatif,0))</f>
        <v/>
      </c>
      <c r="R27" s="467"/>
      <c r="S27" s="15"/>
      <c r="T27" s="15"/>
      <c r="U27" s="15"/>
      <c r="V27" s="15"/>
      <c r="W27" s="15"/>
      <c r="X27" s="15"/>
      <c r="Y27" s="15"/>
      <c r="Z27" s="15"/>
      <c r="AA27" s="15"/>
      <c r="AB27" s="15"/>
      <c r="AD27" s="15"/>
      <c r="AE27" s="445"/>
      <c r="AF27" s="445"/>
      <c r="AG27" s="445"/>
      <c r="AH27" s="445"/>
      <c r="AI27" s="445"/>
      <c r="AJ27" s="445"/>
      <c r="AK27" s="445"/>
      <c r="AL27" s="445"/>
      <c r="AM27" s="445"/>
      <c r="AN27" s="445"/>
      <c r="AO27" s="445"/>
      <c r="AP27" s="445"/>
      <c r="AQ27" s="445"/>
      <c r="AR27" s="445"/>
      <c r="AS27" s="445"/>
      <c r="AT27" s="445"/>
      <c r="AU27" s="445"/>
      <c r="AV27" s="445"/>
      <c r="AW27" s="445"/>
      <c r="AX27" s="445"/>
      <c r="AY27" s="445"/>
      <c r="AZ27" s="445"/>
      <c r="BA27" s="445"/>
      <c r="BB27" s="445"/>
      <c r="BC27" s="445"/>
      <c r="BD27" s="445"/>
      <c r="BE27" s="445"/>
      <c r="BF27" s="445"/>
      <c r="BG27" s="445"/>
      <c r="BH27" s="445"/>
      <c r="BI27" s="445"/>
      <c r="BJ27" s="445"/>
      <c r="BK27" s="445"/>
      <c r="BL27" s="445"/>
      <c r="BM27" s="445"/>
      <c r="BN27" s="445"/>
      <c r="BO27" s="445"/>
      <c r="BP27" s="445"/>
      <c r="BQ27" s="445"/>
      <c r="BR27" s="445"/>
      <c r="BS27" s="445"/>
      <c r="BT27" s="445"/>
      <c r="BU27" s="445"/>
      <c r="BV27" s="445"/>
      <c r="BW27" s="445"/>
      <c r="BX27" s="445"/>
      <c r="BY27" s="445"/>
      <c r="BZ27" s="445"/>
      <c r="CA27" s="445"/>
      <c r="CB27" s="445"/>
      <c r="CC27" s="445"/>
      <c r="CD27" s="445"/>
    </row>
    <row r="28" ht="19.5" customHeight="1">
      <c r="A28" s="469" t="s">
        <v>380</v>
      </c>
      <c r="B28" s="466"/>
      <c r="C28" s="466"/>
      <c r="D28" s="466"/>
      <c r="E28" s="466"/>
      <c r="F28" s="466"/>
      <c r="G28" s="466"/>
      <c r="H28" s="466"/>
      <c r="I28" s="466"/>
      <c r="J28" s="466"/>
      <c r="K28" s="466"/>
      <c r="L28" s="466"/>
      <c r="M28" s="466"/>
      <c r="N28" s="466"/>
      <c r="O28" s="466"/>
      <c r="P28" s="466"/>
      <c r="Q28" s="466"/>
      <c r="R28" s="467"/>
      <c r="S28" s="15"/>
      <c r="T28" s="15"/>
      <c r="U28" s="492"/>
      <c r="V28" s="492"/>
      <c r="W28" s="15"/>
      <c r="X28" s="15"/>
      <c r="AD28" s="15"/>
      <c r="AE28" s="445"/>
      <c r="AF28" s="445"/>
      <c r="AG28" s="445"/>
      <c r="AH28" s="445"/>
      <c r="AI28" s="445"/>
      <c r="AJ28" s="445"/>
      <c r="AK28" s="445"/>
      <c r="AL28" s="445"/>
      <c r="AM28" s="445"/>
      <c r="AN28" s="445"/>
      <c r="AO28" s="445"/>
      <c r="AP28" s="445"/>
      <c r="AQ28" s="445"/>
      <c r="AR28" s="445"/>
      <c r="AS28" s="445"/>
      <c r="AT28" s="445"/>
      <c r="AU28" s="445"/>
      <c r="AV28" s="445"/>
      <c r="AW28" s="445"/>
      <c r="AX28" s="445"/>
      <c r="AY28" s="445"/>
      <c r="AZ28" s="445"/>
      <c r="BA28" s="445"/>
      <c r="BB28" s="445"/>
      <c r="BC28" s="445"/>
      <c r="BD28" s="445"/>
      <c r="BE28" s="445"/>
      <c r="BF28" s="445"/>
      <c r="BG28" s="445"/>
      <c r="BH28" s="445"/>
      <c r="BI28" s="445"/>
      <c r="BJ28" s="445"/>
      <c r="BK28" s="445"/>
      <c r="BL28" s="445"/>
      <c r="BM28" s="445"/>
      <c r="BN28" s="445"/>
      <c r="BO28" s="445"/>
      <c r="BP28" s="445"/>
      <c r="BQ28" s="445"/>
      <c r="BR28" s="445"/>
      <c r="BS28" s="445"/>
      <c r="BT28" s="445"/>
      <c r="BU28" s="445"/>
      <c r="BV28" s="445"/>
      <c r="BW28" s="445"/>
      <c r="BX28" s="445"/>
      <c r="BY28" s="445"/>
      <c r="BZ28" s="445"/>
      <c r="CA28" s="445"/>
      <c r="CB28" s="445"/>
      <c r="CC28" s="445"/>
      <c r="CD28" s="445"/>
    </row>
    <row r="29" ht="16.5" customHeight="1">
      <c r="A29" s="533">
        <v>1.0</v>
      </c>
      <c r="B29" s="517" t="s">
        <v>381</v>
      </c>
      <c r="C29" s="466"/>
      <c r="D29" s="467"/>
      <c r="E29" s="474">
        <f t="array" ref="E29">INDEX(DataInputSumatif,MATCH($D$1,DataNamaInputSumatif,0),MATCH("B. SUNDA RATA-RATA SUMATIF",HeaderInputSumatif,0))</f>
        <v>75</v>
      </c>
      <c r="F29" s="467"/>
      <c r="G29" s="475" t="s">
        <v>199</v>
      </c>
      <c r="H29" s="475" t="s">
        <v>336</v>
      </c>
      <c r="I29" s="475">
        <f t="array" ref="I29">INDEX(DataInputSumatif,MATCH($D$1,DataNamaInputSumatif,0),MATCH("B. SUNDA SUMATIF 1",HeaderInputSumatif,0))</f>
        <v>75</v>
      </c>
      <c r="J29" s="529" t="s">
        <v>352</v>
      </c>
      <c r="K29" s="475" t="s">
        <v>199</v>
      </c>
      <c r="L29" s="475" t="s">
        <v>336</v>
      </c>
      <c r="M29" s="475">
        <f t="array" ref="M29">INDEX(DataInputSumatif,MATCH($D$1,DataNamaInputSumatif,0),MATCH("B. SUNDA SUMATIF 2",HeaderInputSumatif,0))</f>
        <v>75</v>
      </c>
      <c r="N29" s="529" t="s">
        <v>352</v>
      </c>
      <c r="O29" s="484" t="s">
        <v>199</v>
      </c>
      <c r="P29" s="475" t="s">
        <v>336</v>
      </c>
      <c r="Q29" s="475">
        <f t="array" ref="Q29">INDEX(DataInputSumatif,MATCH($D$1,DataNamaInputSumatif,0),MATCH("B. SUNDA SUMATIF 3",HeaderInputSumatif,0))</f>
        <v>75</v>
      </c>
      <c r="R29" s="467"/>
      <c r="S29" s="15"/>
      <c r="T29" s="15"/>
      <c r="U29" s="492"/>
      <c r="V29" s="492"/>
      <c r="W29" s="436"/>
      <c r="X29" s="15"/>
      <c r="AD29" s="15"/>
      <c r="AE29" s="445"/>
      <c r="AF29" s="445"/>
      <c r="AG29" s="445"/>
      <c r="AH29" s="445"/>
      <c r="AI29" s="445"/>
      <c r="AJ29" s="445"/>
      <c r="AK29" s="445"/>
      <c r="AL29" s="445"/>
      <c r="AM29" s="445"/>
      <c r="AN29" s="445"/>
      <c r="AO29" s="445"/>
      <c r="AP29" s="445"/>
      <c r="AQ29" s="445"/>
      <c r="AR29" s="445"/>
      <c r="AS29" s="445"/>
      <c r="AT29" s="445"/>
      <c r="AU29" s="445"/>
      <c r="AV29" s="445"/>
      <c r="AW29" s="445"/>
      <c r="AX29" s="445"/>
      <c r="AY29" s="445"/>
      <c r="AZ29" s="445"/>
      <c r="BA29" s="445"/>
      <c r="BB29" s="445"/>
      <c r="BC29" s="445"/>
      <c r="BD29" s="445"/>
      <c r="BE29" s="445"/>
      <c r="BF29" s="445"/>
      <c r="BG29" s="445"/>
      <c r="BH29" s="445"/>
      <c r="BI29" s="445"/>
      <c r="BJ29" s="445"/>
      <c r="BK29" s="445"/>
      <c r="BL29" s="445"/>
      <c r="BM29" s="445"/>
      <c r="BN29" s="445"/>
      <c r="BO29" s="445"/>
      <c r="BP29" s="445"/>
      <c r="BQ29" s="445"/>
      <c r="BR29" s="445"/>
      <c r="BS29" s="445"/>
      <c r="BT29" s="445"/>
      <c r="BU29" s="445"/>
      <c r="BV29" s="445"/>
      <c r="BW29" s="445"/>
      <c r="BX29" s="445"/>
      <c r="BY29" s="445"/>
      <c r="BZ29" s="445"/>
      <c r="CA29" s="445"/>
      <c r="CB29" s="445"/>
      <c r="CC29" s="445"/>
      <c r="CD29" s="445"/>
    </row>
    <row r="30" ht="15.75" customHeight="1"/>
    <row r="31" ht="19.5" customHeight="1">
      <c r="A31" s="535" t="s">
        <v>382</v>
      </c>
      <c r="B31" s="466"/>
      <c r="C31" s="466"/>
      <c r="D31" s="467"/>
      <c r="E31" s="535" t="s">
        <v>49</v>
      </c>
      <c r="F31" s="466"/>
      <c r="G31" s="466"/>
      <c r="H31" s="466"/>
      <c r="I31" s="466"/>
      <c r="J31" s="466"/>
      <c r="K31" s="466"/>
      <c r="L31" s="466"/>
      <c r="M31" s="466"/>
      <c r="N31" s="466"/>
      <c r="O31" s="466"/>
      <c r="P31" s="466"/>
      <c r="Q31" s="466"/>
      <c r="R31" s="467"/>
      <c r="S31" s="15"/>
      <c r="T31" s="15"/>
      <c r="U31" s="15"/>
      <c r="V31" s="15"/>
      <c r="W31" s="15"/>
      <c r="X31" s="15"/>
      <c r="Y31" s="15"/>
      <c r="Z31" s="15"/>
      <c r="AA31" s="15"/>
      <c r="AB31" s="15"/>
      <c r="AD31" s="15"/>
      <c r="AE31" s="445"/>
      <c r="AF31" s="445"/>
      <c r="AG31" s="445"/>
      <c r="AH31" s="445"/>
      <c r="AI31" s="445"/>
      <c r="AJ31" s="445"/>
      <c r="AK31" s="445"/>
      <c r="AL31" s="445"/>
      <c r="AM31" s="445"/>
      <c r="AN31" s="445"/>
      <c r="AO31" s="445"/>
      <c r="AP31" s="445"/>
      <c r="AQ31" s="445"/>
      <c r="AR31" s="445"/>
      <c r="AS31" s="445"/>
      <c r="AT31" s="445"/>
      <c r="AU31" s="445"/>
      <c r="AV31" s="445"/>
      <c r="AW31" s="445"/>
      <c r="AX31" s="445"/>
      <c r="AY31" s="445"/>
      <c r="AZ31" s="445"/>
      <c r="BA31" s="445"/>
      <c r="BB31" s="445"/>
      <c r="BC31" s="445"/>
      <c r="BD31" s="445"/>
      <c r="BE31" s="445"/>
      <c r="BF31" s="445"/>
      <c r="BG31" s="445"/>
      <c r="BH31" s="445"/>
      <c r="BI31" s="445"/>
      <c r="BJ31" s="445"/>
      <c r="BK31" s="445"/>
      <c r="BL31" s="445"/>
      <c r="BM31" s="445"/>
      <c r="BN31" s="445"/>
      <c r="BO31" s="445"/>
      <c r="BP31" s="445"/>
      <c r="BQ31" s="445"/>
      <c r="BR31" s="445"/>
      <c r="BS31" s="445"/>
      <c r="BT31" s="445"/>
      <c r="BU31" s="445"/>
      <c r="BV31" s="445"/>
      <c r="BW31" s="445"/>
      <c r="BX31" s="445"/>
      <c r="BY31" s="445"/>
      <c r="BZ31" s="445"/>
      <c r="CA31" s="445"/>
      <c r="CB31" s="445"/>
      <c r="CC31" s="445"/>
      <c r="CD31" s="445"/>
    </row>
    <row r="32" ht="18.0" customHeight="1">
      <c r="A32" s="536" t="s">
        <v>383</v>
      </c>
      <c r="B32" s="467"/>
      <c r="C32" s="537" t="str">
        <f t="array" ref="C32">INDEX(DataInputCP,MATCH($V$58,DataNamaInputCP,0),MATCH("SAKIT",HeaderInputCP,0))&amp;" Hari"</f>
        <v>- Hari</v>
      </c>
      <c r="D32" s="467"/>
      <c r="E32" s="538" t="str">
        <f t="array" ref="E32">INDEX(DataInputCP,MATCH($V$58,DataNamaInputCP,0),MATCH("CATATAN WALI KELAS",HeaderInputCP,0))</f>
        <v>Tingkatkan lagi prestasimu di semester berikutnya, sehingga apa yang telah didapat sekarang bisa lebih berguna lagi dimasa depan</v>
      </c>
      <c r="F32" s="27"/>
      <c r="G32" s="27"/>
      <c r="H32" s="27"/>
      <c r="I32" s="27"/>
      <c r="J32" s="27"/>
      <c r="K32" s="27"/>
      <c r="L32" s="27"/>
      <c r="M32" s="27"/>
      <c r="N32" s="27"/>
      <c r="O32" s="27"/>
      <c r="P32" s="27"/>
      <c r="Q32" s="27"/>
      <c r="R32" s="29"/>
      <c r="S32" s="15"/>
      <c r="T32" s="15"/>
      <c r="U32" s="15"/>
      <c r="V32" s="15"/>
      <c r="W32" s="15"/>
      <c r="X32" s="15"/>
      <c r="Y32" s="15"/>
      <c r="Z32" s="15"/>
      <c r="AA32" s="15"/>
      <c r="AB32" s="15"/>
      <c r="AD32" s="15"/>
      <c r="AE32" s="445"/>
      <c r="AF32" s="445"/>
      <c r="AG32" s="445"/>
      <c r="AH32" s="445"/>
      <c r="AI32" s="445"/>
      <c r="AJ32" s="445"/>
      <c r="AK32" s="445"/>
      <c r="AL32" s="445"/>
      <c r="AM32" s="445"/>
      <c r="AN32" s="445"/>
      <c r="AO32" s="445"/>
      <c r="AP32" s="445"/>
      <c r="AQ32" s="445"/>
      <c r="AR32" s="445"/>
      <c r="AS32" s="445"/>
      <c r="AT32" s="445"/>
      <c r="AU32" s="445"/>
      <c r="AV32" s="445"/>
      <c r="AW32" s="445"/>
      <c r="AX32" s="445"/>
      <c r="AY32" s="445"/>
      <c r="AZ32" s="445"/>
      <c r="BA32" s="445"/>
      <c r="BB32" s="445"/>
      <c r="BC32" s="445"/>
      <c r="BD32" s="445"/>
      <c r="BE32" s="445"/>
      <c r="BF32" s="445"/>
      <c r="BG32" s="445"/>
      <c r="BH32" s="445"/>
      <c r="BI32" s="445"/>
      <c r="BJ32" s="445"/>
      <c r="BK32" s="445"/>
      <c r="BL32" s="445"/>
      <c r="BM32" s="445"/>
      <c r="BN32" s="445"/>
      <c r="BO32" s="445"/>
      <c r="BP32" s="445"/>
      <c r="BQ32" s="445"/>
      <c r="BR32" s="445"/>
      <c r="BS32" s="445"/>
      <c r="BT32" s="445"/>
      <c r="BU32" s="445"/>
      <c r="BV32" s="445"/>
      <c r="BW32" s="445"/>
      <c r="BX32" s="445"/>
      <c r="BY32" s="445"/>
      <c r="BZ32" s="445"/>
      <c r="CA32" s="445"/>
      <c r="CB32" s="445"/>
      <c r="CC32" s="445"/>
      <c r="CD32" s="445"/>
    </row>
    <row r="33" ht="18.0" customHeight="1">
      <c r="A33" s="536" t="s">
        <v>384</v>
      </c>
      <c r="B33" s="467"/>
      <c r="C33" s="537" t="str">
        <f t="array" ref="C33">INDEX(DataInputCP,MATCH($V$58,DataNamaInputCP,0),MATCH("IZIN",HeaderInputCP,0))&amp;" Hari"</f>
        <v>42 Hari</v>
      </c>
      <c r="D33" s="467"/>
      <c r="E33" s="539"/>
      <c r="R33" s="540"/>
      <c r="S33" s="15"/>
      <c r="T33" s="15"/>
      <c r="U33" s="15"/>
      <c r="V33" s="15"/>
      <c r="W33" s="15"/>
      <c r="X33" s="15"/>
      <c r="Y33" s="15"/>
      <c r="Z33" s="15"/>
      <c r="AA33" s="15"/>
      <c r="AB33" s="15"/>
      <c r="AD33" s="15"/>
      <c r="AE33" s="445"/>
      <c r="AF33" s="445"/>
      <c r="AG33" s="445"/>
      <c r="AH33" s="445"/>
      <c r="AI33" s="445"/>
      <c r="AJ33" s="445"/>
      <c r="AK33" s="445"/>
      <c r="AL33" s="445"/>
      <c r="AM33" s="445"/>
      <c r="AN33" s="445"/>
      <c r="AO33" s="445"/>
      <c r="AP33" s="445"/>
      <c r="AQ33" s="445"/>
      <c r="AR33" s="445"/>
      <c r="AS33" s="445"/>
      <c r="AT33" s="445"/>
      <c r="AU33" s="445"/>
      <c r="AV33" s="445"/>
      <c r="AW33" s="445"/>
      <c r="AX33" s="445"/>
      <c r="AY33" s="445"/>
      <c r="AZ33" s="445"/>
      <c r="BA33" s="445"/>
      <c r="BB33" s="445"/>
      <c r="BC33" s="445"/>
      <c r="BD33" s="445"/>
      <c r="BE33" s="445"/>
      <c r="BF33" s="445"/>
      <c r="BG33" s="445"/>
      <c r="BH33" s="445"/>
      <c r="BI33" s="445"/>
      <c r="BJ33" s="445"/>
      <c r="BK33" s="445"/>
      <c r="BL33" s="445"/>
      <c r="BM33" s="445"/>
      <c r="BN33" s="445"/>
      <c r="BO33" s="445"/>
      <c r="BP33" s="445"/>
      <c r="BQ33" s="445"/>
      <c r="BR33" s="445"/>
      <c r="BS33" s="445"/>
      <c r="BT33" s="445"/>
      <c r="BU33" s="445"/>
      <c r="BV33" s="445"/>
      <c r="BW33" s="445"/>
      <c r="BX33" s="445"/>
      <c r="BY33" s="445"/>
      <c r="BZ33" s="445"/>
      <c r="CA33" s="445"/>
      <c r="CB33" s="445"/>
      <c r="CC33" s="445"/>
      <c r="CD33" s="445"/>
    </row>
    <row r="34" ht="18.0" customHeight="1">
      <c r="A34" s="536" t="s">
        <v>385</v>
      </c>
      <c r="B34" s="467"/>
      <c r="C34" s="537" t="str">
        <f t="array" ref="C34">INDEX(DataInputCP,MATCH($V$58,DataNamaInputCP,0),MATCH("TANPA KETERANGAN",HeaderInputCP,0))&amp;" Hari"</f>
        <v>42 Hari</v>
      </c>
      <c r="D34" s="467"/>
      <c r="E34" s="541"/>
      <c r="F34" s="542"/>
      <c r="G34" s="542"/>
      <c r="H34" s="542"/>
      <c r="I34" s="542"/>
      <c r="J34" s="542"/>
      <c r="K34" s="542"/>
      <c r="L34" s="542"/>
      <c r="M34" s="542"/>
      <c r="N34" s="542"/>
      <c r="O34" s="542"/>
      <c r="P34" s="542"/>
      <c r="Q34" s="542"/>
      <c r="R34" s="313"/>
      <c r="S34" s="15"/>
      <c r="T34" s="15"/>
      <c r="U34" s="15"/>
      <c r="V34" s="15"/>
      <c r="W34" s="15"/>
      <c r="X34" s="15"/>
      <c r="Y34" s="15"/>
      <c r="Z34" s="15"/>
      <c r="AA34" s="15"/>
      <c r="AB34" s="15"/>
      <c r="AD34" s="15"/>
      <c r="AE34" s="445"/>
      <c r="AF34" s="445"/>
      <c r="AG34" s="445"/>
      <c r="AH34" s="445"/>
      <c r="AI34" s="445"/>
      <c r="AJ34" s="445"/>
      <c r="AK34" s="445"/>
      <c r="AL34" s="445"/>
      <c r="AM34" s="445"/>
      <c r="AN34" s="445"/>
      <c r="AO34" s="445"/>
      <c r="AP34" s="445"/>
      <c r="AQ34" s="445"/>
      <c r="AR34" s="445"/>
      <c r="AS34" s="445"/>
      <c r="AT34" s="445"/>
      <c r="AU34" s="445"/>
      <c r="AV34" s="445"/>
      <c r="AW34" s="445"/>
      <c r="AX34" s="445"/>
      <c r="AY34" s="445"/>
      <c r="AZ34" s="445"/>
      <c r="BA34" s="445"/>
      <c r="BB34" s="445"/>
      <c r="BC34" s="445"/>
      <c r="BD34" s="445"/>
      <c r="BE34" s="445"/>
      <c r="BF34" s="445"/>
      <c r="BG34" s="445"/>
      <c r="BH34" s="445"/>
      <c r="BI34" s="445"/>
      <c r="BJ34" s="445"/>
      <c r="BK34" s="445"/>
      <c r="BL34" s="445"/>
      <c r="BM34" s="445"/>
      <c r="BN34" s="445"/>
      <c r="BO34" s="445"/>
      <c r="BP34" s="445"/>
      <c r="BQ34" s="445"/>
      <c r="BR34" s="445"/>
      <c r="BS34" s="445"/>
      <c r="BT34" s="445"/>
      <c r="BU34" s="445"/>
      <c r="BV34" s="445"/>
      <c r="BW34" s="445"/>
      <c r="BX34" s="445"/>
      <c r="BY34" s="445"/>
      <c r="BZ34" s="445"/>
      <c r="CA34" s="445"/>
      <c r="CB34" s="445"/>
      <c r="CC34" s="445"/>
      <c r="CD34" s="445"/>
    </row>
    <row r="35" ht="9.75" customHeight="1">
      <c r="A35" s="543"/>
      <c r="B35" s="543"/>
      <c r="C35" s="543"/>
      <c r="D35" s="543"/>
      <c r="E35" s="543"/>
      <c r="F35" s="544"/>
      <c r="G35" s="544"/>
      <c r="H35" s="544"/>
      <c r="I35" s="544"/>
      <c r="J35" s="544"/>
      <c r="K35" s="544"/>
      <c r="L35" s="544"/>
      <c r="M35" s="544"/>
      <c r="N35" s="544"/>
      <c r="O35" s="545"/>
      <c r="P35" s="544"/>
      <c r="Q35" s="544"/>
      <c r="R35" s="544"/>
      <c r="S35" s="15"/>
      <c r="T35" s="15"/>
      <c r="U35" s="15"/>
      <c r="V35" s="15"/>
      <c r="W35" s="15"/>
      <c r="X35" s="15"/>
      <c r="Y35" s="15"/>
      <c r="Z35" s="15"/>
      <c r="AA35" s="15"/>
      <c r="AB35" s="15"/>
      <c r="AD35" s="15"/>
      <c r="AE35" s="445"/>
      <c r="AF35" s="445"/>
      <c r="AG35" s="445"/>
      <c r="AH35" s="445"/>
      <c r="AI35" s="445"/>
      <c r="AJ35" s="445"/>
      <c r="AK35" s="445"/>
      <c r="AL35" s="445"/>
      <c r="AM35" s="445"/>
      <c r="AN35" s="445"/>
      <c r="AO35" s="445"/>
      <c r="AP35" s="445"/>
      <c r="AQ35" s="445"/>
      <c r="AR35" s="445"/>
      <c r="AS35" s="445"/>
      <c r="AT35" s="445"/>
      <c r="AU35" s="445"/>
      <c r="AV35" s="445"/>
      <c r="AW35" s="445"/>
      <c r="AX35" s="445"/>
      <c r="AY35" s="445"/>
      <c r="AZ35" s="445"/>
      <c r="BA35" s="445"/>
      <c r="BB35" s="445"/>
      <c r="BC35" s="445"/>
      <c r="BD35" s="445"/>
      <c r="BE35" s="445"/>
      <c r="BF35" s="445"/>
      <c r="BG35" s="445"/>
      <c r="BH35" s="445"/>
      <c r="BI35" s="445"/>
      <c r="BJ35" s="445"/>
      <c r="BK35" s="445"/>
      <c r="BL35" s="445"/>
      <c r="BM35" s="445"/>
      <c r="BN35" s="445"/>
      <c r="BO35" s="445"/>
      <c r="BP35" s="445"/>
      <c r="BQ35" s="445"/>
      <c r="BR35" s="445"/>
      <c r="BS35" s="445"/>
      <c r="BT35" s="445"/>
      <c r="BU35" s="445"/>
      <c r="BV35" s="445"/>
      <c r="BW35" s="445"/>
      <c r="BX35" s="445"/>
      <c r="BY35" s="445"/>
      <c r="BZ35" s="445"/>
      <c r="CA35" s="445"/>
      <c r="CB35" s="445"/>
      <c r="CC35" s="445"/>
      <c r="CD35" s="445"/>
    </row>
    <row r="36">
      <c r="A36" s="543"/>
      <c r="B36" s="543"/>
      <c r="C36" s="543"/>
      <c r="D36" s="543"/>
      <c r="E36" s="546"/>
      <c r="F36" s="544"/>
      <c r="G36" s="544"/>
      <c r="H36" s="544"/>
      <c r="I36" s="544"/>
      <c r="J36" s="544"/>
      <c r="K36" s="544"/>
      <c r="L36" s="544"/>
      <c r="M36" s="544"/>
      <c r="N36" s="544"/>
      <c r="O36" s="545"/>
      <c r="P36" s="544"/>
      <c r="Q36" s="544"/>
      <c r="R36" s="544"/>
      <c r="S36" s="15"/>
      <c r="T36" s="15"/>
      <c r="U36" s="15"/>
      <c r="V36" s="15"/>
      <c r="W36" s="15"/>
      <c r="X36" s="15"/>
      <c r="Y36" s="15"/>
      <c r="Z36" s="15"/>
      <c r="AA36" s="15"/>
      <c r="AB36" s="15"/>
      <c r="AD36" s="15"/>
      <c r="AE36" s="445"/>
      <c r="AF36" s="445"/>
      <c r="AG36" s="445"/>
      <c r="AH36" s="445"/>
      <c r="AI36" s="445"/>
      <c r="AJ36" s="445"/>
      <c r="AK36" s="445"/>
      <c r="AL36" s="445"/>
      <c r="AM36" s="445"/>
      <c r="AN36" s="445"/>
      <c r="AO36" s="445"/>
      <c r="AP36" s="445"/>
      <c r="AQ36" s="445"/>
      <c r="AR36" s="445"/>
      <c r="AS36" s="445"/>
      <c r="AT36" s="445"/>
      <c r="AU36" s="445"/>
      <c r="AV36" s="445"/>
      <c r="AW36" s="445"/>
      <c r="AX36" s="445"/>
      <c r="AY36" s="445"/>
      <c r="AZ36" s="445"/>
      <c r="BA36" s="445"/>
      <c r="BB36" s="445"/>
      <c r="BC36" s="445"/>
      <c r="BD36" s="445"/>
      <c r="BE36" s="445"/>
      <c r="BF36" s="445"/>
      <c r="BG36" s="445"/>
      <c r="BH36" s="445"/>
      <c r="BI36" s="445"/>
      <c r="BJ36" s="445"/>
      <c r="BK36" s="445"/>
      <c r="BL36" s="445"/>
      <c r="BM36" s="445"/>
      <c r="BN36" s="445"/>
      <c r="BO36" s="445"/>
      <c r="BP36" s="445"/>
      <c r="BQ36" s="445"/>
      <c r="BR36" s="445"/>
      <c r="BS36" s="445"/>
      <c r="BT36" s="445"/>
      <c r="BU36" s="445"/>
      <c r="BV36" s="445"/>
      <c r="BW36" s="445"/>
      <c r="BX36" s="445"/>
      <c r="BY36" s="445"/>
      <c r="BZ36" s="445"/>
      <c r="CA36" s="445"/>
      <c r="CB36" s="445"/>
      <c r="CC36" s="445"/>
      <c r="CD36" s="445"/>
    </row>
    <row r="37" ht="15.0" customHeight="1">
      <c r="A37" s="448"/>
      <c r="B37" s="15"/>
      <c r="C37" s="15"/>
      <c r="D37" s="15"/>
      <c r="E37" s="15"/>
      <c r="F37" s="15"/>
      <c r="G37" s="15"/>
      <c r="H37" s="15"/>
      <c r="I37" s="15"/>
      <c r="J37" s="15"/>
      <c r="K37" s="15" t="str">
        <f t="array" ref="K37">INDEX(SETTING!$C$34:$C$35,MATCH(SETTING!$C$3,SETTING!$D$34:$D$35,0))</f>
        <v>Purwakarta, 22 Desember 2025</v>
      </c>
      <c r="L37" s="15"/>
      <c r="M37" s="15"/>
      <c r="N37" s="15"/>
      <c r="O37" s="15"/>
      <c r="P37" s="15"/>
      <c r="Q37" s="15"/>
      <c r="R37" s="15"/>
      <c r="S37" s="15"/>
      <c r="T37" s="15"/>
      <c r="U37" s="15"/>
      <c r="V37" s="15"/>
      <c r="W37" s="15"/>
      <c r="X37" s="15"/>
      <c r="Y37" s="15"/>
      <c r="Z37" s="15"/>
      <c r="AA37" s="15"/>
      <c r="AB37" s="15"/>
      <c r="AD37" s="15"/>
      <c r="AE37" s="445"/>
      <c r="AF37" s="445"/>
      <c r="AG37" s="445"/>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5"/>
      <c r="BD37" s="445"/>
      <c r="BE37" s="445"/>
      <c r="BF37" s="445"/>
      <c r="BG37" s="445"/>
      <c r="BH37" s="445"/>
      <c r="BI37" s="445"/>
      <c r="BJ37" s="445"/>
      <c r="BK37" s="445"/>
      <c r="BL37" s="445"/>
      <c r="BM37" s="445"/>
      <c r="BN37" s="445"/>
      <c r="BO37" s="445"/>
      <c r="BP37" s="445"/>
      <c r="BQ37" s="445"/>
      <c r="BR37" s="445"/>
      <c r="BS37" s="445"/>
      <c r="BT37" s="445"/>
      <c r="BU37" s="445"/>
      <c r="BV37" s="445"/>
      <c r="BW37" s="445"/>
      <c r="BX37" s="445"/>
      <c r="BY37" s="445"/>
      <c r="BZ37" s="445"/>
      <c r="CA37" s="445"/>
      <c r="CB37" s="445"/>
      <c r="CC37" s="445"/>
      <c r="CD37" s="445"/>
    </row>
    <row r="38" ht="6.75" customHeight="1">
      <c r="A38" s="448"/>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D38" s="15"/>
      <c r="AE38" s="445"/>
      <c r="AF38" s="445"/>
      <c r="AG38" s="445"/>
      <c r="AH38" s="445"/>
      <c r="AI38" s="445"/>
      <c r="AJ38" s="445"/>
      <c r="AK38" s="445"/>
      <c r="AL38" s="445"/>
      <c r="AM38" s="445"/>
      <c r="AN38" s="445"/>
      <c r="AO38" s="445"/>
      <c r="AP38" s="445"/>
      <c r="AQ38" s="445"/>
      <c r="AR38" s="445"/>
      <c r="AS38" s="445"/>
      <c r="AT38" s="445"/>
      <c r="AU38" s="445"/>
      <c r="AV38" s="445"/>
      <c r="AW38" s="445"/>
      <c r="AX38" s="445"/>
      <c r="AY38" s="445"/>
      <c r="AZ38" s="445"/>
      <c r="BA38" s="445"/>
      <c r="BB38" s="445"/>
      <c r="BC38" s="445"/>
      <c r="BD38" s="445"/>
      <c r="BE38" s="445"/>
      <c r="BF38" s="445"/>
      <c r="BG38" s="445"/>
      <c r="BH38" s="445"/>
      <c r="BI38" s="445"/>
      <c r="BJ38" s="445"/>
      <c r="BK38" s="445"/>
      <c r="BL38" s="445"/>
      <c r="BM38" s="445"/>
      <c r="BN38" s="445"/>
      <c r="BO38" s="445"/>
      <c r="BP38" s="445"/>
      <c r="BQ38" s="445"/>
      <c r="BR38" s="445"/>
      <c r="BS38" s="445"/>
      <c r="BT38" s="445"/>
      <c r="BU38" s="445"/>
      <c r="BV38" s="445"/>
      <c r="BW38" s="445"/>
      <c r="BX38" s="445"/>
      <c r="BY38" s="445"/>
      <c r="BZ38" s="445"/>
      <c r="CA38" s="445"/>
      <c r="CB38" s="445"/>
      <c r="CC38" s="445"/>
      <c r="CD38" s="445"/>
    </row>
    <row r="39" ht="15.0" customHeight="1">
      <c r="A39" s="448"/>
      <c r="B39" s="449" t="s">
        <v>387</v>
      </c>
      <c r="D39" s="15"/>
      <c r="E39" s="15"/>
      <c r="F39" s="15"/>
      <c r="G39" s="15"/>
      <c r="H39" s="15"/>
      <c r="I39" s="15"/>
      <c r="J39" s="15"/>
      <c r="K39" s="15" t="s">
        <v>368</v>
      </c>
      <c r="L39" s="15"/>
      <c r="M39" s="15"/>
      <c r="N39" s="15"/>
      <c r="O39" s="15"/>
      <c r="P39" s="15"/>
      <c r="Q39" s="15"/>
      <c r="R39" s="547"/>
      <c r="S39" s="15"/>
      <c r="T39" s="15"/>
      <c r="U39" s="15"/>
      <c r="V39" s="15"/>
      <c r="W39" s="15"/>
      <c r="X39" s="15"/>
      <c r="AA39" s="15"/>
      <c r="AB39" s="15"/>
      <c r="AD39" s="15"/>
      <c r="AE39" s="445"/>
      <c r="AF39" s="445"/>
      <c r="AG39" s="445"/>
      <c r="AH39" s="445"/>
      <c r="AI39" s="445"/>
      <c r="AJ39" s="445"/>
      <c r="AK39" s="445"/>
      <c r="AL39" s="445"/>
      <c r="AM39" s="445"/>
      <c r="AN39" s="445"/>
      <c r="AO39" s="445"/>
      <c r="AP39" s="445"/>
      <c r="AQ39" s="445"/>
      <c r="AR39" s="445"/>
      <c r="AS39" s="445"/>
      <c r="AT39" s="445"/>
      <c r="AU39" s="445"/>
      <c r="AV39" s="445"/>
      <c r="AW39" s="445"/>
      <c r="AX39" s="445"/>
      <c r="AY39" s="445"/>
      <c r="AZ39" s="445"/>
      <c r="BA39" s="445"/>
      <c r="BB39" s="445"/>
      <c r="BC39" s="445"/>
      <c r="BD39" s="445"/>
      <c r="BE39" s="445"/>
      <c r="BF39" s="445"/>
      <c r="BG39" s="445"/>
      <c r="BH39" s="445"/>
      <c r="BI39" s="445"/>
      <c r="BJ39" s="445"/>
      <c r="BK39" s="445"/>
      <c r="BL39" s="445"/>
      <c r="BM39" s="445"/>
      <c r="BN39" s="445"/>
      <c r="BO39" s="445"/>
      <c r="BP39" s="445"/>
      <c r="BQ39" s="445"/>
      <c r="BR39" s="445"/>
      <c r="BS39" s="445"/>
      <c r="BT39" s="445"/>
      <c r="BU39" s="445"/>
      <c r="BV39" s="445"/>
      <c r="BW39" s="445"/>
      <c r="BX39" s="445"/>
      <c r="BY39" s="445"/>
      <c r="BZ39" s="445"/>
      <c r="CA39" s="445"/>
      <c r="CB39" s="445"/>
      <c r="CC39" s="445"/>
      <c r="CD39" s="445"/>
    </row>
    <row r="40" ht="15.0" customHeight="1">
      <c r="A40" s="448"/>
      <c r="B40" s="548"/>
      <c r="C40" s="15"/>
      <c r="D40" s="15"/>
      <c r="E40" s="15"/>
      <c r="F40" s="15"/>
      <c r="G40" s="15"/>
      <c r="H40" s="15"/>
      <c r="I40" s="15"/>
      <c r="J40" s="15"/>
      <c r="K40" s="15"/>
      <c r="L40" s="15"/>
      <c r="M40" s="15"/>
      <c r="N40" s="15"/>
      <c r="O40" s="15"/>
      <c r="P40" s="15"/>
      <c r="Q40" s="15"/>
      <c r="R40" s="547"/>
      <c r="S40" s="15"/>
      <c r="T40" s="15"/>
      <c r="U40" s="15"/>
      <c r="V40" s="15"/>
      <c r="W40" s="15"/>
      <c r="X40" s="15"/>
      <c r="AA40" s="15"/>
      <c r="AB40" s="15"/>
      <c r="AD40" s="15"/>
      <c r="AE40" s="445"/>
      <c r="AF40" s="445"/>
      <c r="AG40" s="445"/>
      <c r="AH40" s="445"/>
      <c r="AI40" s="445"/>
      <c r="AJ40" s="445"/>
      <c r="AK40" s="445"/>
      <c r="AL40" s="445"/>
      <c r="AM40" s="445"/>
      <c r="AN40" s="445"/>
      <c r="AO40" s="445"/>
      <c r="AP40" s="445"/>
      <c r="AQ40" s="445"/>
      <c r="AR40" s="445"/>
      <c r="AS40" s="445"/>
      <c r="AT40" s="445"/>
      <c r="AU40" s="445"/>
      <c r="AV40" s="445"/>
      <c r="AW40" s="445"/>
      <c r="AX40" s="445"/>
      <c r="AY40" s="445"/>
      <c r="AZ40" s="445"/>
      <c r="BA40" s="445"/>
      <c r="BB40" s="445"/>
      <c r="BC40" s="445"/>
      <c r="BD40" s="445"/>
      <c r="BE40" s="445"/>
      <c r="BF40" s="445"/>
      <c r="BG40" s="445"/>
      <c r="BH40" s="445"/>
      <c r="BI40" s="445"/>
      <c r="BJ40" s="445"/>
      <c r="BK40" s="445"/>
      <c r="BL40" s="445"/>
      <c r="BM40" s="445"/>
      <c r="BN40" s="445"/>
      <c r="BO40" s="445"/>
      <c r="BP40" s="445"/>
      <c r="BQ40" s="445"/>
      <c r="BR40" s="445"/>
      <c r="BS40" s="445"/>
      <c r="BT40" s="445"/>
      <c r="BU40" s="445"/>
      <c r="BV40" s="445"/>
      <c r="BW40" s="445"/>
      <c r="BX40" s="445"/>
      <c r="BY40" s="445"/>
      <c r="BZ40" s="445"/>
      <c r="CA40" s="445"/>
      <c r="CB40" s="445"/>
      <c r="CC40" s="445"/>
      <c r="CD40" s="445"/>
    </row>
    <row r="41" ht="14.25" customHeight="1">
      <c r="A41" s="448"/>
      <c r="B41" s="548"/>
      <c r="C41" s="15"/>
      <c r="D41" s="15"/>
      <c r="E41" s="15"/>
      <c r="F41" s="15"/>
      <c r="G41" s="15"/>
      <c r="H41" s="15"/>
      <c r="I41" s="15"/>
      <c r="J41" s="15"/>
      <c r="K41" s="15"/>
      <c r="L41" s="15"/>
      <c r="M41" s="15"/>
      <c r="N41" s="15"/>
      <c r="O41" s="15"/>
      <c r="P41" s="15"/>
      <c r="Q41" s="15"/>
      <c r="R41" s="547"/>
      <c r="S41" s="15"/>
      <c r="T41" s="15"/>
      <c r="U41" s="15"/>
      <c r="V41" s="15"/>
      <c r="W41" s="15"/>
      <c r="X41" s="15"/>
      <c r="AA41" s="15"/>
      <c r="AB41" s="15"/>
      <c r="AD41" s="15"/>
      <c r="AE41" s="445"/>
      <c r="AF41" s="445"/>
      <c r="AG41" s="445"/>
      <c r="AH41" s="445"/>
      <c r="AI41" s="445"/>
      <c r="AJ41" s="445"/>
      <c r="AK41" s="445"/>
      <c r="AL41" s="445"/>
      <c r="AM41" s="445"/>
      <c r="AN41" s="445"/>
      <c r="AO41" s="445"/>
      <c r="AP41" s="445"/>
      <c r="AQ41" s="445"/>
      <c r="AR41" s="445"/>
      <c r="AS41" s="445"/>
      <c r="AT41" s="445"/>
      <c r="AU41" s="445"/>
      <c r="AV41" s="445"/>
      <c r="AW41" s="445"/>
      <c r="AX41" s="445"/>
      <c r="AY41" s="445"/>
      <c r="AZ41" s="445"/>
      <c r="BA41" s="445"/>
      <c r="BB41" s="445"/>
      <c r="BC41" s="445"/>
      <c r="BD41" s="445"/>
      <c r="BE41" s="445"/>
      <c r="BF41" s="445"/>
      <c r="BG41" s="445"/>
      <c r="BH41" s="445"/>
      <c r="BI41" s="445"/>
      <c r="BJ41" s="445"/>
      <c r="BK41" s="445"/>
      <c r="BL41" s="445"/>
      <c r="BM41" s="445"/>
      <c r="BN41" s="445"/>
      <c r="BO41" s="445"/>
      <c r="BP41" s="445"/>
      <c r="BQ41" s="445"/>
      <c r="BR41" s="445"/>
      <c r="BS41" s="445"/>
      <c r="BT41" s="445"/>
      <c r="BU41" s="445"/>
      <c r="BV41" s="445"/>
      <c r="BW41" s="445"/>
      <c r="BX41" s="445"/>
      <c r="BY41" s="445"/>
      <c r="BZ41" s="445"/>
      <c r="CA41" s="445"/>
      <c r="CB41" s="445"/>
      <c r="CC41" s="445"/>
      <c r="CD41" s="445"/>
    </row>
    <row r="42" ht="14.25" customHeight="1">
      <c r="A42" s="448"/>
      <c r="B42" s="548"/>
      <c r="C42" s="15"/>
      <c r="D42" s="15"/>
      <c r="E42" s="15"/>
      <c r="F42" s="15"/>
      <c r="G42" s="15"/>
      <c r="H42" s="15"/>
      <c r="I42" s="15"/>
      <c r="J42" s="15"/>
      <c r="K42" s="15"/>
      <c r="L42" s="15"/>
      <c r="M42" s="15"/>
      <c r="N42" s="15"/>
      <c r="O42" s="15"/>
      <c r="P42" s="15"/>
      <c r="Q42" s="15"/>
      <c r="R42" s="547"/>
      <c r="S42" s="15"/>
      <c r="T42" s="15"/>
      <c r="U42" s="15"/>
      <c r="V42" s="15"/>
      <c r="W42" s="15"/>
      <c r="X42" s="15"/>
      <c r="AA42" s="15"/>
      <c r="AB42" s="15"/>
      <c r="AD42" s="15"/>
      <c r="AE42" s="445"/>
      <c r="AF42" s="445"/>
      <c r="AG42" s="445"/>
      <c r="AH42" s="445"/>
      <c r="AI42" s="445"/>
      <c r="AJ42" s="445"/>
      <c r="AK42" s="445"/>
      <c r="AL42" s="445"/>
      <c r="AM42" s="445"/>
      <c r="AN42" s="445"/>
      <c r="AO42" s="445"/>
      <c r="AP42" s="445"/>
      <c r="AQ42" s="445"/>
      <c r="AR42" s="445"/>
      <c r="AS42" s="445"/>
      <c r="AT42" s="445"/>
      <c r="AU42" s="445"/>
      <c r="AV42" s="445"/>
      <c r="AW42" s="445"/>
      <c r="AX42" s="445"/>
      <c r="AY42" s="445"/>
      <c r="AZ42" s="445"/>
      <c r="BA42" s="445"/>
      <c r="BB42" s="445"/>
      <c r="BC42" s="445"/>
      <c r="BD42" s="445"/>
      <c r="BE42" s="445"/>
      <c r="BF42" s="445"/>
      <c r="BG42" s="445"/>
      <c r="BH42" s="445"/>
      <c r="BI42" s="445"/>
      <c r="BJ42" s="445"/>
      <c r="BK42" s="445"/>
      <c r="BL42" s="445"/>
      <c r="BM42" s="445"/>
      <c r="BN42" s="445"/>
      <c r="BO42" s="445"/>
      <c r="BP42" s="445"/>
      <c r="BQ42" s="445"/>
      <c r="BR42" s="445"/>
      <c r="BS42" s="445"/>
      <c r="BT42" s="445"/>
      <c r="BU42" s="445"/>
      <c r="BV42" s="445"/>
      <c r="BW42" s="445"/>
      <c r="BX42" s="445"/>
      <c r="BY42" s="445"/>
      <c r="BZ42" s="445"/>
      <c r="CA42" s="445"/>
      <c r="CB42" s="445"/>
      <c r="CC42" s="445"/>
      <c r="CD42" s="445"/>
    </row>
    <row r="43" ht="14.25" customHeight="1">
      <c r="A43" s="448"/>
      <c r="B43" s="548"/>
      <c r="C43" s="15"/>
      <c r="D43" s="15"/>
      <c r="E43" s="15"/>
      <c r="F43" s="15"/>
      <c r="G43" s="15"/>
      <c r="H43" s="15"/>
      <c r="I43" s="15"/>
      <c r="J43" s="15"/>
      <c r="K43" s="15"/>
      <c r="L43" s="15"/>
      <c r="M43" s="15"/>
      <c r="N43" s="15"/>
      <c r="O43" s="15"/>
      <c r="P43" s="15"/>
      <c r="Q43" s="15"/>
      <c r="R43" s="547"/>
      <c r="S43" s="15"/>
      <c r="T43" s="15"/>
      <c r="U43" s="15"/>
      <c r="V43" s="15"/>
      <c r="W43" s="15"/>
      <c r="X43" s="15"/>
      <c r="AA43" s="15"/>
      <c r="AB43" s="15"/>
      <c r="AD43" s="15"/>
      <c r="AE43" s="445"/>
      <c r="AF43" s="445"/>
      <c r="AG43" s="445"/>
      <c r="AH43" s="445"/>
      <c r="AI43" s="445"/>
      <c r="AJ43" s="445"/>
      <c r="AK43" s="445"/>
      <c r="AL43" s="445"/>
      <c r="AM43" s="445"/>
      <c r="AN43" s="445"/>
      <c r="AO43" s="445"/>
      <c r="AP43" s="445"/>
      <c r="AQ43" s="445"/>
      <c r="AR43" s="445"/>
      <c r="AS43" s="445"/>
      <c r="AT43" s="445"/>
      <c r="AU43" s="445"/>
      <c r="AV43" s="445"/>
      <c r="AW43" s="445"/>
      <c r="AX43" s="445"/>
      <c r="AY43" s="445"/>
      <c r="AZ43" s="445"/>
      <c r="BA43" s="445"/>
      <c r="BB43" s="445"/>
      <c r="BC43" s="445"/>
      <c r="BD43" s="445"/>
      <c r="BE43" s="445"/>
      <c r="BF43" s="445"/>
      <c r="BG43" s="445"/>
      <c r="BH43" s="445"/>
      <c r="BI43" s="445"/>
      <c r="BJ43" s="445"/>
      <c r="BK43" s="445"/>
      <c r="BL43" s="445"/>
      <c r="BM43" s="445"/>
      <c r="BN43" s="445"/>
      <c r="BO43" s="445"/>
      <c r="BP43" s="445"/>
      <c r="BQ43" s="445"/>
      <c r="BR43" s="445"/>
      <c r="BS43" s="445"/>
      <c r="BT43" s="445"/>
      <c r="BU43" s="445"/>
      <c r="BV43" s="445"/>
      <c r="BW43" s="445"/>
      <c r="BX43" s="445"/>
      <c r="BY43" s="445"/>
      <c r="BZ43" s="445"/>
      <c r="CA43" s="445"/>
      <c r="CB43" s="445"/>
      <c r="CC43" s="445"/>
      <c r="CD43" s="445"/>
    </row>
    <row r="44" ht="14.25" customHeight="1">
      <c r="A44" s="448"/>
      <c r="B44" s="528" t="s">
        <v>388</v>
      </c>
      <c r="C44" s="15"/>
      <c r="D44" s="15"/>
      <c r="E44" s="15"/>
      <c r="F44" s="15"/>
      <c r="G44" s="15"/>
      <c r="H44" s="15"/>
      <c r="I44" s="15"/>
      <c r="J44" s="15"/>
      <c r="K44" s="549" t="str">
        <f>SETTING!$C$9</f>
        <v>ASEP SANDIANA AZHAR, S.T.</v>
      </c>
      <c r="L44" s="15"/>
      <c r="M44" s="15"/>
      <c r="N44" s="15"/>
      <c r="O44" s="15"/>
      <c r="P44" s="15"/>
      <c r="Q44" s="15"/>
      <c r="R44" s="547"/>
      <c r="S44" s="15"/>
      <c r="T44" s="15"/>
      <c r="U44" s="15"/>
      <c r="V44" s="15"/>
      <c r="W44" s="15"/>
      <c r="X44" s="15"/>
      <c r="AA44" s="15"/>
      <c r="AB44" s="15"/>
      <c r="AD44" s="15"/>
      <c r="AE44" s="445"/>
      <c r="AF44" s="445"/>
      <c r="AG44" s="445"/>
      <c r="AH44" s="445"/>
      <c r="AI44" s="445"/>
      <c r="AJ44" s="445"/>
      <c r="AK44" s="445"/>
      <c r="AL44" s="445"/>
      <c r="AM44" s="445"/>
      <c r="AN44" s="445"/>
      <c r="AO44" s="445"/>
      <c r="AP44" s="445"/>
      <c r="AQ44" s="445"/>
      <c r="AR44" s="445"/>
      <c r="AS44" s="445"/>
      <c r="AT44" s="445"/>
      <c r="AU44" s="445"/>
      <c r="AV44" s="445"/>
      <c r="AW44" s="445"/>
      <c r="AX44" s="445"/>
      <c r="AY44" s="445"/>
      <c r="AZ44" s="445"/>
      <c r="BA44" s="445"/>
      <c r="BB44" s="445"/>
      <c r="BC44" s="445"/>
      <c r="BD44" s="445"/>
      <c r="BE44" s="445"/>
      <c r="BF44" s="445"/>
      <c r="BG44" s="445"/>
      <c r="BH44" s="445"/>
      <c r="BI44" s="445"/>
      <c r="BJ44" s="445"/>
      <c r="BK44" s="445"/>
      <c r="BL44" s="445"/>
      <c r="BM44" s="445"/>
      <c r="BN44" s="445"/>
      <c r="BO44" s="445"/>
      <c r="BP44" s="445"/>
      <c r="BQ44" s="445"/>
      <c r="BR44" s="445"/>
      <c r="BS44" s="445"/>
      <c r="BT44" s="445"/>
      <c r="BU44" s="445"/>
      <c r="BV44" s="445"/>
      <c r="BW44" s="445"/>
      <c r="BX44" s="445"/>
      <c r="BY44" s="445"/>
      <c r="BZ44" s="445"/>
      <c r="CA44" s="445"/>
      <c r="CB44" s="445"/>
      <c r="CC44" s="445"/>
      <c r="CD44" s="445"/>
    </row>
    <row r="45" ht="15.0" customHeight="1">
      <c r="A45" s="448"/>
      <c r="B45" s="550"/>
      <c r="C45" s="15"/>
      <c r="D45" s="15"/>
      <c r="E45" s="15"/>
      <c r="F45" s="15"/>
      <c r="G45" s="15"/>
      <c r="H45" s="15"/>
      <c r="I45" s="15"/>
      <c r="J45" s="15"/>
      <c r="K45" s="551" t="str">
        <f>SETTING!$C$10</f>
        <v>NIP. 199203032025211186</v>
      </c>
      <c r="L45" s="15"/>
      <c r="M45" s="15"/>
      <c r="N45" s="15"/>
      <c r="O45" s="15"/>
      <c r="P45" s="15"/>
      <c r="Q45" s="15"/>
      <c r="R45" s="547"/>
      <c r="S45" s="15"/>
      <c r="T45" s="15"/>
      <c r="U45" s="15"/>
      <c r="V45" s="15"/>
      <c r="W45" s="15"/>
      <c r="X45" s="15"/>
      <c r="AA45" s="15"/>
      <c r="AB45" s="15"/>
      <c r="AD45" s="15"/>
      <c r="AE45" s="445"/>
      <c r="AF45" s="445"/>
      <c r="AG45" s="445"/>
      <c r="AH45" s="445"/>
      <c r="AI45" s="445"/>
      <c r="AJ45" s="445"/>
      <c r="AK45" s="445"/>
      <c r="AL45" s="445"/>
      <c r="AM45" s="445"/>
      <c r="AN45" s="445"/>
      <c r="AO45" s="445"/>
      <c r="AP45" s="445"/>
      <c r="AQ45" s="445"/>
      <c r="AR45" s="445"/>
      <c r="AS45" s="445"/>
      <c r="AT45" s="445"/>
      <c r="AU45" s="445"/>
      <c r="AV45" s="445"/>
      <c r="AW45" s="445"/>
      <c r="AX45" s="445"/>
      <c r="AY45" s="445"/>
      <c r="AZ45" s="445"/>
      <c r="BA45" s="445"/>
      <c r="BB45" s="445"/>
      <c r="BC45" s="445"/>
      <c r="BD45" s="445"/>
      <c r="BE45" s="445"/>
      <c r="BF45" s="445"/>
      <c r="BG45" s="445"/>
      <c r="BH45" s="445"/>
      <c r="BI45" s="445"/>
      <c r="BJ45" s="445"/>
      <c r="BK45" s="445"/>
      <c r="BL45" s="445"/>
      <c r="BM45" s="445"/>
      <c r="BN45" s="445"/>
      <c r="BO45" s="445"/>
      <c r="BP45" s="445"/>
      <c r="BQ45" s="445"/>
      <c r="BR45" s="445"/>
      <c r="BS45" s="445"/>
      <c r="BT45" s="445"/>
      <c r="BU45" s="445"/>
      <c r="BV45" s="445"/>
      <c r="BW45" s="445"/>
      <c r="BX45" s="445"/>
      <c r="BY45" s="445"/>
      <c r="BZ45" s="445"/>
      <c r="CA45" s="445"/>
      <c r="CB45" s="445"/>
      <c r="CC45" s="445"/>
      <c r="CD45" s="445"/>
    </row>
    <row r="46" ht="15.0" customHeight="1">
      <c r="A46" s="552"/>
      <c r="B46" s="550"/>
      <c r="C46" s="550"/>
      <c r="D46" s="448" t="s">
        <v>389</v>
      </c>
      <c r="L46" s="15"/>
      <c r="M46" s="15"/>
      <c r="N46" s="15"/>
      <c r="O46" s="15"/>
      <c r="P46" s="15"/>
      <c r="Q46" s="15"/>
      <c r="R46" s="547"/>
      <c r="S46" s="15"/>
      <c r="T46" s="15"/>
      <c r="U46" s="15"/>
      <c r="V46" s="15"/>
      <c r="W46" s="15"/>
      <c r="X46" s="15"/>
      <c r="AA46" s="15"/>
      <c r="AB46" s="15"/>
      <c r="AD46" s="15"/>
      <c r="AE46" s="445"/>
      <c r="AF46" s="445"/>
      <c r="AG46" s="445"/>
      <c r="AH46" s="445"/>
      <c r="AI46" s="445"/>
      <c r="AJ46" s="445"/>
      <c r="AK46" s="445"/>
      <c r="AL46" s="445"/>
      <c r="AM46" s="445"/>
      <c r="AN46" s="445"/>
      <c r="AO46" s="445"/>
      <c r="AP46" s="445"/>
      <c r="AQ46" s="445"/>
      <c r="AR46" s="445"/>
      <c r="AS46" s="445"/>
      <c r="AT46" s="445"/>
      <c r="AU46" s="445"/>
      <c r="AV46" s="445"/>
      <c r="AW46" s="445"/>
      <c r="AX46" s="445"/>
      <c r="AY46" s="445"/>
      <c r="AZ46" s="445"/>
      <c r="BA46" s="445"/>
      <c r="BB46" s="445"/>
      <c r="BC46" s="445"/>
      <c r="BD46" s="445"/>
      <c r="BE46" s="445"/>
      <c r="BF46" s="445"/>
      <c r="BG46" s="445"/>
      <c r="BH46" s="445"/>
      <c r="BI46" s="445"/>
      <c r="BJ46" s="445"/>
      <c r="BK46" s="445"/>
      <c r="BL46" s="445"/>
      <c r="BM46" s="445"/>
      <c r="BN46" s="445"/>
      <c r="BO46" s="445"/>
      <c r="BP46" s="445"/>
      <c r="BQ46" s="445"/>
      <c r="BR46" s="445"/>
      <c r="BS46" s="445"/>
      <c r="BT46" s="445"/>
      <c r="BU46" s="445"/>
      <c r="BV46" s="445"/>
      <c r="BW46" s="445"/>
      <c r="BX46" s="445"/>
      <c r="BY46" s="445"/>
      <c r="BZ46" s="445"/>
      <c r="CA46" s="445"/>
      <c r="CB46" s="445"/>
      <c r="CC46" s="445"/>
      <c r="CD46" s="445"/>
    </row>
    <row r="47" ht="15.0" customHeight="1">
      <c r="A47" s="448"/>
      <c r="B47" s="550"/>
      <c r="C47" s="550"/>
      <c r="D47" s="448" t="s">
        <v>390</v>
      </c>
      <c r="L47" s="15"/>
      <c r="M47" s="15"/>
      <c r="N47" s="15"/>
      <c r="O47" s="15"/>
      <c r="P47" s="15"/>
      <c r="Q47" s="15"/>
      <c r="R47" s="547"/>
      <c r="S47" s="15"/>
      <c r="T47" s="15"/>
      <c r="U47" s="15"/>
      <c r="V47" s="15"/>
      <c r="W47" s="15"/>
      <c r="X47" s="15"/>
      <c r="AA47" s="15"/>
      <c r="AB47" s="15"/>
      <c r="AD47" s="15"/>
      <c r="AE47" s="445"/>
      <c r="AF47" s="445"/>
      <c r="AG47" s="445"/>
      <c r="AH47" s="445"/>
      <c r="AI47" s="445"/>
      <c r="AJ47" s="445"/>
      <c r="AK47" s="445"/>
      <c r="AL47" s="445"/>
      <c r="AM47" s="445"/>
      <c r="AN47" s="445"/>
      <c r="AO47" s="445"/>
      <c r="AP47" s="445"/>
      <c r="AQ47" s="445"/>
      <c r="AR47" s="445"/>
      <c r="AS47" s="445"/>
      <c r="AT47" s="445"/>
      <c r="AU47" s="445"/>
      <c r="AV47" s="445"/>
      <c r="AW47" s="445"/>
      <c r="AX47" s="445"/>
      <c r="AY47" s="445"/>
      <c r="AZ47" s="445"/>
      <c r="BA47" s="445"/>
      <c r="BB47" s="445"/>
      <c r="BC47" s="445"/>
      <c r="BD47" s="445"/>
      <c r="BE47" s="445"/>
      <c r="BF47" s="445"/>
      <c r="BG47" s="445"/>
      <c r="BH47" s="445"/>
      <c r="BI47" s="445"/>
      <c r="BJ47" s="445"/>
      <c r="BK47" s="445"/>
      <c r="BL47" s="445"/>
      <c r="BM47" s="445"/>
      <c r="BN47" s="445"/>
      <c r="BO47" s="445"/>
      <c r="BP47" s="445"/>
      <c r="BQ47" s="445"/>
      <c r="BR47" s="445"/>
      <c r="BS47" s="445"/>
      <c r="BT47" s="445"/>
      <c r="BU47" s="445"/>
      <c r="BV47" s="445"/>
      <c r="BW47" s="445"/>
      <c r="BX47" s="445"/>
      <c r="BY47" s="445"/>
      <c r="BZ47" s="445"/>
      <c r="CA47" s="445"/>
      <c r="CB47" s="445"/>
      <c r="CC47" s="445"/>
      <c r="CD47" s="445"/>
    </row>
    <row r="48" ht="15.0" customHeight="1">
      <c r="A48" s="448"/>
      <c r="B48" s="550"/>
      <c r="C48" s="550"/>
      <c r="D48" s="550"/>
      <c r="E48" s="15"/>
      <c r="F48" s="15"/>
      <c r="G48" s="448"/>
      <c r="H48" s="15"/>
      <c r="I48" s="15"/>
      <c r="J48" s="15"/>
      <c r="K48" s="15"/>
      <c r="L48" s="15"/>
      <c r="M48" s="15"/>
      <c r="N48" s="15"/>
      <c r="O48" s="15"/>
      <c r="P48" s="15"/>
      <c r="Q48" s="15"/>
      <c r="R48" s="547"/>
      <c r="S48" s="15"/>
      <c r="T48" s="15"/>
      <c r="U48" s="15"/>
      <c r="V48" s="15"/>
      <c r="W48" s="15"/>
      <c r="X48" s="15"/>
      <c r="AA48" s="15"/>
      <c r="AB48" s="15"/>
      <c r="AD48" s="430"/>
      <c r="AE48" s="445"/>
      <c r="AF48" s="445"/>
      <c r="AG48" s="445"/>
      <c r="AH48" s="445"/>
      <c r="AI48" s="445"/>
      <c r="AJ48" s="445"/>
      <c r="AK48" s="445"/>
      <c r="AL48" s="445"/>
      <c r="AM48" s="445"/>
      <c r="AN48" s="445"/>
      <c r="AO48" s="445"/>
      <c r="AP48" s="445"/>
      <c r="AQ48" s="445"/>
      <c r="AR48" s="445"/>
      <c r="AS48" s="445"/>
      <c r="AT48" s="445"/>
      <c r="AU48" s="445"/>
      <c r="AV48" s="445"/>
      <c r="AW48" s="445"/>
      <c r="AX48" s="445"/>
      <c r="AY48" s="445"/>
      <c r="AZ48" s="445"/>
      <c r="BA48" s="445"/>
      <c r="BB48" s="445"/>
      <c r="BC48" s="445"/>
      <c r="BD48" s="445"/>
      <c r="BE48" s="445"/>
      <c r="BF48" s="445"/>
      <c r="BG48" s="445"/>
      <c r="BH48" s="445"/>
      <c r="BI48" s="445"/>
      <c r="BJ48" s="445"/>
      <c r="BK48" s="445"/>
      <c r="BL48" s="445"/>
      <c r="BM48" s="445"/>
      <c r="BN48" s="445"/>
      <c r="BO48" s="445"/>
      <c r="BP48" s="445"/>
      <c r="BQ48" s="445"/>
      <c r="BR48" s="445"/>
      <c r="BS48" s="445"/>
      <c r="BT48" s="445"/>
      <c r="BU48" s="445"/>
      <c r="BV48" s="445"/>
      <c r="BW48" s="445"/>
      <c r="BX48" s="445"/>
      <c r="BY48" s="445"/>
      <c r="BZ48" s="445"/>
      <c r="CA48" s="445"/>
      <c r="CB48" s="445"/>
      <c r="CC48" s="445"/>
      <c r="CD48" s="445"/>
    </row>
    <row r="49" ht="15.0" customHeight="1">
      <c r="A49" s="448"/>
      <c r="B49" s="550"/>
      <c r="C49" s="550"/>
      <c r="D49" s="550"/>
      <c r="E49" s="15"/>
      <c r="F49" s="15"/>
      <c r="G49" s="448"/>
      <c r="H49" s="15"/>
      <c r="I49" s="15"/>
      <c r="J49" s="15"/>
      <c r="K49" s="15"/>
      <c r="L49" s="15"/>
      <c r="M49" s="15"/>
      <c r="N49" s="15"/>
      <c r="O49" s="15"/>
      <c r="P49" s="15"/>
      <c r="Q49" s="15"/>
      <c r="R49" s="547"/>
      <c r="S49" s="15"/>
      <c r="T49" s="15"/>
      <c r="U49" s="15"/>
      <c r="V49" s="15"/>
      <c r="W49" s="15"/>
      <c r="X49" s="15"/>
      <c r="AA49" s="15"/>
      <c r="AB49" s="15"/>
      <c r="AD49" s="15"/>
      <c r="AE49" s="445"/>
      <c r="AF49" s="445"/>
      <c r="AG49" s="445"/>
      <c r="AH49" s="445"/>
      <c r="AI49" s="445"/>
      <c r="AJ49" s="445"/>
      <c r="AK49" s="445"/>
      <c r="AL49" s="445"/>
      <c r="AM49" s="445"/>
      <c r="AN49" s="445"/>
      <c r="AO49" s="445"/>
      <c r="AP49" s="445"/>
      <c r="AQ49" s="445"/>
      <c r="AR49" s="445"/>
      <c r="AS49" s="445"/>
      <c r="AT49" s="445"/>
      <c r="AU49" s="445"/>
      <c r="AV49" s="445"/>
      <c r="AW49" s="445"/>
      <c r="AX49" s="445"/>
      <c r="AY49" s="445"/>
      <c r="AZ49" s="445"/>
      <c r="BA49" s="445"/>
      <c r="BB49" s="445"/>
      <c r="BC49" s="445"/>
      <c r="BD49" s="445"/>
      <c r="BE49" s="445"/>
      <c r="BF49" s="445"/>
      <c r="BG49" s="445"/>
      <c r="BH49" s="445"/>
      <c r="BI49" s="445"/>
      <c r="BJ49" s="445"/>
      <c r="BK49" s="445"/>
      <c r="BL49" s="445"/>
      <c r="BM49" s="445"/>
      <c r="BN49" s="445"/>
      <c r="BO49" s="445"/>
      <c r="BP49" s="445"/>
      <c r="BQ49" s="445"/>
      <c r="BR49" s="445"/>
      <c r="BS49" s="445"/>
      <c r="BT49" s="445"/>
      <c r="BU49" s="445"/>
      <c r="BV49" s="445"/>
      <c r="BW49" s="445"/>
      <c r="BX49" s="445"/>
      <c r="BY49" s="445"/>
      <c r="BZ49" s="445"/>
      <c r="CA49" s="445"/>
      <c r="CB49" s="445"/>
      <c r="CC49" s="445"/>
      <c r="CD49" s="445"/>
    </row>
    <row r="50" ht="15.0" customHeight="1">
      <c r="A50" s="448"/>
      <c r="B50" s="550"/>
      <c r="C50" s="550"/>
      <c r="D50" s="550"/>
      <c r="E50" s="15"/>
      <c r="F50" s="15"/>
      <c r="G50" s="448"/>
      <c r="H50" s="15"/>
      <c r="I50" s="15"/>
      <c r="J50" s="15"/>
      <c r="K50" s="15"/>
      <c r="L50" s="15"/>
      <c r="M50" s="15"/>
      <c r="N50" s="15"/>
      <c r="O50" s="15"/>
      <c r="P50" s="15"/>
      <c r="Q50" s="15"/>
      <c r="R50" s="547"/>
      <c r="S50" s="15"/>
      <c r="T50" s="15"/>
      <c r="U50" s="15"/>
      <c r="V50" s="15"/>
      <c r="W50" s="15"/>
      <c r="X50" s="15"/>
      <c r="AA50" s="15"/>
      <c r="AB50" s="15"/>
      <c r="AD50" s="15"/>
      <c r="AE50" s="445"/>
      <c r="AF50" s="445"/>
      <c r="AG50" s="445"/>
      <c r="AH50" s="445"/>
      <c r="AI50" s="445"/>
      <c r="AJ50" s="445"/>
      <c r="AK50" s="445"/>
      <c r="AL50" s="445"/>
      <c r="AM50" s="445"/>
      <c r="AN50" s="445"/>
      <c r="AO50" s="445"/>
      <c r="AP50" s="445"/>
      <c r="AQ50" s="445"/>
      <c r="AR50" s="445"/>
      <c r="AS50" s="445"/>
      <c r="AT50" s="445"/>
      <c r="AU50" s="445"/>
      <c r="AV50" s="445"/>
      <c r="AW50" s="445"/>
      <c r="AX50" s="445"/>
      <c r="AY50" s="445"/>
      <c r="AZ50" s="445"/>
      <c r="BA50" s="445"/>
      <c r="BB50" s="445"/>
      <c r="BC50" s="445"/>
      <c r="BD50" s="445"/>
      <c r="BE50" s="445"/>
      <c r="BF50" s="445"/>
      <c r="BG50" s="445"/>
      <c r="BH50" s="445"/>
      <c r="BI50" s="445"/>
      <c r="BJ50" s="445"/>
      <c r="BK50" s="445"/>
      <c r="BL50" s="445"/>
      <c r="BM50" s="445"/>
      <c r="BN50" s="445"/>
      <c r="BO50" s="445"/>
      <c r="BP50" s="445"/>
      <c r="BQ50" s="445"/>
      <c r="BR50" s="445"/>
      <c r="BS50" s="445"/>
      <c r="BT50" s="445"/>
      <c r="BU50" s="445"/>
      <c r="BV50" s="445"/>
      <c r="BW50" s="445"/>
      <c r="BX50" s="445"/>
      <c r="BY50" s="445"/>
      <c r="BZ50" s="445"/>
      <c r="CA50" s="445"/>
      <c r="CB50" s="445"/>
      <c r="CC50" s="445"/>
      <c r="CD50" s="445"/>
    </row>
    <row r="51" ht="15.0" customHeight="1">
      <c r="A51" s="448"/>
      <c r="B51" s="550"/>
      <c r="C51" s="550"/>
      <c r="D51" s="550"/>
      <c r="E51" s="15"/>
      <c r="F51" s="15"/>
      <c r="G51" s="448"/>
      <c r="H51" s="15"/>
      <c r="I51" s="15"/>
      <c r="J51" s="15"/>
      <c r="K51" s="15"/>
      <c r="L51" s="15"/>
      <c r="M51" s="15"/>
      <c r="N51" s="15"/>
      <c r="O51" s="15"/>
      <c r="P51" s="15"/>
      <c r="Q51" s="15"/>
      <c r="R51" s="547"/>
      <c r="S51" s="15"/>
      <c r="T51" s="15"/>
      <c r="U51" s="15"/>
      <c r="V51" s="15"/>
      <c r="W51" s="15"/>
      <c r="X51" s="15"/>
      <c r="AA51" s="15"/>
      <c r="AB51" s="15"/>
      <c r="AD51" s="15"/>
      <c r="AE51" s="445"/>
      <c r="AF51" s="445"/>
      <c r="AG51" s="445"/>
      <c r="AH51" s="445"/>
      <c r="AI51" s="445"/>
      <c r="AJ51" s="445"/>
      <c r="AK51" s="445"/>
      <c r="AL51" s="445"/>
      <c r="AM51" s="445"/>
      <c r="AN51" s="445"/>
      <c r="AO51" s="445"/>
      <c r="AP51" s="445"/>
      <c r="AQ51" s="445"/>
      <c r="AR51" s="445"/>
      <c r="AS51" s="445"/>
      <c r="AT51" s="445"/>
      <c r="AU51" s="445"/>
      <c r="AV51" s="445"/>
      <c r="AW51" s="445"/>
      <c r="AX51" s="445"/>
      <c r="AY51" s="445"/>
      <c r="AZ51" s="445"/>
      <c r="BA51" s="445"/>
      <c r="BB51" s="445"/>
      <c r="BC51" s="445"/>
      <c r="BD51" s="445"/>
      <c r="BE51" s="445"/>
      <c r="BF51" s="445"/>
      <c r="BG51" s="445"/>
      <c r="BH51" s="445"/>
      <c r="BI51" s="445"/>
      <c r="BJ51" s="445"/>
      <c r="BK51" s="445"/>
      <c r="BL51" s="445"/>
      <c r="BM51" s="445"/>
      <c r="BN51" s="445"/>
      <c r="BO51" s="445"/>
      <c r="BP51" s="445"/>
      <c r="BQ51" s="445"/>
      <c r="BR51" s="445"/>
      <c r="BS51" s="445"/>
      <c r="BT51" s="445"/>
      <c r="BU51" s="445"/>
      <c r="BV51" s="445"/>
      <c r="BW51" s="445"/>
      <c r="BX51" s="445"/>
      <c r="BY51" s="445"/>
      <c r="BZ51" s="445"/>
      <c r="CA51" s="445"/>
      <c r="CB51" s="445"/>
      <c r="CC51" s="445"/>
      <c r="CD51" s="445"/>
    </row>
    <row r="52" ht="15.0" customHeight="1">
      <c r="A52" s="448"/>
      <c r="B52" s="550"/>
      <c r="C52" s="550"/>
      <c r="D52" s="553" t="str">
        <f>SETTING!$C$32</f>
        <v>WAHYU TAMIMBARKAH, S,Pd.</v>
      </c>
      <c r="L52" s="15"/>
      <c r="M52" s="15"/>
      <c r="N52" s="15"/>
      <c r="O52" s="15"/>
      <c r="P52" s="15"/>
      <c r="Q52" s="15"/>
      <c r="R52" s="547"/>
      <c r="S52" s="15"/>
      <c r="T52" s="15"/>
      <c r="U52" s="15"/>
      <c r="V52" s="15"/>
      <c r="W52" s="15"/>
      <c r="X52" s="15"/>
      <c r="AA52" s="15"/>
      <c r="AB52" s="15"/>
      <c r="AD52" s="1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445"/>
      <c r="BC52" s="445"/>
      <c r="BD52" s="445"/>
      <c r="BE52" s="445"/>
      <c r="BF52" s="445"/>
      <c r="BG52" s="445"/>
      <c r="BH52" s="445"/>
      <c r="BI52" s="445"/>
      <c r="BJ52" s="445"/>
      <c r="BK52" s="445"/>
      <c r="BL52" s="445"/>
      <c r="BM52" s="445"/>
      <c r="BN52" s="445"/>
      <c r="BO52" s="445"/>
      <c r="BP52" s="445"/>
      <c r="BQ52" s="445"/>
      <c r="BR52" s="445"/>
      <c r="BS52" s="445"/>
      <c r="BT52" s="445"/>
      <c r="BU52" s="445"/>
      <c r="BV52" s="445"/>
      <c r="BW52" s="445"/>
      <c r="BX52" s="445"/>
      <c r="BY52" s="445"/>
      <c r="BZ52" s="445"/>
      <c r="CA52" s="445"/>
      <c r="CB52" s="445"/>
      <c r="CC52" s="445"/>
      <c r="CD52" s="445"/>
    </row>
    <row r="53" ht="15.0" customHeight="1">
      <c r="A53" s="448"/>
      <c r="B53" s="550"/>
      <c r="C53" s="550"/>
      <c r="D53" s="448" t="str">
        <f>SETTING!$C$33</f>
        <v>NIP. 197111022008011001</v>
      </c>
      <c r="L53" s="15"/>
      <c r="M53" s="15"/>
      <c r="N53" s="15"/>
      <c r="O53" s="15"/>
      <c r="P53" s="15"/>
      <c r="Q53" s="15"/>
      <c r="R53" s="547"/>
      <c r="S53" s="15"/>
      <c r="T53" s="15"/>
      <c r="U53" s="15"/>
      <c r="V53" s="15"/>
      <c r="W53" s="15"/>
      <c r="X53" s="15"/>
      <c r="AA53" s="15"/>
      <c r="AB53" s="15"/>
      <c r="AE53" s="445"/>
      <c r="AF53" s="445"/>
      <c r="AG53" s="445"/>
      <c r="AH53" s="445"/>
      <c r="AI53" s="445"/>
      <c r="AJ53" s="445"/>
      <c r="AK53" s="445"/>
      <c r="AL53" s="445"/>
      <c r="AM53" s="445"/>
      <c r="AN53" s="445"/>
      <c r="AO53" s="445"/>
      <c r="AP53" s="445"/>
      <c r="AQ53" s="445"/>
      <c r="AR53" s="445"/>
      <c r="AS53" s="445"/>
      <c r="AT53" s="445"/>
      <c r="AU53" s="445"/>
      <c r="AV53" s="445"/>
      <c r="AW53" s="445"/>
      <c r="AX53" s="445"/>
      <c r="AY53" s="445"/>
      <c r="AZ53" s="445"/>
      <c r="BA53" s="445"/>
      <c r="BB53" s="445"/>
      <c r="BC53" s="445"/>
      <c r="BD53" s="445"/>
      <c r="BE53" s="445"/>
      <c r="BF53" s="445"/>
      <c r="BG53" s="445"/>
      <c r="BH53" s="445"/>
      <c r="BI53" s="445"/>
      <c r="BJ53" s="445"/>
      <c r="BK53" s="445"/>
      <c r="BL53" s="445"/>
      <c r="BM53" s="445"/>
      <c r="BN53" s="445"/>
      <c r="BO53" s="445"/>
      <c r="BP53" s="445"/>
      <c r="BQ53" s="445"/>
      <c r="BR53" s="445"/>
      <c r="BS53" s="445"/>
      <c r="BT53" s="445"/>
      <c r="BU53" s="445"/>
      <c r="BV53" s="445"/>
      <c r="BW53" s="445"/>
      <c r="BX53" s="445"/>
      <c r="BY53" s="445"/>
      <c r="BZ53" s="445"/>
      <c r="CA53" s="445"/>
      <c r="CB53" s="445"/>
      <c r="CC53" s="445"/>
      <c r="CD53" s="445"/>
    </row>
    <row r="54" ht="15.0" customHeight="1">
      <c r="A54" s="448"/>
      <c r="B54" s="550"/>
      <c r="C54" s="550"/>
      <c r="D54" s="550"/>
      <c r="E54" s="15"/>
      <c r="F54" s="15"/>
      <c r="G54" s="15"/>
      <c r="H54" s="15"/>
      <c r="I54" s="15"/>
      <c r="J54" s="15"/>
      <c r="K54" s="15"/>
      <c r="L54" s="15"/>
      <c r="M54" s="15"/>
      <c r="N54" s="15"/>
      <c r="O54" s="15"/>
      <c r="P54" s="15"/>
      <c r="Q54" s="15"/>
      <c r="R54" s="15"/>
      <c r="S54" s="448"/>
      <c r="T54" s="448"/>
      <c r="U54" s="558"/>
      <c r="V54" s="558"/>
      <c r="W54" s="432"/>
      <c r="X54" s="427"/>
      <c r="Y54" s="427"/>
      <c r="Z54" s="15"/>
      <c r="AA54" s="448"/>
      <c r="AB54" s="430"/>
      <c r="AC54" s="435"/>
      <c r="AE54" s="445"/>
      <c r="AF54" s="445"/>
      <c r="AG54" s="445"/>
      <c r="AH54" s="445"/>
      <c r="AI54" s="445"/>
      <c r="AJ54" s="445"/>
      <c r="AK54" s="445"/>
      <c r="AL54" s="445"/>
      <c r="AM54" s="445"/>
      <c r="AN54" s="445"/>
      <c r="AO54" s="445"/>
      <c r="AP54" s="445"/>
      <c r="AQ54" s="445"/>
      <c r="AR54" s="445"/>
      <c r="AS54" s="445"/>
      <c r="AT54" s="445"/>
      <c r="AU54" s="445"/>
      <c r="AV54" s="445"/>
      <c r="AW54" s="445"/>
      <c r="AX54" s="445"/>
      <c r="AY54" s="445"/>
      <c r="AZ54" s="445"/>
      <c r="BA54" s="445"/>
      <c r="BB54" s="445"/>
      <c r="BC54" s="445"/>
      <c r="BD54" s="445"/>
      <c r="BE54" s="445"/>
      <c r="BF54" s="445"/>
      <c r="BG54" s="445"/>
      <c r="BH54" s="445"/>
      <c r="BI54" s="445"/>
      <c r="BJ54" s="445"/>
      <c r="BK54" s="445"/>
      <c r="BL54" s="445"/>
      <c r="BM54" s="445"/>
      <c r="BN54" s="445"/>
      <c r="BO54" s="445"/>
      <c r="BP54" s="445"/>
      <c r="BQ54" s="445"/>
      <c r="BR54" s="445"/>
      <c r="BS54" s="445"/>
      <c r="BT54" s="445"/>
      <c r="BU54" s="445"/>
      <c r="BV54" s="445"/>
      <c r="BW54" s="445"/>
      <c r="BX54" s="445"/>
      <c r="BY54" s="445"/>
      <c r="BZ54" s="445"/>
      <c r="CA54" s="445"/>
      <c r="CB54" s="445"/>
      <c r="CC54" s="445"/>
      <c r="CD54" s="445"/>
    </row>
    <row r="55" ht="15.0" customHeight="1">
      <c r="A55" s="448"/>
      <c r="B55" s="550"/>
      <c r="C55" s="550"/>
      <c r="D55" s="550"/>
      <c r="E55" s="15"/>
      <c r="F55" s="15"/>
      <c r="G55" s="15"/>
      <c r="H55" s="15"/>
      <c r="I55" s="15"/>
      <c r="J55" s="15"/>
      <c r="K55" s="15"/>
      <c r="L55" s="15"/>
      <c r="M55" s="15"/>
      <c r="N55" s="15"/>
      <c r="O55" s="15"/>
      <c r="P55" s="15"/>
      <c r="Q55" s="15"/>
      <c r="R55" s="15"/>
      <c r="S55" s="554" t="s">
        <v>396</v>
      </c>
      <c r="AC55" s="435"/>
      <c r="AE55" s="445"/>
      <c r="AF55" s="445"/>
      <c r="AG55" s="445"/>
      <c r="AH55" s="445"/>
      <c r="AI55" s="445"/>
      <c r="AJ55" s="445"/>
      <c r="AK55" s="445"/>
      <c r="AL55" s="445"/>
      <c r="AM55" s="445"/>
      <c r="AN55" s="445"/>
      <c r="AO55" s="445"/>
      <c r="AP55" s="445"/>
      <c r="AQ55" s="445"/>
      <c r="AR55" s="445"/>
      <c r="AS55" s="445"/>
      <c r="AT55" s="445"/>
      <c r="AU55" s="445"/>
      <c r="AV55" s="445"/>
      <c r="AW55" s="445"/>
      <c r="AX55" s="445"/>
      <c r="AY55" s="445"/>
      <c r="AZ55" s="445"/>
      <c r="BA55" s="445"/>
      <c r="BB55" s="445"/>
      <c r="BC55" s="445"/>
      <c r="BD55" s="445"/>
      <c r="BE55" s="445"/>
      <c r="BF55" s="445"/>
      <c r="BG55" s="445"/>
      <c r="BH55" s="445"/>
      <c r="BI55" s="445"/>
      <c r="BJ55" s="445"/>
      <c r="BK55" s="445"/>
      <c r="BL55" s="445"/>
      <c r="BM55" s="445"/>
      <c r="BN55" s="445"/>
      <c r="BO55" s="445"/>
      <c r="BP55" s="445"/>
      <c r="BQ55" s="445"/>
      <c r="BR55" s="445"/>
      <c r="BS55" s="445"/>
      <c r="BT55" s="445"/>
      <c r="BU55" s="445"/>
      <c r="BV55" s="445"/>
      <c r="BW55" s="445"/>
      <c r="BX55" s="445"/>
      <c r="BY55" s="445"/>
      <c r="BZ55" s="445"/>
      <c r="CA55" s="445"/>
      <c r="CB55" s="445"/>
      <c r="CC55" s="445"/>
      <c r="CD55" s="445"/>
    </row>
    <row r="56" ht="15.0" customHeight="1">
      <c r="A56" s="448"/>
      <c r="B56" s="550"/>
      <c r="C56" s="550"/>
      <c r="D56" s="550"/>
      <c r="E56" s="15"/>
      <c r="F56" s="15"/>
      <c r="G56" s="15"/>
      <c r="H56" s="15"/>
      <c r="I56" s="15"/>
      <c r="J56" s="15"/>
      <c r="K56" s="15"/>
      <c r="L56" s="15"/>
      <c r="M56" s="15"/>
      <c r="N56" s="15"/>
      <c r="O56" s="15"/>
      <c r="P56" s="15"/>
      <c r="Q56" s="15"/>
      <c r="R56" s="15"/>
      <c r="S56" s="561" t="s">
        <v>402</v>
      </c>
      <c r="AC56" s="435"/>
      <c r="AE56" s="445"/>
      <c r="AF56" s="445"/>
      <c r="AG56" s="445"/>
      <c r="AH56" s="445"/>
      <c r="AI56" s="445"/>
      <c r="AJ56" s="445"/>
      <c r="AK56" s="445"/>
      <c r="AL56" s="445"/>
      <c r="AM56" s="445"/>
      <c r="AN56" s="445"/>
      <c r="AO56" s="445"/>
      <c r="AP56" s="445"/>
      <c r="AQ56" s="445"/>
      <c r="AR56" s="445"/>
      <c r="AS56" s="445"/>
      <c r="AT56" s="445"/>
      <c r="AU56" s="445"/>
      <c r="AV56" s="445"/>
      <c r="AW56" s="445"/>
      <c r="AX56" s="445"/>
      <c r="AY56" s="445"/>
      <c r="AZ56" s="445"/>
      <c r="BA56" s="445"/>
      <c r="BB56" s="445"/>
      <c r="BC56" s="445"/>
      <c r="BD56" s="445"/>
      <c r="BE56" s="445"/>
      <c r="BF56" s="445"/>
      <c r="BG56" s="445"/>
      <c r="BH56" s="445"/>
      <c r="BI56" s="445"/>
      <c r="BJ56" s="445"/>
      <c r="BK56" s="445"/>
      <c r="BL56" s="445"/>
      <c r="BM56" s="445"/>
      <c r="BN56" s="445"/>
      <c r="BO56" s="445"/>
      <c r="BP56" s="445"/>
      <c r="BQ56" s="445"/>
      <c r="BR56" s="445"/>
      <c r="BS56" s="445"/>
      <c r="BT56" s="445"/>
      <c r="BU56" s="445"/>
      <c r="BV56" s="445"/>
      <c r="BW56" s="445"/>
      <c r="BX56" s="445"/>
      <c r="BY56" s="445"/>
      <c r="BZ56" s="445"/>
      <c r="CA56" s="445"/>
      <c r="CB56" s="445"/>
      <c r="CC56" s="445"/>
      <c r="CD56" s="445"/>
    </row>
    <row r="57" ht="15.0" customHeight="1">
      <c r="A57" s="448"/>
      <c r="B57" s="550"/>
      <c r="C57" s="550"/>
      <c r="D57" s="550"/>
      <c r="E57" s="15"/>
      <c r="F57" s="15"/>
      <c r="G57" s="15"/>
      <c r="H57" s="15"/>
      <c r="I57" s="15"/>
      <c r="J57" s="15"/>
      <c r="K57" s="15"/>
      <c r="L57" s="15"/>
      <c r="M57" s="15"/>
      <c r="N57" s="15"/>
      <c r="O57" s="15"/>
      <c r="P57" s="15"/>
      <c r="Q57" s="15"/>
      <c r="R57" s="15"/>
      <c r="S57" s="448"/>
      <c r="T57" s="448"/>
      <c r="U57" s="558"/>
      <c r="V57" s="558"/>
      <c r="W57" s="432"/>
      <c r="X57" s="427"/>
      <c r="Y57" s="427"/>
      <c r="Z57" s="15"/>
      <c r="AA57" s="448"/>
      <c r="AB57" s="430"/>
      <c r="AC57" s="435"/>
      <c r="AE57" s="445"/>
      <c r="AF57" s="445"/>
      <c r="AG57" s="445"/>
      <c r="AH57" s="445"/>
      <c r="AI57" s="445"/>
      <c r="AJ57" s="445"/>
      <c r="AK57" s="445"/>
      <c r="AL57" s="445"/>
      <c r="AM57" s="445"/>
      <c r="AN57" s="445"/>
      <c r="AO57" s="445"/>
      <c r="AP57" s="445"/>
      <c r="AQ57" s="445"/>
      <c r="AR57" s="445"/>
      <c r="AS57" s="445"/>
      <c r="AT57" s="445"/>
      <c r="AU57" s="445"/>
      <c r="AV57" s="445"/>
      <c r="AW57" s="445"/>
      <c r="AX57" s="445"/>
      <c r="AY57" s="445"/>
      <c r="AZ57" s="445"/>
      <c r="BA57" s="445"/>
      <c r="BB57" s="445"/>
      <c r="BC57" s="445"/>
      <c r="BD57" s="445"/>
      <c r="BE57" s="445"/>
      <c r="BF57" s="445"/>
      <c r="BG57" s="445"/>
      <c r="BH57" s="445"/>
      <c r="BI57" s="445"/>
      <c r="BJ57" s="445"/>
      <c r="BK57" s="445"/>
      <c r="BL57" s="445"/>
      <c r="BM57" s="445"/>
      <c r="BN57" s="445"/>
      <c r="BO57" s="445"/>
      <c r="BP57" s="445"/>
      <c r="BQ57" s="445"/>
      <c r="BR57" s="445"/>
      <c r="BS57" s="445"/>
      <c r="BT57" s="445"/>
      <c r="BU57" s="445"/>
      <c r="BV57" s="445"/>
      <c r="BW57" s="445"/>
      <c r="BX57" s="445"/>
      <c r="BY57" s="445"/>
      <c r="BZ57" s="445"/>
      <c r="CA57" s="445"/>
      <c r="CB57" s="445"/>
      <c r="CC57" s="445"/>
      <c r="CD57" s="445"/>
    </row>
    <row r="58" ht="15.0" customHeight="1">
      <c r="A58" s="12"/>
      <c r="B58" s="564"/>
      <c r="C58" s="564"/>
      <c r="D58" s="564"/>
      <c r="E58" s="429"/>
      <c r="F58" s="429"/>
      <c r="G58" s="429"/>
      <c r="H58" s="429"/>
      <c r="I58" s="429"/>
      <c r="J58" s="429"/>
      <c r="K58" s="429"/>
      <c r="L58" s="429"/>
      <c r="M58" s="429"/>
      <c r="N58" s="429"/>
      <c r="O58" s="429"/>
      <c r="P58" s="429"/>
      <c r="Q58" s="429"/>
      <c r="R58" s="429"/>
      <c r="S58" s="566" t="s">
        <v>409</v>
      </c>
      <c r="U58" s="566" t="s">
        <v>336</v>
      </c>
      <c r="V58" s="427" t="str">
        <f>$D$1</f>
        <v>MUHAMMAD GALANG GUNAWAN</v>
      </c>
      <c r="Z58" s="429" t="s">
        <v>337</v>
      </c>
      <c r="AA58" s="12" t="s">
        <v>336</v>
      </c>
      <c r="AB58" s="430" t="str">
        <f>SETTING!$C$2</f>
        <v>X TO 4</v>
      </c>
      <c r="AC58" s="569" t="s">
        <v>411</v>
      </c>
      <c r="AD58" s="570"/>
      <c r="AE58" s="571"/>
      <c r="AF58" s="571"/>
      <c r="AG58" s="571"/>
      <c r="AH58" s="571"/>
      <c r="AI58" s="571"/>
      <c r="AJ58" s="571"/>
      <c r="AK58" s="571"/>
      <c r="AL58" s="571"/>
      <c r="AM58" s="571"/>
      <c r="AN58" s="571"/>
      <c r="AO58" s="571"/>
      <c r="AP58" s="571"/>
      <c r="AQ58" s="571"/>
      <c r="AR58" s="571"/>
      <c r="AS58" s="571"/>
      <c r="AT58" s="571"/>
      <c r="AU58" s="571"/>
      <c r="AV58" s="571"/>
      <c r="AW58" s="571"/>
      <c r="AX58" s="571"/>
      <c r="AY58" s="571"/>
      <c r="AZ58" s="571"/>
      <c r="BA58" s="571"/>
      <c r="BB58" s="571"/>
      <c r="BC58" s="571"/>
      <c r="BD58" s="571"/>
      <c r="BE58" s="571"/>
      <c r="BF58" s="571"/>
      <c r="BG58" s="571"/>
      <c r="BH58" s="571"/>
      <c r="BI58" s="571"/>
      <c r="BJ58" s="571"/>
      <c r="BK58" s="571"/>
      <c r="BL58" s="571"/>
      <c r="BM58" s="571"/>
      <c r="BN58" s="571"/>
      <c r="BO58" s="571"/>
      <c r="BP58" s="571"/>
      <c r="BQ58" s="571"/>
      <c r="BR58" s="571"/>
      <c r="BS58" s="571"/>
      <c r="BT58" s="571"/>
      <c r="BU58" s="571"/>
      <c r="BV58" s="571"/>
      <c r="BW58" s="571"/>
      <c r="BX58" s="571"/>
      <c r="BY58" s="571"/>
      <c r="BZ58" s="571"/>
      <c r="CA58" s="571"/>
      <c r="CB58" s="571"/>
      <c r="CC58" s="571"/>
      <c r="CD58" s="571"/>
    </row>
    <row r="59" ht="15.0" customHeight="1">
      <c r="A59" s="12"/>
      <c r="B59" s="564"/>
      <c r="C59" s="564"/>
      <c r="D59" s="564"/>
      <c r="E59" s="429"/>
      <c r="F59" s="429"/>
      <c r="G59" s="429"/>
      <c r="H59" s="429"/>
      <c r="I59" s="429"/>
      <c r="J59" s="429"/>
      <c r="K59" s="429"/>
      <c r="L59" s="429"/>
      <c r="M59" s="429"/>
      <c r="N59" s="429"/>
      <c r="O59" s="429"/>
      <c r="P59" s="429"/>
      <c r="Q59" s="429"/>
      <c r="R59" s="429"/>
      <c r="S59" s="573" t="s">
        <v>338</v>
      </c>
      <c r="U59" s="566" t="s">
        <v>336</v>
      </c>
      <c r="V59" s="442" t="str">
        <f t="array" ref="V59">index('INPUT SUMATIF'!$B$5:$B$54,match($D$1,'INPUT SUMATIF'!$D$5:$D$54,0))&amp;" / "&amp;
index('INPUT SUMATIF'!$C$5:$C$54,match($D$1,'INPUT SUMATIF'!$D$5:$D$54,0))</f>
        <v>2526100440 / 0105005356</v>
      </c>
      <c r="Z59" s="429" t="s">
        <v>339</v>
      </c>
      <c r="AA59" s="432" t="s">
        <v>336</v>
      </c>
      <c r="AB59" s="430" t="str">
        <f>SETTING!$C$5</f>
        <v>E</v>
      </c>
      <c r="AD59" s="430"/>
      <c r="AE59" s="571"/>
      <c r="AF59" s="571"/>
      <c r="AG59" s="571"/>
      <c r="AH59" s="571"/>
      <c r="AI59" s="571"/>
      <c r="AJ59" s="571"/>
      <c r="AK59" s="571"/>
      <c r="AL59" s="571"/>
      <c r="AM59" s="571"/>
      <c r="AN59" s="571"/>
      <c r="AO59" s="571"/>
      <c r="AP59" s="571"/>
      <c r="AQ59" s="571"/>
      <c r="AR59" s="571"/>
      <c r="AS59" s="571"/>
      <c r="AT59" s="571"/>
      <c r="AU59" s="571"/>
      <c r="AV59" s="571"/>
      <c r="AW59" s="571"/>
      <c r="AX59" s="571"/>
      <c r="AY59" s="571"/>
      <c r="AZ59" s="571"/>
      <c r="BA59" s="571"/>
      <c r="BB59" s="571"/>
      <c r="BC59" s="571"/>
      <c r="BD59" s="571"/>
      <c r="BE59" s="571"/>
      <c r="BF59" s="571"/>
      <c r="BG59" s="571"/>
      <c r="BH59" s="571"/>
      <c r="BI59" s="571"/>
      <c r="BJ59" s="571"/>
      <c r="BK59" s="571"/>
      <c r="BL59" s="571"/>
      <c r="BM59" s="571"/>
      <c r="BN59" s="571"/>
      <c r="BO59" s="571"/>
      <c r="BP59" s="571"/>
      <c r="BQ59" s="571"/>
      <c r="BR59" s="571"/>
      <c r="BS59" s="571"/>
      <c r="BT59" s="571"/>
      <c r="BU59" s="571"/>
      <c r="BV59" s="571"/>
      <c r="BW59" s="571"/>
      <c r="BX59" s="571"/>
      <c r="BY59" s="571"/>
      <c r="BZ59" s="571"/>
      <c r="CA59" s="571"/>
      <c r="CB59" s="571"/>
      <c r="CC59" s="571"/>
      <c r="CD59" s="571"/>
    </row>
    <row r="60" ht="15.0" customHeight="1">
      <c r="A60" s="12"/>
      <c r="B60" s="564"/>
      <c r="C60" s="564"/>
      <c r="D60" s="564"/>
      <c r="E60" s="429"/>
      <c r="F60" s="429"/>
      <c r="G60" s="429"/>
      <c r="H60" s="429"/>
      <c r="I60" s="429"/>
      <c r="J60" s="429"/>
      <c r="K60" s="429"/>
      <c r="L60" s="429"/>
      <c r="M60" s="429"/>
      <c r="N60" s="429"/>
      <c r="O60" s="429"/>
      <c r="P60" s="429"/>
      <c r="Q60" s="429"/>
      <c r="R60" s="429"/>
      <c r="S60" s="573" t="s">
        <v>340</v>
      </c>
      <c r="U60" s="566" t="s">
        <v>336</v>
      </c>
      <c r="V60" s="430" t="str">
        <f>SETTING!$C$30</f>
        <v>SMKN 1 PLERED</v>
      </c>
      <c r="Z60" s="429" t="s">
        <v>341</v>
      </c>
      <c r="AA60" s="432" t="s">
        <v>336</v>
      </c>
      <c r="AB60" s="430" t="str">
        <f>SETTING!$C$3</f>
        <v>Ganjil</v>
      </c>
      <c r="AD60" s="430"/>
      <c r="AE60" s="571"/>
      <c r="AF60" s="571"/>
      <c r="AG60" s="571"/>
      <c r="AH60" s="571"/>
      <c r="AI60" s="571"/>
      <c r="AJ60" s="571"/>
      <c r="AK60" s="571"/>
      <c r="AL60" s="571"/>
      <c r="AM60" s="571"/>
      <c r="AN60" s="571"/>
      <c r="AO60" s="571"/>
      <c r="AP60" s="571"/>
      <c r="AQ60" s="571"/>
      <c r="AR60" s="571"/>
      <c r="AS60" s="571"/>
      <c r="AT60" s="571"/>
      <c r="AU60" s="571"/>
      <c r="AV60" s="571"/>
      <c r="AW60" s="571"/>
      <c r="AX60" s="571"/>
      <c r="AY60" s="571"/>
      <c r="AZ60" s="571"/>
      <c r="BA60" s="571"/>
      <c r="BB60" s="571"/>
      <c r="BC60" s="571"/>
      <c r="BD60" s="571"/>
      <c r="BE60" s="571"/>
      <c r="BF60" s="571"/>
      <c r="BG60" s="571"/>
      <c r="BH60" s="571"/>
      <c r="BI60" s="571"/>
      <c r="BJ60" s="571"/>
      <c r="BK60" s="571"/>
      <c r="BL60" s="571"/>
      <c r="BM60" s="571"/>
      <c r="BN60" s="571"/>
      <c r="BO60" s="571"/>
      <c r="BP60" s="571"/>
      <c r="BQ60" s="571"/>
      <c r="BR60" s="571"/>
      <c r="BS60" s="571"/>
      <c r="BT60" s="571"/>
      <c r="BU60" s="571"/>
      <c r="BV60" s="571"/>
      <c r="BW60" s="571"/>
      <c r="BX60" s="571"/>
      <c r="BY60" s="571"/>
      <c r="BZ60" s="571"/>
      <c r="CA60" s="571"/>
      <c r="CB60" s="571"/>
      <c r="CC60" s="571"/>
      <c r="CD60" s="571"/>
    </row>
    <row r="61" ht="15.0" customHeight="1">
      <c r="A61" s="12"/>
      <c r="B61" s="564"/>
      <c r="C61" s="564"/>
      <c r="D61" s="564"/>
      <c r="E61" s="429"/>
      <c r="F61" s="429"/>
      <c r="G61" s="429"/>
      <c r="H61" s="429"/>
      <c r="I61" s="429"/>
      <c r="J61" s="429"/>
      <c r="K61" s="429"/>
      <c r="L61" s="429"/>
      <c r="M61" s="429"/>
      <c r="N61" s="429"/>
      <c r="O61" s="429"/>
      <c r="P61" s="429"/>
      <c r="Q61" s="429"/>
      <c r="R61" s="429"/>
      <c r="S61" s="573" t="s">
        <v>342</v>
      </c>
      <c r="U61" s="566" t="s">
        <v>336</v>
      </c>
      <c r="V61" s="430" t="str">
        <f>SETTING!$C$31</f>
        <v>Jl.Rawasari, Plered</v>
      </c>
      <c r="Z61" s="429" t="s">
        <v>343</v>
      </c>
      <c r="AA61" s="432" t="s">
        <v>336</v>
      </c>
      <c r="AB61" s="430" t="str">
        <f>SETTING!$C$4</f>
        <v>2025 / 2026</v>
      </c>
      <c r="AC61" s="570"/>
      <c r="AD61" s="430"/>
      <c r="AE61" s="571"/>
      <c r="AF61" s="571"/>
      <c r="AG61" s="571"/>
      <c r="AH61" s="571"/>
      <c r="AI61" s="571"/>
      <c r="AJ61" s="571"/>
      <c r="AK61" s="571"/>
      <c r="AL61" s="571"/>
      <c r="AM61" s="571"/>
      <c r="AN61" s="571"/>
      <c r="AO61" s="571"/>
      <c r="AP61" s="571"/>
      <c r="AQ61" s="571"/>
      <c r="AR61" s="571"/>
      <c r="AS61" s="571"/>
      <c r="AT61" s="571"/>
      <c r="AU61" s="571"/>
      <c r="AV61" s="571"/>
      <c r="AW61" s="571"/>
      <c r="AX61" s="571"/>
      <c r="AY61" s="571"/>
      <c r="AZ61" s="571"/>
      <c r="BA61" s="571"/>
      <c r="BB61" s="571"/>
      <c r="BC61" s="571"/>
      <c r="BD61" s="571"/>
      <c r="BE61" s="571"/>
      <c r="BF61" s="571"/>
      <c r="BG61" s="571"/>
      <c r="BH61" s="571"/>
      <c r="BI61" s="571"/>
      <c r="BJ61" s="571"/>
      <c r="BK61" s="571"/>
      <c r="BL61" s="571"/>
      <c r="BM61" s="571"/>
      <c r="BN61" s="571"/>
      <c r="BO61" s="571"/>
      <c r="BP61" s="571"/>
      <c r="BQ61" s="571"/>
      <c r="BR61" s="571"/>
      <c r="BS61" s="571"/>
      <c r="BT61" s="571"/>
      <c r="BU61" s="571"/>
      <c r="BV61" s="571"/>
      <c r="BW61" s="571"/>
      <c r="BX61" s="571"/>
      <c r="BY61" s="571"/>
      <c r="BZ61" s="571"/>
      <c r="CA61" s="571"/>
      <c r="CB61" s="571"/>
      <c r="CC61" s="571"/>
      <c r="CD61" s="571"/>
    </row>
    <row r="62" ht="15.0" customHeight="1">
      <c r="A62" s="448"/>
      <c r="B62" s="550"/>
      <c r="C62" s="550"/>
      <c r="D62" s="550"/>
      <c r="E62" s="15"/>
      <c r="F62" s="15"/>
      <c r="G62" s="15"/>
      <c r="H62" s="15"/>
      <c r="I62" s="15"/>
      <c r="J62" s="15"/>
      <c r="K62" s="15"/>
      <c r="L62" s="15"/>
      <c r="M62" s="15"/>
      <c r="N62" s="15"/>
      <c r="O62" s="15"/>
      <c r="P62" s="15"/>
      <c r="Q62" s="15"/>
      <c r="R62" s="15"/>
      <c r="S62" s="543"/>
      <c r="U62" s="558"/>
      <c r="V62" s="449"/>
      <c r="Z62" s="15"/>
      <c r="AA62" s="432"/>
      <c r="AB62" s="449"/>
      <c r="AD62" s="449"/>
      <c r="AE62" s="445"/>
      <c r="AF62" s="445"/>
      <c r="AG62" s="445"/>
      <c r="AH62" s="445"/>
      <c r="AI62" s="445"/>
      <c r="AJ62" s="445"/>
      <c r="AK62" s="445"/>
      <c r="AL62" s="445"/>
      <c r="AM62" s="445"/>
      <c r="AN62" s="445"/>
      <c r="AO62" s="445"/>
      <c r="AP62" s="445"/>
      <c r="AQ62" s="445"/>
      <c r="AR62" s="445"/>
      <c r="AS62" s="445"/>
      <c r="AT62" s="445"/>
      <c r="AU62" s="445"/>
      <c r="AV62" s="445"/>
      <c r="AW62" s="445"/>
      <c r="AX62" s="445"/>
      <c r="AY62" s="445"/>
      <c r="AZ62" s="445"/>
      <c r="BA62" s="445"/>
      <c r="BB62" s="445"/>
      <c r="BC62" s="445"/>
      <c r="BD62" s="445"/>
      <c r="BE62" s="445"/>
      <c r="BF62" s="445"/>
      <c r="BG62" s="445"/>
      <c r="BH62" s="445"/>
      <c r="BI62" s="445"/>
      <c r="BJ62" s="445"/>
      <c r="BK62" s="445"/>
      <c r="BL62" s="445"/>
      <c r="BM62" s="445"/>
      <c r="BN62" s="445"/>
      <c r="BO62" s="445"/>
      <c r="BP62" s="445"/>
      <c r="BQ62" s="445"/>
      <c r="BR62" s="445"/>
      <c r="BS62" s="445"/>
      <c r="BT62" s="445"/>
      <c r="BU62" s="445"/>
      <c r="BV62" s="445"/>
      <c r="BW62" s="445"/>
      <c r="BX62" s="445"/>
      <c r="BY62" s="445"/>
      <c r="BZ62" s="445"/>
      <c r="CA62" s="445"/>
      <c r="CB62" s="445"/>
      <c r="CC62" s="445"/>
      <c r="CD62" s="445"/>
    </row>
    <row r="63" ht="15.0" customHeight="1">
      <c r="A63" s="12"/>
      <c r="B63" s="564"/>
      <c r="C63" s="564"/>
      <c r="D63" s="564"/>
      <c r="E63" s="429"/>
      <c r="F63" s="429"/>
      <c r="G63" s="429"/>
      <c r="H63" s="429"/>
      <c r="I63" s="429"/>
      <c r="J63" s="429"/>
      <c r="K63" s="429"/>
      <c r="L63" s="429"/>
      <c r="M63" s="429"/>
      <c r="N63" s="429"/>
      <c r="O63" s="429"/>
      <c r="P63" s="429"/>
      <c r="Q63" s="429"/>
      <c r="R63" s="429"/>
      <c r="S63" s="585" t="s">
        <v>416</v>
      </c>
      <c r="U63" s="585" t="s">
        <v>336</v>
      </c>
      <c r="V63" s="430" t="str">
        <f>SETTING!$C$8</f>
        <v>Teknologi Manufaktur dan Rekayasa</v>
      </c>
      <c r="Z63" s="429"/>
      <c r="AA63" s="432"/>
      <c r="AB63" s="430"/>
      <c r="AC63" s="570"/>
      <c r="AD63" s="430"/>
      <c r="AE63" s="571"/>
      <c r="AF63" s="571"/>
      <c r="AG63" s="571"/>
      <c r="AH63" s="571"/>
      <c r="AI63" s="571"/>
      <c r="AJ63" s="571"/>
      <c r="AK63" s="571"/>
      <c r="AL63" s="571"/>
      <c r="AM63" s="571"/>
      <c r="AN63" s="571"/>
      <c r="AO63" s="571"/>
      <c r="AP63" s="571"/>
      <c r="AQ63" s="571"/>
      <c r="AR63" s="571"/>
      <c r="AS63" s="571"/>
      <c r="AT63" s="571"/>
      <c r="AU63" s="571"/>
      <c r="AV63" s="571"/>
      <c r="AW63" s="571"/>
      <c r="AX63" s="571"/>
      <c r="AY63" s="571"/>
      <c r="AZ63" s="571"/>
      <c r="BA63" s="571"/>
      <c r="BB63" s="571"/>
      <c r="BC63" s="571"/>
      <c r="BD63" s="571"/>
      <c r="BE63" s="571"/>
      <c r="BF63" s="571"/>
      <c r="BG63" s="571"/>
      <c r="BH63" s="571"/>
      <c r="BI63" s="571"/>
      <c r="BJ63" s="571"/>
      <c r="BK63" s="571"/>
      <c r="BL63" s="571"/>
      <c r="BM63" s="571"/>
      <c r="BN63" s="571"/>
      <c r="BO63" s="571"/>
      <c r="BP63" s="571"/>
      <c r="BQ63" s="571"/>
      <c r="BR63" s="571"/>
      <c r="BS63" s="571"/>
      <c r="BT63" s="571"/>
      <c r="BU63" s="571"/>
      <c r="BV63" s="571"/>
      <c r="BW63" s="571"/>
      <c r="BX63" s="571"/>
      <c r="BY63" s="571"/>
      <c r="BZ63" s="571"/>
      <c r="CA63" s="571"/>
      <c r="CB63" s="571"/>
      <c r="CC63" s="571"/>
      <c r="CD63" s="571"/>
    </row>
    <row r="64" ht="15.0" customHeight="1">
      <c r="A64" s="12"/>
      <c r="B64" s="564"/>
      <c r="C64" s="564"/>
      <c r="D64" s="564"/>
      <c r="E64" s="429"/>
      <c r="F64" s="429"/>
      <c r="G64" s="429"/>
      <c r="H64" s="429"/>
      <c r="I64" s="429"/>
      <c r="J64" s="429"/>
      <c r="K64" s="429"/>
      <c r="L64" s="429"/>
      <c r="M64" s="429"/>
      <c r="N64" s="429"/>
      <c r="O64" s="429"/>
      <c r="P64" s="429"/>
      <c r="Q64" s="429"/>
      <c r="R64" s="429"/>
      <c r="S64" s="585" t="s">
        <v>400</v>
      </c>
      <c r="U64" s="585" t="s">
        <v>336</v>
      </c>
      <c r="V64" s="430" t="str">
        <f>SETTING!$C$7</f>
        <v>Teknik Otomotif</v>
      </c>
      <c r="Z64" s="429"/>
      <c r="AA64" s="432"/>
      <c r="AB64" s="430"/>
      <c r="AC64" s="570"/>
      <c r="AD64" s="430"/>
      <c r="AE64" s="571"/>
      <c r="AF64" s="571"/>
      <c r="AG64" s="571"/>
      <c r="AH64" s="571"/>
      <c r="AI64" s="571"/>
      <c r="AJ64" s="571"/>
      <c r="AK64" s="571"/>
      <c r="AL64" s="571"/>
      <c r="AM64" s="571"/>
      <c r="AN64" s="571"/>
      <c r="AO64" s="571"/>
      <c r="AP64" s="571"/>
      <c r="AQ64" s="571"/>
      <c r="AR64" s="571"/>
      <c r="AS64" s="571"/>
      <c r="AT64" s="571"/>
      <c r="AU64" s="571"/>
      <c r="AV64" s="571"/>
      <c r="AW64" s="571"/>
      <c r="AX64" s="571"/>
      <c r="AY64" s="571"/>
      <c r="AZ64" s="571"/>
      <c r="BA64" s="571"/>
      <c r="BB64" s="571"/>
      <c r="BC64" s="571"/>
      <c r="BD64" s="571"/>
      <c r="BE64" s="571"/>
      <c r="BF64" s="571"/>
      <c r="BG64" s="571"/>
      <c r="BH64" s="571"/>
      <c r="BI64" s="571"/>
      <c r="BJ64" s="571"/>
      <c r="BK64" s="571"/>
      <c r="BL64" s="571"/>
      <c r="BM64" s="571"/>
      <c r="BN64" s="571"/>
      <c r="BO64" s="571"/>
      <c r="BP64" s="571"/>
      <c r="BQ64" s="571"/>
      <c r="BR64" s="571"/>
      <c r="BS64" s="571"/>
      <c r="BT64" s="571"/>
      <c r="BU64" s="571"/>
      <c r="BV64" s="571"/>
      <c r="BW64" s="571"/>
      <c r="BX64" s="571"/>
      <c r="BY64" s="571"/>
      <c r="BZ64" s="571"/>
      <c r="CA64" s="571"/>
      <c r="CB64" s="571"/>
      <c r="CC64" s="571"/>
      <c r="CD64" s="571"/>
    </row>
    <row r="65" ht="15.0" customHeight="1">
      <c r="A65" s="12"/>
      <c r="B65" s="564"/>
      <c r="C65" s="564"/>
      <c r="D65" s="564"/>
      <c r="E65" s="429"/>
      <c r="F65" s="429"/>
      <c r="G65" s="429"/>
      <c r="H65" s="429"/>
      <c r="I65" s="429"/>
      <c r="J65" s="429"/>
      <c r="K65" s="429"/>
      <c r="L65" s="429"/>
      <c r="M65" s="429"/>
      <c r="N65" s="429"/>
      <c r="O65" s="429"/>
      <c r="P65" s="429"/>
      <c r="Q65" s="429"/>
      <c r="R65" s="429"/>
      <c r="S65" s="585" t="s">
        <v>376</v>
      </c>
      <c r="U65" s="585" t="s">
        <v>336</v>
      </c>
      <c r="V65" s="430" t="str">
        <f>SETTING!$C$6</f>
        <v>Teknik Sepeda Motor</v>
      </c>
      <c r="Z65" s="429"/>
      <c r="AA65" s="432"/>
      <c r="AB65" s="430"/>
      <c r="AC65" s="570"/>
      <c r="AD65" s="430"/>
      <c r="AE65" s="571"/>
      <c r="AF65" s="571"/>
      <c r="AG65" s="571"/>
      <c r="AH65" s="571"/>
      <c r="AI65" s="571"/>
      <c r="AJ65" s="571"/>
      <c r="AK65" s="571"/>
      <c r="AL65" s="571"/>
      <c r="AM65" s="571"/>
      <c r="AN65" s="571"/>
      <c r="AO65" s="571"/>
      <c r="AP65" s="571"/>
      <c r="AQ65" s="571"/>
      <c r="AR65" s="571"/>
      <c r="AS65" s="571"/>
      <c r="AT65" s="571"/>
      <c r="AU65" s="571"/>
      <c r="AV65" s="571"/>
      <c r="AW65" s="571"/>
      <c r="AX65" s="571"/>
      <c r="AY65" s="571"/>
      <c r="AZ65" s="571"/>
      <c r="BA65" s="571"/>
      <c r="BB65" s="571"/>
      <c r="BC65" s="571"/>
      <c r="BD65" s="571"/>
      <c r="BE65" s="571"/>
      <c r="BF65" s="571"/>
      <c r="BG65" s="571"/>
      <c r="BH65" s="571"/>
      <c r="BI65" s="571"/>
      <c r="BJ65" s="571"/>
      <c r="BK65" s="571"/>
      <c r="BL65" s="571"/>
      <c r="BM65" s="571"/>
      <c r="BN65" s="571"/>
      <c r="BO65" s="571"/>
      <c r="BP65" s="571"/>
      <c r="BQ65" s="571"/>
      <c r="BR65" s="571"/>
      <c r="BS65" s="571"/>
      <c r="BT65" s="571"/>
      <c r="BU65" s="571"/>
      <c r="BV65" s="571"/>
      <c r="BW65" s="571"/>
      <c r="BX65" s="571"/>
      <c r="BY65" s="571"/>
      <c r="BZ65" s="571"/>
      <c r="CA65" s="571"/>
      <c r="CB65" s="571"/>
      <c r="CC65" s="571"/>
      <c r="CD65" s="571"/>
    </row>
    <row r="66" ht="15.0" customHeight="1">
      <c r="A66" s="448"/>
      <c r="B66" s="550"/>
      <c r="C66" s="550"/>
      <c r="D66" s="550"/>
      <c r="E66" s="15"/>
      <c r="F66" s="15"/>
      <c r="G66" s="15"/>
      <c r="H66" s="15"/>
      <c r="I66" s="15"/>
      <c r="J66" s="15"/>
      <c r="K66" s="15"/>
      <c r="L66" s="15"/>
      <c r="M66" s="15"/>
      <c r="N66" s="15"/>
      <c r="O66" s="15"/>
      <c r="P66" s="15"/>
      <c r="Q66" s="15"/>
      <c r="R66" s="15"/>
      <c r="S66" s="543"/>
      <c r="T66" s="543"/>
      <c r="U66" s="558"/>
      <c r="V66" s="558"/>
      <c r="W66" s="432"/>
      <c r="X66" s="449"/>
      <c r="Y66" s="548"/>
      <c r="Z66" s="15"/>
      <c r="AA66" s="432"/>
      <c r="AB66" s="449"/>
      <c r="AD66" s="449"/>
      <c r="AE66" s="445"/>
      <c r="AF66" s="445"/>
      <c r="AG66" s="445"/>
      <c r="AH66" s="445"/>
      <c r="AI66" s="445"/>
      <c r="AJ66" s="445"/>
      <c r="AK66" s="445"/>
      <c r="AL66" s="445"/>
      <c r="AM66" s="445"/>
      <c r="AN66" s="445"/>
      <c r="AO66" s="445"/>
      <c r="AP66" s="445"/>
      <c r="AQ66" s="445"/>
      <c r="AR66" s="445"/>
      <c r="AS66" s="445"/>
      <c r="AT66" s="445"/>
      <c r="AU66" s="445"/>
      <c r="AV66" s="445"/>
      <c r="AW66" s="445"/>
      <c r="AX66" s="445"/>
      <c r="AY66" s="445"/>
      <c r="AZ66" s="445"/>
      <c r="BA66" s="445"/>
      <c r="BB66" s="445"/>
      <c r="BC66" s="445"/>
      <c r="BD66" s="445"/>
      <c r="BE66" s="445"/>
      <c r="BF66" s="445"/>
      <c r="BG66" s="445"/>
      <c r="BH66" s="445"/>
      <c r="BI66" s="445"/>
      <c r="BJ66" s="445"/>
      <c r="BK66" s="445"/>
      <c r="BL66" s="445"/>
      <c r="BM66" s="445"/>
      <c r="BN66" s="445"/>
      <c r="BO66" s="445"/>
      <c r="BP66" s="445"/>
      <c r="BQ66" s="445"/>
      <c r="BR66" s="445"/>
      <c r="BS66" s="445"/>
      <c r="BT66" s="445"/>
      <c r="BU66" s="445"/>
      <c r="BV66" s="445"/>
      <c r="BW66" s="445"/>
      <c r="BX66" s="445"/>
      <c r="BY66" s="445"/>
      <c r="BZ66" s="445"/>
      <c r="CA66" s="445"/>
      <c r="CB66" s="445"/>
      <c r="CC66" s="445"/>
      <c r="CD66" s="445"/>
    </row>
    <row r="67" ht="15.0" customHeight="1">
      <c r="A67" s="593"/>
      <c r="B67" s="594"/>
      <c r="C67" s="594"/>
      <c r="D67" s="594"/>
      <c r="E67" s="595"/>
      <c r="F67" s="595"/>
      <c r="G67" s="595"/>
      <c r="H67" s="595"/>
      <c r="I67" s="595"/>
      <c r="J67" s="595"/>
      <c r="K67" s="595"/>
      <c r="L67" s="595"/>
      <c r="M67" s="595"/>
      <c r="N67" s="595"/>
      <c r="O67" s="595"/>
      <c r="P67" s="595"/>
      <c r="Q67" s="595"/>
      <c r="R67" s="595"/>
      <c r="S67" s="596" t="s">
        <v>420</v>
      </c>
      <c r="AC67" s="597"/>
      <c r="AD67" s="598"/>
      <c r="AE67" s="599"/>
      <c r="AF67" s="599"/>
      <c r="AG67" s="599"/>
      <c r="AH67" s="599"/>
      <c r="AI67" s="599"/>
      <c r="AJ67" s="599"/>
      <c r="AK67" s="599"/>
      <c r="AL67" s="599"/>
      <c r="AM67" s="599"/>
      <c r="AN67" s="599"/>
      <c r="AO67" s="599"/>
      <c r="AP67" s="599"/>
      <c r="AQ67" s="599"/>
      <c r="AR67" s="599"/>
      <c r="AS67" s="599"/>
      <c r="AT67" s="599"/>
      <c r="AU67" s="599"/>
      <c r="AV67" s="599"/>
      <c r="AW67" s="599"/>
      <c r="AX67" s="599"/>
      <c r="AY67" s="599"/>
      <c r="AZ67" s="599"/>
      <c r="BA67" s="599"/>
      <c r="BB67" s="599"/>
      <c r="BC67" s="599"/>
      <c r="BD67" s="599"/>
      <c r="BE67" s="599"/>
      <c r="BF67" s="599"/>
      <c r="BG67" s="599"/>
      <c r="BH67" s="599"/>
      <c r="BI67" s="599"/>
      <c r="BJ67" s="599"/>
      <c r="BK67" s="599"/>
      <c r="BL67" s="599"/>
      <c r="BM67" s="599"/>
      <c r="BN67" s="599"/>
      <c r="BO67" s="599"/>
      <c r="BP67" s="599"/>
      <c r="BQ67" s="599"/>
      <c r="BR67" s="599"/>
      <c r="BS67" s="599"/>
      <c r="BT67" s="599"/>
      <c r="BU67" s="599"/>
      <c r="BV67" s="599"/>
      <c r="BW67" s="599"/>
      <c r="BX67" s="599"/>
      <c r="BY67" s="599"/>
      <c r="BZ67" s="599"/>
      <c r="CA67" s="599"/>
      <c r="CB67" s="599"/>
      <c r="CC67" s="599"/>
      <c r="CD67" s="599"/>
    </row>
    <row r="68" ht="15.0" customHeight="1">
      <c r="A68" s="448"/>
      <c r="B68" s="550"/>
      <c r="C68" s="550"/>
      <c r="D68" s="550"/>
      <c r="E68" s="15"/>
      <c r="F68" s="15"/>
      <c r="G68" s="15"/>
      <c r="H68" s="15"/>
      <c r="I68" s="15"/>
      <c r="J68" s="15"/>
      <c r="K68" s="15"/>
      <c r="L68" s="15"/>
      <c r="M68" s="15"/>
      <c r="N68" s="15"/>
      <c r="O68" s="15"/>
      <c r="P68" s="15"/>
      <c r="Q68" s="15"/>
      <c r="R68" s="15"/>
      <c r="S68" s="462"/>
      <c r="T68" s="462"/>
      <c r="U68" s="15"/>
      <c r="V68" s="15"/>
      <c r="W68" s="15"/>
      <c r="X68" s="15"/>
      <c r="Y68" s="548"/>
      <c r="Z68" s="548"/>
      <c r="AA68" s="15"/>
      <c r="AB68" s="15"/>
      <c r="AD68" s="15"/>
      <c r="AE68" s="445"/>
      <c r="AF68" s="445"/>
      <c r="AG68" s="445"/>
      <c r="AH68" s="445"/>
      <c r="AI68" s="445"/>
      <c r="AJ68" s="445"/>
      <c r="AK68" s="445"/>
      <c r="AL68" s="445"/>
      <c r="AM68" s="445"/>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5"/>
      <c r="BK68" s="445"/>
      <c r="BL68" s="445"/>
      <c r="BM68" s="445"/>
      <c r="BN68" s="445"/>
      <c r="BO68" s="445"/>
      <c r="BP68" s="445"/>
      <c r="BQ68" s="445"/>
      <c r="BR68" s="445"/>
      <c r="BS68" s="445"/>
      <c r="BT68" s="445"/>
      <c r="BU68" s="445"/>
      <c r="BV68" s="445"/>
      <c r="BW68" s="445"/>
      <c r="BX68" s="445"/>
      <c r="BY68" s="445"/>
      <c r="BZ68" s="445"/>
      <c r="CA68" s="445"/>
      <c r="CB68" s="445"/>
      <c r="CC68" s="445"/>
      <c r="CD68" s="445"/>
    </row>
    <row r="69" ht="30.75" customHeight="1">
      <c r="A69" s="593"/>
      <c r="B69" s="594"/>
      <c r="C69" s="594"/>
      <c r="D69" s="594"/>
      <c r="E69" s="595"/>
      <c r="F69" s="595"/>
      <c r="G69" s="595"/>
      <c r="H69" s="595"/>
      <c r="I69" s="595"/>
      <c r="J69" s="595"/>
      <c r="K69" s="595"/>
      <c r="L69" s="595"/>
      <c r="M69" s="595"/>
      <c r="N69" s="595"/>
      <c r="O69" s="595"/>
      <c r="P69" s="595"/>
      <c r="Q69" s="595"/>
      <c r="R69" s="595"/>
      <c r="S69" s="600" t="s">
        <v>346</v>
      </c>
      <c r="T69" s="601" t="s">
        <v>347</v>
      </c>
      <c r="U69" s="27"/>
      <c r="V69" s="29"/>
      <c r="W69" s="602" t="s">
        <v>199</v>
      </c>
      <c r="X69" s="29"/>
      <c r="Y69" s="601" t="s">
        <v>421</v>
      </c>
      <c r="Z69" s="27"/>
      <c r="AA69" s="27"/>
      <c r="AB69" s="29"/>
      <c r="AC69" s="597"/>
      <c r="AD69" s="598"/>
      <c r="AE69" s="599"/>
      <c r="AF69" s="599"/>
      <c r="AG69" s="599"/>
      <c r="AH69" s="599"/>
      <c r="AI69" s="599"/>
      <c r="AJ69" s="599"/>
      <c r="AK69" s="599"/>
      <c r="AL69" s="599"/>
      <c r="AM69" s="599"/>
      <c r="AN69" s="599"/>
      <c r="AO69" s="599"/>
      <c r="AP69" s="599"/>
      <c r="AQ69" s="599"/>
      <c r="AR69" s="599"/>
      <c r="AS69" s="599"/>
      <c r="AT69" s="599"/>
      <c r="AU69" s="599"/>
      <c r="AV69" s="599"/>
      <c r="AW69" s="599"/>
      <c r="AX69" s="599"/>
      <c r="AY69" s="599"/>
      <c r="AZ69" s="599"/>
      <c r="BA69" s="599"/>
      <c r="BB69" s="599"/>
      <c r="BC69" s="599"/>
      <c r="BD69" s="599"/>
      <c r="BE69" s="599"/>
      <c r="BF69" s="599"/>
      <c r="BG69" s="599"/>
      <c r="BH69" s="599"/>
      <c r="BI69" s="599"/>
      <c r="BJ69" s="599"/>
      <c r="BK69" s="599"/>
      <c r="BL69" s="599"/>
      <c r="BM69" s="599"/>
      <c r="BN69" s="599"/>
      <c r="BO69" s="599"/>
      <c r="BP69" s="599"/>
      <c r="BQ69" s="599"/>
      <c r="BR69" s="599"/>
      <c r="BS69" s="599"/>
      <c r="BT69" s="599"/>
      <c r="BU69" s="599"/>
      <c r="BV69" s="599"/>
      <c r="BW69" s="599"/>
      <c r="BX69" s="599"/>
      <c r="BY69" s="599"/>
      <c r="BZ69" s="599"/>
      <c r="CA69" s="599"/>
      <c r="CB69" s="599"/>
      <c r="CC69" s="599"/>
      <c r="CD69" s="599"/>
    </row>
    <row r="70" ht="22.5" customHeight="1">
      <c r="A70" s="448"/>
      <c r="B70" s="550"/>
      <c r="C70" s="550"/>
      <c r="D70" s="550"/>
      <c r="E70" s="15"/>
      <c r="F70" s="15"/>
      <c r="G70" s="15"/>
      <c r="H70" s="15"/>
      <c r="I70" s="15"/>
      <c r="J70" s="15"/>
      <c r="K70" s="15"/>
      <c r="L70" s="15"/>
      <c r="M70" s="15"/>
      <c r="N70" s="15"/>
      <c r="O70" s="15"/>
      <c r="P70" s="15"/>
      <c r="Q70" s="15"/>
      <c r="R70" s="15"/>
      <c r="S70" s="469" t="s">
        <v>350</v>
      </c>
      <c r="T70" s="466"/>
      <c r="U70" s="466"/>
      <c r="V70" s="466"/>
      <c r="W70" s="466"/>
      <c r="X70" s="466"/>
      <c r="Y70" s="466"/>
      <c r="Z70" s="466"/>
      <c r="AA70" s="466"/>
      <c r="AB70" s="467"/>
      <c r="AC70" s="547"/>
      <c r="AD70" s="560"/>
      <c r="AE70" s="604"/>
      <c r="AF70" s="604"/>
      <c r="AG70" s="604"/>
      <c r="AH70" s="604"/>
      <c r="AI70" s="604"/>
      <c r="AJ70" s="604"/>
      <c r="AK70" s="604"/>
      <c r="AL70" s="604"/>
      <c r="AM70" s="604"/>
      <c r="AN70" s="604"/>
      <c r="AO70" s="604"/>
      <c r="AP70" s="604"/>
      <c r="AQ70" s="604"/>
      <c r="AR70" s="604"/>
      <c r="AS70" s="604"/>
      <c r="AT70" s="604"/>
      <c r="AU70" s="604"/>
      <c r="AV70" s="604"/>
      <c r="AW70" s="604"/>
      <c r="AX70" s="604"/>
      <c r="AY70" s="604"/>
      <c r="AZ70" s="604"/>
      <c r="BA70" s="604"/>
      <c r="BB70" s="604"/>
      <c r="BC70" s="604"/>
      <c r="BD70" s="604"/>
      <c r="BE70" s="604"/>
      <c r="BF70" s="604"/>
      <c r="BG70" s="604"/>
      <c r="BH70" s="604"/>
      <c r="BI70" s="604"/>
      <c r="BJ70" s="604"/>
      <c r="BK70" s="604"/>
      <c r="BL70" s="604"/>
      <c r="BM70" s="604"/>
      <c r="BN70" s="604"/>
      <c r="BO70" s="604"/>
      <c r="BP70" s="604"/>
      <c r="BQ70" s="604"/>
      <c r="BR70" s="604"/>
      <c r="BS70" s="604"/>
      <c r="BT70" s="604"/>
      <c r="BU70" s="604"/>
      <c r="BV70" s="604"/>
      <c r="BW70" s="604"/>
      <c r="BX70" s="604"/>
      <c r="BY70" s="604"/>
      <c r="BZ70" s="604"/>
      <c r="CA70" s="604"/>
      <c r="CB70" s="604"/>
      <c r="CC70" s="604"/>
      <c r="CD70" s="604"/>
    </row>
    <row r="71" ht="45.0" customHeight="1">
      <c r="A71" s="12"/>
      <c r="B71" s="564"/>
      <c r="C71" s="564"/>
      <c r="D71" s="564"/>
      <c r="E71" s="429"/>
      <c r="F71" s="429"/>
      <c r="G71" s="429"/>
      <c r="H71" s="429"/>
      <c r="I71" s="429"/>
      <c r="J71" s="429"/>
      <c r="K71" s="429"/>
      <c r="L71" s="429"/>
      <c r="M71" s="429"/>
      <c r="N71" s="429"/>
      <c r="O71" s="429"/>
      <c r="P71" s="429"/>
      <c r="Q71" s="429"/>
      <c r="R71" s="429"/>
      <c r="S71" s="607">
        <f>IFERROR(__xludf.DUMMYFUNCTION("query($A$11:$A$16)"),1.0)</f>
        <v>1</v>
      </c>
      <c r="T71" s="609" t="str">
        <f>IFERROR(__xludf.DUMMYFUNCTION("query($B$11:$B$16)"),"Pendidikan Agama Islam dan Budi Pekerti")</f>
        <v>Pendidikan Agama Islam dan Budi Pekerti</v>
      </c>
      <c r="U71" s="466"/>
      <c r="V71" s="467"/>
      <c r="W71" s="610">
        <f t="array" ref="W71">INDEX(DataInputCP,MATCH($V$58,DataNamaInputCP,0),MATCH("PAI",HeaderInputCP,0))</f>
        <v>75</v>
      </c>
      <c r="X71" s="467"/>
      <c r="Y71" s="611" t="str">
        <f t="array" ref="Y71">IF($W71&gt;=91,"Siswa sangat mampu ",IF($W71&gt;=81,"Siswa mampu ", IF($W71&gt;=71,"Siswa cukup mampu ", IF($W71&gt;=61,"Siswa perlu bimbingan ","Siswa belum mampu "))))&amp;INDEX(DataInputCP,MATCH($V$58,DataNamaInputCP,0),MATCH("CP PAI",HeaderInputCP,0))</f>
        <v>Siswa cukup mampu Memahami ayat Al-qur'an dan hadits tentang perintah berlomba-lomba dalam kebaikan serta menganalisis manfaat menghiundari akhlak mazmumah.</v>
      </c>
      <c r="Z71" s="466"/>
      <c r="AA71" s="466"/>
      <c r="AB71" s="467"/>
      <c r="AC71" s="570"/>
      <c r="AD71" s="612"/>
      <c r="AE71" s="571"/>
      <c r="AF71" s="571"/>
      <c r="AG71" s="571"/>
      <c r="AH71" s="571"/>
      <c r="AI71" s="571"/>
      <c r="AJ71" s="571"/>
      <c r="AK71" s="571"/>
      <c r="AL71" s="571"/>
      <c r="AM71" s="571"/>
      <c r="AN71" s="571"/>
      <c r="AO71" s="571"/>
      <c r="AP71" s="571"/>
      <c r="AQ71" s="571"/>
      <c r="AR71" s="571"/>
      <c r="AS71" s="571"/>
      <c r="AT71" s="571"/>
      <c r="AU71" s="571"/>
      <c r="AV71" s="571"/>
      <c r="AW71" s="571"/>
      <c r="AX71" s="571"/>
      <c r="AY71" s="571"/>
      <c r="AZ71" s="571"/>
      <c r="BA71" s="571"/>
      <c r="BB71" s="571"/>
      <c r="BC71" s="571"/>
      <c r="BD71" s="571"/>
      <c r="BE71" s="571"/>
      <c r="BF71" s="571"/>
      <c r="BG71" s="571"/>
      <c r="BH71" s="571"/>
      <c r="BI71" s="571"/>
      <c r="BJ71" s="571"/>
      <c r="BK71" s="571"/>
      <c r="BL71" s="571"/>
      <c r="BM71" s="571"/>
      <c r="BN71" s="571"/>
      <c r="BO71" s="571"/>
      <c r="BP71" s="571"/>
      <c r="BQ71" s="571"/>
      <c r="BR71" s="571"/>
      <c r="BS71" s="571"/>
      <c r="BT71" s="571"/>
      <c r="BU71" s="571"/>
      <c r="BV71" s="571"/>
      <c r="BW71" s="571"/>
      <c r="BX71" s="571"/>
      <c r="BY71" s="571"/>
      <c r="BZ71" s="571"/>
      <c r="CA71" s="571"/>
      <c r="CB71" s="571"/>
      <c r="CC71" s="571"/>
      <c r="CD71" s="571"/>
    </row>
    <row r="72" ht="45.0" customHeight="1">
      <c r="A72" s="12"/>
      <c r="B72" s="564"/>
      <c r="C72" s="564"/>
      <c r="D72" s="564"/>
      <c r="E72" s="429"/>
      <c r="F72" s="429"/>
      <c r="G72" s="429"/>
      <c r="H72" s="429"/>
      <c r="I72" s="429"/>
      <c r="J72" s="429"/>
      <c r="K72" s="429"/>
      <c r="L72" s="429"/>
      <c r="M72" s="429"/>
      <c r="N72" s="429"/>
      <c r="O72" s="429"/>
      <c r="P72" s="429"/>
      <c r="Q72" s="429"/>
      <c r="R72" s="429"/>
      <c r="S72" s="607">
        <f>IFERROR(__xludf.DUMMYFUNCTION("""COMPUTED_VALUE"""),2.0)</f>
        <v>2</v>
      </c>
      <c r="T72" s="613" t="str">
        <f>IFERROR(__xludf.DUMMYFUNCTION("""COMPUTED_VALUE"""),"Pendidikan Pancasila ")</f>
        <v>Pendidikan Pancasila </v>
      </c>
      <c r="U72" s="466"/>
      <c r="V72" s="467"/>
      <c r="W72" s="610">
        <f t="array" ref="W72">INDEX(DataInputCP,MATCH($V$58,DataNamaInputCP,0),MATCH("PKN",HeaderInputCP,0))</f>
        <v>75</v>
      </c>
      <c r="X72" s="467"/>
      <c r="Y72" s="611" t="str">
        <f t="array" ref="Y72">IF($W72&gt;=91,"Siswa sangat mampu ",IF($W72&gt;=81,"Siswa mampu ", IF($W72&gt;=71,"Siswa cukup mampu ", IF($W72&gt;=61,"Siswa perlu bimbingan ","Siswa belum mampu "))))&amp;INDEX(DataInputCP,MATCH($V$58,DataNamaInputCP,0),MATCH("CP PKN",HeaderInputCP,0))</f>
        <v>Siswa cukup mampu menganalisis cara pandang para pendiri negara tentang rumusan Pancasila sebagai dasar negara hak dan kewajiban warga negara yang diatur dalam Undang- Undang Dasar Negara Republik Indonesia Tahun 1971</v>
      </c>
      <c r="Z72" s="466"/>
      <c r="AA72" s="466"/>
      <c r="AB72" s="467"/>
      <c r="AC72" s="570"/>
      <c r="AD72" s="612"/>
      <c r="AE72" s="571"/>
      <c r="AF72" s="571"/>
      <c r="AG72" s="571"/>
      <c r="AH72" s="571"/>
      <c r="AI72" s="571"/>
      <c r="AJ72" s="571"/>
      <c r="AK72" s="571"/>
      <c r="AL72" s="571"/>
      <c r="AM72" s="571"/>
      <c r="AN72" s="571"/>
      <c r="AO72" s="571"/>
      <c r="AP72" s="571"/>
      <c r="AQ72" s="571"/>
      <c r="AR72" s="571"/>
      <c r="AS72" s="571"/>
      <c r="AT72" s="571"/>
      <c r="AU72" s="571"/>
      <c r="AV72" s="571"/>
      <c r="AW72" s="571"/>
      <c r="AX72" s="571"/>
      <c r="AY72" s="571"/>
      <c r="AZ72" s="571"/>
      <c r="BA72" s="571"/>
      <c r="BB72" s="571"/>
      <c r="BC72" s="571"/>
      <c r="BD72" s="571"/>
      <c r="BE72" s="571"/>
      <c r="BF72" s="571"/>
      <c r="BG72" s="571"/>
      <c r="BH72" s="571"/>
      <c r="BI72" s="571"/>
      <c r="BJ72" s="571"/>
      <c r="BK72" s="571"/>
      <c r="BL72" s="571"/>
      <c r="BM72" s="571"/>
      <c r="BN72" s="571"/>
      <c r="BO72" s="571"/>
      <c r="BP72" s="571"/>
      <c r="BQ72" s="571"/>
      <c r="BR72" s="571"/>
      <c r="BS72" s="571"/>
      <c r="BT72" s="571"/>
      <c r="BU72" s="571"/>
      <c r="BV72" s="571"/>
      <c r="BW72" s="571"/>
      <c r="BX72" s="571"/>
      <c r="BY72" s="571"/>
      <c r="BZ72" s="571"/>
      <c r="CA72" s="571"/>
      <c r="CB72" s="571"/>
      <c r="CC72" s="571"/>
      <c r="CD72" s="571"/>
    </row>
    <row r="73" ht="45.0" customHeight="1">
      <c r="A73" s="12"/>
      <c r="B73" s="564"/>
      <c r="C73" s="564"/>
      <c r="D73" s="564"/>
      <c r="E73" s="429"/>
      <c r="F73" s="429"/>
      <c r="G73" s="429"/>
      <c r="H73" s="429"/>
      <c r="I73" s="429"/>
      <c r="J73" s="429"/>
      <c r="K73" s="429"/>
      <c r="L73" s="429"/>
      <c r="M73" s="429"/>
      <c r="N73" s="429"/>
      <c r="O73" s="429"/>
      <c r="P73" s="429"/>
      <c r="Q73" s="429"/>
      <c r="R73" s="429"/>
      <c r="S73" s="607">
        <f>IFERROR(__xludf.DUMMYFUNCTION("""COMPUTED_VALUE"""),3.0)</f>
        <v>3</v>
      </c>
      <c r="T73" s="613" t="str">
        <f>IFERROR(__xludf.DUMMYFUNCTION("""COMPUTED_VALUE"""),"Bahasa Indonesia")</f>
        <v>Bahasa Indonesia</v>
      </c>
      <c r="U73" s="466"/>
      <c r="V73" s="467"/>
      <c r="W73" s="610">
        <f t="array" ref="W73">INDEX(DataInputCP,MATCH($V$58,DataNamaInputCP,0),MATCH("B. INDONESIA",HeaderInputCP,0))</f>
        <v>75.33333333</v>
      </c>
      <c r="X73" s="467"/>
      <c r="Y73" s="611" t="str">
        <f t="array" ref="Y73">IF($W73&gt;=91,"Siswa sangat mampu ",IF($W73&gt;=81,"Siswa mampu ", IF($W73&gt;=71,"Siswa cukup mampu ", IF($W73&gt;=61,"Siswa perlu bimbingan ","Siswa belum mampu "))))&amp;INDEX(DataInputCP,MATCH($V$58,DataNamaInputCP,0),MATCH("CP B. INDONESIA",HeaderInputCP,0))</f>
        <v>Siswa cukup mampu memiliki kemampuan berbahasa untuk berkomunikasi dan bernalar sesuai dengan tujuan, konteks sosial, akademis, dan dunia kerja, serta mampu memahami, mengolah, menginterpretasi, dan mengevaluasi informasi dari berbagai tipe teks tentang topik yang beragam.</v>
      </c>
      <c r="Z73" s="466"/>
      <c r="AA73" s="466"/>
      <c r="AB73" s="467"/>
      <c r="AC73" s="570"/>
      <c r="AD73" s="612"/>
      <c r="AE73" s="571"/>
      <c r="AF73" s="571"/>
      <c r="AG73" s="571"/>
      <c r="AH73" s="571"/>
      <c r="AI73" s="571"/>
      <c r="AJ73" s="571"/>
      <c r="AK73" s="571"/>
      <c r="AL73" s="571"/>
      <c r="AM73" s="571"/>
      <c r="AN73" s="571"/>
      <c r="AO73" s="571"/>
      <c r="AP73" s="571"/>
      <c r="AQ73" s="571"/>
      <c r="AR73" s="571"/>
      <c r="AS73" s="571"/>
      <c r="AT73" s="571"/>
      <c r="AU73" s="571"/>
      <c r="AV73" s="571"/>
      <c r="AW73" s="571"/>
      <c r="AX73" s="571"/>
      <c r="AY73" s="571"/>
      <c r="AZ73" s="571"/>
      <c r="BA73" s="571"/>
      <c r="BB73" s="571"/>
      <c r="BC73" s="571"/>
      <c r="BD73" s="571"/>
      <c r="BE73" s="571"/>
      <c r="BF73" s="571"/>
      <c r="BG73" s="571"/>
      <c r="BH73" s="571"/>
      <c r="BI73" s="571"/>
      <c r="BJ73" s="571"/>
      <c r="BK73" s="571"/>
      <c r="BL73" s="571"/>
      <c r="BM73" s="571"/>
      <c r="BN73" s="571"/>
      <c r="BO73" s="571"/>
      <c r="BP73" s="571"/>
      <c r="BQ73" s="571"/>
      <c r="BR73" s="571"/>
      <c r="BS73" s="571"/>
      <c r="BT73" s="571"/>
      <c r="BU73" s="571"/>
      <c r="BV73" s="571"/>
      <c r="BW73" s="571"/>
      <c r="BX73" s="571"/>
      <c r="BY73" s="571"/>
      <c r="BZ73" s="571"/>
      <c r="CA73" s="571"/>
      <c r="CB73" s="571"/>
      <c r="CC73" s="571"/>
      <c r="CD73" s="571"/>
    </row>
    <row r="74" ht="45.0" customHeight="1">
      <c r="A74" s="12"/>
      <c r="B74" s="564"/>
      <c r="C74" s="564"/>
      <c r="D74" s="564"/>
      <c r="E74" s="429"/>
      <c r="F74" s="429"/>
      <c r="G74" s="429"/>
      <c r="H74" s="429"/>
      <c r="I74" s="429"/>
      <c r="J74" s="429"/>
      <c r="K74" s="429"/>
      <c r="L74" s="429"/>
      <c r="M74" s="429"/>
      <c r="N74" s="429"/>
      <c r="O74" s="429"/>
      <c r="P74" s="429"/>
      <c r="Q74" s="429"/>
      <c r="R74" s="429"/>
      <c r="S74" s="607">
        <f>IFERROR(__xludf.DUMMYFUNCTION("""COMPUTED_VALUE"""),4.0)</f>
        <v>4</v>
      </c>
      <c r="T74" s="613" t="str">
        <f>IFERROR(__xludf.DUMMYFUNCTION("""COMPUTED_VALUE"""),"Pendidikan Jasmani, Olahraga, dan Kesehatan")</f>
        <v>Pendidikan Jasmani, Olahraga, dan Kesehatan</v>
      </c>
      <c r="U74" s="466"/>
      <c r="V74" s="467"/>
      <c r="W74" s="610">
        <f t="array" ref="W74">INDEX(DataInputCP,MATCH($V$58,DataNamaInputCP,0),MATCH("PJOK",HeaderInputCP,0))</f>
        <v>75</v>
      </c>
      <c r="X74" s="467"/>
      <c r="Y74" s="611" t="str">
        <f t="array" ref="Y74">IF($W74&gt;=91,"Siswa sangat mampu ",IF($W74&gt;=81,"Siswa mampu ", IF($W74&gt;=71,"Siswa cukup mampu ", IF($W74&gt;=61,"Siswa perlu bimbingan ","Siswa belum mampu "))))&amp;INDEX(DataInputCP,MATCH($V$58,DataNamaInputCP,0),MATCH("CP PJOK",HeaderInputCP,0))</f>
        <v>Siswa cukup mampu dapat menunjukkan kemampuan merancang dengan mengikuti beragam pola yang ada dan mempraktikkan berbagai aktivitas penerapan keterampilan gerak (motor skills) dilandasi dengan pengetahuan yang benar</v>
      </c>
      <c r="Z74" s="466"/>
      <c r="AA74" s="466"/>
      <c r="AB74" s="467"/>
      <c r="AC74" s="570"/>
      <c r="AD74" s="612"/>
      <c r="AE74" s="571"/>
      <c r="AF74" s="571"/>
      <c r="AG74" s="571"/>
      <c r="AH74" s="571"/>
      <c r="AI74" s="571"/>
      <c r="AJ74" s="571"/>
      <c r="AK74" s="571"/>
      <c r="AL74" s="571"/>
      <c r="AM74" s="571"/>
      <c r="AN74" s="571"/>
      <c r="AO74" s="571"/>
      <c r="AP74" s="571"/>
      <c r="AQ74" s="571"/>
      <c r="AR74" s="571"/>
      <c r="AS74" s="571"/>
      <c r="AT74" s="571"/>
      <c r="AU74" s="571"/>
      <c r="AV74" s="571"/>
      <c r="AW74" s="571"/>
      <c r="AX74" s="571"/>
      <c r="AY74" s="571"/>
      <c r="AZ74" s="571"/>
      <c r="BA74" s="571"/>
      <c r="BB74" s="571"/>
      <c r="BC74" s="571"/>
      <c r="BD74" s="571"/>
      <c r="BE74" s="571"/>
      <c r="BF74" s="571"/>
      <c r="BG74" s="571"/>
      <c r="BH74" s="571"/>
      <c r="BI74" s="571"/>
      <c r="BJ74" s="571"/>
      <c r="BK74" s="571"/>
      <c r="BL74" s="571"/>
      <c r="BM74" s="571"/>
      <c r="BN74" s="571"/>
      <c r="BO74" s="571"/>
      <c r="BP74" s="571"/>
      <c r="BQ74" s="571"/>
      <c r="BR74" s="571"/>
      <c r="BS74" s="571"/>
      <c r="BT74" s="571"/>
      <c r="BU74" s="571"/>
      <c r="BV74" s="571"/>
      <c r="BW74" s="571"/>
      <c r="BX74" s="571"/>
      <c r="BY74" s="571"/>
      <c r="BZ74" s="571"/>
      <c r="CA74" s="571"/>
      <c r="CB74" s="571"/>
      <c r="CC74" s="571"/>
      <c r="CD74" s="571"/>
    </row>
    <row r="75" ht="45.0" customHeight="1">
      <c r="A75" s="12"/>
      <c r="B75" s="564"/>
      <c r="C75" s="564"/>
      <c r="D75" s="564"/>
      <c r="E75" s="429"/>
      <c r="F75" s="429"/>
      <c r="G75" s="429"/>
      <c r="H75" s="429"/>
      <c r="I75" s="429"/>
      <c r="J75" s="429"/>
      <c r="K75" s="429"/>
      <c r="L75" s="429"/>
      <c r="M75" s="429"/>
      <c r="N75" s="429"/>
      <c r="O75" s="429"/>
      <c r="P75" s="429"/>
      <c r="Q75" s="429"/>
      <c r="R75" s="429"/>
      <c r="S75" s="607">
        <f>IFERROR(__xludf.DUMMYFUNCTION("""COMPUTED_VALUE"""),5.0)</f>
        <v>5</v>
      </c>
      <c r="T75" s="613" t="str">
        <f>IFERROR(__xludf.DUMMYFUNCTION("""COMPUTED_VALUE"""),"Sejarah")</f>
        <v>Sejarah</v>
      </c>
      <c r="U75" s="466"/>
      <c r="V75" s="467"/>
      <c r="W75" s="610">
        <f t="array" ref="W75">INDEX(DataInputCP,MATCH($V$58,DataNamaInputCP,0),MATCH("SEJARAH",HeaderInputCP,0))</f>
        <v>75</v>
      </c>
      <c r="X75" s="467"/>
      <c r="Y75" s="611" t="str">
        <f t="array" ref="Y75">IF($W75&gt;=91,"Siswa sangat mampu ",IF($W75&gt;=81,"Siswa mampu ", IF($W75&gt;=71,"Siswa cukup mampu ", IF($W75&gt;=61,"Siswa perlu bimbingan ","Siswa belum mampu "))))&amp;INDEX(DataInputCP,MATCH($V$58,DataNamaInputCP,0),MATCH("CP SEJARAH",HeaderInputCP,0))</f>
        <v>Siswa cukup mampu Prinsip dasar ilmu Sejarah, Tahapan jaman Praejarah dengan manusia pendukungnya</v>
      </c>
      <c r="Z75" s="466"/>
      <c r="AA75" s="466"/>
      <c r="AB75" s="467"/>
      <c r="AC75" s="570"/>
      <c r="AD75" s="612"/>
      <c r="AE75" s="571"/>
      <c r="AF75" s="571"/>
      <c r="AG75" s="571"/>
      <c r="AH75" s="571"/>
      <c r="AI75" s="571"/>
      <c r="AJ75" s="571"/>
      <c r="AK75" s="571"/>
      <c r="AL75" s="571"/>
      <c r="AM75" s="571"/>
      <c r="AN75" s="571"/>
      <c r="AO75" s="571"/>
      <c r="AP75" s="571"/>
      <c r="AQ75" s="571"/>
      <c r="AR75" s="571"/>
      <c r="AS75" s="571"/>
      <c r="AT75" s="571"/>
      <c r="AU75" s="571"/>
      <c r="AV75" s="571"/>
      <c r="AW75" s="571"/>
      <c r="AX75" s="571"/>
      <c r="AY75" s="571"/>
      <c r="AZ75" s="571"/>
      <c r="BA75" s="571"/>
      <c r="BB75" s="571"/>
      <c r="BC75" s="571"/>
      <c r="BD75" s="571"/>
      <c r="BE75" s="571"/>
      <c r="BF75" s="571"/>
      <c r="BG75" s="571"/>
      <c r="BH75" s="571"/>
      <c r="BI75" s="571"/>
      <c r="BJ75" s="571"/>
      <c r="BK75" s="571"/>
      <c r="BL75" s="571"/>
      <c r="BM75" s="571"/>
      <c r="BN75" s="571"/>
      <c r="BO75" s="571"/>
      <c r="BP75" s="571"/>
      <c r="BQ75" s="571"/>
      <c r="BR75" s="571"/>
      <c r="BS75" s="571"/>
      <c r="BT75" s="571"/>
      <c r="BU75" s="571"/>
      <c r="BV75" s="571"/>
      <c r="BW75" s="571"/>
      <c r="BX75" s="571"/>
      <c r="BY75" s="571"/>
      <c r="BZ75" s="571"/>
      <c r="CA75" s="571"/>
      <c r="CB75" s="571"/>
      <c r="CC75" s="571"/>
      <c r="CD75" s="571"/>
    </row>
    <row r="76" ht="45.0" customHeight="1">
      <c r="A76" s="12"/>
      <c r="B76" s="564"/>
      <c r="C76" s="564"/>
      <c r="D76" s="564"/>
      <c r="E76" s="429"/>
      <c r="F76" s="429"/>
      <c r="G76" s="429"/>
      <c r="H76" s="429"/>
      <c r="I76" s="429"/>
      <c r="J76" s="429"/>
      <c r="K76" s="429"/>
      <c r="L76" s="429"/>
      <c r="M76" s="429"/>
      <c r="N76" s="429"/>
      <c r="O76" s="429"/>
      <c r="P76" s="429"/>
      <c r="Q76" s="429"/>
      <c r="R76" s="429"/>
      <c r="S76" s="607">
        <f>IFERROR(__xludf.DUMMYFUNCTION("""COMPUTED_VALUE"""),6.0)</f>
        <v>6</v>
      </c>
      <c r="T76" s="613" t="str">
        <f>IFERROR(__xludf.DUMMYFUNCTION("""COMPUTED_VALUE"""),"Seni dan Budaya")</f>
        <v>Seni dan Budaya</v>
      </c>
      <c r="U76" s="466"/>
      <c r="V76" s="467"/>
      <c r="W76" s="614">
        <f t="array" ref="W76">INDEX(DataInputCP,MATCH($V$58,DataNamaInputCP,0),MATCH("SENI BUDAYA",HeaderInputCP,0))</f>
        <v>89.16666667</v>
      </c>
      <c r="X76" s="467"/>
      <c r="Y76" s="615" t="str">
        <f t="array" ref="Y76">IF($W76&gt;=91,"Siswa sangat mampu ",IF($W76&gt;=81,"Siswa mampu ", IF($W76&gt;=71,"Siswa cukup mampu ", IF($W76&gt;=61,"Siswa perlu bimbingan ","Siswa belum mampu "))))&amp;INDEX(DataInputCP,MATCH($V$58,DataNamaInputCP,0),MATCH("CP SENI BUDAYA",HeaderInputCP,0))</f>
        <v>Siswa mampu Siswa mampu memahami genre musik dan instrumen musik dengan baik</v>
      </c>
      <c r="Z76" s="466"/>
      <c r="AA76" s="466"/>
      <c r="AB76" s="467"/>
      <c r="AC76" s="570"/>
      <c r="AD76" s="612"/>
      <c r="AE76" s="571"/>
      <c r="AF76" s="571"/>
      <c r="AG76" s="571"/>
      <c r="AH76" s="571"/>
      <c r="AI76" s="571"/>
      <c r="AJ76" s="571"/>
      <c r="AK76" s="571"/>
      <c r="AL76" s="571"/>
      <c r="AM76" s="571"/>
      <c r="AN76" s="571"/>
      <c r="AO76" s="571"/>
      <c r="AP76" s="571"/>
      <c r="AQ76" s="571"/>
      <c r="AR76" s="571"/>
      <c r="AS76" s="571"/>
      <c r="AT76" s="571"/>
      <c r="AU76" s="571"/>
      <c r="AV76" s="571"/>
      <c r="AW76" s="571"/>
      <c r="AX76" s="571"/>
      <c r="AY76" s="571"/>
      <c r="AZ76" s="571"/>
      <c r="BA76" s="571"/>
      <c r="BB76" s="571"/>
      <c r="BC76" s="571"/>
      <c r="BD76" s="571"/>
      <c r="BE76" s="571"/>
      <c r="BF76" s="571"/>
      <c r="BG76" s="571"/>
      <c r="BH76" s="571"/>
      <c r="BI76" s="571"/>
      <c r="BJ76" s="571"/>
      <c r="BK76" s="571"/>
      <c r="BL76" s="571"/>
      <c r="BM76" s="571"/>
      <c r="BN76" s="571"/>
      <c r="BO76" s="571"/>
      <c r="BP76" s="571"/>
      <c r="BQ76" s="571"/>
      <c r="BR76" s="571"/>
      <c r="BS76" s="571"/>
      <c r="BT76" s="571"/>
      <c r="BU76" s="571"/>
      <c r="BV76" s="571"/>
      <c r="BW76" s="571"/>
      <c r="BX76" s="571"/>
      <c r="BY76" s="571"/>
      <c r="BZ76" s="571"/>
      <c r="CA76" s="571"/>
      <c r="CB76" s="571"/>
      <c r="CC76" s="571"/>
      <c r="CD76" s="571"/>
    </row>
    <row r="77" ht="22.5" customHeight="1">
      <c r="A77" s="448"/>
      <c r="B77" s="550"/>
      <c r="C77" s="550"/>
      <c r="D77" s="550"/>
      <c r="E77" s="15"/>
      <c r="F77" s="15"/>
      <c r="G77" s="15"/>
      <c r="H77" s="15"/>
      <c r="I77" s="15"/>
      <c r="J77" s="15"/>
      <c r="K77" s="15"/>
      <c r="L77" s="15"/>
      <c r="M77" s="15"/>
      <c r="N77" s="15"/>
      <c r="O77" s="15"/>
      <c r="P77" s="15"/>
      <c r="Q77" s="15"/>
      <c r="R77" s="15"/>
      <c r="S77" s="469" t="s">
        <v>365</v>
      </c>
      <c r="T77" s="466"/>
      <c r="U77" s="466"/>
      <c r="V77" s="466"/>
      <c r="W77" s="466"/>
      <c r="X77" s="466"/>
      <c r="Y77" s="466"/>
      <c r="Z77" s="466"/>
      <c r="AA77" s="466"/>
      <c r="AB77" s="467"/>
      <c r="AC77" s="547"/>
      <c r="AD77" s="616"/>
      <c r="AE77" s="604"/>
      <c r="AF77" s="604"/>
      <c r="AG77" s="604"/>
      <c r="AH77" s="604"/>
      <c r="AI77" s="604"/>
      <c r="AJ77" s="604"/>
      <c r="AK77" s="604"/>
      <c r="AL77" s="604"/>
      <c r="AM77" s="604"/>
      <c r="AN77" s="604"/>
      <c r="AO77" s="604"/>
      <c r="AP77" s="604"/>
      <c r="AQ77" s="604"/>
      <c r="AR77" s="604"/>
      <c r="AS77" s="604"/>
      <c r="AT77" s="604"/>
      <c r="AU77" s="604"/>
      <c r="AV77" s="604"/>
      <c r="AW77" s="604"/>
      <c r="AX77" s="604"/>
      <c r="AY77" s="604"/>
      <c r="AZ77" s="604"/>
      <c r="BA77" s="604"/>
      <c r="BB77" s="604"/>
      <c r="BC77" s="604"/>
      <c r="BD77" s="604"/>
      <c r="BE77" s="604"/>
      <c r="BF77" s="604"/>
      <c r="BG77" s="604"/>
      <c r="BH77" s="604"/>
      <c r="BI77" s="604"/>
      <c r="BJ77" s="604"/>
      <c r="BK77" s="604"/>
      <c r="BL77" s="604"/>
      <c r="BM77" s="604"/>
      <c r="BN77" s="604"/>
      <c r="BO77" s="604"/>
      <c r="BP77" s="604"/>
      <c r="BQ77" s="604"/>
      <c r="BR77" s="604"/>
      <c r="BS77" s="604"/>
      <c r="BT77" s="604"/>
      <c r="BU77" s="604"/>
      <c r="BV77" s="604"/>
      <c r="BW77" s="604"/>
      <c r="BX77" s="604"/>
      <c r="BY77" s="604"/>
      <c r="BZ77" s="604"/>
      <c r="CA77" s="604"/>
      <c r="CB77" s="604"/>
      <c r="CC77" s="604"/>
      <c r="CD77" s="604"/>
    </row>
    <row r="78" ht="45.0" customHeight="1">
      <c r="A78" s="12"/>
      <c r="B78" s="564"/>
      <c r="C78" s="564"/>
      <c r="D78" s="564"/>
      <c r="E78" s="429"/>
      <c r="F78" s="429"/>
      <c r="G78" s="429"/>
      <c r="H78" s="429"/>
      <c r="I78" s="429"/>
      <c r="J78" s="429"/>
      <c r="K78" s="429"/>
      <c r="L78" s="429"/>
      <c r="M78" s="429"/>
      <c r="N78" s="429"/>
      <c r="O78" s="429"/>
      <c r="P78" s="429"/>
      <c r="Q78" s="429"/>
      <c r="R78" s="429"/>
      <c r="S78" s="607">
        <f>IFERROR(__xludf.DUMMYFUNCTION("query($A$18:$A$24)"),1.0)</f>
        <v>1</v>
      </c>
      <c r="T78" s="613" t="str">
        <f>IFERROR(__xludf.DUMMYFUNCTION("query($B$18:$B$29)"),"Matematika")</f>
        <v>Matematika</v>
      </c>
      <c r="U78" s="466"/>
      <c r="V78" s="467"/>
      <c r="W78" s="617">
        <f t="array" ref="W78">INDEX(DataInputCP,MATCH($V$58,DataNamaInputCP,0),MATCH("MTK",HeaderInputCP,0))</f>
        <v>75</v>
      </c>
      <c r="X78" s="467"/>
      <c r="Y78" s="615" t="str">
        <f t="array" ref="Y78">IF($W78&gt;=91,"Siswa sangat mampu ",IF($W78&gt;=81,"Siswa mampu ", IF($W78&gt;=71,"Siswa cukup mampu ", IF($W78&gt;=61,"Siswa perlu bimbingan ","Siswa belum mampu "))))&amp;INDEX(DataInputCP,MATCH($V$58,DataNamaInputCP,0),MATCH("CP MTK",HeaderInputCP,0))</f>
        <v>Siswa cukup mampu menggeneralisasi sifat-sifat bilangan berpangkat (termasuk bilangan pangkat pecahan)
</v>
      </c>
      <c r="Z78" s="466"/>
      <c r="AA78" s="466"/>
      <c r="AB78" s="467"/>
      <c r="AC78" s="570"/>
      <c r="AD78" s="612"/>
      <c r="AE78" s="571"/>
      <c r="AF78" s="571"/>
      <c r="AG78" s="571"/>
      <c r="AH78" s="571"/>
      <c r="AI78" s="571"/>
      <c r="AJ78" s="571"/>
      <c r="AK78" s="571"/>
      <c r="AL78" s="571"/>
      <c r="AM78" s="571"/>
      <c r="AN78" s="571"/>
      <c r="AO78" s="571"/>
      <c r="AP78" s="571"/>
      <c r="AQ78" s="571"/>
      <c r="AR78" s="571"/>
      <c r="AS78" s="571"/>
      <c r="AT78" s="571"/>
      <c r="AU78" s="571"/>
      <c r="AV78" s="571"/>
      <c r="AW78" s="571"/>
      <c r="AX78" s="571"/>
      <c r="AY78" s="571"/>
      <c r="AZ78" s="571"/>
      <c r="BA78" s="571"/>
      <c r="BB78" s="571"/>
      <c r="BC78" s="571"/>
      <c r="BD78" s="571"/>
      <c r="BE78" s="571"/>
      <c r="BF78" s="571"/>
      <c r="BG78" s="571"/>
      <c r="BH78" s="571"/>
      <c r="BI78" s="571"/>
      <c r="BJ78" s="571"/>
      <c r="BK78" s="571"/>
      <c r="BL78" s="571"/>
      <c r="BM78" s="571"/>
      <c r="BN78" s="571"/>
      <c r="BO78" s="571"/>
      <c r="BP78" s="571"/>
      <c r="BQ78" s="571"/>
      <c r="BR78" s="571"/>
      <c r="BS78" s="571"/>
      <c r="BT78" s="571"/>
      <c r="BU78" s="571"/>
      <c r="BV78" s="571"/>
      <c r="BW78" s="571"/>
      <c r="BX78" s="571"/>
      <c r="BY78" s="571"/>
      <c r="BZ78" s="571"/>
      <c r="CA78" s="571"/>
      <c r="CB78" s="571"/>
      <c r="CC78" s="571"/>
      <c r="CD78" s="571"/>
    </row>
    <row r="79" ht="45.0" customHeight="1">
      <c r="A79" s="12"/>
      <c r="B79" s="429"/>
      <c r="C79" s="429"/>
      <c r="D79" s="429"/>
      <c r="E79" s="429"/>
      <c r="F79" s="429"/>
      <c r="G79" s="429"/>
      <c r="H79" s="429"/>
      <c r="I79" s="429"/>
      <c r="J79" s="429"/>
      <c r="K79" s="429"/>
      <c r="L79" s="429"/>
      <c r="M79" s="429"/>
      <c r="N79" s="429"/>
      <c r="O79" s="429"/>
      <c r="P79" s="429"/>
      <c r="Q79" s="429"/>
      <c r="R79" s="429"/>
      <c r="S79" s="607">
        <f>IFERROR(__xludf.DUMMYFUNCTION("""COMPUTED_VALUE"""),2.0)</f>
        <v>2</v>
      </c>
      <c r="T79" s="613" t="str">
        <f>IFERROR(__xludf.DUMMYFUNCTION("""COMPUTED_VALUE"""),"Bahasa Inggris")</f>
        <v>Bahasa Inggris</v>
      </c>
      <c r="U79" s="466"/>
      <c r="V79" s="467"/>
      <c r="W79" s="617">
        <f t="array" ref="W79">INDEX(DataInputCP,MATCH($V$58,DataNamaInputCP,0),MATCH("B. INGGRIS",HeaderInputCP,0))</f>
        <v>75</v>
      </c>
      <c r="X79" s="467"/>
      <c r="Y79" s="615" t="str">
        <f t="array" ref="Y79">IF($W79&gt;=91,"Siswa sangat mampu ",IF($W79&gt;=81,"Siswa mampu ", IF($W79&gt;=71,"Siswa cukup mampu ", IF($W79&gt;=61,"Siswa perlu bimbingan ","Siswa belum mampu "))))&amp;INDEX(DataInputCP,MATCH($V$58,DataNamaInputCP,0),MATCH("CP B. INGGRIS",HeaderInputCP,0))</f>
        <v>Siswa cukup mampu memperkenalkan diri kepada orang lain, pengungkapan congratulation &amp; compliment, membuat pengumuman serta penggunaan kata ganti orang pertama kedua ketiga.</v>
      </c>
      <c r="Z79" s="466"/>
      <c r="AA79" s="466"/>
      <c r="AB79" s="467"/>
      <c r="AC79" s="570"/>
      <c r="AD79" s="612"/>
      <c r="AE79" s="571"/>
      <c r="AF79" s="571"/>
      <c r="AG79" s="571"/>
      <c r="AH79" s="571"/>
      <c r="AI79" s="571"/>
      <c r="AJ79" s="571"/>
      <c r="AK79" s="571"/>
      <c r="AL79" s="571"/>
      <c r="AM79" s="571"/>
      <c r="AN79" s="571"/>
      <c r="AO79" s="571"/>
      <c r="AP79" s="571"/>
      <c r="AQ79" s="571"/>
      <c r="AR79" s="571"/>
      <c r="AS79" s="571"/>
      <c r="AT79" s="571"/>
      <c r="AU79" s="571"/>
      <c r="AV79" s="571"/>
      <c r="AW79" s="571"/>
      <c r="AX79" s="571"/>
      <c r="AY79" s="571"/>
      <c r="AZ79" s="571"/>
      <c r="BA79" s="571"/>
      <c r="BB79" s="571"/>
      <c r="BC79" s="571"/>
      <c r="BD79" s="571"/>
      <c r="BE79" s="571"/>
      <c r="BF79" s="571"/>
      <c r="BG79" s="571"/>
      <c r="BH79" s="571"/>
      <c r="BI79" s="571"/>
      <c r="BJ79" s="571"/>
      <c r="BK79" s="571"/>
      <c r="BL79" s="571"/>
      <c r="BM79" s="571"/>
      <c r="BN79" s="571"/>
      <c r="BO79" s="571"/>
      <c r="BP79" s="571"/>
      <c r="BQ79" s="571"/>
      <c r="BR79" s="571"/>
      <c r="BS79" s="571"/>
      <c r="BT79" s="571"/>
      <c r="BU79" s="571"/>
      <c r="BV79" s="571"/>
      <c r="BW79" s="571"/>
      <c r="BX79" s="571"/>
      <c r="BY79" s="571"/>
      <c r="BZ79" s="571"/>
      <c r="CA79" s="571"/>
      <c r="CB79" s="571"/>
      <c r="CC79" s="571"/>
      <c r="CD79" s="571"/>
    </row>
    <row r="80" ht="45.0" customHeight="1">
      <c r="A80" s="12"/>
      <c r="B80" s="429"/>
      <c r="C80" s="429"/>
      <c r="D80" s="429"/>
      <c r="E80" s="429"/>
      <c r="F80" s="429"/>
      <c r="G80" s="429"/>
      <c r="H80" s="429"/>
      <c r="I80" s="429"/>
      <c r="J80" s="429"/>
      <c r="K80" s="429"/>
      <c r="L80" s="429"/>
      <c r="M80" s="429"/>
      <c r="N80" s="429"/>
      <c r="O80" s="429"/>
      <c r="P80" s="429"/>
      <c r="Q80" s="429"/>
      <c r="R80" s="429"/>
      <c r="S80" s="607">
        <f>IFERROR(__xludf.DUMMYFUNCTION("""COMPUTED_VALUE"""),3.0)</f>
        <v>3</v>
      </c>
      <c r="T80" s="613" t="str">
        <f>IFERROR(__xludf.DUMMYFUNCTION("""COMPUTED_VALUE"""),"Informatika")</f>
        <v>Informatika</v>
      </c>
      <c r="U80" s="466"/>
      <c r="V80" s="467"/>
      <c r="W80" s="617">
        <f t="array" ref="W80">INDEX(DataInputCP,MATCH($V$58,DataNamaInputCP,0),MATCH("INFORMATIKA",HeaderInputCP,0))</f>
        <v>80</v>
      </c>
      <c r="X80" s="467"/>
      <c r="Y80" s="615" t="str">
        <f t="array" ref="Y80">IF($W80&gt;=91,"Siswa sangat mampu ",IF($W80&gt;=81,"Siswa mampu ", IF($W80&gt;=71,"Siswa cukup mampu ", IF($W80&gt;=61,"Siswa perlu bimbingan ","Siswa belum mampu "))))&amp;INDEX(DataInputCP,MATCH($V$58,DataNamaInputCP,0),MATCH("CP INFORMATIKA",HeaderInputCP,0))</f>
        <v>Siswa cukup mampu memanfaatkan berbagai aplikasi secara bersamaan dan optimal untuk berkomunikasi, mencari sumber data yang akan diolah menjadi informasi, baik di dunia nyata maupun di internet, serta mahir menggunakan fitur lanjut aplikasi perkantoran (pengolah kata, angka, dan presentasi) beserta otomasinya untuk mengintegrasikan dan menyajikan konten aplikasi dalam berbagai representasi yang memudahkan analisis dan interpretasi konten tersebut.</v>
      </c>
      <c r="Z80" s="466"/>
      <c r="AA80" s="466"/>
      <c r="AB80" s="467"/>
      <c r="AC80" s="570"/>
      <c r="AD80" s="612"/>
      <c r="AE80" s="571"/>
      <c r="AF80" s="571"/>
      <c r="AG80" s="571"/>
      <c r="AH80" s="571"/>
      <c r="AI80" s="571"/>
      <c r="AJ80" s="571"/>
      <c r="AK80" s="571"/>
      <c r="AL80" s="571"/>
      <c r="AM80" s="571"/>
      <c r="AN80" s="571"/>
      <c r="AO80" s="571"/>
      <c r="AP80" s="571"/>
      <c r="AQ80" s="571"/>
      <c r="AR80" s="571"/>
      <c r="AS80" s="571"/>
      <c r="AT80" s="571"/>
      <c r="AU80" s="571"/>
      <c r="AV80" s="571"/>
      <c r="AW80" s="571"/>
      <c r="AX80" s="571"/>
      <c r="AY80" s="571"/>
      <c r="AZ80" s="571"/>
      <c r="BA80" s="571"/>
      <c r="BB80" s="571"/>
      <c r="BC80" s="571"/>
      <c r="BD80" s="571"/>
      <c r="BE80" s="571"/>
      <c r="BF80" s="571"/>
      <c r="BG80" s="571"/>
      <c r="BH80" s="571"/>
      <c r="BI80" s="571"/>
      <c r="BJ80" s="571"/>
      <c r="BK80" s="571"/>
      <c r="BL80" s="571"/>
      <c r="BM80" s="571"/>
      <c r="BN80" s="571"/>
      <c r="BO80" s="571"/>
      <c r="BP80" s="571"/>
      <c r="BQ80" s="571"/>
      <c r="BR80" s="571"/>
      <c r="BS80" s="571"/>
      <c r="BT80" s="571"/>
      <c r="BU80" s="571"/>
      <c r="BV80" s="571"/>
      <c r="BW80" s="571"/>
      <c r="BX80" s="571"/>
      <c r="BY80" s="571"/>
      <c r="BZ80" s="571"/>
      <c r="CA80" s="571"/>
      <c r="CB80" s="571"/>
      <c r="CC80" s="571"/>
      <c r="CD80" s="571"/>
    </row>
    <row r="81" ht="45.0" customHeight="1">
      <c r="A81" s="12"/>
      <c r="B81" s="429"/>
      <c r="C81" s="429"/>
      <c r="D81" s="429"/>
      <c r="E81" s="429"/>
      <c r="F81" s="429"/>
      <c r="G81" s="429"/>
      <c r="H81" s="429"/>
      <c r="I81" s="429"/>
      <c r="J81" s="429"/>
      <c r="K81" s="429"/>
      <c r="L81" s="429"/>
      <c r="M81" s="429"/>
      <c r="N81" s="429"/>
      <c r="O81" s="429"/>
      <c r="P81" s="429"/>
      <c r="Q81" s="429"/>
      <c r="R81" s="429"/>
      <c r="S81" s="607">
        <f>IFERROR(__xludf.DUMMYFUNCTION("""COMPUTED_VALUE"""),4.0)</f>
        <v>4</v>
      </c>
      <c r="T81" s="613" t="str">
        <f>IFERROR(__xludf.DUMMYFUNCTION("""COMPUTED_VALUE"""),"Projek Ilmu Pengetahuan Alam dan Sosial")</f>
        <v>Projek Ilmu Pengetahuan Alam dan Sosial</v>
      </c>
      <c r="U81" s="466"/>
      <c r="V81" s="467"/>
      <c r="W81" s="618">
        <f t="array" ref="W81">INDEX(DataInputCP,MATCH($V$58,DataNamaInputCP,0),MATCH("PROJEK IPAS",HeaderInputCP,0))</f>
        <v>75</v>
      </c>
      <c r="X81" s="313"/>
      <c r="Y81" s="619" t="str">
        <f t="array" ref="Y81">IF($W81&gt;=91,"Siswa sangat mampu ",IF($W81&gt;=81,"Siswa mampu ", IF($W81&gt;=71,"Siswa cukup mampu ", IF($W81&gt;=61,"Siswa perlu bimbingan ","Siswa belum mampu "))))&amp;INDEX(DataInputCP,MATCH($V$58,DataNamaInputCP,0),MATCH("CP PROJEK IPAS",HeaderInputCP,0))</f>
        <v>Siswa cukup mampu menjelaskan fenomena-fenomena yang terjadi di lingkungan sekitarnya dilihat dari berbagai aspek seperti makhluk hidup dan lingkungan nya, zat dan perubahan nya, energi dan perubahan nya. Peserta didik juga mengaitkan fenomena-fenomena tersebut dengan keterampilan teknis pada bidang keahliannya</v>
      </c>
      <c r="Z81" s="542"/>
      <c r="AA81" s="542"/>
      <c r="AB81" s="313"/>
      <c r="AC81" s="570"/>
      <c r="AD81" s="612"/>
      <c r="AE81" s="571"/>
      <c r="AF81" s="571"/>
      <c r="AG81" s="571"/>
      <c r="AH81" s="571"/>
      <c r="AI81" s="571"/>
      <c r="AJ81" s="571"/>
      <c r="AK81" s="571"/>
      <c r="AL81" s="571"/>
      <c r="AM81" s="571"/>
      <c r="AN81" s="571"/>
      <c r="AO81" s="571"/>
      <c r="AP81" s="571"/>
      <c r="AQ81" s="571"/>
      <c r="AR81" s="571"/>
      <c r="AS81" s="571"/>
      <c r="AT81" s="571"/>
      <c r="AU81" s="571"/>
      <c r="AV81" s="571"/>
      <c r="AW81" s="571"/>
      <c r="AX81" s="571"/>
      <c r="AY81" s="571"/>
      <c r="AZ81" s="571"/>
      <c r="BA81" s="571"/>
      <c r="BB81" s="571"/>
      <c r="BC81" s="571"/>
      <c r="BD81" s="571"/>
      <c r="BE81" s="571"/>
      <c r="BF81" s="571"/>
      <c r="BG81" s="571"/>
      <c r="BH81" s="571"/>
      <c r="BI81" s="571"/>
      <c r="BJ81" s="571"/>
      <c r="BK81" s="571"/>
      <c r="BL81" s="571"/>
      <c r="BM81" s="571"/>
      <c r="BN81" s="571"/>
      <c r="BO81" s="571"/>
      <c r="BP81" s="571"/>
      <c r="BQ81" s="571"/>
      <c r="BR81" s="571"/>
      <c r="BS81" s="571"/>
      <c r="BT81" s="571"/>
      <c r="BU81" s="571"/>
      <c r="BV81" s="571"/>
      <c r="BW81" s="571"/>
      <c r="BX81" s="571"/>
      <c r="BY81" s="571"/>
      <c r="BZ81" s="571"/>
      <c r="CA81" s="571"/>
      <c r="CB81" s="571"/>
      <c r="CC81" s="571"/>
      <c r="CD81" s="571"/>
    </row>
    <row r="82" ht="45.0" customHeight="1">
      <c r="A82" s="12"/>
      <c r="B82" s="429"/>
      <c r="C82" s="429"/>
      <c r="D82" s="429"/>
      <c r="E82" s="429"/>
      <c r="F82" s="429"/>
      <c r="G82" s="429"/>
      <c r="H82" s="429"/>
      <c r="I82" s="429"/>
      <c r="J82" s="429"/>
      <c r="K82" s="429"/>
      <c r="L82" s="429"/>
      <c r="M82" s="429"/>
      <c r="N82" s="429"/>
      <c r="O82" s="429"/>
      <c r="P82" s="429"/>
      <c r="Q82" s="429"/>
      <c r="R82" s="429"/>
      <c r="S82" s="607">
        <f>IFERROR(__xludf.DUMMYFUNCTION("""COMPUTED_VALUE"""),5.0)</f>
        <v>5</v>
      </c>
      <c r="T82" s="613" t="str">
        <f>IFERROR(__xludf.DUMMYFUNCTION("""COMPUTED_VALUE"""),"Dasar - Dasar Program Keahlian")</f>
        <v>Dasar - Dasar Program Keahlian</v>
      </c>
      <c r="U82" s="466"/>
      <c r="V82" s="467"/>
      <c r="W82" s="617">
        <f t="array" ref="W82">INDEX(DataInputCP,MATCH($V$58,DataNamaInputCP,0),MATCH("DDPK",HeaderInputCP,0))</f>
        <v>75</v>
      </c>
      <c r="X82" s="467"/>
      <c r="Y82" s="615" t="str">
        <f t="array" ref="Y82">IF($W82&gt;=91,"Siswa sangat mampu ",IF($W82&gt;=81,"Siswa mampu ", IF($W82&gt;=71,"Siswa cukup mampu ", IF($W82&gt;=61,"Siswa perlu bimbingan ","Siswa belum mampu "))))&amp;INDEX(DataInputCP,MATCH($V$58,DataNamaInputCP,0),MATCH("CP DDPK",HeaderInputCP,0))</f>
        <v>Siswa cukup mampu menggunakan tools dan alat ukur dasar untuk servis  sepeda motor</v>
      </c>
      <c r="Z82" s="466"/>
      <c r="AA82" s="466"/>
      <c r="AB82" s="467"/>
      <c r="AC82" s="570"/>
      <c r="AD82" s="612"/>
      <c r="AE82" s="571"/>
      <c r="AF82" s="571"/>
      <c r="AG82" s="571"/>
      <c r="AH82" s="571"/>
      <c r="AI82" s="571"/>
      <c r="AJ82" s="571"/>
      <c r="AK82" s="571"/>
      <c r="AL82" s="571"/>
      <c r="AM82" s="571"/>
      <c r="AN82" s="571"/>
      <c r="AO82" s="571"/>
      <c r="AP82" s="571"/>
      <c r="AQ82" s="571"/>
      <c r="AR82" s="571"/>
      <c r="AS82" s="571"/>
      <c r="AT82" s="571"/>
      <c r="AU82" s="571"/>
      <c r="AV82" s="571"/>
      <c r="AW82" s="571"/>
      <c r="AX82" s="571"/>
      <c r="AY82" s="571"/>
      <c r="AZ82" s="571"/>
      <c r="BA82" s="571"/>
      <c r="BB82" s="571"/>
      <c r="BC82" s="571"/>
      <c r="BD82" s="571"/>
      <c r="BE82" s="571"/>
      <c r="BF82" s="571"/>
      <c r="BG82" s="571"/>
      <c r="BH82" s="571"/>
      <c r="BI82" s="571"/>
      <c r="BJ82" s="571"/>
      <c r="BK82" s="571"/>
      <c r="BL82" s="571"/>
      <c r="BM82" s="571"/>
      <c r="BN82" s="571"/>
      <c r="BO82" s="571"/>
      <c r="BP82" s="571"/>
      <c r="BQ82" s="571"/>
      <c r="BR82" s="571"/>
      <c r="BS82" s="571"/>
      <c r="BT82" s="571"/>
      <c r="BU82" s="571"/>
      <c r="BV82" s="571"/>
      <c r="BW82" s="571"/>
      <c r="BX82" s="571"/>
      <c r="BY82" s="571"/>
      <c r="BZ82" s="571"/>
      <c r="CA82" s="571"/>
      <c r="CB82" s="571"/>
      <c r="CC82" s="571"/>
      <c r="CD82" s="571"/>
    </row>
    <row r="83" ht="45.0" hidden="1" customHeight="1">
      <c r="A83" s="12"/>
      <c r="B83" s="429"/>
      <c r="C83" s="429"/>
      <c r="D83" s="429"/>
      <c r="E83" s="429"/>
      <c r="F83" s="429"/>
      <c r="G83" s="429"/>
      <c r="H83" s="429"/>
      <c r="I83" s="429"/>
      <c r="J83" s="429"/>
      <c r="K83" s="429"/>
      <c r="L83" s="429"/>
      <c r="M83" s="429"/>
      <c r="N83" s="429"/>
      <c r="O83" s="429"/>
      <c r="P83" s="429"/>
      <c r="Q83" s="429"/>
      <c r="R83" s="620" t="s">
        <v>425</v>
      </c>
      <c r="S83" s="607">
        <f>IFERROR(__xludf.DUMMYFUNCTION("""COMPUTED_VALUE"""),4.0)</f>
        <v>4</v>
      </c>
      <c r="T83" s="613" t="str">
        <f>IFERROR(__xludf.DUMMYFUNCTION("""COMPUTED_VALUE"""),"Projek Kreatif dan Kewirausahaan")</f>
        <v>Projek Kreatif dan Kewirausahaan</v>
      </c>
      <c r="U83" s="466"/>
      <c r="V83" s="467"/>
      <c r="W83" s="618" t="str">
        <f t="array" ref="W83">INDEX(DataInputCP,MATCH($V$58,DataNamaInputCP,0),MATCH("PKK",HeaderInputCP,0))</f>
        <v/>
      </c>
      <c r="X83" s="313"/>
      <c r="Y83" s="621" t="str">
        <f t="array" ref="Y83">IF($W83&gt;=91,"Siswa sangat mampu ",IF($W83&gt;=81,"Siswa mampu ", IF($W83&gt;=71,"Siswa cukup mampu ", IF($W83&gt;=61,"Siswa perlu bimbingan ","Siswa belum mampu "))))&amp;INDEX(DataInputCP,MATCH($V$58,DataNamaInputCP,0),MATCH("CP PKK",HeaderInputCP,0))</f>
        <v>Siswa belum mampu </v>
      </c>
      <c r="Z83" s="542"/>
      <c r="AA83" s="542"/>
      <c r="AB83" s="313"/>
      <c r="AC83" s="570"/>
      <c r="AD83" s="612"/>
      <c r="AE83" s="571"/>
      <c r="AF83" s="571"/>
      <c r="AG83" s="571"/>
      <c r="AH83" s="571"/>
      <c r="AI83" s="571"/>
      <c r="AJ83" s="571"/>
      <c r="AK83" s="571"/>
      <c r="AL83" s="571"/>
      <c r="AM83" s="571"/>
      <c r="AN83" s="571"/>
      <c r="AO83" s="571"/>
      <c r="AP83" s="571"/>
      <c r="AQ83" s="571"/>
      <c r="AR83" s="571"/>
      <c r="AS83" s="571"/>
      <c r="AT83" s="571"/>
      <c r="AU83" s="571"/>
      <c r="AV83" s="571"/>
      <c r="AW83" s="571"/>
      <c r="AX83" s="571"/>
      <c r="AY83" s="571"/>
      <c r="AZ83" s="571"/>
      <c r="BA83" s="571"/>
      <c r="BB83" s="571"/>
      <c r="BC83" s="571"/>
      <c r="BD83" s="571"/>
      <c r="BE83" s="571"/>
      <c r="BF83" s="571"/>
      <c r="BG83" s="571"/>
      <c r="BH83" s="571"/>
      <c r="BI83" s="571"/>
      <c r="BJ83" s="571"/>
      <c r="BK83" s="571"/>
      <c r="BL83" s="571"/>
      <c r="BM83" s="571"/>
      <c r="BN83" s="571"/>
      <c r="BO83" s="571"/>
      <c r="BP83" s="571"/>
      <c r="BQ83" s="571"/>
      <c r="BR83" s="571"/>
      <c r="BS83" s="571"/>
      <c r="BT83" s="571"/>
      <c r="BU83" s="571"/>
      <c r="BV83" s="571"/>
      <c r="BW83" s="571"/>
      <c r="BX83" s="571"/>
      <c r="BY83" s="571"/>
      <c r="BZ83" s="571"/>
      <c r="CA83" s="571"/>
      <c r="CB83" s="571"/>
      <c r="CC83" s="571"/>
      <c r="CD83" s="571"/>
    </row>
    <row r="84" ht="45.0" hidden="1" customHeight="1">
      <c r="A84" s="12"/>
      <c r="B84" s="429"/>
      <c r="C84" s="429"/>
      <c r="D84" s="429"/>
      <c r="E84" s="429"/>
      <c r="F84" s="429"/>
      <c r="G84" s="429"/>
      <c r="H84" s="429"/>
      <c r="I84" s="429"/>
      <c r="J84" s="429"/>
      <c r="K84" s="429"/>
      <c r="L84" s="429"/>
      <c r="M84" s="429"/>
      <c r="N84" s="429"/>
      <c r="O84" s="429"/>
      <c r="P84" s="429"/>
      <c r="Q84" s="429"/>
      <c r="R84" s="620" t="s">
        <v>425</v>
      </c>
      <c r="S84" s="607">
        <f>IFERROR(__xludf.DUMMYFUNCTION("""COMPUTED_VALUE"""),4.0)</f>
        <v>4</v>
      </c>
      <c r="T84" s="613" t="str">
        <f>IFERROR(__xludf.DUMMYFUNCTION("""COMPUTED_VALUE"""),"Konsentrasi Keahlian")</f>
        <v>Konsentrasi Keahlian</v>
      </c>
      <c r="U84" s="466"/>
      <c r="V84" s="467"/>
      <c r="W84" s="617" t="str">
        <f t="array" ref="W84">INDEX(DataInputCP,MATCH($V$58,DataNamaInputCP,0),MATCH("KONS. KEAHLIAN",HeaderInputCP,0))</f>
        <v/>
      </c>
      <c r="X84" s="467"/>
      <c r="Y84" s="613" t="str">
        <f t="array" ref="Y84">IF($W84&gt;=91,"Siswa sangat mampu ",IF($W84&gt;=81,"Siswa mampu ", IF($W84&gt;=71,"Siswa cukup mampu ", IF($W84&gt;=61,"Siswa perlu bimbingan ","Siswa belum mampu "))))&amp;INDEX(DataInputCP,MATCH($V$58,DataNamaInputCP,0),MATCH("CP KK",HeaderInputCP,0))</f>
        <v>Siswa belum mampu </v>
      </c>
      <c r="Z84" s="466"/>
      <c r="AA84" s="466"/>
      <c r="AB84" s="467"/>
      <c r="AC84" s="570"/>
      <c r="AD84" s="612"/>
      <c r="AE84" s="571"/>
      <c r="AF84" s="571"/>
      <c r="AG84" s="571"/>
      <c r="AH84" s="571"/>
      <c r="AI84" s="571"/>
      <c r="AJ84" s="571"/>
      <c r="AK84" s="571"/>
      <c r="AL84" s="571"/>
      <c r="AM84" s="571"/>
      <c r="AN84" s="571"/>
      <c r="AO84" s="571"/>
      <c r="AP84" s="571"/>
      <c r="AQ84" s="571"/>
      <c r="AR84" s="571"/>
      <c r="AS84" s="571"/>
      <c r="AT84" s="571"/>
      <c r="AU84" s="571"/>
      <c r="AV84" s="571"/>
      <c r="AW84" s="571"/>
      <c r="AX84" s="571"/>
      <c r="AY84" s="571"/>
      <c r="AZ84" s="571"/>
      <c r="BA84" s="571"/>
      <c r="BB84" s="571"/>
      <c r="BC84" s="571"/>
      <c r="BD84" s="571"/>
      <c r="BE84" s="571"/>
      <c r="BF84" s="571"/>
      <c r="BG84" s="571"/>
      <c r="BH84" s="571"/>
      <c r="BI84" s="571"/>
      <c r="BJ84" s="571"/>
      <c r="BK84" s="571"/>
      <c r="BL84" s="571"/>
      <c r="BM84" s="571"/>
      <c r="BN84" s="571"/>
      <c r="BO84" s="571"/>
      <c r="BP84" s="571"/>
      <c r="BQ84" s="571"/>
      <c r="BR84" s="571"/>
      <c r="BS84" s="571"/>
      <c r="BT84" s="571"/>
      <c r="BU84" s="571"/>
      <c r="BV84" s="571"/>
      <c r="BW84" s="571"/>
      <c r="BX84" s="571"/>
      <c r="BY84" s="571"/>
      <c r="BZ84" s="571"/>
      <c r="CA84" s="571"/>
      <c r="CB84" s="571"/>
      <c r="CC84" s="571"/>
      <c r="CD84" s="571"/>
    </row>
    <row r="85" ht="22.5" customHeight="1">
      <c r="A85" s="448"/>
      <c r="B85" s="550"/>
      <c r="C85" s="550"/>
      <c r="D85" s="550"/>
      <c r="E85" s="15"/>
      <c r="F85" s="15"/>
      <c r="G85" s="15"/>
      <c r="H85" s="15"/>
      <c r="I85" s="15"/>
      <c r="J85" s="15"/>
      <c r="K85" s="15"/>
      <c r="L85" s="15"/>
      <c r="M85" s="15"/>
      <c r="N85" s="15"/>
      <c r="O85" s="15"/>
      <c r="P85" s="15"/>
      <c r="Q85" s="15"/>
      <c r="R85" s="15"/>
      <c r="S85" s="469" t="s">
        <v>377</v>
      </c>
      <c r="T85" s="466"/>
      <c r="U85" s="466"/>
      <c r="V85" s="466"/>
      <c r="W85" s="466"/>
      <c r="X85" s="466"/>
      <c r="Y85" s="466"/>
      <c r="Z85" s="466"/>
      <c r="AA85" s="466"/>
      <c r="AB85" s="467"/>
      <c r="AC85" s="547"/>
      <c r="AD85" s="616"/>
      <c r="AE85" s="604"/>
      <c r="AF85" s="604"/>
      <c r="AG85" s="604"/>
      <c r="AH85" s="604"/>
      <c r="AI85" s="604"/>
      <c r="AJ85" s="604"/>
      <c r="AK85" s="604"/>
      <c r="AL85" s="604"/>
      <c r="AM85" s="604"/>
      <c r="AN85" s="604"/>
      <c r="AO85" s="604"/>
      <c r="AP85" s="604"/>
      <c r="AQ85" s="604"/>
      <c r="AR85" s="604"/>
      <c r="AS85" s="604"/>
      <c r="AT85" s="604"/>
      <c r="AU85" s="604"/>
      <c r="AV85" s="604"/>
      <c r="AW85" s="604"/>
      <c r="AX85" s="604"/>
      <c r="AY85" s="604"/>
      <c r="AZ85" s="604"/>
      <c r="BA85" s="604"/>
      <c r="BB85" s="604"/>
      <c r="BC85" s="604"/>
      <c r="BD85" s="604"/>
      <c r="BE85" s="604"/>
      <c r="BF85" s="604"/>
      <c r="BG85" s="604"/>
      <c r="BH85" s="604"/>
      <c r="BI85" s="604"/>
      <c r="BJ85" s="604"/>
      <c r="BK85" s="604"/>
      <c r="BL85" s="604"/>
      <c r="BM85" s="604"/>
      <c r="BN85" s="604"/>
      <c r="BO85" s="604"/>
      <c r="BP85" s="604"/>
      <c r="BQ85" s="604"/>
      <c r="BR85" s="604"/>
      <c r="BS85" s="604"/>
      <c r="BT85" s="604"/>
      <c r="BU85" s="604"/>
      <c r="BV85" s="604"/>
      <c r="BW85" s="604"/>
      <c r="BX85" s="604"/>
      <c r="BY85" s="604"/>
      <c r="BZ85" s="604"/>
      <c r="CA85" s="604"/>
      <c r="CB85" s="604"/>
      <c r="CC85" s="604"/>
      <c r="CD85" s="604"/>
    </row>
    <row r="86" ht="45.0" customHeight="1">
      <c r="A86" s="12"/>
      <c r="B86" s="429"/>
      <c r="C86" s="429"/>
      <c r="D86" s="429"/>
      <c r="E86" s="429"/>
      <c r="F86" s="429"/>
      <c r="G86" s="429"/>
      <c r="H86" s="429"/>
      <c r="I86" s="429"/>
      <c r="J86" s="429"/>
      <c r="K86" s="429"/>
      <c r="L86" s="429"/>
      <c r="M86" s="429"/>
      <c r="N86" s="429"/>
      <c r="O86" s="429"/>
      <c r="P86" s="429"/>
      <c r="Q86" s="429"/>
      <c r="R86" s="429"/>
      <c r="S86" s="622">
        <f>IFERROR(__xludf.DUMMYFUNCTION("query($A$26:$A$27)"),1.0)</f>
        <v>1</v>
      </c>
      <c r="T86" s="536" t="str">
        <f>IFERROR(__xludf.DUMMYFUNCTION("""COMPUTED_VALUE"""),"Koding dan Kecerdasan Artifisial")</f>
        <v>Koding dan Kecerdasan Artifisial</v>
      </c>
      <c r="U86" s="466"/>
      <c r="V86" s="467"/>
      <c r="W86" s="617">
        <f t="array" ref="W86">INDEX(DataInputCP,MATCH($V$58,DataNamaInputCP,0),MATCH("KODING",HeaderInputCP,0))</f>
        <v>75</v>
      </c>
      <c r="X86" s="467"/>
      <c r="Y86" s="615" t="str">
        <f t="array" ref="Y86">IF($W86&gt;=91,"Siswa sangat mampu ",IF($W86&gt;=81,"Siswa mampu ", IF($W86&gt;=71,"Siswa cukup mampu ", IF($W86&gt;=61,"Siswa perlu bimbingan ","Siswa belum mampu "))))&amp;INDEX(DataInputCP,MATCH($V$58,DataNamaInputCP,0),MATCH("CP KODING",HeaderInputCP,0))</f>
        <v>Siswa cukup mampu menunjukkan sikap kerja yang sistematis, gigih (persisten), dan logis dalam menghadapi masalah komputasi yang kompleks dan dalam proses debugging kode.</v>
      </c>
      <c r="Z86" s="466"/>
      <c r="AA86" s="466"/>
      <c r="AB86" s="467"/>
      <c r="AC86" s="570"/>
      <c r="AD86" s="612"/>
      <c r="AE86" s="571"/>
      <c r="AF86" s="571"/>
      <c r="AG86" s="571"/>
      <c r="AH86" s="571"/>
      <c r="AI86" s="571"/>
      <c r="AJ86" s="571"/>
      <c r="AK86" s="571"/>
      <c r="AL86" s="571"/>
      <c r="AM86" s="571"/>
      <c r="AN86" s="571"/>
      <c r="AO86" s="571"/>
      <c r="AP86" s="571"/>
      <c r="AQ86" s="571"/>
      <c r="AR86" s="571"/>
      <c r="AS86" s="571"/>
      <c r="AT86" s="571"/>
      <c r="AU86" s="571"/>
      <c r="AV86" s="571"/>
      <c r="AW86" s="571"/>
      <c r="AX86" s="571"/>
      <c r="AY86" s="571"/>
      <c r="AZ86" s="571"/>
      <c r="BA86" s="571"/>
      <c r="BB86" s="571"/>
      <c r="BC86" s="571"/>
      <c r="BD86" s="571"/>
      <c r="BE86" s="571"/>
      <c r="BF86" s="571"/>
      <c r="BG86" s="571"/>
      <c r="BH86" s="571"/>
      <c r="BI86" s="571"/>
      <c r="BJ86" s="571"/>
      <c r="BK86" s="571"/>
      <c r="BL86" s="571"/>
      <c r="BM86" s="571"/>
      <c r="BN86" s="571"/>
      <c r="BO86" s="571"/>
      <c r="BP86" s="571"/>
      <c r="BQ86" s="571"/>
      <c r="BR86" s="571"/>
      <c r="BS86" s="571"/>
      <c r="BT86" s="571"/>
      <c r="BU86" s="571"/>
      <c r="BV86" s="571"/>
      <c r="BW86" s="571"/>
      <c r="BX86" s="571"/>
      <c r="BY86" s="571"/>
      <c r="BZ86" s="571"/>
      <c r="CA86" s="571"/>
      <c r="CB86" s="571"/>
      <c r="CC86" s="571"/>
      <c r="CD86" s="571"/>
    </row>
    <row r="87" ht="45.0" hidden="1" customHeight="1">
      <c r="A87" s="12"/>
      <c r="B87" s="429"/>
      <c r="C87" s="429"/>
      <c r="D87" s="429"/>
      <c r="E87" s="429"/>
      <c r="F87" s="429"/>
      <c r="G87" s="429"/>
      <c r="H87" s="429"/>
      <c r="I87" s="429"/>
      <c r="J87" s="429"/>
      <c r="K87" s="429"/>
      <c r="L87" s="429"/>
      <c r="M87" s="429"/>
      <c r="N87" s="429"/>
      <c r="O87" s="429"/>
      <c r="P87" s="429"/>
      <c r="Q87" s="429"/>
      <c r="R87" s="429"/>
      <c r="S87" s="622">
        <f>IFERROR(__xludf.DUMMYFUNCTION("""COMPUTED_VALUE"""),1.0)</f>
        <v>1</v>
      </c>
      <c r="T87" s="536" t="str">
        <f>IFERROR(__xludf.DUMMYFUNCTION("""COMPUTED_VALUE"""),"Mata Pelajaran Pilihan")</f>
        <v>Mata Pelajaran Pilihan</v>
      </c>
      <c r="U87" s="466"/>
      <c r="V87" s="467"/>
      <c r="W87" s="618" t="str">
        <f t="array" ref="W87">INDEX(DataInputCP,MATCH($V$58,DataNamaInputCP,0),MATCH("PKK",HeaderInputCP,0))</f>
        <v/>
      </c>
      <c r="X87" s="313"/>
      <c r="Y87" s="621" t="str">
        <f t="array" ref="Y87">IF($W87&gt;=91,"Siswa sangat mampu ",IF($W87&gt;=81,"Siswa mampu ", IF($W87&gt;=71,"Siswa cukup mampu ", IF($W87&gt;=61,"Siswa perlu bimbingan ","Siswa belum mampu "))))&amp;INDEX(DataInputCP,MATCH($V$58,DataNamaInputCP,0),MATCH("CP PKK",HeaderInputCP,0))</f>
        <v>Siswa belum mampu </v>
      </c>
      <c r="Z87" s="542"/>
      <c r="AA87" s="542"/>
      <c r="AB87" s="313"/>
      <c r="AC87" s="570"/>
      <c r="AD87" s="612"/>
      <c r="AE87" s="571"/>
      <c r="AF87" s="571"/>
      <c r="AG87" s="571"/>
      <c r="AH87" s="571"/>
      <c r="AI87" s="571"/>
      <c r="AJ87" s="571"/>
      <c r="AK87" s="571"/>
      <c r="AL87" s="571"/>
      <c r="AM87" s="571"/>
      <c r="AN87" s="571"/>
      <c r="AO87" s="571"/>
      <c r="AP87" s="571"/>
      <c r="AQ87" s="571"/>
      <c r="AR87" s="571"/>
      <c r="AS87" s="571"/>
      <c r="AT87" s="571"/>
      <c r="AU87" s="571"/>
      <c r="AV87" s="571"/>
      <c r="AW87" s="571"/>
      <c r="AX87" s="571"/>
      <c r="AY87" s="571"/>
      <c r="AZ87" s="571"/>
      <c r="BA87" s="571"/>
      <c r="BB87" s="571"/>
      <c r="BC87" s="571"/>
      <c r="BD87" s="571"/>
      <c r="BE87" s="571"/>
      <c r="BF87" s="571"/>
      <c r="BG87" s="571"/>
      <c r="BH87" s="571"/>
      <c r="BI87" s="571"/>
      <c r="BJ87" s="571"/>
      <c r="BK87" s="571"/>
      <c r="BL87" s="571"/>
      <c r="BM87" s="571"/>
      <c r="BN87" s="571"/>
      <c r="BO87" s="571"/>
      <c r="BP87" s="571"/>
      <c r="BQ87" s="571"/>
      <c r="BR87" s="571"/>
      <c r="BS87" s="571"/>
      <c r="BT87" s="571"/>
      <c r="BU87" s="571"/>
      <c r="BV87" s="571"/>
      <c r="BW87" s="571"/>
      <c r="BX87" s="571"/>
      <c r="BY87" s="571"/>
      <c r="BZ87" s="571"/>
      <c r="CA87" s="571"/>
      <c r="CB87" s="571"/>
      <c r="CC87" s="571"/>
      <c r="CD87" s="571"/>
    </row>
    <row r="88" ht="22.5" customHeight="1">
      <c r="A88" s="448"/>
      <c r="B88" s="550"/>
      <c r="C88" s="550"/>
      <c r="D88" s="550"/>
      <c r="E88" s="15"/>
      <c r="F88" s="15"/>
      <c r="G88" s="15"/>
      <c r="H88" s="15"/>
      <c r="I88" s="15"/>
      <c r="J88" s="15"/>
      <c r="K88" s="15"/>
      <c r="L88" s="15"/>
      <c r="M88" s="15"/>
      <c r="N88" s="15"/>
      <c r="O88" s="15"/>
      <c r="P88" s="15"/>
      <c r="Q88" s="15"/>
      <c r="R88" s="15"/>
      <c r="S88" s="469" t="s">
        <v>380</v>
      </c>
      <c r="T88" s="466"/>
      <c r="U88" s="466"/>
      <c r="V88" s="466"/>
      <c r="W88" s="466"/>
      <c r="X88" s="466"/>
      <c r="Y88" s="466"/>
      <c r="Z88" s="466"/>
      <c r="AA88" s="466"/>
      <c r="AB88" s="467"/>
      <c r="AC88" s="547"/>
      <c r="AD88" s="616"/>
      <c r="AE88" s="604"/>
      <c r="AF88" s="604"/>
      <c r="AG88" s="604"/>
      <c r="AH88" s="604"/>
      <c r="AI88" s="604"/>
      <c r="AJ88" s="604"/>
      <c r="AK88" s="604"/>
      <c r="AL88" s="604"/>
      <c r="AM88" s="604"/>
      <c r="AN88" s="604"/>
      <c r="AO88" s="604"/>
      <c r="AP88" s="604"/>
      <c r="AQ88" s="604"/>
      <c r="AR88" s="604"/>
      <c r="AS88" s="604"/>
      <c r="AT88" s="604"/>
      <c r="AU88" s="604"/>
      <c r="AV88" s="604"/>
      <c r="AW88" s="604"/>
      <c r="AX88" s="604"/>
      <c r="AY88" s="604"/>
      <c r="AZ88" s="604"/>
      <c r="BA88" s="604"/>
      <c r="BB88" s="604"/>
      <c r="BC88" s="604"/>
      <c r="BD88" s="604"/>
      <c r="BE88" s="604"/>
      <c r="BF88" s="604"/>
      <c r="BG88" s="604"/>
      <c r="BH88" s="604"/>
      <c r="BI88" s="604"/>
      <c r="BJ88" s="604"/>
      <c r="BK88" s="604"/>
      <c r="BL88" s="604"/>
      <c r="BM88" s="604"/>
      <c r="BN88" s="604"/>
      <c r="BO88" s="604"/>
      <c r="BP88" s="604"/>
      <c r="BQ88" s="604"/>
      <c r="BR88" s="604"/>
      <c r="BS88" s="604"/>
      <c r="BT88" s="604"/>
      <c r="BU88" s="604"/>
      <c r="BV88" s="604"/>
      <c r="BW88" s="604"/>
      <c r="BX88" s="604"/>
      <c r="BY88" s="604"/>
      <c r="BZ88" s="604"/>
      <c r="CA88" s="604"/>
      <c r="CB88" s="604"/>
      <c r="CC88" s="604"/>
      <c r="CD88" s="604"/>
    </row>
    <row r="89" ht="45.0" customHeight="1">
      <c r="A89" s="12"/>
      <c r="B89" s="429"/>
      <c r="C89" s="429"/>
      <c r="D89" s="429"/>
      <c r="E89" s="429"/>
      <c r="F89" s="429"/>
      <c r="G89" s="429"/>
      <c r="H89" s="429"/>
      <c r="I89" s="429"/>
      <c r="J89" s="429"/>
      <c r="K89" s="429"/>
      <c r="L89" s="429"/>
      <c r="M89" s="429"/>
      <c r="N89" s="429"/>
      <c r="O89" s="429"/>
      <c r="P89" s="429"/>
      <c r="Q89" s="429"/>
      <c r="R89" s="429"/>
      <c r="S89" s="622">
        <f>IFERROR(__xludf.DUMMYFUNCTION("query($A$29)"),1.0)</f>
        <v>1</v>
      </c>
      <c r="T89" s="536" t="str">
        <f>IFERROR(__xludf.DUMMYFUNCTION("""COMPUTED_VALUE"""),"Bahasa Sunda")</f>
        <v>Bahasa Sunda</v>
      </c>
      <c r="U89" s="466"/>
      <c r="V89" s="467"/>
      <c r="W89" s="618">
        <f t="array" ref="W89">INDEX(DataInputCP,MATCH($V$58,DataNamaInputCP,0),MATCH("B. SUNDA",HeaderInputCP,0))</f>
        <v>75</v>
      </c>
      <c r="X89" s="313"/>
      <c r="Y89" s="619" t="str">
        <f t="array" ref="Y89">IF($W89&gt;=91,"Siswa sangat mampu ",IF($W89&gt;=81,"Siswa mampu ", IF($W89&gt;=71,"Siswa cukup mampu ", IF($W89&gt;=61,"Siswa perlu bimbingan ","Siswa belum mampu "))))&amp;INDEX(DataInputCP,MATCH($V$58,DataNamaInputCP,0),MATCH("CP B. SUNDA",HeaderInputCP,0))</f>
        <v>Siswa cukup mampu Mampu memahami sejarah dan fungsi aksara sunda , bentuk dasara serta membaca aksara sunda</v>
      </c>
      <c r="Z89" s="542"/>
      <c r="AA89" s="542"/>
      <c r="AB89" s="313"/>
      <c r="AC89" s="570"/>
      <c r="AD89" s="612"/>
      <c r="AE89" s="571"/>
      <c r="AF89" s="571"/>
      <c r="AG89" s="571"/>
      <c r="AH89" s="571"/>
      <c r="AI89" s="571"/>
      <c r="AJ89" s="571"/>
      <c r="AK89" s="571"/>
      <c r="AL89" s="571"/>
      <c r="AM89" s="571"/>
      <c r="AN89" s="571"/>
      <c r="AO89" s="571"/>
      <c r="AP89" s="571"/>
      <c r="AQ89" s="571"/>
      <c r="AR89" s="571"/>
      <c r="AS89" s="571"/>
      <c r="AT89" s="571"/>
      <c r="AU89" s="571"/>
      <c r="AV89" s="571"/>
      <c r="AW89" s="571"/>
      <c r="AX89" s="571"/>
      <c r="AY89" s="571"/>
      <c r="AZ89" s="571"/>
      <c r="BA89" s="571"/>
      <c r="BB89" s="571"/>
      <c r="BC89" s="571"/>
      <c r="BD89" s="571"/>
      <c r="BE89" s="571"/>
      <c r="BF89" s="571"/>
      <c r="BG89" s="571"/>
      <c r="BH89" s="571"/>
      <c r="BI89" s="571"/>
      <c r="BJ89" s="571"/>
      <c r="BK89" s="571"/>
      <c r="BL89" s="571"/>
      <c r="BM89" s="571"/>
      <c r="BN89" s="571"/>
      <c r="BO89" s="571"/>
      <c r="BP89" s="571"/>
      <c r="BQ89" s="571"/>
      <c r="BR89" s="571"/>
      <c r="BS89" s="571"/>
      <c r="BT89" s="571"/>
      <c r="BU89" s="571"/>
      <c r="BV89" s="571"/>
      <c r="BW89" s="571"/>
      <c r="BX89" s="571"/>
      <c r="BY89" s="571"/>
      <c r="BZ89" s="571"/>
      <c r="CA89" s="571"/>
      <c r="CB89" s="571"/>
      <c r="CC89" s="571"/>
      <c r="CD89" s="571"/>
    </row>
    <row r="90" ht="15.75" customHeight="1">
      <c r="A90" s="570"/>
      <c r="B90" s="570"/>
      <c r="C90" s="570"/>
      <c r="D90" s="570"/>
      <c r="E90" s="570"/>
      <c r="F90" s="570"/>
      <c r="G90" s="570"/>
      <c r="H90" s="570"/>
      <c r="I90" s="570"/>
      <c r="J90" s="570"/>
      <c r="K90" s="570"/>
      <c r="L90" s="570"/>
      <c r="M90" s="570"/>
      <c r="N90" s="570"/>
      <c r="O90" s="570"/>
      <c r="P90" s="570"/>
      <c r="Q90" s="570"/>
      <c r="R90" s="570"/>
      <c r="S90" s="570"/>
      <c r="T90" s="570"/>
      <c r="U90" s="570"/>
      <c r="V90" s="570"/>
      <c r="W90" s="570"/>
      <c r="X90" s="570"/>
      <c r="Y90" s="570"/>
      <c r="Z90" s="570"/>
      <c r="AA90" s="570"/>
      <c r="AB90" s="570"/>
      <c r="AC90" s="570"/>
      <c r="AD90" s="570"/>
      <c r="AE90" s="570"/>
      <c r="AF90" s="570"/>
      <c r="AG90" s="570"/>
      <c r="AH90" s="570"/>
      <c r="AI90" s="570"/>
      <c r="AJ90" s="570"/>
      <c r="AK90" s="570"/>
      <c r="AL90" s="570"/>
      <c r="AM90" s="570"/>
      <c r="AN90" s="570"/>
      <c r="AO90" s="570"/>
      <c r="AP90" s="570"/>
      <c r="AQ90" s="570"/>
      <c r="AR90" s="570"/>
      <c r="AS90" s="570"/>
      <c r="AT90" s="570"/>
      <c r="AU90" s="570"/>
      <c r="AV90" s="570"/>
      <c r="AW90" s="570"/>
      <c r="AX90" s="570"/>
      <c r="AY90" s="570"/>
      <c r="AZ90" s="570"/>
      <c r="BA90" s="570"/>
      <c r="BB90" s="570"/>
      <c r="BC90" s="570"/>
      <c r="BD90" s="570"/>
      <c r="BE90" s="570"/>
      <c r="BF90" s="570"/>
      <c r="BG90" s="570"/>
      <c r="BH90" s="570"/>
      <c r="BI90" s="570"/>
      <c r="BJ90" s="570"/>
      <c r="BK90" s="570"/>
      <c r="BL90" s="570"/>
      <c r="BM90" s="570"/>
      <c r="BN90" s="570"/>
      <c r="BO90" s="570"/>
      <c r="BP90" s="570"/>
      <c r="BQ90" s="570"/>
      <c r="BR90" s="570"/>
      <c r="BS90" s="570"/>
      <c r="BT90" s="570"/>
      <c r="BU90" s="570"/>
      <c r="BV90" s="570"/>
      <c r="BW90" s="570"/>
      <c r="BX90" s="570"/>
      <c r="BY90" s="570"/>
      <c r="BZ90" s="570"/>
      <c r="CA90" s="570"/>
      <c r="CB90" s="570"/>
      <c r="CC90" s="570"/>
      <c r="CD90" s="570"/>
    </row>
    <row r="91" ht="14.25" customHeight="1">
      <c r="A91" s="448"/>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row>
    <row r="92" ht="14.25" customHeight="1">
      <c r="A92" s="448"/>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row>
    <row r="93" ht="14.25" customHeight="1">
      <c r="A93" s="448"/>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row>
    <row r="94" ht="14.25" customHeight="1">
      <c r="A94" s="448"/>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row>
    <row r="95" ht="14.25" customHeight="1">
      <c r="A95" s="448"/>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row>
    <row r="96" ht="14.25" customHeight="1">
      <c r="A96" s="448"/>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row>
    <row r="97" ht="14.25" customHeight="1">
      <c r="A97" s="448"/>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row>
    <row r="98" ht="14.25" customHeight="1">
      <c r="A98" s="448"/>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row>
    <row r="99" ht="14.25" customHeight="1">
      <c r="A99" s="448"/>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row>
    <row r="100" ht="14.25" customHeight="1">
      <c r="A100" s="448"/>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row>
    <row r="101" ht="14.25" customHeight="1">
      <c r="A101" s="448"/>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row>
    <row r="102" ht="14.25" customHeight="1">
      <c r="A102" s="448"/>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row>
    <row r="103" ht="14.25" customHeight="1">
      <c r="A103" s="12"/>
      <c r="B103" s="429"/>
      <c r="C103" s="429"/>
      <c r="D103" s="429"/>
      <c r="E103" s="429"/>
      <c r="F103" s="429"/>
      <c r="G103" s="429"/>
      <c r="H103" s="429"/>
      <c r="I103" s="429"/>
      <c r="J103" s="429"/>
      <c r="K103" s="429"/>
      <c r="L103" s="429"/>
      <c r="M103" s="429"/>
      <c r="N103" s="429"/>
      <c r="O103" s="429"/>
      <c r="P103" s="429"/>
      <c r="Q103" s="429"/>
      <c r="R103" s="429"/>
      <c r="S103" s="566" t="s">
        <v>409</v>
      </c>
      <c r="U103" s="566" t="s">
        <v>336</v>
      </c>
      <c r="V103" s="427" t="str">
        <f>$D$1</f>
        <v>MUHAMMAD GALANG GUNAWAN</v>
      </c>
      <c r="Z103" s="429" t="s">
        <v>337</v>
      </c>
      <c r="AA103" s="12" t="s">
        <v>336</v>
      </c>
      <c r="AB103" s="430" t="str">
        <f>SETTING!$C$2</f>
        <v>X TO 4</v>
      </c>
      <c r="AC103" s="569" t="s">
        <v>427</v>
      </c>
      <c r="AD103" s="430"/>
      <c r="AE103" s="430"/>
      <c r="AF103" s="430"/>
      <c r="AG103" s="430"/>
      <c r="AH103" s="430"/>
      <c r="AI103" s="430"/>
      <c r="AJ103" s="430"/>
      <c r="AK103" s="430"/>
      <c r="AL103" s="430"/>
      <c r="AM103" s="430"/>
      <c r="AN103" s="430"/>
      <c r="AO103" s="430"/>
      <c r="AP103" s="430"/>
      <c r="AQ103" s="430"/>
      <c r="AR103" s="430"/>
      <c r="AS103" s="430"/>
      <c r="AT103" s="430"/>
      <c r="AU103" s="430"/>
      <c r="AV103" s="430"/>
      <c r="AW103" s="430"/>
      <c r="AX103" s="430"/>
      <c r="AY103" s="430"/>
      <c r="AZ103" s="430"/>
      <c r="BA103" s="430"/>
      <c r="BB103" s="430"/>
      <c r="BC103" s="430"/>
      <c r="BD103" s="430"/>
      <c r="BE103" s="430"/>
      <c r="BF103" s="430"/>
      <c r="BG103" s="430"/>
      <c r="BH103" s="430"/>
      <c r="BI103" s="430"/>
      <c r="BJ103" s="430"/>
      <c r="BK103" s="430"/>
      <c r="BL103" s="430"/>
      <c r="BM103" s="430"/>
      <c r="BN103" s="430"/>
      <c r="BO103" s="430"/>
      <c r="BP103" s="430"/>
      <c r="BQ103" s="430"/>
      <c r="BR103" s="430"/>
      <c r="BS103" s="430"/>
      <c r="BT103" s="430"/>
      <c r="BU103" s="430"/>
      <c r="BV103" s="430"/>
      <c r="BW103" s="430"/>
      <c r="BX103" s="430"/>
      <c r="BY103" s="430"/>
      <c r="BZ103" s="430"/>
      <c r="CA103" s="430"/>
      <c r="CB103" s="430"/>
      <c r="CC103" s="430"/>
      <c r="CD103" s="430"/>
    </row>
    <row r="104" ht="14.25" customHeight="1">
      <c r="A104" s="12"/>
      <c r="B104" s="429"/>
      <c r="C104" s="429"/>
      <c r="D104" s="429"/>
      <c r="E104" s="429"/>
      <c r="F104" s="429"/>
      <c r="G104" s="429"/>
      <c r="H104" s="429"/>
      <c r="I104" s="429"/>
      <c r="J104" s="429"/>
      <c r="K104" s="429"/>
      <c r="L104" s="429"/>
      <c r="M104" s="429"/>
      <c r="N104" s="429"/>
      <c r="O104" s="429"/>
      <c r="P104" s="429"/>
      <c r="Q104" s="429"/>
      <c r="R104" s="429"/>
      <c r="S104" s="573" t="s">
        <v>338</v>
      </c>
      <c r="U104" s="566" t="s">
        <v>336</v>
      </c>
      <c r="V104" s="442" t="str">
        <f t="array" ref="V104">index('INPUT SUMATIF'!$B$5:$B$54,match($D$1,'INPUT SUMATIF'!$D$5:$D$54,0))&amp;" / "&amp;
index('INPUT SUMATIF'!$C$5:$C$54,match($D$1,'INPUT SUMATIF'!$D$5:$D$54,0))</f>
        <v>2526100440 / 0105005356</v>
      </c>
      <c r="Z104" s="429" t="s">
        <v>339</v>
      </c>
      <c r="AA104" s="432" t="s">
        <v>336</v>
      </c>
      <c r="AB104" s="430" t="str">
        <f>SETTING!$C$5</f>
        <v>E</v>
      </c>
      <c r="AD104" s="430"/>
      <c r="AE104" s="430"/>
      <c r="AF104" s="430"/>
      <c r="AG104" s="430"/>
      <c r="AH104" s="430"/>
      <c r="AI104" s="430"/>
      <c r="AJ104" s="430"/>
      <c r="AK104" s="430"/>
      <c r="AL104" s="430"/>
      <c r="AM104" s="430"/>
      <c r="AN104" s="430"/>
      <c r="AO104" s="430"/>
      <c r="AP104" s="430"/>
      <c r="AQ104" s="430"/>
      <c r="AR104" s="430"/>
      <c r="AS104" s="430"/>
      <c r="AT104" s="430"/>
      <c r="AU104" s="430"/>
      <c r="AV104" s="430"/>
      <c r="AW104" s="430"/>
      <c r="AX104" s="430"/>
      <c r="AY104" s="430"/>
      <c r="AZ104" s="430"/>
      <c r="BA104" s="430"/>
      <c r="BB104" s="430"/>
      <c r="BC104" s="430"/>
      <c r="BD104" s="430"/>
      <c r="BE104" s="430"/>
      <c r="BF104" s="430"/>
      <c r="BG104" s="430"/>
      <c r="BH104" s="430"/>
      <c r="BI104" s="430"/>
      <c r="BJ104" s="430"/>
      <c r="BK104" s="430"/>
      <c r="BL104" s="430"/>
      <c r="BM104" s="430"/>
      <c r="BN104" s="430"/>
      <c r="BO104" s="430"/>
      <c r="BP104" s="430"/>
      <c r="BQ104" s="430"/>
      <c r="BR104" s="430"/>
      <c r="BS104" s="430"/>
      <c r="BT104" s="430"/>
      <c r="BU104" s="430"/>
      <c r="BV104" s="430"/>
      <c r="BW104" s="430"/>
      <c r="BX104" s="430"/>
      <c r="BY104" s="430"/>
      <c r="BZ104" s="430"/>
      <c r="CA104" s="430"/>
      <c r="CB104" s="430"/>
      <c r="CC104" s="430"/>
      <c r="CD104" s="430"/>
    </row>
    <row r="105" ht="14.25" customHeight="1">
      <c r="A105" s="12"/>
      <c r="B105" s="429"/>
      <c r="C105" s="429"/>
      <c r="D105" s="429"/>
      <c r="E105" s="429"/>
      <c r="F105" s="429"/>
      <c r="G105" s="429"/>
      <c r="H105" s="429"/>
      <c r="I105" s="429"/>
      <c r="J105" s="429"/>
      <c r="K105" s="429"/>
      <c r="L105" s="429"/>
      <c r="M105" s="429"/>
      <c r="N105" s="429"/>
      <c r="O105" s="429"/>
      <c r="P105" s="429"/>
      <c r="Q105" s="429"/>
      <c r="R105" s="429"/>
      <c r="S105" s="573" t="s">
        <v>340</v>
      </c>
      <c r="U105" s="566" t="s">
        <v>336</v>
      </c>
      <c r="V105" s="430" t="str">
        <f>SETTING!$C$30</f>
        <v>SMKN 1 PLERED</v>
      </c>
      <c r="Z105" s="429" t="s">
        <v>341</v>
      </c>
      <c r="AA105" s="432" t="s">
        <v>336</v>
      </c>
      <c r="AB105" s="430" t="str">
        <f>SETTING!$C$3</f>
        <v>Ganjil</v>
      </c>
      <c r="AD105" s="430"/>
      <c r="AE105" s="430"/>
      <c r="AF105" s="430"/>
      <c r="AG105" s="430"/>
      <c r="AH105" s="430"/>
      <c r="AI105" s="430"/>
      <c r="AJ105" s="430"/>
      <c r="AK105" s="430"/>
      <c r="AL105" s="430"/>
      <c r="AM105" s="430"/>
      <c r="AN105" s="430"/>
      <c r="AO105" s="430"/>
      <c r="AP105" s="430"/>
      <c r="AQ105" s="430"/>
      <c r="AR105" s="430"/>
      <c r="AS105" s="430"/>
      <c r="AT105" s="430"/>
      <c r="AU105" s="430"/>
      <c r="AV105" s="430"/>
      <c r="AW105" s="430"/>
      <c r="AX105" s="430"/>
      <c r="AY105" s="430"/>
      <c r="AZ105" s="430"/>
      <c r="BA105" s="430"/>
      <c r="BB105" s="430"/>
      <c r="BC105" s="430"/>
      <c r="BD105" s="430"/>
      <c r="BE105" s="430"/>
      <c r="BF105" s="430"/>
      <c r="BG105" s="430"/>
      <c r="BH105" s="430"/>
      <c r="BI105" s="430"/>
      <c r="BJ105" s="430"/>
      <c r="BK105" s="430"/>
      <c r="BL105" s="430"/>
      <c r="BM105" s="430"/>
      <c r="BN105" s="430"/>
      <c r="BO105" s="430"/>
      <c r="BP105" s="430"/>
      <c r="BQ105" s="430"/>
      <c r="BR105" s="430"/>
      <c r="BS105" s="430"/>
      <c r="BT105" s="430"/>
      <c r="BU105" s="430"/>
      <c r="BV105" s="430"/>
      <c r="BW105" s="430"/>
      <c r="BX105" s="430"/>
      <c r="BY105" s="430"/>
      <c r="BZ105" s="430"/>
      <c r="CA105" s="430"/>
      <c r="CB105" s="430"/>
      <c r="CC105" s="430"/>
      <c r="CD105" s="430"/>
    </row>
    <row r="106" ht="14.25" customHeight="1">
      <c r="A106" s="12"/>
      <c r="B106" s="429"/>
      <c r="C106" s="429"/>
      <c r="D106" s="429"/>
      <c r="E106" s="429"/>
      <c r="F106" s="429"/>
      <c r="G106" s="429"/>
      <c r="H106" s="429"/>
      <c r="I106" s="429"/>
      <c r="J106" s="429"/>
      <c r="K106" s="429"/>
      <c r="L106" s="429"/>
      <c r="M106" s="429"/>
      <c r="N106" s="429"/>
      <c r="O106" s="429"/>
      <c r="P106" s="429"/>
      <c r="Q106" s="429"/>
      <c r="R106" s="429"/>
      <c r="S106" s="573" t="s">
        <v>342</v>
      </c>
      <c r="U106" s="566" t="s">
        <v>336</v>
      </c>
      <c r="V106" s="430" t="str">
        <f>SETTING!$C$31</f>
        <v>Jl.Rawasari, Plered</v>
      </c>
      <c r="Z106" s="429" t="s">
        <v>343</v>
      </c>
      <c r="AA106" s="432" t="s">
        <v>336</v>
      </c>
      <c r="AB106" s="430" t="str">
        <f>SETTING!$C$4</f>
        <v>2025 / 2026</v>
      </c>
      <c r="AC106" s="430"/>
      <c r="AD106" s="430"/>
      <c r="AE106" s="430"/>
      <c r="AF106" s="430"/>
      <c r="AG106" s="430"/>
      <c r="AH106" s="430"/>
      <c r="AI106" s="430"/>
      <c r="AJ106" s="430"/>
      <c r="AK106" s="430"/>
      <c r="AL106" s="430"/>
      <c r="AM106" s="430"/>
      <c r="AN106" s="430"/>
      <c r="AO106" s="430"/>
      <c r="AP106" s="430"/>
      <c r="AQ106" s="430"/>
      <c r="AR106" s="430"/>
      <c r="AS106" s="430"/>
      <c r="AT106" s="430"/>
      <c r="AU106" s="430"/>
      <c r="AV106" s="430"/>
      <c r="AW106" s="430"/>
      <c r="AX106" s="430"/>
      <c r="AY106" s="430"/>
      <c r="AZ106" s="430"/>
      <c r="BA106" s="430"/>
      <c r="BB106" s="430"/>
      <c r="BC106" s="430"/>
      <c r="BD106" s="430"/>
      <c r="BE106" s="430"/>
      <c r="BF106" s="430"/>
      <c r="BG106" s="430"/>
      <c r="BH106" s="430"/>
      <c r="BI106" s="430"/>
      <c r="BJ106" s="430"/>
      <c r="BK106" s="430"/>
      <c r="BL106" s="430"/>
      <c r="BM106" s="430"/>
      <c r="BN106" s="430"/>
      <c r="BO106" s="430"/>
      <c r="BP106" s="430"/>
      <c r="BQ106" s="430"/>
      <c r="BR106" s="430"/>
      <c r="BS106" s="430"/>
      <c r="BT106" s="430"/>
      <c r="BU106" s="430"/>
      <c r="BV106" s="430"/>
      <c r="BW106" s="430"/>
      <c r="BX106" s="430"/>
      <c r="BY106" s="430"/>
      <c r="BZ106" s="430"/>
      <c r="CA106" s="430"/>
      <c r="CB106" s="430"/>
      <c r="CC106" s="430"/>
      <c r="CD106" s="430"/>
    </row>
    <row r="107" ht="14.25" customHeight="1">
      <c r="A107" s="12"/>
      <c r="B107" s="429"/>
      <c r="C107" s="429"/>
      <c r="D107" s="429"/>
      <c r="E107" s="429"/>
      <c r="F107" s="429"/>
      <c r="G107" s="429"/>
      <c r="H107" s="429"/>
      <c r="I107" s="429"/>
      <c r="J107" s="429"/>
      <c r="K107" s="429"/>
      <c r="L107" s="429"/>
      <c r="M107" s="429"/>
      <c r="N107" s="429"/>
      <c r="O107" s="429"/>
      <c r="P107" s="429"/>
      <c r="Q107" s="429"/>
      <c r="R107" s="429"/>
      <c r="S107" s="543"/>
      <c r="U107" s="558"/>
      <c r="V107" s="449"/>
      <c r="Z107" s="429"/>
      <c r="AA107" s="432"/>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0"/>
      <c r="AW107" s="430"/>
      <c r="AX107" s="430"/>
      <c r="AY107" s="430"/>
      <c r="AZ107" s="430"/>
      <c r="BA107" s="430"/>
      <c r="BB107" s="430"/>
      <c r="BC107" s="430"/>
      <c r="BD107" s="430"/>
      <c r="BE107" s="430"/>
      <c r="BF107" s="430"/>
      <c r="BG107" s="430"/>
      <c r="BH107" s="430"/>
      <c r="BI107" s="430"/>
      <c r="BJ107" s="430"/>
      <c r="BK107" s="430"/>
      <c r="BL107" s="430"/>
      <c r="BM107" s="430"/>
      <c r="BN107" s="430"/>
      <c r="BO107" s="430"/>
      <c r="BP107" s="430"/>
      <c r="BQ107" s="430"/>
      <c r="BR107" s="430"/>
      <c r="BS107" s="430"/>
      <c r="BT107" s="430"/>
      <c r="BU107" s="430"/>
      <c r="BV107" s="430"/>
      <c r="BW107" s="430"/>
      <c r="BX107" s="430"/>
      <c r="BY107" s="430"/>
      <c r="BZ107" s="430"/>
      <c r="CA107" s="430"/>
      <c r="CB107" s="430"/>
      <c r="CC107" s="430"/>
      <c r="CD107" s="430"/>
    </row>
    <row r="108" ht="14.25" customHeight="1">
      <c r="A108" s="12"/>
      <c r="B108" s="429"/>
      <c r="C108" s="429"/>
      <c r="D108" s="429"/>
      <c r="E108" s="429"/>
      <c r="F108" s="429"/>
      <c r="G108" s="429"/>
      <c r="H108" s="429"/>
      <c r="I108" s="429"/>
      <c r="J108" s="429"/>
      <c r="K108" s="429"/>
      <c r="L108" s="429"/>
      <c r="M108" s="429"/>
      <c r="N108" s="429"/>
      <c r="O108" s="429"/>
      <c r="P108" s="429"/>
      <c r="Q108" s="429"/>
      <c r="R108" s="429"/>
      <c r="S108" s="585" t="s">
        <v>416</v>
      </c>
      <c r="U108" s="585" t="s">
        <v>336</v>
      </c>
      <c r="V108" s="430" t="str">
        <f>SETTING!$C$8</f>
        <v>Teknologi Manufaktur dan Rekayasa</v>
      </c>
      <c r="Z108" s="429"/>
      <c r="AA108" s="432"/>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0"/>
      <c r="AW108" s="430"/>
      <c r="AX108" s="430"/>
      <c r="AY108" s="430"/>
      <c r="AZ108" s="430"/>
      <c r="BA108" s="430"/>
      <c r="BB108" s="430"/>
      <c r="BC108" s="430"/>
      <c r="BD108" s="430"/>
      <c r="BE108" s="430"/>
      <c r="BF108" s="430"/>
      <c r="BG108" s="430"/>
      <c r="BH108" s="430"/>
      <c r="BI108" s="430"/>
      <c r="BJ108" s="430"/>
      <c r="BK108" s="430"/>
      <c r="BL108" s="430"/>
      <c r="BM108" s="430"/>
      <c r="BN108" s="430"/>
      <c r="BO108" s="430"/>
      <c r="BP108" s="430"/>
      <c r="BQ108" s="430"/>
      <c r="BR108" s="430"/>
      <c r="BS108" s="430"/>
      <c r="BT108" s="430"/>
      <c r="BU108" s="430"/>
      <c r="BV108" s="430"/>
      <c r="BW108" s="430"/>
      <c r="BX108" s="430"/>
      <c r="BY108" s="430"/>
      <c r="BZ108" s="430"/>
      <c r="CA108" s="430"/>
      <c r="CB108" s="430"/>
      <c r="CC108" s="430"/>
      <c r="CD108" s="430"/>
    </row>
    <row r="109" ht="14.25" customHeight="1">
      <c r="A109" s="12"/>
      <c r="B109" s="429"/>
      <c r="C109" s="429"/>
      <c r="D109" s="429"/>
      <c r="E109" s="429"/>
      <c r="F109" s="429"/>
      <c r="G109" s="429"/>
      <c r="H109" s="429"/>
      <c r="I109" s="429"/>
      <c r="J109" s="429"/>
      <c r="K109" s="429"/>
      <c r="L109" s="429"/>
      <c r="M109" s="429"/>
      <c r="N109" s="429"/>
      <c r="O109" s="429"/>
      <c r="P109" s="429"/>
      <c r="Q109" s="429"/>
      <c r="R109" s="429"/>
      <c r="S109" s="585" t="s">
        <v>400</v>
      </c>
      <c r="U109" s="585" t="s">
        <v>336</v>
      </c>
      <c r="V109" s="430" t="str">
        <f>SETTING!$C$7</f>
        <v>Teknik Otomotif</v>
      </c>
      <c r="Z109" s="429"/>
      <c r="AA109" s="432"/>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0"/>
      <c r="AW109" s="430"/>
      <c r="AX109" s="430"/>
      <c r="AY109" s="430"/>
      <c r="AZ109" s="430"/>
      <c r="BA109" s="430"/>
      <c r="BB109" s="430"/>
      <c r="BC109" s="430"/>
      <c r="BD109" s="430"/>
      <c r="BE109" s="430"/>
      <c r="BF109" s="430"/>
      <c r="BG109" s="430"/>
      <c r="BH109" s="430"/>
      <c r="BI109" s="430"/>
      <c r="BJ109" s="430"/>
      <c r="BK109" s="430"/>
      <c r="BL109" s="430"/>
      <c r="BM109" s="430"/>
      <c r="BN109" s="430"/>
      <c r="BO109" s="430"/>
      <c r="BP109" s="430"/>
      <c r="BQ109" s="430"/>
      <c r="BR109" s="430"/>
      <c r="BS109" s="430"/>
      <c r="BT109" s="430"/>
      <c r="BU109" s="430"/>
      <c r="BV109" s="430"/>
      <c r="BW109" s="430"/>
      <c r="BX109" s="430"/>
      <c r="BY109" s="430"/>
      <c r="BZ109" s="430"/>
      <c r="CA109" s="430"/>
      <c r="CB109" s="430"/>
      <c r="CC109" s="430"/>
      <c r="CD109" s="430"/>
    </row>
    <row r="110" ht="14.25" customHeight="1">
      <c r="A110" s="12"/>
      <c r="B110" s="429"/>
      <c r="C110" s="429"/>
      <c r="D110" s="429"/>
      <c r="E110" s="429"/>
      <c r="F110" s="429"/>
      <c r="G110" s="429"/>
      <c r="H110" s="429"/>
      <c r="I110" s="429"/>
      <c r="J110" s="429"/>
      <c r="K110" s="429"/>
      <c r="L110" s="429"/>
      <c r="M110" s="429"/>
      <c r="N110" s="429"/>
      <c r="O110" s="429"/>
      <c r="P110" s="429"/>
      <c r="Q110" s="429"/>
      <c r="R110" s="429"/>
      <c r="S110" s="585" t="s">
        <v>376</v>
      </c>
      <c r="U110" s="585" t="s">
        <v>336</v>
      </c>
      <c r="V110" s="430" t="str">
        <f>SETTING!$C$6</f>
        <v>Teknik Sepeda Motor</v>
      </c>
      <c r="Z110" s="429"/>
      <c r="AA110" s="432"/>
      <c r="AB110" s="430"/>
      <c r="AC110" s="430"/>
      <c r="AD110" s="430"/>
      <c r="AE110" s="430"/>
      <c r="AF110" s="430"/>
      <c r="AG110" s="430"/>
      <c r="AH110" s="430"/>
      <c r="AI110" s="430"/>
      <c r="AJ110" s="430"/>
      <c r="AK110" s="430"/>
      <c r="AL110" s="430"/>
      <c r="AM110" s="430"/>
      <c r="AN110" s="430"/>
      <c r="AO110" s="430"/>
      <c r="AP110" s="430"/>
      <c r="AQ110" s="430"/>
      <c r="AR110" s="430"/>
      <c r="AS110" s="430"/>
      <c r="AT110" s="430"/>
      <c r="AU110" s="430"/>
      <c r="AV110" s="430"/>
      <c r="AW110" s="430"/>
      <c r="AX110" s="430"/>
      <c r="AY110" s="430"/>
      <c r="AZ110" s="430"/>
      <c r="BA110" s="430"/>
      <c r="BB110" s="430"/>
      <c r="BC110" s="430"/>
      <c r="BD110" s="430"/>
      <c r="BE110" s="430"/>
      <c r="BF110" s="430"/>
      <c r="BG110" s="430"/>
      <c r="BH110" s="430"/>
      <c r="BI110" s="430"/>
      <c r="BJ110" s="430"/>
      <c r="BK110" s="430"/>
      <c r="BL110" s="430"/>
      <c r="BM110" s="430"/>
      <c r="BN110" s="430"/>
      <c r="BO110" s="430"/>
      <c r="BP110" s="430"/>
      <c r="BQ110" s="430"/>
      <c r="BR110" s="430"/>
      <c r="BS110" s="430"/>
      <c r="BT110" s="430"/>
      <c r="BU110" s="430"/>
      <c r="BV110" s="430"/>
      <c r="BW110" s="430"/>
      <c r="BX110" s="430"/>
      <c r="BY110" s="430"/>
      <c r="BZ110" s="430"/>
      <c r="CA110" s="430"/>
      <c r="CB110" s="430"/>
      <c r="CC110" s="430"/>
      <c r="CD110" s="430"/>
    </row>
    <row r="111" ht="14.25" customHeight="1">
      <c r="A111" s="448"/>
      <c r="B111" s="15"/>
      <c r="C111" s="15"/>
      <c r="D111" s="15"/>
      <c r="E111" s="15"/>
      <c r="F111" s="15"/>
      <c r="G111" s="15"/>
      <c r="H111" s="15"/>
      <c r="I111" s="15"/>
      <c r="J111" s="15"/>
      <c r="K111" s="15"/>
      <c r="L111" s="15"/>
      <c r="M111" s="15"/>
      <c r="N111" s="15"/>
      <c r="O111" s="15"/>
      <c r="P111" s="15"/>
      <c r="Q111" s="15"/>
      <c r="R111" s="15"/>
      <c r="S111" s="543"/>
      <c r="T111" s="543"/>
      <c r="U111" s="558"/>
      <c r="V111" s="558"/>
      <c r="W111" s="638"/>
      <c r="X111" s="638"/>
      <c r="Y111" s="558"/>
      <c r="Z111" s="558"/>
      <c r="AA111" s="558"/>
      <c r="AB111" s="558"/>
      <c r="AC111" s="558"/>
      <c r="AD111" s="558"/>
      <c r="AE111" s="558"/>
      <c r="AF111" s="558"/>
      <c r="AG111" s="558"/>
      <c r="AH111" s="558"/>
      <c r="AI111" s="558"/>
      <c r="AJ111" s="558"/>
      <c r="AK111" s="558"/>
      <c r="AL111" s="558"/>
      <c r="AM111" s="558"/>
      <c r="AN111" s="558"/>
      <c r="AO111" s="558"/>
      <c r="AP111" s="558"/>
      <c r="AQ111" s="558"/>
      <c r="AR111" s="558"/>
      <c r="AS111" s="558"/>
      <c r="AT111" s="558"/>
      <c r="AU111" s="558"/>
      <c r="AV111" s="558"/>
      <c r="AW111" s="558"/>
      <c r="AX111" s="558"/>
      <c r="AY111" s="558"/>
      <c r="AZ111" s="558"/>
      <c r="BA111" s="558"/>
      <c r="BB111" s="558"/>
      <c r="BC111" s="558"/>
      <c r="BD111" s="558"/>
      <c r="BE111" s="558"/>
      <c r="BF111" s="558"/>
      <c r="BG111" s="558"/>
      <c r="BH111" s="558"/>
      <c r="BI111" s="558"/>
      <c r="BJ111" s="558"/>
      <c r="BK111" s="558"/>
      <c r="BL111" s="558"/>
      <c r="BM111" s="558"/>
      <c r="BN111" s="558"/>
      <c r="BO111" s="558"/>
      <c r="BP111" s="558"/>
      <c r="BQ111" s="558"/>
      <c r="BR111" s="558"/>
      <c r="BS111" s="558"/>
      <c r="BT111" s="558"/>
      <c r="BU111" s="558"/>
      <c r="BV111" s="558"/>
      <c r="BW111" s="558"/>
      <c r="BX111" s="558"/>
      <c r="BY111" s="558"/>
      <c r="BZ111" s="558"/>
      <c r="CA111" s="558"/>
      <c r="CB111" s="558"/>
      <c r="CC111" s="558"/>
      <c r="CD111" s="558"/>
    </row>
    <row r="112" ht="14.25" customHeight="1">
      <c r="A112" s="593"/>
      <c r="B112" s="595"/>
      <c r="C112" s="595"/>
      <c r="D112" s="595"/>
      <c r="E112" s="595"/>
      <c r="F112" s="595"/>
      <c r="G112" s="595"/>
      <c r="H112" s="595"/>
      <c r="I112" s="595"/>
      <c r="J112" s="595"/>
      <c r="K112" s="595"/>
      <c r="L112" s="595"/>
      <c r="M112" s="595"/>
      <c r="N112" s="595"/>
      <c r="O112" s="595"/>
      <c r="P112" s="595"/>
      <c r="Q112" s="595"/>
      <c r="R112" s="595"/>
      <c r="S112" s="639" t="s">
        <v>428</v>
      </c>
      <c r="T112" s="639"/>
      <c r="U112" s="640"/>
      <c r="V112" s="640"/>
      <c r="W112" s="641"/>
      <c r="X112" s="641"/>
      <c r="Y112" s="640"/>
      <c r="Z112" s="640"/>
      <c r="AA112" s="640"/>
      <c r="AB112" s="640"/>
      <c r="AC112" s="640"/>
      <c r="AD112" s="640"/>
      <c r="AE112" s="640"/>
      <c r="AF112" s="640"/>
      <c r="AG112" s="640"/>
      <c r="AH112" s="640"/>
      <c r="AI112" s="640"/>
      <c r="AJ112" s="640"/>
      <c r="AK112" s="640"/>
      <c r="AL112" s="640"/>
      <c r="AM112" s="640"/>
      <c r="AN112" s="640"/>
      <c r="AO112" s="640"/>
      <c r="AP112" s="640"/>
      <c r="AQ112" s="640"/>
      <c r="AR112" s="640"/>
      <c r="AS112" s="640"/>
      <c r="AT112" s="640"/>
      <c r="AU112" s="640"/>
      <c r="AV112" s="640"/>
      <c r="AW112" s="640"/>
      <c r="AX112" s="640"/>
      <c r="AY112" s="640"/>
      <c r="AZ112" s="640"/>
      <c r="BA112" s="640"/>
      <c r="BB112" s="640"/>
      <c r="BC112" s="640"/>
      <c r="BD112" s="640"/>
      <c r="BE112" s="640"/>
      <c r="BF112" s="640"/>
      <c r="BG112" s="640"/>
      <c r="BH112" s="640"/>
      <c r="BI112" s="640"/>
      <c r="BJ112" s="640"/>
      <c r="BK112" s="640"/>
      <c r="BL112" s="640"/>
      <c r="BM112" s="640"/>
      <c r="BN112" s="640"/>
      <c r="BO112" s="640"/>
      <c r="BP112" s="640"/>
      <c r="BQ112" s="640"/>
      <c r="BR112" s="640"/>
      <c r="BS112" s="640"/>
      <c r="BT112" s="640"/>
      <c r="BU112" s="640"/>
      <c r="BV112" s="640"/>
      <c r="BW112" s="640"/>
      <c r="BX112" s="640"/>
      <c r="BY112" s="640"/>
      <c r="BZ112" s="640"/>
      <c r="CA112" s="640"/>
      <c r="CB112" s="640"/>
      <c r="CC112" s="640"/>
      <c r="CD112" s="640"/>
    </row>
    <row r="113" ht="14.25" customHeight="1">
      <c r="A113" s="448"/>
      <c r="B113" s="15"/>
      <c r="C113" s="15"/>
      <c r="D113" s="15"/>
      <c r="E113" s="15"/>
      <c r="F113" s="15"/>
      <c r="G113" s="15"/>
      <c r="H113" s="15"/>
      <c r="I113" s="15"/>
      <c r="J113" s="15"/>
      <c r="K113" s="15"/>
      <c r="L113" s="15"/>
      <c r="M113" s="15"/>
      <c r="N113" s="15"/>
      <c r="O113" s="15"/>
      <c r="P113" s="15"/>
      <c r="Q113" s="15"/>
      <c r="R113" s="15"/>
      <c r="S113" s="543"/>
      <c r="T113" s="543"/>
      <c r="U113" s="558"/>
      <c r="V113" s="558"/>
      <c r="W113" s="638"/>
      <c r="X113" s="638"/>
      <c r="Y113" s="558"/>
      <c r="Z113" s="558"/>
      <c r="AA113" s="558"/>
      <c r="AB113" s="558"/>
      <c r="AC113" s="558"/>
      <c r="AD113" s="558"/>
      <c r="AE113" s="558"/>
      <c r="AF113" s="558"/>
      <c r="AG113" s="558"/>
      <c r="AH113" s="558"/>
      <c r="AI113" s="558"/>
      <c r="AJ113" s="558"/>
      <c r="AK113" s="558"/>
      <c r="AL113" s="558"/>
      <c r="AM113" s="558"/>
      <c r="AN113" s="558"/>
      <c r="AO113" s="558"/>
      <c r="AP113" s="558"/>
      <c r="AQ113" s="558"/>
      <c r="AR113" s="558"/>
      <c r="AS113" s="558"/>
      <c r="AT113" s="558"/>
      <c r="AU113" s="558"/>
      <c r="AV113" s="558"/>
      <c r="AW113" s="558"/>
      <c r="AX113" s="558"/>
      <c r="AY113" s="558"/>
      <c r="AZ113" s="558"/>
      <c r="BA113" s="558"/>
      <c r="BB113" s="558"/>
      <c r="BC113" s="558"/>
      <c r="BD113" s="558"/>
      <c r="BE113" s="558"/>
      <c r="BF113" s="558"/>
      <c r="BG113" s="558"/>
      <c r="BH113" s="558"/>
      <c r="BI113" s="558"/>
      <c r="BJ113" s="558"/>
      <c r="BK113" s="558"/>
      <c r="BL113" s="558"/>
      <c r="BM113" s="558"/>
      <c r="BN113" s="558"/>
      <c r="BO113" s="558"/>
      <c r="BP113" s="558"/>
      <c r="BQ113" s="558"/>
      <c r="BR113" s="558"/>
      <c r="BS113" s="558"/>
      <c r="BT113" s="558"/>
      <c r="BU113" s="558"/>
      <c r="BV113" s="558"/>
      <c r="BW113" s="558"/>
      <c r="BX113" s="558"/>
      <c r="BY113" s="558"/>
      <c r="BZ113" s="558"/>
      <c r="CA113" s="558"/>
      <c r="CB113" s="558"/>
      <c r="CC113" s="558"/>
      <c r="CD113" s="558"/>
    </row>
    <row r="114" ht="84.75" customHeight="1">
      <c r="A114" s="448"/>
      <c r="B114" s="15"/>
      <c r="C114" s="15"/>
      <c r="D114" s="15"/>
      <c r="E114" s="15"/>
      <c r="F114" s="15"/>
      <c r="G114" s="15"/>
      <c r="H114" s="15"/>
      <c r="I114" s="15"/>
      <c r="J114" s="15"/>
      <c r="K114" s="15"/>
      <c r="L114" s="15"/>
      <c r="M114" s="15"/>
      <c r="N114" s="15"/>
      <c r="O114" s="15"/>
      <c r="P114" s="15"/>
      <c r="Q114" s="15"/>
      <c r="R114" s="15"/>
      <c r="S114" s="642" t="str">
        <f t="array" ref="S114">INDEX(DataInputCP,MATCH($V$58,DataNamaInputCP,0),MATCH("KOKURIKULER",HeaderInputCP,0))</f>
        <v>Peserta didik menunjukkan upaya dalam bersikap disiplin dan bertanggung jawab (Mandiri), serta bekerja sama dengan teman (Gotong Royong), namun masih perlu meningkatkan konsistensi dalam menerapkan nilai-nilai akhlak mulia (Beriman dan Bertakwa kepada Tuhan YME serta Berakhlak Mulia).</v>
      </c>
      <c r="T114" s="466"/>
      <c r="U114" s="466"/>
      <c r="V114" s="466"/>
      <c r="W114" s="466"/>
      <c r="X114" s="466"/>
      <c r="Y114" s="466"/>
      <c r="Z114" s="466"/>
      <c r="AA114" s="466"/>
      <c r="AB114" s="467"/>
      <c r="AC114" s="558"/>
      <c r="AD114" s="558"/>
      <c r="AE114" s="558"/>
      <c r="AF114" s="558"/>
      <c r="AG114" s="558"/>
      <c r="AH114" s="558"/>
      <c r="AI114" s="558"/>
      <c r="AJ114" s="558"/>
      <c r="AK114" s="558"/>
      <c r="AL114" s="558"/>
      <c r="AM114" s="558"/>
      <c r="AN114" s="558"/>
      <c r="AO114" s="558"/>
      <c r="AP114" s="558"/>
      <c r="AQ114" s="558"/>
      <c r="AR114" s="558"/>
      <c r="AS114" s="558"/>
      <c r="AT114" s="558"/>
      <c r="AU114" s="558"/>
      <c r="AV114" s="558"/>
      <c r="AW114" s="558"/>
      <c r="AX114" s="558"/>
      <c r="AY114" s="558"/>
      <c r="AZ114" s="558"/>
      <c r="BA114" s="558"/>
      <c r="BB114" s="558"/>
      <c r="BC114" s="558"/>
      <c r="BD114" s="558"/>
      <c r="BE114" s="558"/>
      <c r="BF114" s="558"/>
      <c r="BG114" s="558"/>
      <c r="BH114" s="558"/>
      <c r="BI114" s="558"/>
      <c r="BJ114" s="558"/>
      <c r="BK114" s="558"/>
      <c r="BL114" s="558"/>
      <c r="BM114" s="558"/>
      <c r="BN114" s="558"/>
      <c r="BO114" s="558"/>
      <c r="BP114" s="558"/>
      <c r="BQ114" s="558"/>
      <c r="BR114" s="558"/>
      <c r="BS114" s="558"/>
      <c r="BT114" s="558"/>
      <c r="BU114" s="558"/>
      <c r="BV114" s="558"/>
      <c r="BW114" s="558"/>
      <c r="BX114" s="558"/>
      <c r="BY114" s="558"/>
      <c r="BZ114" s="558"/>
      <c r="CA114" s="558"/>
      <c r="CB114" s="558"/>
      <c r="CC114" s="558"/>
      <c r="CD114" s="558"/>
    </row>
    <row r="115" ht="14.25" customHeight="1">
      <c r="A115" s="448"/>
      <c r="B115" s="15"/>
      <c r="C115" s="15"/>
      <c r="D115" s="15"/>
      <c r="E115" s="15"/>
      <c r="F115" s="15"/>
      <c r="G115" s="15"/>
      <c r="H115" s="15"/>
      <c r="I115" s="15"/>
      <c r="J115" s="15"/>
      <c r="K115" s="15"/>
      <c r="L115" s="15"/>
      <c r="M115" s="15"/>
      <c r="N115" s="15"/>
      <c r="O115" s="15"/>
      <c r="P115" s="15"/>
      <c r="Q115" s="15"/>
      <c r="R115" s="15"/>
      <c r="S115" s="543"/>
      <c r="T115" s="543"/>
      <c r="U115" s="558"/>
      <c r="V115" s="558"/>
      <c r="W115" s="638"/>
      <c r="X115" s="638"/>
      <c r="Y115" s="558"/>
      <c r="Z115" s="558"/>
      <c r="AA115" s="558"/>
      <c r="AB115" s="558"/>
      <c r="AC115" s="558"/>
      <c r="AD115" s="558"/>
      <c r="AE115" s="558"/>
      <c r="AF115" s="558"/>
      <c r="AG115" s="558"/>
      <c r="AH115" s="558"/>
      <c r="AI115" s="558"/>
      <c r="AJ115" s="558"/>
      <c r="AK115" s="558"/>
      <c r="AL115" s="558"/>
      <c r="AM115" s="558"/>
      <c r="AN115" s="558"/>
      <c r="AO115" s="558"/>
      <c r="AP115" s="558"/>
      <c r="AQ115" s="558"/>
      <c r="AR115" s="558"/>
      <c r="AS115" s="558"/>
      <c r="AT115" s="558"/>
      <c r="AU115" s="558"/>
      <c r="AV115" s="558"/>
      <c r="AW115" s="558"/>
      <c r="AX115" s="558"/>
      <c r="AY115" s="558"/>
      <c r="AZ115" s="558"/>
      <c r="BA115" s="558"/>
      <c r="BB115" s="558"/>
      <c r="BC115" s="558"/>
      <c r="BD115" s="558"/>
      <c r="BE115" s="558"/>
      <c r="BF115" s="558"/>
      <c r="BG115" s="558"/>
      <c r="BH115" s="558"/>
      <c r="BI115" s="558"/>
      <c r="BJ115" s="558"/>
      <c r="BK115" s="558"/>
      <c r="BL115" s="558"/>
      <c r="BM115" s="558"/>
      <c r="BN115" s="558"/>
      <c r="BO115" s="558"/>
      <c r="BP115" s="558"/>
      <c r="BQ115" s="558"/>
      <c r="BR115" s="558"/>
      <c r="BS115" s="558"/>
      <c r="BT115" s="558"/>
      <c r="BU115" s="558"/>
      <c r="BV115" s="558"/>
      <c r="BW115" s="558"/>
      <c r="BX115" s="558"/>
      <c r="BY115" s="558"/>
      <c r="BZ115" s="558"/>
      <c r="CA115" s="558"/>
      <c r="CB115" s="558"/>
      <c r="CC115" s="558"/>
      <c r="CD115" s="558"/>
    </row>
    <row r="116" ht="14.25" customHeight="1">
      <c r="A116" s="593"/>
      <c r="B116" s="595"/>
      <c r="C116" s="595"/>
      <c r="D116" s="595"/>
      <c r="E116" s="595"/>
      <c r="F116" s="595"/>
      <c r="G116" s="595"/>
      <c r="H116" s="595"/>
      <c r="I116" s="595"/>
      <c r="J116" s="595"/>
      <c r="K116" s="595"/>
      <c r="L116" s="595"/>
      <c r="M116" s="595"/>
      <c r="N116" s="595"/>
      <c r="O116" s="595"/>
      <c r="P116" s="595"/>
      <c r="Q116" s="595"/>
      <c r="R116" s="595"/>
      <c r="S116" s="643" t="s">
        <v>430</v>
      </c>
      <c r="T116" s="643"/>
      <c r="U116" s="640"/>
      <c r="V116" s="640"/>
      <c r="W116" s="641"/>
      <c r="X116" s="641"/>
      <c r="Y116" s="640"/>
      <c r="Z116" s="640"/>
      <c r="AA116" s="640"/>
      <c r="AB116" s="640"/>
      <c r="AC116" s="640"/>
      <c r="AD116" s="640"/>
      <c r="AE116" s="640"/>
      <c r="AF116" s="640"/>
      <c r="AG116" s="640"/>
      <c r="AH116" s="640"/>
      <c r="AI116" s="640"/>
      <c r="AJ116" s="640"/>
      <c r="AK116" s="640"/>
      <c r="AL116" s="640"/>
      <c r="AM116" s="640"/>
      <c r="AN116" s="640"/>
      <c r="AO116" s="640"/>
      <c r="AP116" s="640"/>
      <c r="AQ116" s="640"/>
      <c r="AR116" s="640"/>
      <c r="AS116" s="640"/>
      <c r="AT116" s="640"/>
      <c r="AU116" s="640"/>
      <c r="AV116" s="640"/>
      <c r="AW116" s="640"/>
      <c r="AX116" s="640"/>
      <c r="AY116" s="640"/>
      <c r="AZ116" s="640"/>
      <c r="BA116" s="640"/>
      <c r="BB116" s="640"/>
      <c r="BC116" s="640"/>
      <c r="BD116" s="640"/>
      <c r="BE116" s="640"/>
      <c r="BF116" s="640"/>
      <c r="BG116" s="640"/>
      <c r="BH116" s="640"/>
      <c r="BI116" s="640"/>
      <c r="BJ116" s="640"/>
      <c r="BK116" s="640"/>
      <c r="BL116" s="640"/>
      <c r="BM116" s="640"/>
      <c r="BN116" s="640"/>
      <c r="BO116" s="640"/>
      <c r="BP116" s="640"/>
      <c r="BQ116" s="640"/>
      <c r="BR116" s="640"/>
      <c r="BS116" s="640"/>
      <c r="BT116" s="640"/>
      <c r="BU116" s="640"/>
      <c r="BV116" s="640"/>
      <c r="BW116" s="640"/>
      <c r="BX116" s="640"/>
      <c r="BY116" s="640"/>
      <c r="BZ116" s="640"/>
      <c r="CA116" s="640"/>
      <c r="CB116" s="640"/>
      <c r="CC116" s="640"/>
      <c r="CD116" s="640"/>
    </row>
    <row r="117" ht="14.25" customHeight="1">
      <c r="A117" s="448"/>
      <c r="B117" s="15"/>
      <c r="C117" s="15"/>
      <c r="D117" s="15"/>
      <c r="E117" s="15"/>
      <c r="F117" s="15"/>
      <c r="G117" s="15"/>
      <c r="H117" s="15"/>
      <c r="I117" s="15"/>
      <c r="J117" s="15"/>
      <c r="K117" s="15"/>
      <c r="L117" s="15"/>
      <c r="M117" s="15"/>
      <c r="N117" s="15"/>
      <c r="O117" s="15"/>
      <c r="P117" s="15"/>
      <c r="Q117" s="15"/>
      <c r="R117" s="15"/>
      <c r="S117" s="543"/>
      <c r="T117" s="543"/>
      <c r="U117" s="558"/>
      <c r="V117" s="558"/>
      <c r="W117" s="638"/>
      <c r="X117" s="638"/>
      <c r="Y117" s="558"/>
      <c r="Z117" s="558"/>
      <c r="AA117" s="558"/>
      <c r="AB117" s="558"/>
      <c r="AC117" s="558"/>
      <c r="AD117" s="558"/>
      <c r="AE117" s="558"/>
      <c r="AF117" s="558"/>
      <c r="AG117" s="558"/>
      <c r="AH117" s="558"/>
      <c r="AI117" s="558"/>
      <c r="AJ117" s="558"/>
      <c r="AK117" s="558"/>
      <c r="AL117" s="558"/>
      <c r="AM117" s="558"/>
      <c r="AN117" s="558"/>
      <c r="AO117" s="558"/>
      <c r="AP117" s="558"/>
      <c r="AQ117" s="558"/>
      <c r="AR117" s="558"/>
      <c r="AS117" s="558"/>
      <c r="AT117" s="558"/>
      <c r="AU117" s="558"/>
      <c r="AV117" s="558"/>
      <c r="AW117" s="558"/>
      <c r="AX117" s="558"/>
      <c r="AY117" s="558"/>
      <c r="AZ117" s="558"/>
      <c r="BA117" s="558"/>
      <c r="BB117" s="558"/>
      <c r="BC117" s="558"/>
      <c r="BD117" s="558"/>
      <c r="BE117" s="558"/>
      <c r="BF117" s="558"/>
      <c r="BG117" s="558"/>
      <c r="BH117" s="558"/>
      <c r="BI117" s="558"/>
      <c r="BJ117" s="558"/>
      <c r="BK117" s="558"/>
      <c r="BL117" s="558"/>
      <c r="BM117" s="558"/>
      <c r="BN117" s="558"/>
      <c r="BO117" s="558"/>
      <c r="BP117" s="558"/>
      <c r="BQ117" s="558"/>
      <c r="BR117" s="558"/>
      <c r="BS117" s="558"/>
      <c r="BT117" s="558"/>
      <c r="BU117" s="558"/>
      <c r="BV117" s="558"/>
      <c r="BW117" s="558"/>
      <c r="BX117" s="558"/>
      <c r="BY117" s="558"/>
      <c r="BZ117" s="558"/>
      <c r="CA117" s="558"/>
      <c r="CB117" s="558"/>
      <c r="CC117" s="558"/>
      <c r="CD117" s="558"/>
    </row>
    <row r="118" ht="30.0" customHeight="1">
      <c r="A118" s="448"/>
      <c r="B118" s="15"/>
      <c r="C118" s="15"/>
      <c r="D118" s="15"/>
      <c r="E118" s="15"/>
      <c r="F118" s="15"/>
      <c r="G118" s="15"/>
      <c r="H118" s="15"/>
      <c r="I118" s="15"/>
      <c r="J118" s="15"/>
      <c r="K118" s="15"/>
      <c r="L118" s="15"/>
      <c r="M118" s="15"/>
      <c r="N118" s="15"/>
      <c r="O118" s="15"/>
      <c r="P118" s="15"/>
      <c r="Q118" s="15"/>
      <c r="R118" s="15"/>
      <c r="S118" s="644" t="s">
        <v>346</v>
      </c>
      <c r="T118" s="645" t="s">
        <v>431</v>
      </c>
      <c r="U118" s="466"/>
      <c r="V118" s="467"/>
      <c r="W118" s="646" t="s">
        <v>201</v>
      </c>
      <c r="X118" s="466"/>
      <c r="Y118" s="466"/>
      <c r="Z118" s="466"/>
      <c r="AA118" s="466"/>
      <c r="AB118" s="467"/>
      <c r="AC118" s="647"/>
      <c r="AD118" s="598"/>
      <c r="AE118" s="647"/>
      <c r="AF118" s="647"/>
      <c r="AG118" s="647"/>
      <c r="AH118" s="647"/>
      <c r="AI118" s="647"/>
      <c r="AJ118" s="647"/>
      <c r="AK118" s="647"/>
      <c r="AL118" s="647"/>
      <c r="AM118" s="647"/>
      <c r="AN118" s="647"/>
      <c r="AO118" s="647"/>
      <c r="AP118" s="647"/>
      <c r="AQ118" s="647"/>
      <c r="AR118" s="647"/>
      <c r="AS118" s="647"/>
      <c r="AT118" s="647"/>
      <c r="AU118" s="647"/>
      <c r="AV118" s="647"/>
      <c r="AW118" s="647"/>
      <c r="AX118" s="647"/>
      <c r="AY118" s="647"/>
      <c r="AZ118" s="647"/>
      <c r="BA118" s="647"/>
      <c r="BB118" s="647"/>
      <c r="BC118" s="647"/>
      <c r="BD118" s="647"/>
      <c r="BE118" s="647"/>
      <c r="BF118" s="647"/>
      <c r="BG118" s="647"/>
      <c r="BH118" s="647"/>
      <c r="BI118" s="647"/>
      <c r="BJ118" s="647"/>
      <c r="BK118" s="647"/>
      <c r="BL118" s="647"/>
      <c r="BM118" s="647"/>
      <c r="BN118" s="647"/>
      <c r="BO118" s="647"/>
      <c r="BP118" s="647"/>
      <c r="BQ118" s="647"/>
      <c r="BR118" s="647"/>
      <c r="BS118" s="647"/>
      <c r="BT118" s="647"/>
      <c r="BU118" s="647"/>
      <c r="BV118" s="647"/>
      <c r="BW118" s="647"/>
      <c r="BX118" s="647"/>
      <c r="BY118" s="647"/>
      <c r="BZ118" s="647"/>
      <c r="CA118" s="647"/>
      <c r="CB118" s="647"/>
      <c r="CC118" s="647"/>
      <c r="CD118" s="647"/>
    </row>
    <row r="119" ht="54.75" customHeight="1">
      <c r="A119" s="12"/>
      <c r="B119" s="429"/>
      <c r="C119" s="429"/>
      <c r="D119" s="429"/>
      <c r="E119" s="429"/>
      <c r="F119" s="429"/>
      <c r="G119" s="429"/>
      <c r="H119" s="429"/>
      <c r="I119" s="429"/>
      <c r="J119" s="429"/>
      <c r="K119" s="429"/>
      <c r="L119" s="429"/>
      <c r="M119" s="429"/>
      <c r="N119" s="429"/>
      <c r="O119" s="429"/>
      <c r="P119" s="429"/>
      <c r="Q119" s="429"/>
      <c r="R119" s="429"/>
      <c r="S119" s="607" t="s">
        <v>432</v>
      </c>
      <c r="T119" s="648" t="str">
        <f t="array" ref="T119">INDEX(DataInputCP,MATCH($V$58,DataNamaInputCP,0),MATCH("EKSKUL-1",HeaderInputCP,0))</f>
        <v/>
      </c>
      <c r="U119" s="466"/>
      <c r="V119" s="467"/>
      <c r="W119" s="613" t="str">
        <f t="array" ref="W119">INDEX(DataInputCP,MATCH($V$58,DataNamaInputCP,0),MATCH("KET-1",HeaderInputCP,0))&amp;", dan memperoleh prestasi dengan predikat "&amp;INDEX(DataInputCP,MATCH($V$58,DataNamaInputCP,0),MATCH("PREDIKAT-1",HeaderInputCP,0))</f>
        <v>, dan memperoleh prestasi dengan predikat </v>
      </c>
      <c r="X119" s="466"/>
      <c r="Y119" s="466"/>
      <c r="Z119" s="466"/>
      <c r="AA119" s="466"/>
      <c r="AB119" s="467"/>
      <c r="AC119" s="440"/>
      <c r="AD119" s="440"/>
      <c r="AE119" s="440"/>
      <c r="AF119" s="440"/>
      <c r="AG119" s="440"/>
      <c r="AH119" s="440"/>
      <c r="AI119" s="440"/>
      <c r="AJ119" s="440"/>
      <c r="AK119" s="440"/>
      <c r="AL119" s="440"/>
      <c r="AM119" s="440"/>
      <c r="AN119" s="440"/>
      <c r="AO119" s="440"/>
      <c r="AP119" s="440"/>
      <c r="AQ119" s="440"/>
      <c r="AR119" s="440"/>
      <c r="AS119" s="440"/>
      <c r="AT119" s="440"/>
      <c r="AU119" s="440"/>
      <c r="AV119" s="440"/>
      <c r="AW119" s="440"/>
      <c r="AX119" s="440"/>
      <c r="AY119" s="440"/>
      <c r="AZ119" s="440"/>
      <c r="BA119" s="440"/>
      <c r="BB119" s="440"/>
      <c r="BC119" s="440"/>
      <c r="BD119" s="440"/>
      <c r="BE119" s="440"/>
      <c r="BF119" s="440"/>
      <c r="BG119" s="440"/>
      <c r="BH119" s="440"/>
      <c r="BI119" s="440"/>
      <c r="BJ119" s="440"/>
      <c r="BK119" s="440"/>
      <c r="BL119" s="440"/>
      <c r="BM119" s="440"/>
      <c r="BN119" s="440"/>
      <c r="BO119" s="440"/>
      <c r="BP119" s="440"/>
      <c r="BQ119" s="440"/>
      <c r="BR119" s="440"/>
      <c r="BS119" s="440"/>
      <c r="BT119" s="440"/>
      <c r="BU119" s="440"/>
      <c r="BV119" s="440"/>
      <c r="BW119" s="440"/>
      <c r="BX119" s="440"/>
      <c r="BY119" s="440"/>
      <c r="BZ119" s="440"/>
      <c r="CA119" s="440"/>
      <c r="CB119" s="440"/>
      <c r="CC119" s="440"/>
      <c r="CD119" s="440"/>
    </row>
    <row r="120" ht="54.75" customHeight="1">
      <c r="A120" s="12"/>
      <c r="B120" s="429"/>
      <c r="C120" s="429"/>
      <c r="D120" s="429"/>
      <c r="E120" s="429"/>
      <c r="F120" s="429"/>
      <c r="G120" s="429"/>
      <c r="H120" s="429"/>
      <c r="I120" s="429"/>
      <c r="J120" s="429"/>
      <c r="K120" s="429"/>
      <c r="L120" s="429"/>
      <c r="M120" s="429"/>
      <c r="N120" s="429"/>
      <c r="O120" s="429"/>
      <c r="P120" s="429"/>
      <c r="Q120" s="429"/>
      <c r="R120" s="429"/>
      <c r="S120" s="607" t="s">
        <v>433</v>
      </c>
      <c r="T120" s="648" t="str">
        <f t="array" ref="T120">INDEX(DataInputCP,MATCH($V$58,DataNamaInputCP,0),MATCH("EKSKUL-2",HeaderInputCP,0))</f>
        <v/>
      </c>
      <c r="U120" s="466"/>
      <c r="V120" s="467"/>
      <c r="W120" s="613" t="str">
        <f t="array" ref="W120">INDEX(DataInputCP,MATCH($V$58,DataNamaInputCP,0),MATCH("KET-2",HeaderInputCP,0))&amp;", dan memperoleh prestasi dengan predikat "&amp;INDEX(DataInputCP,MATCH($V$58,DataNamaInputCP,0),MATCH("PREDIKAT-2",HeaderInputCP,0))</f>
        <v>, dan memperoleh prestasi dengan predikat </v>
      </c>
      <c r="X120" s="466"/>
      <c r="Y120" s="466"/>
      <c r="Z120" s="466"/>
      <c r="AA120" s="466"/>
      <c r="AB120" s="467"/>
      <c r="AC120" s="440"/>
      <c r="AD120" s="440"/>
      <c r="AE120" s="440"/>
      <c r="AF120" s="440"/>
      <c r="AG120" s="440"/>
      <c r="AH120" s="440"/>
      <c r="AI120" s="440"/>
      <c r="AJ120" s="440"/>
      <c r="AK120" s="440"/>
      <c r="AL120" s="440"/>
      <c r="AM120" s="440"/>
      <c r="AN120" s="440"/>
      <c r="AO120" s="440"/>
      <c r="AP120" s="440"/>
      <c r="AQ120" s="440"/>
      <c r="AR120" s="440"/>
      <c r="AS120" s="440"/>
      <c r="AT120" s="440"/>
      <c r="AU120" s="440"/>
      <c r="AV120" s="440"/>
      <c r="AW120" s="440"/>
      <c r="AX120" s="440"/>
      <c r="AY120" s="440"/>
      <c r="AZ120" s="440"/>
      <c r="BA120" s="440"/>
      <c r="BB120" s="440"/>
      <c r="BC120" s="440"/>
      <c r="BD120" s="440"/>
      <c r="BE120" s="440"/>
      <c r="BF120" s="440"/>
      <c r="BG120" s="440"/>
      <c r="BH120" s="440"/>
      <c r="BI120" s="440"/>
      <c r="BJ120" s="440"/>
      <c r="BK120" s="440"/>
      <c r="BL120" s="440"/>
      <c r="BM120" s="440"/>
      <c r="BN120" s="440"/>
      <c r="BO120" s="440"/>
      <c r="BP120" s="440"/>
      <c r="BQ120" s="440"/>
      <c r="BR120" s="440"/>
      <c r="BS120" s="440"/>
      <c r="BT120" s="440"/>
      <c r="BU120" s="440"/>
      <c r="BV120" s="440"/>
      <c r="BW120" s="440"/>
      <c r="BX120" s="440"/>
      <c r="BY120" s="440"/>
      <c r="BZ120" s="440"/>
      <c r="CA120" s="440"/>
      <c r="CB120" s="440"/>
      <c r="CC120" s="440"/>
      <c r="CD120" s="440"/>
    </row>
    <row r="121" ht="14.25" customHeight="1">
      <c r="A121" s="448"/>
      <c r="B121" s="15"/>
      <c r="C121" s="15"/>
      <c r="D121" s="15"/>
      <c r="E121" s="15"/>
      <c r="F121" s="15"/>
      <c r="G121" s="15"/>
      <c r="H121" s="15"/>
      <c r="I121" s="15"/>
      <c r="J121" s="15"/>
      <c r="K121" s="15"/>
      <c r="L121" s="15"/>
      <c r="M121" s="15"/>
      <c r="N121" s="15"/>
      <c r="O121" s="15"/>
      <c r="P121" s="15"/>
      <c r="Q121" s="15"/>
      <c r="R121" s="15"/>
      <c r="S121" s="650"/>
      <c r="T121" s="27"/>
      <c r="U121" s="27"/>
      <c r="V121" s="27"/>
      <c r="W121" s="27"/>
      <c r="X121" s="27"/>
      <c r="Y121" s="27"/>
      <c r="Z121" s="27"/>
      <c r="AA121" s="27"/>
      <c r="AB121" s="651"/>
      <c r="AC121" s="459"/>
      <c r="AD121" s="449"/>
      <c r="AE121" s="459"/>
      <c r="AF121" s="459"/>
      <c r="AG121" s="459"/>
      <c r="AH121" s="459"/>
      <c r="AI121" s="459"/>
      <c r="AJ121" s="459"/>
      <c r="AK121" s="459"/>
      <c r="AL121" s="459"/>
      <c r="AM121" s="459"/>
      <c r="AN121" s="459"/>
      <c r="AO121" s="459"/>
      <c r="AP121" s="459"/>
      <c r="AQ121" s="459"/>
      <c r="AR121" s="459"/>
      <c r="AS121" s="459"/>
      <c r="AT121" s="459"/>
      <c r="AU121" s="459"/>
      <c r="AV121" s="459"/>
      <c r="AW121" s="459"/>
      <c r="AX121" s="459"/>
      <c r="AY121" s="459"/>
      <c r="AZ121" s="459"/>
      <c r="BA121" s="459"/>
      <c r="BB121" s="459"/>
      <c r="BC121" s="459"/>
      <c r="BD121" s="459"/>
      <c r="BE121" s="459"/>
      <c r="BF121" s="459"/>
      <c r="BG121" s="459"/>
      <c r="BH121" s="459"/>
      <c r="BI121" s="459"/>
      <c r="BJ121" s="459"/>
      <c r="BK121" s="459"/>
      <c r="BL121" s="459"/>
      <c r="BM121" s="459"/>
      <c r="BN121" s="459"/>
      <c r="BO121" s="459"/>
      <c r="BP121" s="459"/>
      <c r="BQ121" s="459"/>
      <c r="BR121" s="459"/>
      <c r="BS121" s="459"/>
      <c r="BT121" s="459"/>
      <c r="BU121" s="459"/>
      <c r="BV121" s="459"/>
      <c r="BW121" s="459"/>
      <c r="BX121" s="459"/>
      <c r="BY121" s="459"/>
      <c r="BZ121" s="459"/>
      <c r="CA121" s="459"/>
      <c r="CB121" s="459"/>
      <c r="CC121" s="459"/>
      <c r="CD121" s="459"/>
    </row>
    <row r="122" ht="14.25" customHeight="1">
      <c r="A122" s="593"/>
      <c r="B122" s="595"/>
      <c r="C122" s="595"/>
      <c r="D122" s="595"/>
      <c r="E122" s="595"/>
      <c r="F122" s="595"/>
      <c r="G122" s="595"/>
      <c r="H122" s="595"/>
      <c r="I122" s="595"/>
      <c r="J122" s="595"/>
      <c r="K122" s="595"/>
      <c r="L122" s="595"/>
      <c r="M122" s="595"/>
      <c r="N122" s="595"/>
      <c r="O122" s="595"/>
      <c r="P122" s="595"/>
      <c r="Q122" s="595"/>
      <c r="R122" s="595"/>
      <c r="S122" s="639" t="s">
        <v>436</v>
      </c>
      <c r="T122" s="639"/>
      <c r="U122" s="653"/>
      <c r="V122" s="653"/>
      <c r="W122" s="653"/>
      <c r="X122" s="653"/>
      <c r="Y122" s="653"/>
      <c r="Z122" s="653"/>
      <c r="AA122" s="653"/>
      <c r="AB122" s="653"/>
      <c r="AC122" s="654"/>
      <c r="AD122" s="655"/>
      <c r="AE122" s="654"/>
      <c r="AF122" s="654"/>
      <c r="AG122" s="654"/>
      <c r="AH122" s="654"/>
      <c r="AI122" s="654"/>
      <c r="AJ122" s="654"/>
      <c r="AK122" s="654"/>
      <c r="AL122" s="654"/>
      <c r="AM122" s="654"/>
      <c r="AN122" s="654"/>
      <c r="AO122" s="654"/>
      <c r="AP122" s="654"/>
      <c r="AQ122" s="654"/>
      <c r="AR122" s="654"/>
      <c r="AS122" s="654"/>
      <c r="AT122" s="654"/>
      <c r="AU122" s="654"/>
      <c r="AV122" s="654"/>
      <c r="AW122" s="654"/>
      <c r="AX122" s="654"/>
      <c r="AY122" s="654"/>
      <c r="AZ122" s="654"/>
      <c r="BA122" s="654"/>
      <c r="BB122" s="654"/>
      <c r="BC122" s="654"/>
      <c r="BD122" s="654"/>
      <c r="BE122" s="654"/>
      <c r="BF122" s="654"/>
      <c r="BG122" s="654"/>
      <c r="BH122" s="654"/>
      <c r="BI122" s="654"/>
      <c r="BJ122" s="654"/>
      <c r="BK122" s="654"/>
      <c r="BL122" s="654"/>
      <c r="BM122" s="654"/>
      <c r="BN122" s="654"/>
      <c r="BO122" s="654"/>
      <c r="BP122" s="654"/>
      <c r="BQ122" s="654"/>
      <c r="BR122" s="654"/>
      <c r="BS122" s="654"/>
      <c r="BT122" s="654"/>
      <c r="BU122" s="654"/>
      <c r="BV122" s="654"/>
      <c r="BW122" s="654"/>
      <c r="BX122" s="654"/>
      <c r="BY122" s="654"/>
      <c r="BZ122" s="654"/>
      <c r="CA122" s="654"/>
      <c r="CB122" s="654"/>
      <c r="CC122" s="654"/>
      <c r="CD122" s="654"/>
    </row>
    <row r="123" ht="14.25" customHeight="1">
      <c r="A123" s="448"/>
      <c r="B123" s="15"/>
      <c r="C123" s="15"/>
      <c r="D123" s="15"/>
      <c r="E123" s="15"/>
      <c r="F123" s="15"/>
      <c r="G123" s="15"/>
      <c r="H123" s="15"/>
      <c r="I123" s="15"/>
      <c r="J123" s="15"/>
      <c r="K123" s="15"/>
      <c r="L123" s="15"/>
      <c r="M123" s="15"/>
      <c r="N123" s="15"/>
      <c r="O123" s="15"/>
      <c r="P123" s="15"/>
      <c r="Q123" s="15"/>
      <c r="R123" s="15"/>
      <c r="S123" s="656"/>
      <c r="T123" s="656"/>
      <c r="U123" s="656"/>
      <c r="V123" s="656"/>
      <c r="W123" s="656"/>
      <c r="X123" s="656"/>
      <c r="Y123" s="656"/>
      <c r="Z123" s="656"/>
      <c r="AA123" s="656"/>
      <c r="AB123" s="656"/>
      <c r="AC123" s="459"/>
      <c r="AD123" s="449"/>
      <c r="AE123" s="459"/>
      <c r="AF123" s="459"/>
      <c r="AG123" s="459"/>
      <c r="AH123" s="459"/>
      <c r="AI123" s="459"/>
      <c r="AJ123" s="459"/>
      <c r="AK123" s="459"/>
      <c r="AL123" s="459"/>
      <c r="AM123" s="459"/>
      <c r="AN123" s="459"/>
      <c r="AO123" s="459"/>
      <c r="AP123" s="459"/>
      <c r="AQ123" s="459"/>
      <c r="AR123" s="459"/>
      <c r="AS123" s="459"/>
      <c r="AT123" s="459"/>
      <c r="AU123" s="459"/>
      <c r="AV123" s="459"/>
      <c r="AW123" s="459"/>
      <c r="AX123" s="459"/>
      <c r="AY123" s="459"/>
      <c r="AZ123" s="459"/>
      <c r="BA123" s="459"/>
      <c r="BB123" s="459"/>
      <c r="BC123" s="459"/>
      <c r="BD123" s="459"/>
      <c r="BE123" s="459"/>
      <c r="BF123" s="459"/>
      <c r="BG123" s="459"/>
      <c r="BH123" s="459"/>
      <c r="BI123" s="459"/>
      <c r="BJ123" s="459"/>
      <c r="BK123" s="459"/>
      <c r="BL123" s="459"/>
      <c r="BM123" s="459"/>
      <c r="BN123" s="459"/>
      <c r="BO123" s="459"/>
      <c r="BP123" s="459"/>
      <c r="BQ123" s="459"/>
      <c r="BR123" s="459"/>
      <c r="BS123" s="459"/>
      <c r="BT123" s="459"/>
      <c r="BU123" s="459"/>
      <c r="BV123" s="459"/>
      <c r="BW123" s="459"/>
      <c r="BX123" s="459"/>
      <c r="BY123" s="459"/>
      <c r="BZ123" s="459"/>
      <c r="CA123" s="459"/>
      <c r="CB123" s="459"/>
      <c r="CC123" s="459"/>
      <c r="CD123" s="459"/>
    </row>
    <row r="124" ht="30.0" customHeight="1">
      <c r="A124" s="448"/>
      <c r="B124" s="15"/>
      <c r="C124" s="15"/>
      <c r="D124" s="15"/>
      <c r="E124" s="15"/>
      <c r="F124" s="15"/>
      <c r="G124" s="15"/>
      <c r="H124" s="15"/>
      <c r="I124" s="15"/>
      <c r="J124" s="15"/>
      <c r="K124" s="15"/>
      <c r="L124" s="15"/>
      <c r="M124" s="15"/>
      <c r="N124" s="15"/>
      <c r="O124" s="15"/>
      <c r="P124" s="15"/>
      <c r="Q124" s="15"/>
      <c r="R124" s="15"/>
      <c r="S124" s="646" t="s">
        <v>438</v>
      </c>
      <c r="T124" s="466"/>
      <c r="U124" s="466"/>
      <c r="V124" s="467"/>
      <c r="W124" s="646" t="s">
        <v>439</v>
      </c>
      <c r="X124" s="466"/>
      <c r="Y124" s="466"/>
      <c r="Z124" s="466"/>
      <c r="AA124" s="466"/>
      <c r="AB124" s="467"/>
      <c r="AC124" s="459"/>
      <c r="AD124" s="449"/>
      <c r="AE124" s="459"/>
      <c r="AF124" s="459"/>
      <c r="AG124" s="459"/>
      <c r="AH124" s="459"/>
      <c r="AI124" s="459"/>
      <c r="AJ124" s="459"/>
      <c r="AK124" s="459"/>
      <c r="AL124" s="459"/>
      <c r="AM124" s="459"/>
      <c r="AN124" s="459"/>
      <c r="AO124" s="459"/>
      <c r="AP124" s="459"/>
      <c r="AQ124" s="459"/>
      <c r="AR124" s="459"/>
      <c r="AS124" s="459"/>
      <c r="AT124" s="459"/>
      <c r="AU124" s="459"/>
      <c r="AV124" s="459"/>
      <c r="AW124" s="459"/>
      <c r="AX124" s="459"/>
      <c r="AY124" s="459"/>
      <c r="AZ124" s="459"/>
      <c r="BA124" s="459"/>
      <c r="BB124" s="459"/>
      <c r="BC124" s="459"/>
      <c r="BD124" s="459"/>
      <c r="BE124" s="459"/>
      <c r="BF124" s="459"/>
      <c r="BG124" s="459"/>
      <c r="BH124" s="459"/>
      <c r="BI124" s="459"/>
      <c r="BJ124" s="459"/>
      <c r="BK124" s="459"/>
      <c r="BL124" s="459"/>
      <c r="BM124" s="459"/>
      <c r="BN124" s="459"/>
      <c r="BO124" s="459"/>
      <c r="BP124" s="459"/>
      <c r="BQ124" s="459"/>
      <c r="BR124" s="459"/>
      <c r="BS124" s="459"/>
      <c r="BT124" s="459"/>
      <c r="BU124" s="459"/>
      <c r="BV124" s="459"/>
      <c r="BW124" s="459"/>
      <c r="BX124" s="459"/>
      <c r="BY124" s="459"/>
      <c r="BZ124" s="459"/>
      <c r="CA124" s="459"/>
      <c r="CB124" s="459"/>
      <c r="CC124" s="459"/>
      <c r="CD124" s="459"/>
    </row>
    <row r="125" ht="19.5" customHeight="1">
      <c r="A125" s="12"/>
      <c r="B125" s="429"/>
      <c r="C125" s="429"/>
      <c r="D125" s="429"/>
      <c r="E125" s="429"/>
      <c r="F125" s="429"/>
      <c r="G125" s="429"/>
      <c r="H125" s="429"/>
      <c r="I125" s="429"/>
      <c r="J125" s="429"/>
      <c r="K125" s="429"/>
      <c r="L125" s="429"/>
      <c r="M125" s="429"/>
      <c r="N125" s="429"/>
      <c r="O125" s="429"/>
      <c r="P125" s="429"/>
      <c r="Q125" s="429"/>
      <c r="R125" s="429"/>
      <c r="S125" s="536" t="s">
        <v>383</v>
      </c>
      <c r="T125" s="467"/>
      <c r="U125" s="657" t="str">
        <f t="array" ref="U125">INDEX(DataInputCP,MATCH($V$58,DataNamaInputCP,0),MATCH("SAKIT",HeaderInputCP,0))&amp;"  Hari"</f>
        <v>-  Hari</v>
      </c>
      <c r="V125" s="466"/>
      <c r="W125" s="658" t="str">
        <f t="array" ref="W125">INDEX(DataInputCP,MATCH($V$58,DataNamaInputCP,0),MATCH("CATATAN WALI KELAS",HeaderInputCP,0))</f>
        <v>Tingkatkan lagi prestasimu di semester berikutnya, sehingga apa yang telah didapat sekarang bisa lebih berguna lagi dimasa depan</v>
      </c>
      <c r="X125" s="27"/>
      <c r="Y125" s="27"/>
      <c r="Z125" s="27"/>
      <c r="AA125" s="27"/>
      <c r="AB125" s="29"/>
      <c r="AC125" s="429"/>
      <c r="AD125" s="429"/>
      <c r="AE125" s="429"/>
      <c r="AF125" s="429"/>
      <c r="AG125" s="429"/>
      <c r="AH125" s="429"/>
      <c r="AI125" s="429"/>
      <c r="AJ125" s="429"/>
      <c r="AK125" s="429"/>
      <c r="AL125" s="429"/>
      <c r="AM125" s="429"/>
      <c r="AN125" s="429"/>
      <c r="AO125" s="429"/>
      <c r="AP125" s="429"/>
      <c r="AQ125" s="429"/>
      <c r="AR125" s="429"/>
      <c r="AS125" s="429"/>
      <c r="AT125" s="429"/>
      <c r="AU125" s="429"/>
      <c r="AV125" s="429"/>
      <c r="AW125" s="429"/>
      <c r="AX125" s="429"/>
      <c r="AY125" s="429"/>
      <c r="AZ125" s="429"/>
      <c r="BA125" s="429"/>
      <c r="BB125" s="429"/>
      <c r="BC125" s="429"/>
      <c r="BD125" s="429"/>
      <c r="BE125" s="429"/>
      <c r="BF125" s="429"/>
      <c r="BG125" s="429"/>
      <c r="BH125" s="429"/>
      <c r="BI125" s="429"/>
      <c r="BJ125" s="429"/>
      <c r="BK125" s="429"/>
      <c r="BL125" s="429"/>
      <c r="BM125" s="429"/>
      <c r="BN125" s="429"/>
      <c r="BO125" s="429"/>
      <c r="BP125" s="429"/>
      <c r="BQ125" s="429"/>
      <c r="BR125" s="429"/>
      <c r="BS125" s="429"/>
      <c r="BT125" s="429"/>
      <c r="BU125" s="429"/>
      <c r="BV125" s="429"/>
      <c r="BW125" s="429"/>
      <c r="BX125" s="429"/>
      <c r="BY125" s="429"/>
      <c r="BZ125" s="429"/>
      <c r="CA125" s="429"/>
      <c r="CB125" s="429"/>
      <c r="CC125" s="429"/>
      <c r="CD125" s="429"/>
    </row>
    <row r="126" ht="19.5" customHeight="1">
      <c r="A126" s="12"/>
      <c r="B126" s="429"/>
      <c r="C126" s="429"/>
      <c r="D126" s="429"/>
      <c r="E126" s="429"/>
      <c r="F126" s="429"/>
      <c r="G126" s="429"/>
      <c r="H126" s="429"/>
      <c r="I126" s="429"/>
      <c r="J126" s="429"/>
      <c r="K126" s="429"/>
      <c r="L126" s="429"/>
      <c r="M126" s="429"/>
      <c r="N126" s="429"/>
      <c r="O126" s="429"/>
      <c r="P126" s="429"/>
      <c r="Q126" s="429"/>
      <c r="R126" s="429"/>
      <c r="S126" s="536" t="s">
        <v>384</v>
      </c>
      <c r="T126" s="467"/>
      <c r="U126" s="657" t="str">
        <f t="array" ref="U126">INDEX(DataInputCP,MATCH($V$58,DataNamaInputCP,0),MATCH("IZIN",HeaderInputCP,0))&amp;"  Hari"</f>
        <v>42  Hari</v>
      </c>
      <c r="V126" s="466"/>
      <c r="W126" s="539"/>
      <c r="AB126" s="540"/>
      <c r="AC126" s="429"/>
      <c r="AD126" s="429"/>
      <c r="AE126" s="429"/>
      <c r="AF126" s="429"/>
      <c r="AG126" s="429"/>
      <c r="AH126" s="429"/>
      <c r="AI126" s="429"/>
      <c r="AJ126" s="429"/>
      <c r="AK126" s="429"/>
      <c r="AL126" s="429"/>
      <c r="AM126" s="429"/>
      <c r="AN126" s="429"/>
      <c r="AO126" s="429"/>
      <c r="AP126" s="429"/>
      <c r="AQ126" s="429"/>
      <c r="AR126" s="429"/>
      <c r="AS126" s="429"/>
      <c r="AT126" s="429"/>
      <c r="AU126" s="429"/>
      <c r="AV126" s="429"/>
      <c r="AW126" s="429"/>
      <c r="AX126" s="429"/>
      <c r="AY126" s="429"/>
      <c r="AZ126" s="429"/>
      <c r="BA126" s="429"/>
      <c r="BB126" s="429"/>
      <c r="BC126" s="429"/>
      <c r="BD126" s="429"/>
      <c r="BE126" s="429"/>
      <c r="BF126" s="429"/>
      <c r="BG126" s="429"/>
      <c r="BH126" s="429"/>
      <c r="BI126" s="429"/>
      <c r="BJ126" s="429"/>
      <c r="BK126" s="429"/>
      <c r="BL126" s="429"/>
      <c r="BM126" s="429"/>
      <c r="BN126" s="429"/>
      <c r="BO126" s="429"/>
      <c r="BP126" s="429"/>
      <c r="BQ126" s="429"/>
      <c r="BR126" s="429"/>
      <c r="BS126" s="429"/>
      <c r="BT126" s="429"/>
      <c r="BU126" s="429"/>
      <c r="BV126" s="429"/>
      <c r="BW126" s="429"/>
      <c r="BX126" s="429"/>
      <c r="BY126" s="429"/>
      <c r="BZ126" s="429"/>
      <c r="CA126" s="429"/>
      <c r="CB126" s="429"/>
      <c r="CC126" s="429"/>
      <c r="CD126" s="429"/>
    </row>
    <row r="127" ht="19.5" customHeight="1">
      <c r="A127" s="12"/>
      <c r="B127" s="429"/>
      <c r="C127" s="429"/>
      <c r="D127" s="429"/>
      <c r="E127" s="429"/>
      <c r="F127" s="429"/>
      <c r="G127" s="429"/>
      <c r="H127" s="429"/>
      <c r="I127" s="429"/>
      <c r="J127" s="429"/>
      <c r="K127" s="429"/>
      <c r="L127" s="429"/>
      <c r="M127" s="429"/>
      <c r="N127" s="429"/>
      <c r="O127" s="429"/>
      <c r="P127" s="429"/>
      <c r="Q127" s="429"/>
      <c r="R127" s="429"/>
      <c r="S127" s="536" t="s">
        <v>385</v>
      </c>
      <c r="T127" s="467"/>
      <c r="U127" s="657" t="str">
        <f t="array" ref="U127">INDEX(DataInputCP,MATCH($V$58,DataNamaInputCP,0),MATCH("TANPA KETERANGAN",HeaderInputCP,0))&amp;"  Hari"</f>
        <v>42  Hari</v>
      </c>
      <c r="V127" s="466"/>
      <c r="W127" s="541"/>
      <c r="X127" s="542"/>
      <c r="Y127" s="542"/>
      <c r="Z127" s="542"/>
      <c r="AA127" s="542"/>
      <c r="AB127" s="313"/>
      <c r="AC127" s="429"/>
      <c r="AD127" s="429"/>
      <c r="AE127" s="429"/>
      <c r="AF127" s="429"/>
      <c r="AG127" s="429"/>
      <c r="AH127" s="429"/>
      <c r="AI127" s="429"/>
      <c r="AJ127" s="429"/>
      <c r="AK127" s="429"/>
      <c r="AL127" s="429"/>
      <c r="AM127" s="429"/>
      <c r="AN127" s="429"/>
      <c r="AO127" s="429"/>
      <c r="AP127" s="429"/>
      <c r="AQ127" s="429"/>
      <c r="AR127" s="429"/>
      <c r="AS127" s="429"/>
      <c r="AT127" s="429"/>
      <c r="AU127" s="429"/>
      <c r="AV127" s="429"/>
      <c r="AW127" s="429"/>
      <c r="AX127" s="429"/>
      <c r="AY127" s="429"/>
      <c r="AZ127" s="429"/>
      <c r="BA127" s="429"/>
      <c r="BB127" s="429"/>
      <c r="BC127" s="429"/>
      <c r="BD127" s="429"/>
      <c r="BE127" s="429"/>
      <c r="BF127" s="429"/>
      <c r="BG127" s="429"/>
      <c r="BH127" s="429"/>
      <c r="BI127" s="429"/>
      <c r="BJ127" s="429"/>
      <c r="BK127" s="429"/>
      <c r="BL127" s="429"/>
      <c r="BM127" s="429"/>
      <c r="BN127" s="429"/>
      <c r="BO127" s="429"/>
      <c r="BP127" s="429"/>
      <c r="BQ127" s="429"/>
      <c r="BR127" s="429"/>
      <c r="BS127" s="429"/>
      <c r="BT127" s="429"/>
      <c r="BU127" s="429"/>
      <c r="BV127" s="429"/>
      <c r="BW127" s="429"/>
      <c r="BX127" s="429"/>
      <c r="BY127" s="429"/>
      <c r="BZ127" s="429"/>
      <c r="CA127" s="429"/>
      <c r="CB127" s="429"/>
      <c r="CC127" s="429"/>
      <c r="CD127" s="429"/>
    </row>
    <row r="128" ht="14.25" customHeight="1">
      <c r="A128" s="448"/>
      <c r="B128" s="15"/>
      <c r="C128" s="15"/>
      <c r="D128" s="15"/>
      <c r="E128" s="15"/>
      <c r="F128" s="15"/>
      <c r="G128" s="15"/>
      <c r="H128" s="15"/>
      <c r="I128" s="15"/>
      <c r="J128" s="15"/>
      <c r="K128" s="15"/>
      <c r="L128" s="15"/>
      <c r="M128" s="15"/>
      <c r="N128" s="15"/>
      <c r="O128" s="15"/>
      <c r="P128" s="15"/>
      <c r="Q128" s="15"/>
      <c r="R128" s="15"/>
      <c r="S128" s="543"/>
      <c r="T128" s="543"/>
      <c r="U128" s="543"/>
      <c r="V128" s="543"/>
      <c r="W128" s="546"/>
      <c r="X128" s="544"/>
      <c r="Y128" s="448"/>
      <c r="Z128" s="15"/>
      <c r="AA128" s="448"/>
      <c r="AB128" s="448"/>
      <c r="AC128" s="448"/>
      <c r="AD128" s="448"/>
      <c r="AE128" s="448"/>
      <c r="AF128" s="448"/>
      <c r="AG128" s="448"/>
      <c r="AH128" s="448"/>
      <c r="AI128" s="448"/>
      <c r="AJ128" s="448"/>
      <c r="AK128" s="448"/>
      <c r="AL128" s="448"/>
      <c r="AM128" s="448"/>
      <c r="AN128" s="448"/>
      <c r="AO128" s="448"/>
      <c r="AP128" s="448"/>
      <c r="AQ128" s="448"/>
      <c r="AR128" s="448"/>
      <c r="AS128" s="448"/>
      <c r="AT128" s="448"/>
      <c r="AU128" s="448"/>
      <c r="AV128" s="448"/>
      <c r="AW128" s="448"/>
      <c r="AX128" s="448"/>
      <c r="AY128" s="448"/>
      <c r="AZ128" s="448"/>
      <c r="BA128" s="448"/>
      <c r="BB128" s="448"/>
      <c r="BC128" s="448"/>
      <c r="BD128" s="448"/>
      <c r="BE128" s="448"/>
      <c r="BF128" s="448"/>
      <c r="BG128" s="448"/>
      <c r="BH128" s="448"/>
      <c r="BI128" s="448"/>
      <c r="BJ128" s="448"/>
      <c r="BK128" s="448"/>
      <c r="BL128" s="448"/>
      <c r="BM128" s="448"/>
      <c r="BN128" s="448"/>
      <c r="BO128" s="448"/>
      <c r="BP128" s="448"/>
      <c r="BQ128" s="448"/>
      <c r="BR128" s="448"/>
      <c r="BS128" s="448"/>
      <c r="BT128" s="448"/>
      <c r="BU128" s="448"/>
      <c r="BV128" s="448"/>
      <c r="BW128" s="448"/>
      <c r="BX128" s="448"/>
      <c r="BY128" s="448"/>
      <c r="BZ128" s="448"/>
      <c r="CA128" s="448"/>
      <c r="CB128" s="448"/>
      <c r="CC128" s="448"/>
      <c r="CD128" s="448"/>
    </row>
    <row r="129" ht="14.25" customHeight="1">
      <c r="A129" s="448"/>
      <c r="B129" s="15"/>
      <c r="C129" s="15"/>
      <c r="D129" s="15"/>
      <c r="E129" s="15"/>
      <c r="F129" s="15"/>
      <c r="G129" s="15"/>
      <c r="H129" s="15"/>
      <c r="I129" s="15"/>
      <c r="J129" s="15"/>
      <c r="K129" s="15"/>
      <c r="L129" s="15"/>
      <c r="M129" s="15"/>
      <c r="N129" s="15"/>
      <c r="O129" s="15"/>
      <c r="P129" s="15"/>
      <c r="Q129" s="15"/>
      <c r="R129" s="659" t="str">
        <f>IFERROR(__xludf.DUMMYFUNCTION("REGEXEXTRACT($P$1, ""(XII|XI|X)"")
"),"X")</f>
        <v>X</v>
      </c>
      <c r="S129" s="660" t="str">
        <f t="array" ref="S129">INDEX(DataInputCP,MATCH($V$58,DataNamaInputCP,0),MATCH("NAIK OR TINGGAL",HeaderInputCP,0))</f>
        <v>LULUS</v>
      </c>
      <c r="T129" s="659"/>
      <c r="U129" s="659" t="str">
        <f>IFERROR(__xludf.DUMMYFUNCTION("REGEXEXTRACT($P$1, ""(XII|XI|X)"")
"),"X")</f>
        <v>X</v>
      </c>
      <c r="V129" s="659"/>
      <c r="W129" s="458"/>
      <c r="X129" s="458"/>
      <c r="Y129" s="458"/>
      <c r="Z129" s="458"/>
      <c r="AA129" s="458"/>
      <c r="AB129" s="458"/>
      <c r="AC129" s="458"/>
      <c r="AD129" s="458"/>
      <c r="AE129" s="458"/>
      <c r="AF129" s="458"/>
      <c r="AG129" s="458"/>
      <c r="AH129" s="458"/>
      <c r="AI129" s="458"/>
      <c r="AJ129" s="458"/>
      <c r="AK129" s="458"/>
      <c r="AL129" s="458"/>
      <c r="AM129" s="458"/>
      <c r="AN129" s="458"/>
      <c r="AO129" s="458"/>
      <c r="AP129" s="458"/>
      <c r="AQ129" s="458"/>
      <c r="AR129" s="458"/>
      <c r="AS129" s="458"/>
      <c r="AT129" s="458"/>
      <c r="AU129" s="458"/>
      <c r="AV129" s="458"/>
      <c r="AW129" s="458"/>
      <c r="AX129" s="458"/>
      <c r="AY129" s="458"/>
      <c r="AZ129" s="458"/>
      <c r="BA129" s="458"/>
      <c r="BB129" s="458"/>
      <c r="BC129" s="458"/>
      <c r="BD129" s="458"/>
      <c r="BE129" s="458"/>
      <c r="BF129" s="458"/>
      <c r="BG129" s="458"/>
      <c r="BH129" s="458"/>
      <c r="BI129" s="458"/>
      <c r="BJ129" s="458"/>
      <c r="BK129" s="458"/>
      <c r="BL129" s="458"/>
      <c r="BM129" s="458"/>
      <c r="BN129" s="458"/>
      <c r="BO129" s="458"/>
      <c r="BP129" s="458"/>
      <c r="BQ129" s="458"/>
      <c r="BR129" s="458"/>
      <c r="BS129" s="458"/>
      <c r="BT129" s="458"/>
      <c r="BU129" s="458"/>
      <c r="BV129" s="458"/>
      <c r="BW129" s="458"/>
      <c r="BX129" s="458"/>
      <c r="BY129" s="458"/>
      <c r="BZ129" s="458"/>
      <c r="CA129" s="458"/>
      <c r="CB129" s="458"/>
      <c r="CC129" s="458"/>
      <c r="CD129" s="458"/>
    </row>
    <row r="130" ht="14.25" customHeight="1">
      <c r="A130" s="593"/>
      <c r="B130" s="595"/>
      <c r="C130" s="595"/>
      <c r="D130" s="595"/>
      <c r="E130" s="595"/>
      <c r="F130" s="595"/>
      <c r="G130" s="595"/>
      <c r="H130" s="595"/>
      <c r="I130" s="595"/>
      <c r="J130" s="595"/>
      <c r="K130" s="595"/>
      <c r="L130" s="595"/>
      <c r="M130" s="595"/>
      <c r="N130" s="595"/>
      <c r="O130" s="595"/>
      <c r="P130" s="595"/>
      <c r="Q130" s="595"/>
      <c r="R130" s="595"/>
      <c r="S130" s="661" t="str">
        <f>IFERROR(__xludf.DUMMYFUNCTION("FILTER(SETTING!$C$15:$D$28,SETTING!$B$15:$B$28=$U$129)"),"V. KENAIKAN KELAS")</f>
        <v>V. KENAIKAN KELAS</v>
      </c>
      <c r="T130" s="661"/>
      <c r="U130" s="662"/>
      <c r="V130" s="662"/>
      <c r="W130" s="662"/>
      <c r="X130" s="597"/>
      <c r="Y130" s="662"/>
      <c r="Z130" s="662"/>
      <c r="AA130" s="662"/>
      <c r="AB130" s="662"/>
      <c r="AC130" s="662"/>
      <c r="AD130" s="662"/>
      <c r="AE130" s="662"/>
      <c r="AF130" s="662"/>
      <c r="AG130" s="662"/>
      <c r="AH130" s="662"/>
      <c r="AI130" s="662"/>
      <c r="AJ130" s="662"/>
      <c r="AK130" s="662"/>
      <c r="AL130" s="662"/>
      <c r="AM130" s="662"/>
      <c r="AN130" s="662"/>
      <c r="AO130" s="662"/>
      <c r="AP130" s="662"/>
      <c r="AQ130" s="662"/>
      <c r="AR130" s="662"/>
      <c r="AS130" s="662"/>
      <c r="AT130" s="662"/>
      <c r="AU130" s="662"/>
      <c r="AV130" s="662"/>
      <c r="AW130" s="662"/>
      <c r="AX130" s="662"/>
      <c r="AY130" s="662"/>
      <c r="AZ130" s="662"/>
      <c r="BA130" s="662"/>
      <c r="BB130" s="662"/>
      <c r="BC130" s="662"/>
      <c r="BD130" s="662"/>
      <c r="BE130" s="662"/>
      <c r="BF130" s="662"/>
      <c r="BG130" s="662"/>
      <c r="BH130" s="662"/>
      <c r="BI130" s="662"/>
      <c r="BJ130" s="662"/>
      <c r="BK130" s="662"/>
      <c r="BL130" s="662"/>
      <c r="BM130" s="662"/>
      <c r="BN130" s="662"/>
      <c r="BO130" s="662"/>
      <c r="BP130" s="662"/>
      <c r="BQ130" s="662"/>
      <c r="BR130" s="662"/>
      <c r="BS130" s="662"/>
      <c r="BT130" s="662"/>
      <c r="BU130" s="662"/>
      <c r="BV130" s="662"/>
      <c r="BW130" s="662"/>
      <c r="BX130" s="662"/>
      <c r="BY130" s="662"/>
      <c r="BZ130" s="662"/>
      <c r="CA130" s="662"/>
      <c r="CB130" s="662"/>
      <c r="CC130" s="662"/>
      <c r="CD130" s="662"/>
    </row>
    <row r="131" ht="14.25" customHeight="1">
      <c r="A131" s="448"/>
      <c r="B131" s="15"/>
      <c r="C131" s="15"/>
      <c r="D131" s="15"/>
      <c r="E131" s="15"/>
      <c r="F131" s="15"/>
      <c r="G131" s="15"/>
      <c r="H131" s="15"/>
      <c r="I131" s="15"/>
      <c r="J131" s="15"/>
      <c r="K131" s="15"/>
      <c r="L131" s="15"/>
      <c r="M131" s="15"/>
      <c r="N131" s="15"/>
      <c r="O131" s="15"/>
      <c r="P131" s="15"/>
      <c r="Q131" s="15"/>
      <c r="R131" s="15"/>
      <c r="S131" s="445"/>
      <c r="T131" s="445"/>
      <c r="U131" s="663"/>
      <c r="V131" s="663"/>
      <c r="W131" s="663"/>
      <c r="X131" s="663"/>
      <c r="Y131" s="663"/>
      <c r="Z131" s="663"/>
      <c r="AA131" s="663"/>
      <c r="AB131" s="663"/>
      <c r="AC131" s="663"/>
      <c r="AD131" s="663"/>
      <c r="AE131" s="663"/>
      <c r="AF131" s="663"/>
      <c r="AG131" s="663"/>
      <c r="AH131" s="663"/>
      <c r="AI131" s="663"/>
      <c r="AJ131" s="663"/>
      <c r="AK131" s="663"/>
      <c r="AL131" s="663"/>
      <c r="AM131" s="663"/>
      <c r="AN131" s="663"/>
      <c r="AO131" s="663"/>
      <c r="AP131" s="663"/>
      <c r="AQ131" s="663"/>
      <c r="AR131" s="663"/>
      <c r="AS131" s="663"/>
      <c r="AT131" s="663"/>
      <c r="AU131" s="663"/>
      <c r="AV131" s="663"/>
      <c r="AW131" s="663"/>
      <c r="AX131" s="663"/>
      <c r="AY131" s="663"/>
      <c r="AZ131" s="663"/>
      <c r="BA131" s="663"/>
      <c r="BB131" s="663"/>
      <c r="BC131" s="663"/>
      <c r="BD131" s="663"/>
      <c r="BE131" s="663"/>
      <c r="BF131" s="663"/>
      <c r="BG131" s="663"/>
      <c r="BH131" s="663"/>
      <c r="BI131" s="663"/>
      <c r="BJ131" s="663"/>
      <c r="BK131" s="663"/>
      <c r="BL131" s="663"/>
      <c r="BM131" s="663"/>
      <c r="BN131" s="663"/>
      <c r="BO131" s="663"/>
      <c r="BP131" s="663"/>
      <c r="BQ131" s="663"/>
      <c r="BR131" s="663"/>
      <c r="BS131" s="663"/>
      <c r="BT131" s="663"/>
      <c r="BU131" s="663"/>
      <c r="BV131" s="663"/>
      <c r="BW131" s="663"/>
      <c r="BX131" s="663"/>
      <c r="BY131" s="663"/>
      <c r="BZ131" s="663"/>
      <c r="CA131" s="663"/>
      <c r="CB131" s="663"/>
      <c r="CC131" s="663"/>
      <c r="CD131" s="663"/>
    </row>
    <row r="132" ht="14.25" customHeight="1">
      <c r="A132" s="12"/>
      <c r="B132" s="429"/>
      <c r="C132" s="429"/>
      <c r="D132" s="429"/>
      <c r="E132" s="429"/>
      <c r="F132" s="429"/>
      <c r="G132" s="429"/>
      <c r="H132" s="429"/>
      <c r="I132" s="429"/>
      <c r="J132" s="429"/>
      <c r="K132" s="429"/>
      <c r="L132" s="429"/>
      <c r="M132" s="429"/>
      <c r="N132" s="429"/>
      <c r="O132" s="429"/>
      <c r="P132" s="429"/>
      <c r="Q132" s="429"/>
      <c r="R132" s="429"/>
      <c r="S132" s="570" t="str">
        <f>IFERROR(__xludf.DUMMYFUNCTION("""COMPUTED_VALUE"""),"Berdasarkan hasil yang dicapai pada semester 1 dan 2, peserta didik ditetapkan")</f>
        <v>Berdasarkan hasil yang dicapai pada semester 1 dan 2, peserta didik ditetapkan</v>
      </c>
      <c r="T132" s="570"/>
      <c r="U132" s="612"/>
      <c r="V132" s="612"/>
      <c r="W132" s="664"/>
      <c r="X132" s="665"/>
      <c r="Y132" s="666"/>
      <c r="Z132" s="667"/>
      <c r="AA132" s="666"/>
      <c r="AB132" s="666"/>
      <c r="AC132" s="666"/>
      <c r="AD132" s="666"/>
      <c r="AE132" s="666"/>
      <c r="AF132" s="666"/>
      <c r="AG132" s="666"/>
      <c r="AH132" s="666"/>
      <c r="AI132" s="666"/>
      <c r="AJ132" s="666"/>
      <c r="AK132" s="666"/>
      <c r="AL132" s="666"/>
      <c r="AM132" s="666"/>
      <c r="AN132" s="666"/>
      <c r="AO132" s="666"/>
      <c r="AP132" s="666"/>
      <c r="AQ132" s="666"/>
      <c r="AR132" s="666"/>
      <c r="AS132" s="666"/>
      <c r="AT132" s="666"/>
      <c r="AU132" s="666"/>
      <c r="AV132" s="666"/>
      <c r="AW132" s="666"/>
      <c r="AX132" s="666"/>
      <c r="AY132" s="666"/>
      <c r="AZ132" s="666"/>
      <c r="BA132" s="666"/>
      <c r="BB132" s="666"/>
      <c r="BC132" s="666"/>
      <c r="BD132" s="666"/>
      <c r="BE132" s="666"/>
      <c r="BF132" s="666"/>
      <c r="BG132" s="666"/>
      <c r="BH132" s="666"/>
      <c r="BI132" s="666"/>
      <c r="BJ132" s="666"/>
      <c r="BK132" s="666"/>
      <c r="BL132" s="666"/>
      <c r="BM132" s="666"/>
      <c r="BN132" s="666"/>
      <c r="BO132" s="666"/>
      <c r="BP132" s="666"/>
      <c r="BQ132" s="666"/>
      <c r="BR132" s="666"/>
      <c r="BS132" s="666"/>
      <c r="BT132" s="666"/>
      <c r="BU132" s="666"/>
      <c r="BV132" s="666"/>
      <c r="BW132" s="666"/>
      <c r="BX132" s="666"/>
      <c r="BY132" s="666"/>
      <c r="BZ132" s="666"/>
      <c r="CA132" s="666"/>
      <c r="CB132" s="666"/>
      <c r="CC132" s="666"/>
      <c r="CD132" s="666"/>
    </row>
    <row r="133" ht="14.25" customHeight="1">
      <c r="A133" s="12"/>
      <c r="B133" s="429"/>
      <c r="C133" s="429"/>
      <c r="D133" s="429"/>
      <c r="E133" s="429"/>
      <c r="F133" s="429"/>
      <c r="G133" s="429"/>
      <c r="H133" s="429"/>
      <c r="I133" s="429"/>
      <c r="J133" s="429"/>
      <c r="K133" s="429"/>
      <c r="L133" s="429"/>
      <c r="M133" s="429"/>
      <c r="N133" s="429"/>
      <c r="O133" s="429"/>
      <c r="P133" s="429"/>
      <c r="Q133" s="429"/>
      <c r="R133" s="429"/>
      <c r="S133" s="570" t="str">
        <f>IFERROR(__xludf.DUMMYFUNCTION("""COMPUTED_VALUE"""),"Naik ke kelas XI (Sebelas)")</f>
        <v>Naik ke kelas XI (Sebelas)</v>
      </c>
      <c r="T133" s="570"/>
      <c r="U133" s="668"/>
      <c r="V133" s="668"/>
      <c r="W133" s="668"/>
      <c r="X133" s="668"/>
      <c r="Y133" s="668"/>
      <c r="Z133" s="668"/>
      <c r="AA133" s="668"/>
      <c r="AB133" s="668"/>
      <c r="AC133" s="668"/>
      <c r="AD133" s="668"/>
      <c r="AE133" s="668"/>
      <c r="AF133" s="668"/>
      <c r="AG133" s="668"/>
      <c r="AH133" s="668"/>
      <c r="AI133" s="668"/>
      <c r="AJ133" s="668"/>
      <c r="AK133" s="668"/>
      <c r="AL133" s="668"/>
      <c r="AM133" s="668"/>
      <c r="AN133" s="668"/>
      <c r="AO133" s="668"/>
      <c r="AP133" s="668"/>
      <c r="AQ133" s="668"/>
      <c r="AR133" s="668"/>
      <c r="AS133" s="668"/>
      <c r="AT133" s="668"/>
      <c r="AU133" s="668"/>
      <c r="AV133" s="668"/>
      <c r="AW133" s="668"/>
      <c r="AX133" s="668"/>
      <c r="AY133" s="668"/>
      <c r="AZ133" s="668"/>
      <c r="BA133" s="668"/>
      <c r="BB133" s="668"/>
      <c r="BC133" s="668"/>
      <c r="BD133" s="668"/>
      <c r="BE133" s="668"/>
      <c r="BF133" s="668"/>
      <c r="BG133" s="668"/>
      <c r="BH133" s="668"/>
      <c r="BI133" s="668"/>
      <c r="BJ133" s="668"/>
      <c r="BK133" s="668"/>
      <c r="BL133" s="668"/>
      <c r="BM133" s="668"/>
      <c r="BN133" s="668"/>
      <c r="BO133" s="668"/>
      <c r="BP133" s="668"/>
      <c r="BQ133" s="668"/>
      <c r="BR133" s="668"/>
      <c r="BS133" s="668"/>
      <c r="BT133" s="668"/>
      <c r="BU133" s="668"/>
      <c r="BV133" s="668"/>
      <c r="BW133" s="668"/>
      <c r="BX133" s="668"/>
      <c r="BY133" s="668"/>
      <c r="BZ133" s="668"/>
      <c r="CA133" s="668"/>
      <c r="CB133" s="668"/>
      <c r="CC133" s="668"/>
      <c r="CD133" s="668"/>
    </row>
    <row r="134" ht="14.25" customHeight="1">
      <c r="A134" s="12"/>
      <c r="B134" s="429"/>
      <c r="C134" s="429"/>
      <c r="D134" s="429"/>
      <c r="E134" s="429"/>
      <c r="F134" s="429"/>
      <c r="G134" s="429"/>
      <c r="H134" s="429"/>
      <c r="I134" s="429"/>
      <c r="J134" s="429"/>
      <c r="K134" s="429"/>
      <c r="L134" s="429"/>
      <c r="M134" s="429"/>
      <c r="N134" s="429"/>
      <c r="O134" s="429"/>
      <c r="P134" s="429"/>
      <c r="Q134" s="429"/>
      <c r="R134" s="429"/>
      <c r="S134" s="669" t="str">
        <f>IFERROR(__xludf.DUMMYFUNCTION("""COMPUTED_VALUE"""),"Tinggal di  kelas X (Sepuluh)   *)")</f>
        <v>Tinggal di  kelas X (Sepuluh)   *)</v>
      </c>
      <c r="V134" s="424"/>
      <c r="W134" s="670"/>
      <c r="X134" s="671"/>
      <c r="Y134" s="12"/>
      <c r="Z134" s="429"/>
      <c r="AA134" s="429"/>
      <c r="AB134" s="429"/>
      <c r="AC134" s="429"/>
      <c r="AD134" s="429"/>
      <c r="AE134" s="429"/>
      <c r="AF134" s="429"/>
      <c r="AG134" s="429"/>
      <c r="AH134" s="429"/>
      <c r="AI134" s="429"/>
      <c r="AJ134" s="429"/>
      <c r="AK134" s="429"/>
      <c r="AL134" s="429"/>
      <c r="AM134" s="429"/>
      <c r="AN134" s="429"/>
      <c r="AO134" s="429"/>
      <c r="AP134" s="429"/>
      <c r="AQ134" s="429"/>
      <c r="AR134" s="429"/>
      <c r="AS134" s="429"/>
      <c r="AT134" s="429"/>
      <c r="AU134" s="429"/>
      <c r="AV134" s="429"/>
      <c r="AW134" s="429"/>
      <c r="AX134" s="429"/>
      <c r="AY134" s="429"/>
      <c r="AZ134" s="429"/>
      <c r="BA134" s="429"/>
      <c r="BB134" s="429"/>
      <c r="BC134" s="429"/>
      <c r="BD134" s="429"/>
      <c r="BE134" s="429"/>
      <c r="BF134" s="429"/>
      <c r="BG134" s="429"/>
      <c r="BH134" s="429"/>
      <c r="BI134" s="429"/>
      <c r="BJ134" s="429"/>
      <c r="BK134" s="429"/>
      <c r="BL134" s="429"/>
      <c r="BM134" s="429"/>
      <c r="BN134" s="429"/>
      <c r="BO134" s="429"/>
      <c r="BP134" s="429"/>
      <c r="BQ134" s="429"/>
      <c r="BR134" s="429"/>
      <c r="BS134" s="429"/>
      <c r="BT134" s="429"/>
      <c r="BU134" s="429"/>
      <c r="BV134" s="429"/>
      <c r="BW134" s="429"/>
      <c r="BX134" s="429"/>
      <c r="BY134" s="429"/>
      <c r="BZ134" s="429"/>
      <c r="CA134" s="429"/>
      <c r="CB134" s="429"/>
      <c r="CC134" s="429"/>
      <c r="CD134" s="429"/>
    </row>
    <row r="135" ht="14.25" customHeight="1">
      <c r="A135" s="12"/>
      <c r="B135" s="429"/>
      <c r="C135" s="429"/>
      <c r="D135" s="429"/>
      <c r="E135" s="429"/>
      <c r="F135" s="429"/>
      <c r="G135" s="429"/>
      <c r="H135" s="429"/>
      <c r="I135" s="429"/>
      <c r="J135" s="429"/>
      <c r="K135" s="429"/>
      <c r="L135" s="429"/>
      <c r="M135" s="429"/>
      <c r="N135" s="429"/>
      <c r="O135" s="429"/>
      <c r="P135" s="429"/>
      <c r="Q135" s="429"/>
      <c r="R135" s="429"/>
      <c r="S135" s="669"/>
      <c r="T135" s="669"/>
      <c r="U135" s="424"/>
      <c r="V135" s="424"/>
      <c r="W135" s="670"/>
      <c r="X135" s="671"/>
      <c r="Y135" s="12"/>
      <c r="Z135" s="429"/>
      <c r="AA135" s="429" t="str">
        <f t="array" ref="AA135">INDEX(SETTING!$C$34:$C$35,MATCH(SETTING!$C$3,SETTING!$D$34:$D$35,0))</f>
        <v>Purwakarta, 22 Desember 2025</v>
      </c>
      <c r="AB135" s="429"/>
      <c r="AC135" s="429"/>
      <c r="AD135" s="429"/>
      <c r="AE135" s="429"/>
      <c r="AF135" s="429"/>
      <c r="AG135" s="429"/>
      <c r="AH135" s="429"/>
      <c r="AI135" s="429"/>
      <c r="AJ135" s="429"/>
      <c r="AK135" s="429"/>
      <c r="AL135" s="429"/>
      <c r="AM135" s="429"/>
      <c r="AN135" s="429"/>
      <c r="AO135" s="429"/>
      <c r="AP135" s="429"/>
      <c r="AQ135" s="429"/>
      <c r="AR135" s="429"/>
      <c r="AS135" s="429"/>
      <c r="AT135" s="429"/>
      <c r="AU135" s="429"/>
      <c r="AV135" s="429"/>
      <c r="AW135" s="429"/>
      <c r="AX135" s="429"/>
      <c r="AY135" s="429"/>
      <c r="AZ135" s="429"/>
      <c r="BA135" s="429"/>
      <c r="BB135" s="429"/>
      <c r="BC135" s="429"/>
      <c r="BD135" s="429"/>
      <c r="BE135" s="429"/>
      <c r="BF135" s="429"/>
      <c r="BG135" s="429"/>
      <c r="BH135" s="429"/>
      <c r="BI135" s="429"/>
      <c r="BJ135" s="429"/>
      <c r="BK135" s="429"/>
      <c r="BL135" s="429"/>
      <c r="BM135" s="429"/>
      <c r="BN135" s="429"/>
      <c r="BO135" s="429"/>
      <c r="BP135" s="429"/>
      <c r="BQ135" s="429"/>
      <c r="BR135" s="429"/>
      <c r="BS135" s="429"/>
      <c r="BT135" s="429"/>
      <c r="BU135" s="429"/>
      <c r="BV135" s="429"/>
      <c r="BW135" s="429"/>
      <c r="BX135" s="429"/>
      <c r="BY135" s="429"/>
      <c r="BZ135" s="429"/>
      <c r="CA135" s="429"/>
      <c r="CB135" s="429"/>
      <c r="CC135" s="429"/>
      <c r="CD135" s="429"/>
    </row>
    <row r="136" ht="14.25" customHeight="1">
      <c r="A136" s="12"/>
      <c r="B136" s="429"/>
      <c r="C136" s="429"/>
      <c r="D136" s="429"/>
      <c r="E136" s="429"/>
      <c r="F136" s="429"/>
      <c r="G136" s="429"/>
      <c r="H136" s="429"/>
      <c r="I136" s="429"/>
      <c r="J136" s="429"/>
      <c r="K136" s="429"/>
      <c r="L136" s="429"/>
      <c r="M136" s="429"/>
      <c r="N136" s="429"/>
      <c r="O136" s="429"/>
      <c r="P136" s="429"/>
      <c r="Q136" s="429"/>
      <c r="R136" s="429"/>
      <c r="S136" s="12"/>
      <c r="T136" s="12"/>
      <c r="U136" s="430"/>
      <c r="X136" s="429"/>
      <c r="Y136" s="429"/>
      <c r="Z136" s="429"/>
      <c r="AA136" s="429"/>
      <c r="AB136" s="429"/>
      <c r="AC136" s="429"/>
      <c r="AD136" s="429"/>
      <c r="AE136" s="429"/>
      <c r="AF136" s="429"/>
      <c r="AG136" s="429"/>
      <c r="AH136" s="429"/>
      <c r="AI136" s="429"/>
      <c r="AJ136" s="429"/>
      <c r="AK136" s="429"/>
      <c r="AL136" s="429"/>
      <c r="AM136" s="429"/>
      <c r="AN136" s="429"/>
      <c r="AO136" s="429"/>
      <c r="AP136" s="429"/>
      <c r="AQ136" s="429"/>
      <c r="AR136" s="429"/>
      <c r="AS136" s="429"/>
      <c r="AT136" s="429"/>
      <c r="AU136" s="429"/>
      <c r="AV136" s="429"/>
      <c r="AW136" s="429"/>
      <c r="AX136" s="429"/>
      <c r="AY136" s="429"/>
      <c r="AZ136" s="429"/>
      <c r="BA136" s="429"/>
      <c r="BB136" s="429"/>
      <c r="BC136" s="429"/>
      <c r="BD136" s="429"/>
      <c r="BE136" s="429"/>
      <c r="BF136" s="429"/>
      <c r="BG136" s="429"/>
      <c r="BH136" s="429"/>
      <c r="BI136" s="429"/>
      <c r="BJ136" s="429"/>
      <c r="BK136" s="429"/>
      <c r="BL136" s="429"/>
      <c r="BM136" s="429"/>
      <c r="BN136" s="429"/>
      <c r="BO136" s="429"/>
      <c r="BP136" s="429"/>
      <c r="BQ136" s="429"/>
      <c r="BR136" s="429"/>
      <c r="BS136" s="429"/>
      <c r="BT136" s="429"/>
      <c r="BU136" s="429"/>
      <c r="BV136" s="429"/>
      <c r="BW136" s="429"/>
      <c r="BX136" s="429"/>
      <c r="BY136" s="429"/>
      <c r="BZ136" s="429"/>
      <c r="CA136" s="429"/>
      <c r="CB136" s="429"/>
      <c r="CC136" s="429"/>
      <c r="CD136" s="429"/>
    </row>
    <row r="137" ht="14.25" customHeight="1">
      <c r="A137" s="12"/>
      <c r="B137" s="429"/>
      <c r="C137" s="429"/>
      <c r="D137" s="429"/>
      <c r="E137" s="429"/>
      <c r="F137" s="429"/>
      <c r="G137" s="429"/>
      <c r="H137" s="429"/>
      <c r="I137" s="429"/>
      <c r="J137" s="429"/>
      <c r="K137" s="429"/>
      <c r="L137" s="429"/>
      <c r="M137" s="429"/>
      <c r="N137" s="429"/>
      <c r="O137" s="429"/>
      <c r="P137" s="429"/>
      <c r="Q137" s="429"/>
      <c r="R137" s="429"/>
      <c r="S137" s="12"/>
      <c r="T137" s="12"/>
      <c r="U137" s="430" t="s">
        <v>387</v>
      </c>
      <c r="X137" s="429"/>
      <c r="Y137" s="12"/>
      <c r="Z137" s="429"/>
      <c r="AA137" s="429" t="s">
        <v>368</v>
      </c>
      <c r="AB137" s="429"/>
      <c r="AC137" s="429"/>
      <c r="AD137" s="429"/>
      <c r="AE137" s="429"/>
      <c r="AF137" s="429"/>
      <c r="AG137" s="429"/>
      <c r="AH137" s="429"/>
      <c r="AI137" s="429"/>
      <c r="AJ137" s="429"/>
      <c r="AK137" s="429"/>
      <c r="AL137" s="429"/>
      <c r="AM137" s="429"/>
      <c r="AN137" s="429"/>
      <c r="AO137" s="429"/>
      <c r="AP137" s="429"/>
      <c r="AQ137" s="429"/>
      <c r="AR137" s="429"/>
      <c r="AS137" s="429"/>
      <c r="AT137" s="429"/>
      <c r="AU137" s="429"/>
      <c r="AV137" s="429"/>
      <c r="AW137" s="429"/>
      <c r="AX137" s="429"/>
      <c r="AY137" s="429"/>
      <c r="AZ137" s="429"/>
      <c r="BA137" s="429"/>
      <c r="BB137" s="429"/>
      <c r="BC137" s="429"/>
      <c r="BD137" s="429"/>
      <c r="BE137" s="429"/>
      <c r="BF137" s="429"/>
      <c r="BG137" s="429"/>
      <c r="BH137" s="429"/>
      <c r="BI137" s="429"/>
      <c r="BJ137" s="429"/>
      <c r="BK137" s="429"/>
      <c r="BL137" s="429"/>
      <c r="BM137" s="429"/>
      <c r="BN137" s="429"/>
      <c r="BO137" s="429"/>
      <c r="BP137" s="429"/>
      <c r="BQ137" s="429"/>
      <c r="BR137" s="429"/>
      <c r="BS137" s="429"/>
      <c r="BT137" s="429"/>
      <c r="BU137" s="429"/>
      <c r="BV137" s="429"/>
      <c r="BW137" s="429"/>
      <c r="BX137" s="429"/>
      <c r="BY137" s="429"/>
      <c r="BZ137" s="429"/>
      <c r="CA137" s="429"/>
      <c r="CB137" s="429"/>
      <c r="CC137" s="429"/>
      <c r="CD137" s="429"/>
    </row>
    <row r="138" ht="14.25" customHeight="1">
      <c r="A138" s="12"/>
      <c r="B138" s="429"/>
      <c r="C138" s="429"/>
      <c r="D138" s="429"/>
      <c r="E138" s="429"/>
      <c r="F138" s="429"/>
      <c r="G138" s="429"/>
      <c r="H138" s="429"/>
      <c r="I138" s="429"/>
      <c r="J138" s="429"/>
      <c r="K138" s="429"/>
      <c r="L138" s="429"/>
      <c r="M138" s="429"/>
      <c r="N138" s="429"/>
      <c r="O138" s="429"/>
      <c r="P138" s="429"/>
      <c r="Q138" s="429"/>
      <c r="R138" s="429"/>
      <c r="S138" s="12"/>
      <c r="T138" s="12"/>
      <c r="U138" s="672"/>
      <c r="V138" s="672"/>
      <c r="W138" s="429"/>
      <c r="X138" s="429"/>
      <c r="Y138" s="12"/>
      <c r="Z138" s="429"/>
      <c r="AA138" s="429"/>
      <c r="AB138" s="429"/>
      <c r="AC138" s="429"/>
      <c r="AD138" s="429"/>
      <c r="AE138" s="429"/>
      <c r="AF138" s="429"/>
      <c r="AG138" s="429"/>
      <c r="AH138" s="429"/>
      <c r="AI138" s="429"/>
      <c r="AJ138" s="429"/>
      <c r="AK138" s="429"/>
      <c r="AL138" s="429"/>
      <c r="AM138" s="429"/>
      <c r="AN138" s="429"/>
      <c r="AO138" s="429"/>
      <c r="AP138" s="429"/>
      <c r="AQ138" s="429"/>
      <c r="AR138" s="429"/>
      <c r="AS138" s="429"/>
      <c r="AT138" s="429"/>
      <c r="AU138" s="429"/>
      <c r="AV138" s="429"/>
      <c r="AW138" s="429"/>
      <c r="AX138" s="429"/>
      <c r="AY138" s="429"/>
      <c r="AZ138" s="429"/>
      <c r="BA138" s="429"/>
      <c r="BB138" s="429"/>
      <c r="BC138" s="429"/>
      <c r="BD138" s="429"/>
      <c r="BE138" s="429"/>
      <c r="BF138" s="429"/>
      <c r="BG138" s="429"/>
      <c r="BH138" s="429"/>
      <c r="BI138" s="429"/>
      <c r="BJ138" s="429"/>
      <c r="BK138" s="429"/>
      <c r="BL138" s="429"/>
      <c r="BM138" s="429"/>
      <c r="BN138" s="429"/>
      <c r="BO138" s="429"/>
      <c r="BP138" s="429"/>
      <c r="BQ138" s="429"/>
      <c r="BR138" s="429"/>
      <c r="BS138" s="429"/>
      <c r="BT138" s="429"/>
      <c r="BU138" s="429"/>
      <c r="BV138" s="429"/>
      <c r="BW138" s="429"/>
      <c r="BX138" s="429"/>
      <c r="BY138" s="429"/>
      <c r="BZ138" s="429"/>
      <c r="CA138" s="429"/>
      <c r="CB138" s="429"/>
      <c r="CC138" s="429"/>
      <c r="CD138" s="429"/>
    </row>
    <row r="139" ht="14.25" customHeight="1">
      <c r="A139" s="12"/>
      <c r="B139" s="429"/>
      <c r="C139" s="429"/>
      <c r="D139" s="429"/>
      <c r="E139" s="429"/>
      <c r="F139" s="429"/>
      <c r="G139" s="429"/>
      <c r="H139" s="429"/>
      <c r="I139" s="429"/>
      <c r="J139" s="429"/>
      <c r="K139" s="429"/>
      <c r="L139" s="429"/>
      <c r="M139" s="429"/>
      <c r="N139" s="429"/>
      <c r="O139" s="429"/>
      <c r="P139" s="429"/>
      <c r="Q139" s="429"/>
      <c r="R139" s="429"/>
      <c r="S139" s="12"/>
      <c r="T139" s="12"/>
      <c r="U139" s="672"/>
      <c r="V139" s="672"/>
      <c r="W139" s="429"/>
      <c r="X139" s="429"/>
      <c r="Y139" s="12"/>
      <c r="Z139" s="429"/>
      <c r="AA139" s="429"/>
      <c r="AB139" s="429"/>
      <c r="AC139" s="429"/>
      <c r="AD139" s="429"/>
      <c r="AE139" s="429"/>
      <c r="AF139" s="429"/>
      <c r="AG139" s="429"/>
      <c r="AH139" s="429"/>
      <c r="AI139" s="429"/>
      <c r="AJ139" s="429"/>
      <c r="AK139" s="429"/>
      <c r="AL139" s="429"/>
      <c r="AM139" s="429"/>
      <c r="AN139" s="429"/>
      <c r="AO139" s="429"/>
      <c r="AP139" s="429"/>
      <c r="AQ139" s="429"/>
      <c r="AR139" s="429"/>
      <c r="AS139" s="429"/>
      <c r="AT139" s="429"/>
      <c r="AU139" s="429"/>
      <c r="AV139" s="429"/>
      <c r="AW139" s="429"/>
      <c r="AX139" s="429"/>
      <c r="AY139" s="429"/>
      <c r="AZ139" s="429"/>
      <c r="BA139" s="429"/>
      <c r="BB139" s="429"/>
      <c r="BC139" s="429"/>
      <c r="BD139" s="429"/>
      <c r="BE139" s="429"/>
      <c r="BF139" s="429"/>
      <c r="BG139" s="429"/>
      <c r="BH139" s="429"/>
      <c r="BI139" s="429"/>
      <c r="BJ139" s="429"/>
      <c r="BK139" s="429"/>
      <c r="BL139" s="429"/>
      <c r="BM139" s="429"/>
      <c r="BN139" s="429"/>
      <c r="BO139" s="429"/>
      <c r="BP139" s="429"/>
      <c r="BQ139" s="429"/>
      <c r="BR139" s="429"/>
      <c r="BS139" s="429"/>
      <c r="BT139" s="429"/>
      <c r="BU139" s="429"/>
      <c r="BV139" s="429"/>
      <c r="BW139" s="429"/>
      <c r="BX139" s="429"/>
      <c r="BY139" s="429"/>
      <c r="BZ139" s="429"/>
      <c r="CA139" s="429"/>
      <c r="CB139" s="429"/>
      <c r="CC139" s="429"/>
      <c r="CD139" s="429"/>
    </row>
    <row r="140" ht="14.25" customHeight="1">
      <c r="A140" s="12"/>
      <c r="B140" s="429"/>
      <c r="C140" s="429"/>
      <c r="D140" s="429"/>
      <c r="E140" s="429"/>
      <c r="F140" s="429"/>
      <c r="G140" s="429"/>
      <c r="H140" s="429"/>
      <c r="I140" s="429"/>
      <c r="J140" s="429"/>
      <c r="K140" s="429"/>
      <c r="L140" s="429"/>
      <c r="M140" s="429"/>
      <c r="N140" s="429"/>
      <c r="O140" s="429"/>
      <c r="P140" s="429"/>
      <c r="Q140" s="429"/>
      <c r="R140" s="429"/>
      <c r="S140" s="12"/>
      <c r="T140" s="12"/>
      <c r="U140" s="672"/>
      <c r="V140" s="672"/>
      <c r="W140" s="429"/>
      <c r="X140" s="429"/>
      <c r="Y140" s="12"/>
      <c r="Z140" s="429"/>
      <c r="AA140" s="429"/>
      <c r="AB140" s="429"/>
      <c r="AC140" s="429"/>
      <c r="AD140" s="429"/>
      <c r="AE140" s="429"/>
      <c r="AF140" s="429"/>
      <c r="AG140" s="429"/>
      <c r="AH140" s="429"/>
      <c r="AI140" s="429"/>
      <c r="AJ140" s="429"/>
      <c r="AK140" s="429"/>
      <c r="AL140" s="429"/>
      <c r="AM140" s="429"/>
      <c r="AN140" s="429"/>
      <c r="AO140" s="429"/>
      <c r="AP140" s="429"/>
      <c r="AQ140" s="429"/>
      <c r="AR140" s="429"/>
      <c r="AS140" s="429"/>
      <c r="AT140" s="429"/>
      <c r="AU140" s="429"/>
      <c r="AV140" s="429"/>
      <c r="AW140" s="429"/>
      <c r="AX140" s="429"/>
      <c r="AY140" s="429"/>
      <c r="AZ140" s="429"/>
      <c r="BA140" s="429"/>
      <c r="BB140" s="429"/>
      <c r="BC140" s="429"/>
      <c r="BD140" s="429"/>
      <c r="BE140" s="429"/>
      <c r="BF140" s="429"/>
      <c r="BG140" s="429"/>
      <c r="BH140" s="429"/>
      <c r="BI140" s="429"/>
      <c r="BJ140" s="429"/>
      <c r="BK140" s="429"/>
      <c r="BL140" s="429"/>
      <c r="BM140" s="429"/>
      <c r="BN140" s="429"/>
      <c r="BO140" s="429"/>
      <c r="BP140" s="429"/>
      <c r="BQ140" s="429"/>
      <c r="BR140" s="429"/>
      <c r="BS140" s="429"/>
      <c r="BT140" s="429"/>
      <c r="BU140" s="429"/>
      <c r="BV140" s="429"/>
      <c r="BW140" s="429"/>
      <c r="BX140" s="429"/>
      <c r="BY140" s="429"/>
      <c r="BZ140" s="429"/>
      <c r="CA140" s="429"/>
      <c r="CB140" s="429"/>
      <c r="CC140" s="429"/>
      <c r="CD140" s="429"/>
    </row>
    <row r="141" ht="14.25" customHeight="1">
      <c r="A141" s="12"/>
      <c r="B141" s="429"/>
      <c r="C141" s="429"/>
      <c r="D141" s="429"/>
      <c r="E141" s="429"/>
      <c r="F141" s="429"/>
      <c r="G141" s="429"/>
      <c r="H141" s="429"/>
      <c r="I141" s="429"/>
      <c r="J141" s="429"/>
      <c r="K141" s="429"/>
      <c r="L141" s="429"/>
      <c r="M141" s="429"/>
      <c r="N141" s="429"/>
      <c r="O141" s="429"/>
      <c r="P141" s="429"/>
      <c r="Q141" s="429"/>
      <c r="R141" s="429"/>
      <c r="S141" s="12"/>
      <c r="T141" s="12"/>
      <c r="U141" s="672"/>
      <c r="V141" s="672"/>
      <c r="W141" s="429"/>
      <c r="X141" s="429"/>
      <c r="Y141" s="12"/>
      <c r="Z141" s="429"/>
      <c r="AA141" s="429"/>
      <c r="AB141" s="429"/>
      <c r="AC141" s="429"/>
      <c r="AD141" s="429"/>
      <c r="AE141" s="429"/>
      <c r="AF141" s="429"/>
      <c r="AG141" s="429"/>
      <c r="AH141" s="429"/>
      <c r="AI141" s="429"/>
      <c r="AJ141" s="429"/>
      <c r="AK141" s="429"/>
      <c r="AL141" s="429"/>
      <c r="AM141" s="429"/>
      <c r="AN141" s="429"/>
      <c r="AO141" s="429"/>
      <c r="AP141" s="429"/>
      <c r="AQ141" s="429"/>
      <c r="AR141" s="429"/>
      <c r="AS141" s="429"/>
      <c r="AT141" s="429"/>
      <c r="AU141" s="429"/>
      <c r="AV141" s="429"/>
      <c r="AW141" s="429"/>
      <c r="AX141" s="429"/>
      <c r="AY141" s="429"/>
      <c r="AZ141" s="429"/>
      <c r="BA141" s="429"/>
      <c r="BB141" s="429"/>
      <c r="BC141" s="429"/>
      <c r="BD141" s="429"/>
      <c r="BE141" s="429"/>
      <c r="BF141" s="429"/>
      <c r="BG141" s="429"/>
      <c r="BH141" s="429"/>
      <c r="BI141" s="429"/>
      <c r="BJ141" s="429"/>
      <c r="BK141" s="429"/>
      <c r="BL141" s="429"/>
      <c r="BM141" s="429"/>
      <c r="BN141" s="429"/>
      <c r="BO141" s="429"/>
      <c r="BP141" s="429"/>
      <c r="BQ141" s="429"/>
      <c r="BR141" s="429"/>
      <c r="BS141" s="429"/>
      <c r="BT141" s="429"/>
      <c r="BU141" s="429"/>
      <c r="BV141" s="429"/>
      <c r="BW141" s="429"/>
      <c r="BX141" s="429"/>
      <c r="BY141" s="429"/>
      <c r="BZ141" s="429"/>
      <c r="CA141" s="429"/>
      <c r="CB141" s="429"/>
      <c r="CC141" s="429"/>
      <c r="CD141" s="429"/>
    </row>
    <row r="142" ht="14.25" customHeight="1">
      <c r="A142" s="12"/>
      <c r="B142" s="429"/>
      <c r="C142" s="429"/>
      <c r="D142" s="429"/>
      <c r="E142" s="429"/>
      <c r="F142" s="429"/>
      <c r="G142" s="429"/>
      <c r="H142" s="429"/>
      <c r="I142" s="429"/>
      <c r="J142" s="429"/>
      <c r="K142" s="429"/>
      <c r="L142" s="429"/>
      <c r="M142" s="429"/>
      <c r="N142" s="429"/>
      <c r="O142" s="429"/>
      <c r="P142" s="429"/>
      <c r="Q142" s="429"/>
      <c r="R142" s="429"/>
      <c r="S142" s="12"/>
      <c r="T142" s="12"/>
      <c r="U142" s="673" t="s">
        <v>388</v>
      </c>
      <c r="V142" s="673"/>
      <c r="W142" s="429"/>
      <c r="X142" s="429"/>
      <c r="Y142" s="12"/>
      <c r="Z142" s="429"/>
      <c r="AA142" s="674" t="str">
        <f>SETTING!$C$9</f>
        <v>ASEP SANDIANA AZHAR, S.T.</v>
      </c>
      <c r="AB142" s="429"/>
      <c r="AC142" s="429"/>
      <c r="AD142" s="429"/>
      <c r="AE142" s="429"/>
      <c r="AF142" s="429"/>
      <c r="AG142" s="429"/>
      <c r="AH142" s="429"/>
      <c r="AI142" s="429"/>
      <c r="AJ142" s="429"/>
      <c r="AK142" s="429"/>
      <c r="AL142" s="429"/>
      <c r="AM142" s="429"/>
      <c r="AN142" s="429"/>
      <c r="AO142" s="429"/>
      <c r="AP142" s="429"/>
      <c r="AQ142" s="429"/>
      <c r="AR142" s="429"/>
      <c r="AS142" s="429"/>
      <c r="AT142" s="429"/>
      <c r="AU142" s="429"/>
      <c r="AV142" s="429"/>
      <c r="AW142" s="429"/>
      <c r="AX142" s="429"/>
      <c r="AY142" s="429"/>
      <c r="AZ142" s="429"/>
      <c r="BA142" s="429"/>
      <c r="BB142" s="429"/>
      <c r="BC142" s="429"/>
      <c r="BD142" s="429"/>
      <c r="BE142" s="429"/>
      <c r="BF142" s="429"/>
      <c r="BG142" s="429"/>
      <c r="BH142" s="429"/>
      <c r="BI142" s="429"/>
      <c r="BJ142" s="429"/>
      <c r="BK142" s="429"/>
      <c r="BL142" s="429"/>
      <c r="BM142" s="429"/>
      <c r="BN142" s="429"/>
      <c r="BO142" s="429"/>
      <c r="BP142" s="429"/>
      <c r="BQ142" s="429"/>
      <c r="BR142" s="429"/>
      <c r="BS142" s="429"/>
      <c r="BT142" s="429"/>
      <c r="BU142" s="429"/>
      <c r="BV142" s="429"/>
      <c r="BW142" s="429"/>
      <c r="BX142" s="429"/>
      <c r="BY142" s="429"/>
      <c r="BZ142" s="429"/>
      <c r="CA142" s="429"/>
      <c r="CB142" s="429"/>
      <c r="CC142" s="429"/>
      <c r="CD142" s="429"/>
    </row>
    <row r="143" ht="14.25" customHeight="1">
      <c r="A143" s="12"/>
      <c r="B143" s="429"/>
      <c r="C143" s="429"/>
      <c r="D143" s="429"/>
      <c r="E143" s="429"/>
      <c r="F143" s="429"/>
      <c r="G143" s="429"/>
      <c r="H143" s="429"/>
      <c r="I143" s="429"/>
      <c r="J143" s="429"/>
      <c r="K143" s="429"/>
      <c r="L143" s="429"/>
      <c r="M143" s="429"/>
      <c r="N143" s="429"/>
      <c r="O143" s="429"/>
      <c r="P143" s="429"/>
      <c r="Q143" s="429"/>
      <c r="R143" s="429"/>
      <c r="S143" s="12"/>
      <c r="T143" s="12"/>
      <c r="U143" s="672"/>
      <c r="V143" s="672"/>
      <c r="W143" s="429"/>
      <c r="X143" s="429"/>
      <c r="Y143" s="12"/>
      <c r="Z143" s="429"/>
      <c r="AA143" s="675" t="str">
        <f>SETTING!$C$10</f>
        <v>NIP. 199203032025211186</v>
      </c>
      <c r="AB143" s="429"/>
      <c r="AC143" s="429"/>
      <c r="AD143" s="429"/>
      <c r="AE143" s="429"/>
      <c r="AF143" s="429"/>
      <c r="AG143" s="429"/>
      <c r="AH143" s="429"/>
      <c r="AI143" s="429"/>
      <c r="AJ143" s="429"/>
      <c r="AK143" s="429"/>
      <c r="AL143" s="429"/>
      <c r="AM143" s="429"/>
      <c r="AN143" s="429"/>
      <c r="AO143" s="429"/>
      <c r="AP143" s="429"/>
      <c r="AQ143" s="429"/>
      <c r="AR143" s="429"/>
      <c r="AS143" s="429"/>
      <c r="AT143" s="429"/>
      <c r="AU143" s="429"/>
      <c r="AV143" s="429"/>
      <c r="AW143" s="429"/>
      <c r="AX143" s="429"/>
      <c r="AY143" s="429"/>
      <c r="AZ143" s="429"/>
      <c r="BA143" s="429"/>
      <c r="BB143" s="429"/>
      <c r="BC143" s="429"/>
      <c r="BD143" s="429"/>
      <c r="BE143" s="429"/>
      <c r="BF143" s="429"/>
      <c r="BG143" s="429"/>
      <c r="BH143" s="429"/>
      <c r="BI143" s="429"/>
      <c r="BJ143" s="429"/>
      <c r="BK143" s="429"/>
      <c r="BL143" s="429"/>
      <c r="BM143" s="429"/>
      <c r="BN143" s="429"/>
      <c r="BO143" s="429"/>
      <c r="BP143" s="429"/>
      <c r="BQ143" s="429"/>
      <c r="BR143" s="429"/>
      <c r="BS143" s="429"/>
      <c r="BT143" s="429"/>
      <c r="BU143" s="429"/>
      <c r="BV143" s="429"/>
      <c r="BW143" s="429"/>
      <c r="BX143" s="429"/>
      <c r="BY143" s="429"/>
      <c r="BZ143" s="429"/>
      <c r="CA143" s="429"/>
      <c r="CB143" s="429"/>
      <c r="CC143" s="429"/>
      <c r="CD143" s="429"/>
    </row>
    <row r="144" ht="14.25" customHeight="1">
      <c r="A144" s="12"/>
      <c r="B144" s="429"/>
      <c r="C144" s="429"/>
      <c r="D144" s="429"/>
      <c r="E144" s="429"/>
      <c r="F144" s="429"/>
      <c r="G144" s="429"/>
      <c r="H144" s="429"/>
      <c r="I144" s="429"/>
      <c r="J144" s="429"/>
      <c r="K144" s="429"/>
      <c r="L144" s="429"/>
      <c r="M144" s="429"/>
      <c r="N144" s="429"/>
      <c r="O144" s="429"/>
      <c r="P144" s="429"/>
      <c r="Q144" s="429"/>
      <c r="R144" s="429"/>
      <c r="S144" s="12" t="s">
        <v>389</v>
      </c>
      <c r="AC144" s="12"/>
      <c r="AD144" s="12"/>
      <c r="AE144" s="429"/>
      <c r="AF144" s="429"/>
      <c r="AG144" s="429"/>
      <c r="AH144" s="429"/>
      <c r="AI144" s="429"/>
      <c r="AJ144" s="429"/>
      <c r="AK144" s="429"/>
      <c r="AL144" s="429"/>
      <c r="AM144" s="429"/>
      <c r="AN144" s="429"/>
      <c r="AO144" s="429"/>
      <c r="AP144" s="429"/>
      <c r="AQ144" s="429"/>
      <c r="AR144" s="429"/>
      <c r="AS144" s="429"/>
      <c r="AT144" s="429"/>
      <c r="AU144" s="429"/>
      <c r="AV144" s="429"/>
      <c r="AW144" s="429"/>
      <c r="AX144" s="429"/>
      <c r="AY144" s="429"/>
      <c r="AZ144" s="429"/>
      <c r="BA144" s="429"/>
      <c r="BB144" s="429"/>
      <c r="BC144" s="429"/>
      <c r="BD144" s="429"/>
      <c r="BE144" s="429"/>
      <c r="BF144" s="429"/>
      <c r="BG144" s="429"/>
      <c r="BH144" s="429"/>
      <c r="BI144" s="429"/>
      <c r="BJ144" s="429"/>
      <c r="BK144" s="429"/>
      <c r="BL144" s="429"/>
      <c r="BM144" s="429"/>
      <c r="BN144" s="429"/>
      <c r="BO144" s="429"/>
      <c r="BP144" s="429"/>
      <c r="BQ144" s="429"/>
      <c r="BR144" s="429"/>
      <c r="BS144" s="429"/>
      <c r="BT144" s="429"/>
      <c r="BU144" s="429"/>
      <c r="BV144" s="429"/>
      <c r="BW144" s="429"/>
      <c r="BX144" s="429"/>
      <c r="BY144" s="429"/>
      <c r="BZ144" s="429"/>
      <c r="CA144" s="429"/>
      <c r="CB144" s="429"/>
      <c r="CC144" s="429"/>
      <c r="CD144" s="429"/>
    </row>
    <row r="145" ht="14.25" customHeight="1">
      <c r="A145" s="12"/>
      <c r="B145" s="429"/>
      <c r="C145" s="429"/>
      <c r="D145" s="429"/>
      <c r="E145" s="429"/>
      <c r="F145" s="429"/>
      <c r="G145" s="429"/>
      <c r="H145" s="429"/>
      <c r="I145" s="429"/>
      <c r="J145" s="429"/>
      <c r="K145" s="429"/>
      <c r="L145" s="429"/>
      <c r="M145" s="429"/>
      <c r="N145" s="429"/>
      <c r="O145" s="429"/>
      <c r="P145" s="429"/>
      <c r="Q145" s="429"/>
      <c r="R145" s="429"/>
      <c r="S145" s="12" t="s">
        <v>390</v>
      </c>
      <c r="AC145" s="12"/>
      <c r="AD145" s="12"/>
      <c r="AE145" s="429"/>
      <c r="AF145" s="429"/>
      <c r="AG145" s="429"/>
      <c r="AH145" s="429"/>
      <c r="AI145" s="429"/>
      <c r="AJ145" s="429"/>
      <c r="AK145" s="429"/>
      <c r="AL145" s="429"/>
      <c r="AM145" s="429"/>
      <c r="AN145" s="429"/>
      <c r="AO145" s="429"/>
      <c r="AP145" s="429"/>
      <c r="AQ145" s="429"/>
      <c r="AR145" s="429"/>
      <c r="AS145" s="429"/>
      <c r="AT145" s="429"/>
      <c r="AU145" s="429"/>
      <c r="AV145" s="429"/>
      <c r="AW145" s="429"/>
      <c r="AX145" s="429"/>
      <c r="AY145" s="429"/>
      <c r="AZ145" s="429"/>
      <c r="BA145" s="429"/>
      <c r="BB145" s="429"/>
      <c r="BC145" s="429"/>
      <c r="BD145" s="429"/>
      <c r="BE145" s="429"/>
      <c r="BF145" s="429"/>
      <c r="BG145" s="429"/>
      <c r="BH145" s="429"/>
      <c r="BI145" s="429"/>
      <c r="BJ145" s="429"/>
      <c r="BK145" s="429"/>
      <c r="BL145" s="429"/>
      <c r="BM145" s="429"/>
      <c r="BN145" s="429"/>
      <c r="BO145" s="429"/>
      <c r="BP145" s="429"/>
      <c r="BQ145" s="429"/>
      <c r="BR145" s="429"/>
      <c r="BS145" s="429"/>
      <c r="BT145" s="429"/>
      <c r="BU145" s="429"/>
      <c r="BV145" s="429"/>
      <c r="BW145" s="429"/>
      <c r="BX145" s="429"/>
      <c r="BY145" s="429"/>
      <c r="BZ145" s="429"/>
      <c r="CA145" s="429"/>
      <c r="CB145" s="429"/>
      <c r="CC145" s="429"/>
      <c r="CD145" s="429"/>
    </row>
    <row r="146" ht="14.25" customHeight="1">
      <c r="A146" s="12"/>
      <c r="B146" s="429"/>
      <c r="C146" s="429"/>
      <c r="D146" s="429"/>
      <c r="E146" s="429"/>
      <c r="F146" s="429"/>
      <c r="G146" s="429"/>
      <c r="H146" s="429"/>
      <c r="I146" s="429"/>
      <c r="J146" s="429"/>
      <c r="K146" s="429"/>
      <c r="L146" s="429"/>
      <c r="M146" s="429"/>
      <c r="N146" s="429"/>
      <c r="O146" s="429"/>
      <c r="P146" s="429"/>
      <c r="Q146" s="429"/>
      <c r="R146" s="429"/>
      <c r="S146" s="12"/>
      <c r="AC146" s="429"/>
      <c r="AD146" s="429"/>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row>
    <row r="147" ht="14.25" customHeight="1">
      <c r="A147" s="12"/>
      <c r="B147" s="429"/>
      <c r="C147" s="429"/>
      <c r="D147" s="429"/>
      <c r="E147" s="429"/>
      <c r="F147" s="429"/>
      <c r="G147" s="429"/>
      <c r="H147" s="429"/>
      <c r="I147" s="429"/>
      <c r="J147" s="429"/>
      <c r="K147" s="429"/>
      <c r="L147" s="429"/>
      <c r="M147" s="429"/>
      <c r="N147" s="429"/>
      <c r="O147" s="429"/>
      <c r="P147" s="429"/>
      <c r="Q147" s="429"/>
      <c r="R147" s="429"/>
      <c r="S147" s="676"/>
      <c r="AC147" s="429"/>
      <c r="AD147" s="429"/>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row>
    <row r="148" ht="14.25" customHeight="1">
      <c r="A148" s="12"/>
      <c r="B148" s="429"/>
      <c r="C148" s="429"/>
      <c r="D148" s="429"/>
      <c r="E148" s="429"/>
      <c r="F148" s="429"/>
      <c r="G148" s="429"/>
      <c r="H148" s="429"/>
      <c r="I148" s="429"/>
      <c r="J148" s="429"/>
      <c r="K148" s="429"/>
      <c r="L148" s="429"/>
      <c r="M148" s="429"/>
      <c r="N148" s="429"/>
      <c r="O148" s="429"/>
      <c r="P148" s="429"/>
      <c r="Q148" s="429"/>
      <c r="R148" s="429"/>
      <c r="S148" s="677"/>
      <c r="T148" s="678"/>
      <c r="U148" s="678"/>
      <c r="V148" s="678"/>
      <c r="W148" s="678"/>
      <c r="X148" s="678"/>
      <c r="Y148" s="678"/>
      <c r="Z148" s="678"/>
      <c r="AA148" s="678"/>
      <c r="AB148" s="679"/>
      <c r="AC148" s="429"/>
      <c r="AD148" s="429"/>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row>
    <row r="149" ht="14.25" customHeight="1">
      <c r="A149" s="12"/>
      <c r="B149" s="429"/>
      <c r="C149" s="429"/>
      <c r="D149" s="429"/>
      <c r="E149" s="429"/>
      <c r="F149" s="429"/>
      <c r="G149" s="429"/>
      <c r="H149" s="429"/>
      <c r="I149" s="429"/>
      <c r="J149" s="429"/>
      <c r="K149" s="429"/>
      <c r="L149" s="429"/>
      <c r="M149" s="429"/>
      <c r="N149" s="429"/>
      <c r="O149" s="429"/>
      <c r="P149" s="429"/>
      <c r="Q149" s="429"/>
      <c r="R149" s="429"/>
      <c r="S149" s="12"/>
      <c r="AC149" s="429"/>
      <c r="AD149" s="429"/>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row>
    <row r="150" ht="14.25" customHeight="1">
      <c r="A150" s="12"/>
      <c r="B150" s="429"/>
      <c r="C150" s="429"/>
      <c r="D150" s="429"/>
      <c r="E150" s="429"/>
      <c r="F150" s="429"/>
      <c r="G150" s="429"/>
      <c r="H150" s="429"/>
      <c r="I150" s="429"/>
      <c r="J150" s="429"/>
      <c r="K150" s="429"/>
      <c r="L150" s="429"/>
      <c r="M150" s="429"/>
      <c r="N150" s="429"/>
      <c r="O150" s="429"/>
      <c r="P150" s="429"/>
      <c r="Q150" s="429"/>
      <c r="R150" s="429"/>
      <c r="S150" s="680" t="str">
        <f>SETTING!$C$32</f>
        <v>WAHYU TAMIMBARKAH, S,Pd.</v>
      </c>
      <c r="AC150" s="680"/>
      <c r="AD150" s="680"/>
      <c r="AE150" s="681"/>
      <c r="AF150" s="681"/>
      <c r="AG150" s="681"/>
      <c r="AH150" s="681"/>
      <c r="AI150" s="681"/>
      <c r="AJ150" s="681"/>
      <c r="AK150" s="681"/>
      <c r="AL150" s="681"/>
      <c r="AM150" s="681"/>
      <c r="AN150" s="681"/>
      <c r="AO150" s="681"/>
      <c r="AP150" s="681"/>
      <c r="AQ150" s="681"/>
      <c r="AR150" s="681"/>
      <c r="AS150" s="681"/>
      <c r="AT150" s="681"/>
      <c r="AU150" s="681"/>
      <c r="AV150" s="681"/>
      <c r="AW150" s="681"/>
      <c r="AX150" s="681"/>
      <c r="AY150" s="681"/>
      <c r="AZ150" s="681"/>
      <c r="BA150" s="681"/>
      <c r="BB150" s="681"/>
      <c r="BC150" s="681"/>
      <c r="BD150" s="681"/>
      <c r="BE150" s="681"/>
      <c r="BF150" s="681"/>
      <c r="BG150" s="681"/>
      <c r="BH150" s="681"/>
      <c r="BI150" s="681"/>
      <c r="BJ150" s="681"/>
      <c r="BK150" s="681"/>
      <c r="BL150" s="681"/>
      <c r="BM150" s="681"/>
      <c r="BN150" s="681"/>
      <c r="BO150" s="681"/>
      <c r="BP150" s="681"/>
      <c r="BQ150" s="681"/>
      <c r="BR150" s="681"/>
      <c r="BS150" s="681"/>
      <c r="BT150" s="681"/>
      <c r="BU150" s="681"/>
      <c r="BV150" s="681"/>
      <c r="BW150" s="681"/>
      <c r="BX150" s="681"/>
      <c r="BY150" s="681"/>
      <c r="BZ150" s="681"/>
      <c r="CA150" s="681"/>
      <c r="CB150" s="681"/>
      <c r="CC150" s="681"/>
      <c r="CD150" s="681"/>
    </row>
    <row r="151" ht="14.25" customHeight="1">
      <c r="A151" s="12"/>
      <c r="B151" s="429"/>
      <c r="C151" s="429"/>
      <c r="D151" s="429"/>
      <c r="E151" s="429"/>
      <c r="F151" s="429"/>
      <c r="G151" s="429"/>
      <c r="H151" s="429"/>
      <c r="I151" s="429"/>
      <c r="J151" s="429"/>
      <c r="K151" s="429"/>
      <c r="L151" s="429"/>
      <c r="M151" s="429"/>
      <c r="N151" s="429"/>
      <c r="O151" s="429"/>
      <c r="P151" s="429"/>
      <c r="Q151" s="429"/>
      <c r="R151" s="429"/>
      <c r="S151" s="12" t="str">
        <f>SETTING!$C$33</f>
        <v>NIP. 197111022008011001</v>
      </c>
      <c r="AC151" s="12"/>
      <c r="AD151" s="12"/>
      <c r="AE151" s="429"/>
      <c r="AF151" s="429"/>
      <c r="AG151" s="429"/>
      <c r="AH151" s="429"/>
      <c r="AI151" s="429"/>
      <c r="AJ151" s="429"/>
      <c r="AK151" s="429"/>
      <c r="AL151" s="429"/>
      <c r="AM151" s="429"/>
      <c r="AN151" s="429"/>
      <c r="AO151" s="429"/>
      <c r="AP151" s="429"/>
      <c r="AQ151" s="429"/>
      <c r="AR151" s="429"/>
      <c r="AS151" s="429"/>
      <c r="AT151" s="429"/>
      <c r="AU151" s="429"/>
      <c r="AV151" s="429"/>
      <c r="AW151" s="429"/>
      <c r="AX151" s="429"/>
      <c r="AY151" s="429"/>
      <c r="AZ151" s="429"/>
      <c r="BA151" s="429"/>
      <c r="BB151" s="429"/>
      <c r="BC151" s="429"/>
      <c r="BD151" s="429"/>
      <c r="BE151" s="429"/>
      <c r="BF151" s="429"/>
      <c r="BG151" s="429"/>
      <c r="BH151" s="429"/>
      <c r="BI151" s="429"/>
      <c r="BJ151" s="429"/>
      <c r="BK151" s="429"/>
      <c r="BL151" s="429"/>
      <c r="BM151" s="429"/>
      <c r="BN151" s="429"/>
      <c r="BO151" s="429"/>
      <c r="BP151" s="429"/>
      <c r="BQ151" s="429"/>
      <c r="BR151" s="429"/>
      <c r="BS151" s="429"/>
      <c r="BT151" s="429"/>
      <c r="BU151" s="429"/>
      <c r="BV151" s="429"/>
      <c r="BW151" s="429"/>
      <c r="BX151" s="429"/>
      <c r="BY151" s="429"/>
      <c r="BZ151" s="429"/>
      <c r="CA151" s="429"/>
      <c r="CB151" s="429"/>
      <c r="CC151" s="429"/>
      <c r="CD151" s="429"/>
    </row>
    <row r="152" ht="14.25" customHeight="1">
      <c r="A152" s="448"/>
      <c r="B152" s="15"/>
      <c r="C152" s="15"/>
      <c r="D152" s="15"/>
      <c r="E152" s="15"/>
      <c r="F152" s="15"/>
      <c r="G152" s="15"/>
      <c r="H152" s="15"/>
      <c r="I152" s="15"/>
      <c r="J152" s="15"/>
      <c r="K152" s="15"/>
      <c r="L152" s="15"/>
      <c r="M152" s="15"/>
      <c r="N152" s="15"/>
      <c r="O152" s="15"/>
      <c r="P152" s="15"/>
      <c r="Q152" s="15"/>
      <c r="R152" s="15"/>
      <c r="S152" s="448"/>
      <c r="T152" s="448"/>
      <c r="U152" s="550"/>
      <c r="V152" s="550"/>
      <c r="W152" s="15"/>
      <c r="X152" s="15"/>
      <c r="Y152" s="448"/>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row>
    <row r="153" ht="14.25" customHeight="1">
      <c r="A153" s="448"/>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row>
    <row r="154" ht="14.25" customHeight="1">
      <c r="A154" s="448"/>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row>
    <row r="155" ht="14.25" customHeight="1">
      <c r="A155" s="448"/>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row>
    <row r="156" ht="14.25" customHeight="1">
      <c r="A156" s="448"/>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row>
    <row r="157" ht="14.25" customHeight="1">
      <c r="A157" s="448"/>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row>
    <row r="158" ht="14.25" customHeight="1">
      <c r="A158" s="448"/>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row>
    <row r="159" ht="14.25" customHeight="1">
      <c r="A159" s="448"/>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row>
    <row r="160" ht="14.25" customHeight="1">
      <c r="A160" s="448"/>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row>
    <row r="161" ht="14.25" customHeight="1">
      <c r="A161" s="448"/>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row>
    <row r="162" ht="14.25" customHeight="1">
      <c r="A162" s="448"/>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row>
    <row r="163" ht="14.25" customHeight="1">
      <c r="A163" s="448"/>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row>
    <row r="164" ht="14.25" customHeight="1">
      <c r="A164" s="448"/>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row>
    <row r="165" ht="14.25" customHeight="1">
      <c r="A165" s="448"/>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row>
    <row r="166" ht="14.25" customHeight="1">
      <c r="A166" s="448"/>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row>
    <row r="167" ht="14.25" customHeight="1">
      <c r="A167" s="448"/>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row>
    <row r="168" ht="14.25" customHeight="1">
      <c r="A168" s="448"/>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row>
    <row r="169" ht="14.25" customHeight="1">
      <c r="A169" s="448"/>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row>
    <row r="170" ht="14.25" customHeight="1">
      <c r="A170" s="448"/>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row>
    <row r="171" ht="14.25" customHeight="1">
      <c r="A171" s="448"/>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row>
    <row r="172" ht="14.25" customHeight="1">
      <c r="A172" s="448"/>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row>
    <row r="173" ht="14.25" customHeight="1">
      <c r="A173" s="448"/>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row>
    <row r="174" ht="14.25" customHeight="1">
      <c r="A174" s="448"/>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row>
    <row r="175" ht="14.25" customHeight="1">
      <c r="A175" s="448"/>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row>
    <row r="176" ht="14.25" customHeight="1">
      <c r="A176" s="448"/>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row>
    <row r="177" ht="14.25" customHeight="1">
      <c r="A177" s="448"/>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row>
    <row r="178" ht="14.25" customHeight="1">
      <c r="A178" s="448"/>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row>
    <row r="179" ht="14.25" customHeight="1">
      <c r="A179" s="448"/>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row>
    <row r="180" ht="14.25" customHeight="1">
      <c r="A180" s="448"/>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row>
    <row r="181" ht="14.25" customHeight="1">
      <c r="A181" s="448"/>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row>
    <row r="182" ht="14.25" customHeight="1">
      <c r="A182" s="448"/>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row>
    <row r="183" ht="14.25" customHeight="1">
      <c r="A183" s="448"/>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row>
    <row r="184" ht="14.25" customHeight="1">
      <c r="A184" s="448"/>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row>
    <row r="185" ht="14.25" customHeight="1">
      <c r="A185" s="448"/>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row>
    <row r="186" ht="14.25" customHeight="1">
      <c r="A186" s="448"/>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row>
    <row r="187" ht="14.25" customHeight="1">
      <c r="A187" s="448"/>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row>
    <row r="188" ht="14.25" customHeight="1">
      <c r="A188" s="448"/>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row>
    <row r="189" ht="14.25" customHeight="1">
      <c r="A189" s="448"/>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row>
    <row r="190" ht="14.25" customHeight="1">
      <c r="A190" s="448"/>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row>
    <row r="191" ht="14.25" customHeight="1">
      <c r="A191" s="448"/>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row>
    <row r="192" ht="14.25" customHeight="1">
      <c r="A192" s="448"/>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row>
    <row r="193" ht="14.25" customHeight="1">
      <c r="A193" s="448"/>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row>
    <row r="194" ht="14.25" customHeight="1">
      <c r="A194" s="448"/>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row>
    <row r="195" ht="14.25" customHeight="1">
      <c r="A195" s="448"/>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row>
    <row r="196" ht="14.25" customHeight="1">
      <c r="A196" s="448"/>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row>
    <row r="197" ht="14.25" customHeight="1">
      <c r="A197" s="448"/>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row>
    <row r="198" ht="14.25" customHeight="1">
      <c r="A198" s="448"/>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row>
    <row r="199" ht="14.25" customHeight="1">
      <c r="A199" s="448"/>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row>
    <row r="200" ht="14.25" customHeight="1">
      <c r="A200" s="448"/>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row>
  </sheetData>
  <mergeCells count="198">
    <mergeCell ref="Q22:R22"/>
    <mergeCell ref="Q23:R23"/>
    <mergeCell ref="Q13:R13"/>
    <mergeCell ref="Q14:R14"/>
    <mergeCell ref="Q15:R15"/>
    <mergeCell ref="Q16:R16"/>
    <mergeCell ref="Q19:R19"/>
    <mergeCell ref="Q20:R20"/>
    <mergeCell ref="Q21:R21"/>
    <mergeCell ref="W4:X4"/>
    <mergeCell ref="W8:X8"/>
    <mergeCell ref="A1:B1"/>
    <mergeCell ref="U1:U3"/>
    <mergeCell ref="A2:B2"/>
    <mergeCell ref="A3:B3"/>
    <mergeCell ref="W3:X3"/>
    <mergeCell ref="A4:B4"/>
    <mergeCell ref="A7:R7"/>
    <mergeCell ref="B9:D9"/>
    <mergeCell ref="E9:F9"/>
    <mergeCell ref="G9:R9"/>
    <mergeCell ref="A10:R10"/>
    <mergeCell ref="B11:D11"/>
    <mergeCell ref="E11:F11"/>
    <mergeCell ref="Q11:R11"/>
    <mergeCell ref="B12:D12"/>
    <mergeCell ref="E12:F12"/>
    <mergeCell ref="Q12:R12"/>
    <mergeCell ref="B13:D13"/>
    <mergeCell ref="E13:F13"/>
    <mergeCell ref="B14:D14"/>
    <mergeCell ref="E14:F14"/>
    <mergeCell ref="B15:D15"/>
    <mergeCell ref="E15:F15"/>
    <mergeCell ref="B16:D16"/>
    <mergeCell ref="E16:F16"/>
    <mergeCell ref="A17:R17"/>
    <mergeCell ref="E18:F18"/>
    <mergeCell ref="Q18:R18"/>
    <mergeCell ref="B18:D18"/>
    <mergeCell ref="B19:D19"/>
    <mergeCell ref="E19:F19"/>
    <mergeCell ref="B20:D20"/>
    <mergeCell ref="E20:F20"/>
    <mergeCell ref="B21:D21"/>
    <mergeCell ref="E21:F21"/>
    <mergeCell ref="Q26:R26"/>
    <mergeCell ref="Q27:R27"/>
    <mergeCell ref="Q24:R24"/>
    <mergeCell ref="Q29:R29"/>
    <mergeCell ref="B24:D24"/>
    <mergeCell ref="B26:D26"/>
    <mergeCell ref="E26:F26"/>
    <mergeCell ref="B27:D27"/>
    <mergeCell ref="E27:F27"/>
    <mergeCell ref="B29:D29"/>
    <mergeCell ref="E29:F29"/>
    <mergeCell ref="E31:R31"/>
    <mergeCell ref="E32:R34"/>
    <mergeCell ref="B22:D22"/>
    <mergeCell ref="E22:F22"/>
    <mergeCell ref="B23:D23"/>
    <mergeCell ref="E23:F23"/>
    <mergeCell ref="E24:F24"/>
    <mergeCell ref="A25:R25"/>
    <mergeCell ref="A28:R28"/>
    <mergeCell ref="A31:D31"/>
    <mergeCell ref="A32:B32"/>
    <mergeCell ref="C32:D32"/>
    <mergeCell ref="A33:B33"/>
    <mergeCell ref="C33:D33"/>
    <mergeCell ref="A34:B34"/>
    <mergeCell ref="C34:D34"/>
    <mergeCell ref="B39:C39"/>
    <mergeCell ref="D46:K46"/>
    <mergeCell ref="D47:K47"/>
    <mergeCell ref="D52:K52"/>
    <mergeCell ref="D53:K53"/>
    <mergeCell ref="S55:AB55"/>
    <mergeCell ref="S56:AB56"/>
    <mergeCell ref="S62:T62"/>
    <mergeCell ref="V62:Y62"/>
    <mergeCell ref="S58:T58"/>
    <mergeCell ref="V58:Y58"/>
    <mergeCell ref="AC58:AC60"/>
    <mergeCell ref="S59:T59"/>
    <mergeCell ref="V59:Y59"/>
    <mergeCell ref="S60:T60"/>
    <mergeCell ref="S61:T61"/>
    <mergeCell ref="V60:Y60"/>
    <mergeCell ref="V61:Y61"/>
    <mergeCell ref="S63:T63"/>
    <mergeCell ref="V63:Y63"/>
    <mergeCell ref="S64:T64"/>
    <mergeCell ref="V64:Y64"/>
    <mergeCell ref="S65:T65"/>
    <mergeCell ref="W71:X71"/>
    <mergeCell ref="Y71:AB71"/>
    <mergeCell ref="V65:Y65"/>
    <mergeCell ref="S67:AB67"/>
    <mergeCell ref="T69:V69"/>
    <mergeCell ref="W69:X69"/>
    <mergeCell ref="Y69:AB69"/>
    <mergeCell ref="S70:AB70"/>
    <mergeCell ref="T71:V71"/>
    <mergeCell ref="W74:X74"/>
    <mergeCell ref="Y74:AB74"/>
    <mergeCell ref="T72:V72"/>
    <mergeCell ref="W72:X72"/>
    <mergeCell ref="Y72:AB72"/>
    <mergeCell ref="T73:V73"/>
    <mergeCell ref="W73:X73"/>
    <mergeCell ref="Y73:AB73"/>
    <mergeCell ref="T74:V74"/>
    <mergeCell ref="T75:V75"/>
    <mergeCell ref="W75:X75"/>
    <mergeCell ref="Y75:AB75"/>
    <mergeCell ref="T76:V76"/>
    <mergeCell ref="W76:X76"/>
    <mergeCell ref="Y76:AB76"/>
    <mergeCell ref="S77:AB77"/>
    <mergeCell ref="V105:Y105"/>
    <mergeCell ref="V106:Y106"/>
    <mergeCell ref="S103:T103"/>
    <mergeCell ref="V103:Y103"/>
    <mergeCell ref="AC103:AC105"/>
    <mergeCell ref="S104:T104"/>
    <mergeCell ref="V104:Y104"/>
    <mergeCell ref="S105:T105"/>
    <mergeCell ref="S106:T106"/>
    <mergeCell ref="V110:Y110"/>
    <mergeCell ref="S114:AB114"/>
    <mergeCell ref="T118:V118"/>
    <mergeCell ref="W118:AB118"/>
    <mergeCell ref="T119:V119"/>
    <mergeCell ref="W119:AB119"/>
    <mergeCell ref="T120:V120"/>
    <mergeCell ref="S126:T126"/>
    <mergeCell ref="U126:V126"/>
    <mergeCell ref="W120:AB120"/>
    <mergeCell ref="S121:AB121"/>
    <mergeCell ref="S124:V124"/>
    <mergeCell ref="W124:AB124"/>
    <mergeCell ref="S125:T125"/>
    <mergeCell ref="U125:V125"/>
    <mergeCell ref="W125:AB127"/>
    <mergeCell ref="S146:AB146"/>
    <mergeCell ref="S147:AB147"/>
    <mergeCell ref="S148:AB148"/>
    <mergeCell ref="S149:AB149"/>
    <mergeCell ref="S150:AB150"/>
    <mergeCell ref="S151:AB151"/>
    <mergeCell ref="S127:T127"/>
    <mergeCell ref="U127:V127"/>
    <mergeCell ref="S134:U134"/>
    <mergeCell ref="U136:W136"/>
    <mergeCell ref="U137:W137"/>
    <mergeCell ref="S144:AB144"/>
    <mergeCell ref="S145:AB145"/>
    <mergeCell ref="W80:X80"/>
    <mergeCell ref="Y80:AB80"/>
    <mergeCell ref="T78:V78"/>
    <mergeCell ref="W78:X78"/>
    <mergeCell ref="Y78:AB78"/>
    <mergeCell ref="T79:V79"/>
    <mergeCell ref="W79:X79"/>
    <mergeCell ref="Y79:AB79"/>
    <mergeCell ref="T80:V80"/>
    <mergeCell ref="W83:X83"/>
    <mergeCell ref="Y83:AB83"/>
    <mergeCell ref="T81:V81"/>
    <mergeCell ref="W81:X81"/>
    <mergeCell ref="Y81:AB81"/>
    <mergeCell ref="T82:V82"/>
    <mergeCell ref="W82:X82"/>
    <mergeCell ref="Y82:AB82"/>
    <mergeCell ref="T83:V83"/>
    <mergeCell ref="T84:V84"/>
    <mergeCell ref="W84:X84"/>
    <mergeCell ref="Y84:AB84"/>
    <mergeCell ref="S85:AB85"/>
    <mergeCell ref="T86:V86"/>
    <mergeCell ref="W86:X86"/>
    <mergeCell ref="Y86:AB86"/>
    <mergeCell ref="T87:V87"/>
    <mergeCell ref="W87:X87"/>
    <mergeCell ref="Y87:AB87"/>
    <mergeCell ref="S88:AB88"/>
    <mergeCell ref="T89:V89"/>
    <mergeCell ref="W89:X89"/>
    <mergeCell ref="Y89:AB89"/>
    <mergeCell ref="S107:T107"/>
    <mergeCell ref="V107:Y107"/>
    <mergeCell ref="S108:T108"/>
    <mergeCell ref="V108:Y108"/>
    <mergeCell ref="S109:T109"/>
    <mergeCell ref="V109:Y109"/>
    <mergeCell ref="S110:T110"/>
  </mergeCells>
  <conditionalFormatting sqref="I27 I29">
    <cfRule type="cellIs" dxfId="2" priority="1" operator="equal">
      <formula>0</formula>
    </cfRule>
  </conditionalFormatting>
  <conditionalFormatting sqref="M27 M29">
    <cfRule type="cellIs" dxfId="2" priority="2" operator="equal">
      <formula>0</formula>
    </cfRule>
  </conditionalFormatting>
  <conditionalFormatting sqref="Q27 Q29">
    <cfRule type="cellIs" dxfId="2" priority="3" operator="equal">
      <formula>0</formula>
    </cfRule>
  </conditionalFormatting>
  <conditionalFormatting sqref="I15:I16 M15:M16 Q15:R16">
    <cfRule type="cellIs" dxfId="2" priority="4" operator="equal">
      <formula>0</formula>
    </cfRule>
  </conditionalFormatting>
  <conditionalFormatting sqref="Q21:Q24 Q26:Q27 Q29">
    <cfRule type="cellIs" dxfId="2" priority="5" operator="equal">
      <formula>0</formula>
    </cfRule>
  </conditionalFormatting>
  <conditionalFormatting sqref="I21:I24 I26:I27 I29">
    <cfRule type="cellIs" dxfId="2" priority="6" operator="equal">
      <formula>0</formula>
    </cfRule>
  </conditionalFormatting>
  <conditionalFormatting sqref="M21:M24 M26:M27 M29">
    <cfRule type="cellIs" dxfId="2" priority="7" operator="equal">
      <formula>0</formula>
    </cfRule>
  </conditionalFormatting>
  <conditionalFormatting sqref="W71:AB74 AD71:AD89">
    <cfRule type="cellIs" dxfId="2" priority="8" operator="equal">
      <formula>0</formula>
    </cfRule>
  </conditionalFormatting>
  <conditionalFormatting sqref="AD77 W78:W84 Y78:Y84 X81:X84 Z81:AB84 AD81:AD89 W86:AB87 W89:AB89">
    <cfRule type="cellIs" dxfId="2" priority="9" operator="equal">
      <formula>0</formula>
    </cfRule>
  </conditionalFormatting>
  <conditionalFormatting sqref="W75:AB76 AD75:AD76">
    <cfRule type="cellIs" dxfId="2" priority="10" operator="equal">
      <formula>0</formula>
    </cfRule>
  </conditionalFormatting>
  <conditionalFormatting sqref="W89:AB89">
    <cfRule type="cellIs" dxfId="2" priority="11" operator="equal">
      <formula>0</formula>
    </cfRule>
  </conditionalFormatting>
  <conditionalFormatting sqref="W76:AB76 AD76">
    <cfRule type="cellIs" dxfId="2" priority="12" operator="equal">
      <formula>0</formula>
    </cfRule>
  </conditionalFormatting>
  <conditionalFormatting sqref="W81:AB84 AD81:AD89 W86:AB87 W89:AB89">
    <cfRule type="cellIs" dxfId="2" priority="13" operator="equal">
      <formula>0</formula>
    </cfRule>
  </conditionalFormatting>
  <conditionalFormatting sqref="W119:CD120">
    <cfRule type="cellIs" dxfId="2" priority="14" operator="equal">
      <formula>0</formula>
    </cfRule>
  </conditionalFormatting>
  <conditionalFormatting sqref="U125:V127">
    <cfRule type="cellIs" dxfId="2" priority="15" operator="equal">
      <formula>0</formula>
    </cfRule>
  </conditionalFormatting>
  <conditionalFormatting sqref="S130:T130">
    <cfRule type="expression" dxfId="3" priority="16">
      <formula>P3="Ganjil"</formula>
    </cfRule>
  </conditionalFormatting>
  <conditionalFormatting sqref="S132:T132">
    <cfRule type="expression" dxfId="3" priority="17">
      <formula>P3="Ganjil"</formula>
    </cfRule>
  </conditionalFormatting>
  <conditionalFormatting sqref="S133:T133">
    <cfRule type="expression" dxfId="3" priority="18">
      <formula>P3="Ganjil"</formula>
    </cfRule>
  </conditionalFormatting>
  <conditionalFormatting sqref="S134:T134">
    <cfRule type="expression" dxfId="3" priority="19">
      <formula>P3="Ganjil"</formula>
    </cfRule>
  </conditionalFormatting>
  <conditionalFormatting sqref="S134:T134">
    <cfRule type="expression" dxfId="4" priority="20">
      <formula>OR(S129="NAIK",S129="LULUS")</formula>
    </cfRule>
  </conditionalFormatting>
  <conditionalFormatting sqref="S133:T133">
    <cfRule type="expression" dxfId="4" priority="21">
      <formula>OR(S129="TINGGAL",OR(S129="TIDAK LULUS",S129="TINGGAL"))</formula>
    </cfRule>
  </conditionalFormatting>
  <conditionalFormatting sqref="U132:V132">
    <cfRule type="expression" dxfId="3" priority="22">
      <formula>P3="Ganjil"</formula>
    </cfRule>
  </conditionalFormatting>
  <conditionalFormatting sqref="U132:V132">
    <cfRule type="expression" dxfId="5" priority="23">
      <formula>OR(S129="TINGGAL",OR(S129="LULUS",S129="NAIK"))</formula>
    </cfRule>
  </conditionalFormatting>
  <conditionalFormatting sqref="E11:F16 I11:I16 M11:M16 Q11:R16 E18:F24 I18:I24 M18:M24 Q18:R24 E26:F27 I26:I27 M26:M27 Q26:R27 E29:F29 I29 M29 Q29:R29">
    <cfRule type="cellIs" dxfId="6" priority="24" operator="lessThan">
      <formula>72</formula>
    </cfRule>
  </conditionalFormatting>
  <conditionalFormatting sqref="W71:X76 W78:X84">
    <cfRule type="cellIs" dxfId="6" priority="25" operator="lessThan">
      <formula>72</formula>
    </cfRule>
  </conditionalFormatting>
  <conditionalFormatting sqref="W119:AB120">
    <cfRule type="cellIs" dxfId="7" priority="26" operator="equal">
      <formula>", dan memperoleh prestasi dengan predikat "</formula>
    </cfRule>
  </conditionalFormatting>
  <printOptions horizontalCentered="1"/>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4.43"/>
    <col customWidth="1" hidden="1" min="2" max="3" width="29.43"/>
    <col customWidth="1" min="4" max="4" width="37.71"/>
    <col customWidth="1" min="5" max="5" width="11.29"/>
    <col customWidth="1" min="6" max="6" width="20.14"/>
    <col customWidth="1" min="7" max="8" width="12.57"/>
    <col customWidth="1" min="9" max="16" width="6.71"/>
    <col customWidth="1" min="17" max="18" width="10.71"/>
    <col customWidth="1" min="19" max="24" width="6.71"/>
    <col customWidth="1" min="25" max="25" width="7.71"/>
    <col customWidth="1" min="26" max="26" width="10.86"/>
    <col customWidth="1" min="28" max="28" width="9.14"/>
  </cols>
  <sheetData>
    <row r="1" ht="23.25" customHeight="1">
      <c r="A1" s="478" t="s">
        <v>353</v>
      </c>
      <c r="I1" s="481"/>
      <c r="J1" s="481"/>
      <c r="K1" s="481"/>
      <c r="L1" s="481"/>
      <c r="M1" s="481"/>
      <c r="N1" s="481"/>
      <c r="O1" s="481"/>
      <c r="P1" s="481"/>
      <c r="Q1" s="481"/>
      <c r="R1" s="481"/>
      <c r="S1" s="481"/>
      <c r="T1" s="481"/>
      <c r="U1" s="481"/>
      <c r="V1" s="481"/>
      <c r="W1" s="481"/>
      <c r="X1" s="481"/>
      <c r="Y1" s="481"/>
      <c r="Z1" s="481"/>
      <c r="AA1" s="481"/>
      <c r="AB1" s="483"/>
    </row>
    <row r="2">
      <c r="A2" s="486" t="str">
        <f>SETTING!C30</f>
        <v>SMKN 1 PLERED</v>
      </c>
      <c r="I2" s="488"/>
      <c r="J2" s="488"/>
      <c r="K2" s="488"/>
      <c r="L2" s="488"/>
      <c r="M2" s="488"/>
      <c r="N2" s="488"/>
      <c r="O2" s="488"/>
      <c r="P2" s="488"/>
      <c r="Q2" s="488"/>
      <c r="R2" s="488"/>
      <c r="S2" s="488"/>
      <c r="T2" s="488"/>
      <c r="U2" s="488"/>
      <c r="V2" s="488"/>
      <c r="W2" s="488"/>
      <c r="X2" s="488"/>
      <c r="Y2" s="488"/>
      <c r="Z2" s="488"/>
      <c r="AA2" s="488"/>
      <c r="AB2" s="490"/>
    </row>
    <row r="3" ht="22.5" customHeight="1">
      <c r="A3" s="491" t="str">
        <f>SETTING!C4</f>
        <v>2025 / 2026</v>
      </c>
      <c r="I3" s="493"/>
      <c r="J3" s="493"/>
      <c r="K3" s="493"/>
      <c r="L3" s="493"/>
      <c r="M3" s="493"/>
      <c r="N3" s="493"/>
      <c r="O3" s="493"/>
      <c r="P3" s="493"/>
      <c r="Q3" s="493"/>
      <c r="R3" s="493"/>
      <c r="S3" s="493"/>
      <c r="T3" s="493"/>
      <c r="U3" s="493"/>
      <c r="V3" s="493"/>
      <c r="W3" s="493"/>
      <c r="X3" s="493"/>
      <c r="Y3" s="493"/>
      <c r="Z3" s="493"/>
      <c r="AA3" s="493"/>
      <c r="AB3" s="494"/>
    </row>
    <row r="4" ht="12.75" customHeight="1">
      <c r="A4" s="12"/>
      <c r="B4" s="12"/>
      <c r="C4" s="12"/>
      <c r="D4" s="12"/>
      <c r="E4" s="12"/>
      <c r="F4" s="12"/>
      <c r="G4" s="495"/>
      <c r="H4" s="495"/>
      <c r="I4" s="12"/>
      <c r="J4" s="12"/>
      <c r="K4" s="12"/>
      <c r="L4" s="12"/>
      <c r="M4" s="12"/>
      <c r="N4" s="12"/>
      <c r="O4" s="12"/>
      <c r="P4" s="12"/>
      <c r="Q4" s="12"/>
      <c r="R4" s="12"/>
      <c r="S4" s="12"/>
      <c r="T4" s="12"/>
      <c r="U4" s="12"/>
      <c r="V4" s="12"/>
      <c r="W4" s="12"/>
      <c r="X4" s="12"/>
      <c r="Y4" s="12"/>
      <c r="Z4" s="12"/>
      <c r="AA4" s="496"/>
      <c r="AB4" s="496"/>
    </row>
    <row r="5" ht="45.75" customHeight="1">
      <c r="A5" s="497" t="s">
        <v>0</v>
      </c>
      <c r="B5" s="498"/>
      <c r="C5" s="498"/>
      <c r="D5" s="498" t="s">
        <v>3</v>
      </c>
      <c r="E5" s="499" t="s">
        <v>4</v>
      </c>
      <c r="F5" s="500" t="s">
        <v>355</v>
      </c>
      <c r="G5" s="501" t="s">
        <v>356</v>
      </c>
      <c r="H5" s="502"/>
      <c r="I5" s="503"/>
      <c r="J5" s="503"/>
      <c r="K5" s="503"/>
      <c r="L5" s="503"/>
      <c r="M5" s="503"/>
      <c r="N5" s="503"/>
      <c r="O5" s="503"/>
      <c r="P5" s="503"/>
      <c r="Q5" s="503"/>
      <c r="R5" s="503"/>
      <c r="S5" s="503"/>
      <c r="T5" s="503"/>
      <c r="U5" s="503"/>
      <c r="V5" s="503"/>
      <c r="W5" s="15"/>
      <c r="X5" s="15"/>
      <c r="Y5" s="15"/>
      <c r="Z5" s="15"/>
      <c r="AA5" s="15"/>
      <c r="AB5" s="15"/>
    </row>
    <row r="6" ht="15.75" customHeight="1">
      <c r="A6" s="504">
        <f>IFERROR(__xludf.DUMMYFUNCTION("QUERY(SETTING!$E$3:$I$56, ""SELECT * WHERE Col1 IS NOT NULL"")
"),1.0)</f>
        <v>1</v>
      </c>
      <c r="B6" s="505" t="str">
        <f>IFERROR(__xludf.DUMMYFUNCTION("""COMPUTED_VALUE"""),"2526100414")</f>
        <v>2526100414</v>
      </c>
      <c r="C6" s="505" t="str">
        <f>IFERROR(__xludf.DUMMYFUNCTION("""COMPUTED_VALUE"""),"0098742051")</f>
        <v>0098742051</v>
      </c>
      <c r="D6" s="505" t="str">
        <f>IFERROR(__xludf.DUMMYFUNCTION("""COMPUTED_VALUE"""),"AHMAD FAUZI")</f>
        <v>AHMAD FAUZI</v>
      </c>
      <c r="E6" s="504" t="str">
        <f>IFERROR(__xludf.DUMMYFUNCTION("""COMPUTED_VALUE"""),"X TO 4")</f>
        <v>X TO 4</v>
      </c>
      <c r="F6" s="506"/>
      <c r="G6" s="507">
        <f>A6</f>
        <v>1</v>
      </c>
      <c r="H6" s="507">
        <f>A7</f>
        <v>2</v>
      </c>
      <c r="I6" s="503"/>
      <c r="J6" s="503"/>
      <c r="K6" s="503"/>
      <c r="L6" s="503"/>
      <c r="M6" s="503"/>
      <c r="N6" s="503"/>
      <c r="O6" s="503"/>
      <c r="P6" s="503"/>
      <c r="Q6" s="503"/>
      <c r="R6" s="503"/>
      <c r="S6" s="503"/>
      <c r="T6" s="15"/>
      <c r="U6" s="15"/>
      <c r="V6" s="15"/>
      <c r="W6" s="15"/>
      <c r="X6" s="15"/>
      <c r="Y6" s="15"/>
      <c r="Z6" s="15"/>
      <c r="AA6" s="15"/>
      <c r="AB6" s="15"/>
    </row>
    <row r="7" ht="15.75" customHeight="1">
      <c r="A7" s="508">
        <f>IFERROR(__xludf.DUMMYFUNCTION("""COMPUTED_VALUE"""),2.0)</f>
        <v>2</v>
      </c>
      <c r="B7" s="509" t="str">
        <f>IFERROR(__xludf.DUMMYFUNCTION("""COMPUTED_VALUE"""),"2526100415")</f>
        <v>2526100415</v>
      </c>
      <c r="C7" s="509" t="str">
        <f>IFERROR(__xludf.DUMMYFUNCTION("""COMPUTED_VALUE"""),"0094541761")</f>
        <v>0094541761</v>
      </c>
      <c r="D7" s="509" t="str">
        <f>IFERROR(__xludf.DUMMYFUNCTION("""COMPUTED_VALUE"""),"AHMAD YOPI JUMAEDI")</f>
        <v>AHMAD YOPI JUMAEDI</v>
      </c>
      <c r="E7" s="508" t="str">
        <f>IFERROR(__xludf.DUMMYFUNCTION("""COMPUTED_VALUE"""),"X TO 4")</f>
        <v>X TO 4</v>
      </c>
      <c r="F7" s="510"/>
      <c r="G7" s="511"/>
      <c r="H7" s="511"/>
      <c r="I7" s="503"/>
      <c r="J7" s="503"/>
      <c r="K7" s="503"/>
      <c r="L7" s="503"/>
      <c r="M7" s="503"/>
      <c r="N7" s="503"/>
      <c r="O7" s="503"/>
      <c r="P7" s="503"/>
      <c r="Q7" s="503"/>
      <c r="R7" s="503"/>
      <c r="S7" s="503"/>
      <c r="T7" s="15"/>
      <c r="U7" s="15"/>
      <c r="V7" s="15"/>
      <c r="W7" s="15"/>
      <c r="X7" s="15"/>
      <c r="Y7" s="15"/>
      <c r="Z7" s="15"/>
      <c r="AA7" s="15"/>
      <c r="AB7" s="15"/>
    </row>
    <row r="8" ht="15.75" customHeight="1">
      <c r="A8" s="508">
        <f>IFERROR(__xludf.DUMMYFUNCTION("""COMPUTED_VALUE"""),3.0)</f>
        <v>3</v>
      </c>
      <c r="B8" s="509" t="str">
        <f>IFERROR(__xludf.DUMMYFUNCTION("""COMPUTED_VALUE"""),"2526100416")</f>
        <v>2526100416</v>
      </c>
      <c r="C8" s="509" t="str">
        <f>IFERROR(__xludf.DUMMYFUNCTION("""COMPUTED_VALUE"""),"0095885037")</f>
        <v>0095885037</v>
      </c>
      <c r="D8" s="509" t="str">
        <f>IFERROR(__xludf.DUMMYFUNCTION("""COMPUTED_VALUE"""),"ALGI FALGIAN")</f>
        <v>ALGI FALGIAN</v>
      </c>
      <c r="E8" s="508" t="str">
        <f>IFERROR(__xludf.DUMMYFUNCTION("""COMPUTED_VALUE"""),"X TO 4")</f>
        <v>X TO 4</v>
      </c>
      <c r="F8" s="510"/>
      <c r="G8" s="507">
        <f>A8</f>
        <v>3</v>
      </c>
      <c r="H8" s="507">
        <f>A9</f>
        <v>4</v>
      </c>
      <c r="I8" s="503"/>
      <c r="J8" s="503"/>
      <c r="K8" s="503"/>
      <c r="L8" s="503"/>
      <c r="M8" s="503"/>
      <c r="N8" s="503"/>
      <c r="O8" s="503"/>
      <c r="P8" s="503"/>
      <c r="Q8" s="503"/>
      <c r="R8" s="503"/>
      <c r="S8" s="503"/>
      <c r="T8" s="15"/>
      <c r="U8" s="15"/>
      <c r="V8" s="15"/>
      <c r="W8" s="15"/>
      <c r="X8" s="15"/>
      <c r="Y8" s="15"/>
      <c r="Z8" s="15"/>
      <c r="AA8" s="15"/>
      <c r="AB8" s="15"/>
    </row>
    <row r="9" ht="15.75" customHeight="1">
      <c r="A9" s="508">
        <f>IFERROR(__xludf.DUMMYFUNCTION("""COMPUTED_VALUE"""),4.0)</f>
        <v>4</v>
      </c>
      <c r="B9" s="509" t="str">
        <f>IFERROR(__xludf.DUMMYFUNCTION("""COMPUTED_VALUE"""),"2526100417")</f>
        <v>2526100417</v>
      </c>
      <c r="C9" s="509" t="str">
        <f>IFERROR(__xludf.DUMMYFUNCTION("""COMPUTED_VALUE"""),"0095141993")</f>
        <v>0095141993</v>
      </c>
      <c r="D9" s="509" t="str">
        <f>IFERROR(__xludf.DUMMYFUNCTION("""COMPUTED_VALUE"""),"ALI PERMANA")</f>
        <v>ALI PERMANA</v>
      </c>
      <c r="E9" s="508" t="str">
        <f>IFERROR(__xludf.DUMMYFUNCTION("""COMPUTED_VALUE"""),"X TO 4")</f>
        <v>X TO 4</v>
      </c>
      <c r="F9" s="510"/>
      <c r="G9" s="511"/>
      <c r="H9" s="511"/>
      <c r="I9" s="503"/>
      <c r="J9" s="503"/>
      <c r="K9" s="503"/>
      <c r="L9" s="503"/>
      <c r="M9" s="503"/>
      <c r="N9" s="503"/>
      <c r="O9" s="503"/>
      <c r="P9" s="503"/>
      <c r="Q9" s="503"/>
      <c r="R9" s="503"/>
      <c r="S9" s="503"/>
      <c r="T9" s="15"/>
      <c r="U9" s="15"/>
      <c r="V9" s="15"/>
      <c r="W9" s="15"/>
      <c r="X9" s="15"/>
      <c r="Y9" s="15"/>
      <c r="Z9" s="15"/>
      <c r="AA9" s="15"/>
      <c r="AB9" s="15"/>
    </row>
    <row r="10" ht="15.75" customHeight="1">
      <c r="A10" s="508">
        <f>IFERROR(__xludf.DUMMYFUNCTION("""COMPUTED_VALUE"""),5.0)</f>
        <v>5</v>
      </c>
      <c r="B10" s="509" t="str">
        <f>IFERROR(__xludf.DUMMYFUNCTION("""COMPUTED_VALUE"""),"2526100418")</f>
        <v>2526100418</v>
      </c>
      <c r="C10" s="509" t="str">
        <f>IFERROR(__xludf.DUMMYFUNCTION("""COMPUTED_VALUE"""),"0107198266")</f>
        <v>0107198266</v>
      </c>
      <c r="D10" s="509" t="str">
        <f>IFERROR(__xludf.DUMMYFUNCTION("""COMPUTED_VALUE"""),"AZRIL EKA NUGRAHA")</f>
        <v>AZRIL EKA NUGRAHA</v>
      </c>
      <c r="E10" s="508" t="str">
        <f>IFERROR(__xludf.DUMMYFUNCTION("""COMPUTED_VALUE"""),"X TO 4")</f>
        <v>X TO 4</v>
      </c>
      <c r="F10" s="510"/>
      <c r="G10" s="507">
        <f>A10</f>
        <v>5</v>
      </c>
      <c r="H10" s="507">
        <f>A11</f>
        <v>6</v>
      </c>
      <c r="I10" s="503"/>
      <c r="J10" s="503"/>
      <c r="K10" s="503"/>
      <c r="L10" s="503"/>
      <c r="M10" s="503"/>
      <c r="N10" s="503"/>
      <c r="O10" s="503"/>
      <c r="P10" s="503"/>
      <c r="Q10" s="503"/>
      <c r="R10" s="503"/>
      <c r="S10" s="503"/>
      <c r="T10" s="15"/>
      <c r="U10" s="15"/>
      <c r="V10" s="15"/>
      <c r="W10" s="15"/>
      <c r="X10" s="15"/>
      <c r="Y10" s="15"/>
      <c r="Z10" s="15"/>
      <c r="AA10" s="15"/>
      <c r="AB10" s="15"/>
    </row>
    <row r="11" ht="15.75" customHeight="1">
      <c r="A11" s="508">
        <f>IFERROR(__xludf.DUMMYFUNCTION("""COMPUTED_VALUE"""),6.0)</f>
        <v>6</v>
      </c>
      <c r="B11" s="509" t="str">
        <f>IFERROR(__xludf.DUMMYFUNCTION("""COMPUTED_VALUE"""),"2526100419")</f>
        <v>2526100419</v>
      </c>
      <c r="C11" s="509" t="str">
        <f>IFERROR(__xludf.DUMMYFUNCTION("""COMPUTED_VALUE"""),"0096198310")</f>
        <v>0096198310</v>
      </c>
      <c r="D11" s="509" t="str">
        <f>IFERROR(__xludf.DUMMYFUNCTION("""COMPUTED_VALUE"""),"DIKA MUSTIKA SAPUTRA")</f>
        <v>DIKA MUSTIKA SAPUTRA</v>
      </c>
      <c r="E11" s="508" t="str">
        <f>IFERROR(__xludf.DUMMYFUNCTION("""COMPUTED_VALUE"""),"X TO 4")</f>
        <v>X TO 4</v>
      </c>
      <c r="F11" s="510"/>
      <c r="G11" s="511"/>
      <c r="H11" s="511"/>
      <c r="I11" s="503"/>
      <c r="J11" s="503"/>
      <c r="K11" s="503"/>
      <c r="L11" s="503"/>
      <c r="M11" s="503"/>
      <c r="N11" s="503"/>
      <c r="O11" s="503"/>
      <c r="P11" s="503"/>
      <c r="Q11" s="503"/>
      <c r="R11" s="503"/>
      <c r="S11" s="503"/>
      <c r="T11" s="15"/>
      <c r="U11" s="15"/>
      <c r="V11" s="15"/>
      <c r="W11" s="15"/>
      <c r="X11" s="15"/>
      <c r="Y11" s="15"/>
      <c r="Z11" s="15"/>
      <c r="AA11" s="15"/>
      <c r="AB11" s="15"/>
    </row>
    <row r="12" ht="15.75" customHeight="1">
      <c r="A12" s="508">
        <f>IFERROR(__xludf.DUMMYFUNCTION("""COMPUTED_VALUE"""),7.0)</f>
        <v>7</v>
      </c>
      <c r="B12" s="509" t="str">
        <f>IFERROR(__xludf.DUMMYFUNCTION("""COMPUTED_VALUE"""),"2526100420")</f>
        <v>2526100420</v>
      </c>
      <c r="C12" s="509" t="str">
        <f>IFERROR(__xludf.DUMMYFUNCTION("""COMPUTED_VALUE"""),"0092542662")</f>
        <v>0092542662</v>
      </c>
      <c r="D12" s="509" t="str">
        <f>IFERROR(__xludf.DUMMYFUNCTION("""COMPUTED_VALUE"""),"FAWAZ NAUPAL ALFATIR")</f>
        <v>FAWAZ NAUPAL ALFATIR</v>
      </c>
      <c r="E12" s="508" t="str">
        <f>IFERROR(__xludf.DUMMYFUNCTION("""COMPUTED_VALUE"""),"X TO 4")</f>
        <v>X TO 4</v>
      </c>
      <c r="F12" s="510"/>
      <c r="G12" s="507">
        <f>A12</f>
        <v>7</v>
      </c>
      <c r="H12" s="507">
        <f>A13</f>
        <v>8</v>
      </c>
      <c r="I12" s="503"/>
      <c r="J12" s="503"/>
      <c r="K12" s="503"/>
      <c r="L12" s="503"/>
      <c r="M12" s="503"/>
      <c r="N12" s="503"/>
      <c r="O12" s="503"/>
      <c r="P12" s="503"/>
      <c r="Q12" s="503"/>
      <c r="R12" s="503"/>
      <c r="S12" s="503"/>
      <c r="T12" s="15"/>
      <c r="U12" s="15"/>
      <c r="V12" s="15"/>
      <c r="W12" s="15"/>
      <c r="X12" s="15"/>
      <c r="Y12" s="15"/>
      <c r="Z12" s="15"/>
      <c r="AA12" s="15"/>
      <c r="AB12" s="15"/>
    </row>
    <row r="13" ht="15.75" customHeight="1">
      <c r="A13" s="508">
        <f>IFERROR(__xludf.DUMMYFUNCTION("""COMPUTED_VALUE"""),8.0)</f>
        <v>8</v>
      </c>
      <c r="B13" s="509" t="str">
        <f>IFERROR(__xludf.DUMMYFUNCTION("""COMPUTED_VALUE"""),"2526100421")</f>
        <v>2526100421</v>
      </c>
      <c r="C13" s="509" t="str">
        <f>IFERROR(__xludf.DUMMYFUNCTION("""COMPUTED_VALUE"""),"0107343620")</f>
        <v>0107343620</v>
      </c>
      <c r="D13" s="509" t="str">
        <f>IFERROR(__xludf.DUMMYFUNCTION("""COMPUTED_VALUE"""),"FIKRI AHMAD NAWAWI")</f>
        <v>FIKRI AHMAD NAWAWI</v>
      </c>
      <c r="E13" s="508" t="str">
        <f>IFERROR(__xludf.DUMMYFUNCTION("""COMPUTED_VALUE"""),"X TO 4")</f>
        <v>X TO 4</v>
      </c>
      <c r="F13" s="510"/>
      <c r="G13" s="511"/>
      <c r="H13" s="511"/>
      <c r="I13" s="503"/>
      <c r="J13" s="503"/>
      <c r="K13" s="503"/>
      <c r="L13" s="503"/>
      <c r="M13" s="503"/>
      <c r="N13" s="503"/>
      <c r="O13" s="503"/>
      <c r="P13" s="503"/>
      <c r="Q13" s="503"/>
      <c r="R13" s="503"/>
      <c r="S13" s="503"/>
      <c r="T13" s="15"/>
      <c r="U13" s="15"/>
      <c r="V13" s="15"/>
      <c r="W13" s="15"/>
      <c r="X13" s="15"/>
      <c r="Y13" s="15"/>
      <c r="Z13" s="15"/>
      <c r="AA13" s="15"/>
      <c r="AB13" s="15"/>
    </row>
    <row r="14" ht="15.75" customHeight="1">
      <c r="A14" s="508">
        <f>IFERROR(__xludf.DUMMYFUNCTION("""COMPUTED_VALUE"""),9.0)</f>
        <v>9</v>
      </c>
      <c r="B14" s="509" t="str">
        <f>IFERROR(__xludf.DUMMYFUNCTION("""COMPUTED_VALUE"""),"2526100422")</f>
        <v>2526100422</v>
      </c>
      <c r="C14" s="509" t="str">
        <f>IFERROR(__xludf.DUMMYFUNCTION("""COMPUTED_VALUE"""),"0076614788")</f>
        <v>0076614788</v>
      </c>
      <c r="D14" s="509" t="str">
        <f>IFERROR(__xludf.DUMMYFUNCTION("""COMPUTED_VALUE"""),"HADI NURYADI")</f>
        <v>HADI NURYADI</v>
      </c>
      <c r="E14" s="508" t="str">
        <f>IFERROR(__xludf.DUMMYFUNCTION("""COMPUTED_VALUE"""),"X TO 4")</f>
        <v>X TO 4</v>
      </c>
      <c r="F14" s="510"/>
      <c r="G14" s="507">
        <f>A14</f>
        <v>9</v>
      </c>
      <c r="H14" s="507">
        <f>A15</f>
        <v>10</v>
      </c>
      <c r="I14" s="503"/>
      <c r="J14" s="503"/>
      <c r="K14" s="503"/>
      <c r="L14" s="503"/>
      <c r="M14" s="503"/>
      <c r="N14" s="503"/>
      <c r="O14" s="503"/>
      <c r="P14" s="503"/>
      <c r="Q14" s="503"/>
      <c r="R14" s="503"/>
      <c r="S14" s="503"/>
      <c r="T14" s="15"/>
      <c r="U14" s="15"/>
      <c r="V14" s="15"/>
      <c r="W14" s="15"/>
      <c r="X14" s="15"/>
      <c r="Y14" s="15"/>
      <c r="Z14" s="15"/>
      <c r="AA14" s="15"/>
      <c r="AB14" s="15"/>
    </row>
    <row r="15" ht="15.75" customHeight="1">
      <c r="A15" s="508">
        <f>IFERROR(__xludf.DUMMYFUNCTION("""COMPUTED_VALUE"""),10.0)</f>
        <v>10</v>
      </c>
      <c r="B15" s="509" t="str">
        <f>IFERROR(__xludf.DUMMYFUNCTION("""COMPUTED_VALUE"""),"2526100423")</f>
        <v>2526100423</v>
      </c>
      <c r="C15" s="509" t="str">
        <f>IFERROR(__xludf.DUMMYFUNCTION("""COMPUTED_VALUE"""),"0093759169")</f>
        <v>0093759169</v>
      </c>
      <c r="D15" s="509" t="str">
        <f>IFERROR(__xludf.DUMMYFUNCTION("""COMPUTED_VALUE"""),"IBNU WANALI")</f>
        <v>IBNU WANALI</v>
      </c>
      <c r="E15" s="508" t="str">
        <f>IFERROR(__xludf.DUMMYFUNCTION("""COMPUTED_VALUE"""),"X TO 4")</f>
        <v>X TO 4</v>
      </c>
      <c r="F15" s="510"/>
      <c r="G15" s="511"/>
      <c r="H15" s="511"/>
      <c r="I15" s="503"/>
      <c r="J15" s="503"/>
      <c r="K15" s="503"/>
      <c r="L15" s="503"/>
      <c r="M15" s="503"/>
      <c r="N15" s="503"/>
      <c r="O15" s="503"/>
      <c r="P15" s="503"/>
      <c r="Q15" s="503"/>
      <c r="R15" s="503"/>
      <c r="S15" s="503"/>
      <c r="T15" s="15"/>
      <c r="U15" s="15"/>
      <c r="V15" s="15"/>
      <c r="W15" s="15"/>
      <c r="X15" s="15"/>
      <c r="Y15" s="15"/>
      <c r="Z15" s="15"/>
      <c r="AA15" s="15"/>
      <c r="AB15" s="15"/>
    </row>
    <row r="16" ht="15.75" customHeight="1">
      <c r="A16" s="508">
        <f>IFERROR(__xludf.DUMMYFUNCTION("""COMPUTED_VALUE"""),11.0)</f>
        <v>11</v>
      </c>
      <c r="B16" s="509" t="str">
        <f>IFERROR(__xludf.DUMMYFUNCTION("""COMPUTED_VALUE"""),"2526100424")</f>
        <v>2526100424</v>
      </c>
      <c r="C16" s="509" t="str">
        <f>IFERROR(__xludf.DUMMYFUNCTION("""COMPUTED_VALUE"""),"0095752965")</f>
        <v>0095752965</v>
      </c>
      <c r="D16" s="509" t="str">
        <f>IFERROR(__xludf.DUMMYFUNCTION("""COMPUTED_VALUE"""),"IHSAN ABDULOH ")</f>
        <v>IHSAN ABDULOH </v>
      </c>
      <c r="E16" s="508" t="str">
        <f>IFERROR(__xludf.DUMMYFUNCTION("""COMPUTED_VALUE"""),"X TO 4")</f>
        <v>X TO 4</v>
      </c>
      <c r="F16" s="510"/>
      <c r="G16" s="507">
        <f>A16</f>
        <v>11</v>
      </c>
      <c r="H16" s="507">
        <f>A17</f>
        <v>12</v>
      </c>
      <c r="I16" s="503"/>
      <c r="J16" s="503"/>
      <c r="K16" s="503"/>
      <c r="L16" s="503"/>
      <c r="M16" s="503"/>
      <c r="N16" s="503"/>
      <c r="O16" s="503"/>
      <c r="P16" s="503"/>
      <c r="Q16" s="503"/>
      <c r="R16" s="503"/>
      <c r="S16" s="503"/>
      <c r="T16" s="15"/>
      <c r="U16" s="15"/>
      <c r="V16" s="15"/>
      <c r="W16" s="15"/>
      <c r="X16" s="15"/>
      <c r="Y16" s="15"/>
      <c r="Z16" s="15"/>
      <c r="AA16" s="15"/>
      <c r="AB16" s="15"/>
    </row>
    <row r="17" ht="15.75" customHeight="1">
      <c r="A17" s="508">
        <f>IFERROR(__xludf.DUMMYFUNCTION("""COMPUTED_VALUE"""),12.0)</f>
        <v>12</v>
      </c>
      <c r="B17" s="509" t="str">
        <f>IFERROR(__xludf.DUMMYFUNCTION("""COMPUTED_VALUE"""),"2526100425")</f>
        <v>2526100425</v>
      </c>
      <c r="C17" s="509" t="str">
        <f>IFERROR(__xludf.DUMMYFUNCTION("""COMPUTED_VALUE"""),"0095318140")</f>
        <v>0095318140</v>
      </c>
      <c r="D17" s="509" t="str">
        <f>IFERROR(__xludf.DUMMYFUNCTION("""COMPUTED_VALUE"""),"INDRA NURMAN")</f>
        <v>INDRA NURMAN</v>
      </c>
      <c r="E17" s="508" t="str">
        <f>IFERROR(__xludf.DUMMYFUNCTION("""COMPUTED_VALUE"""),"X TO 4")</f>
        <v>X TO 4</v>
      </c>
      <c r="F17" s="510"/>
      <c r="G17" s="511"/>
      <c r="H17" s="511"/>
      <c r="I17" s="503"/>
      <c r="J17" s="503"/>
      <c r="K17" s="503"/>
      <c r="L17" s="503"/>
      <c r="M17" s="503"/>
      <c r="N17" s="503"/>
      <c r="O17" s="503"/>
      <c r="P17" s="503"/>
      <c r="Q17" s="503"/>
      <c r="R17" s="503"/>
      <c r="S17" s="503"/>
      <c r="T17" s="15"/>
      <c r="U17" s="15"/>
      <c r="V17" s="15"/>
      <c r="W17" s="15"/>
      <c r="X17" s="15"/>
      <c r="Y17" s="15"/>
      <c r="Z17" s="15"/>
      <c r="AA17" s="15"/>
      <c r="AB17" s="15"/>
    </row>
    <row r="18" ht="15.75" customHeight="1">
      <c r="A18" s="508">
        <f>IFERROR(__xludf.DUMMYFUNCTION("""COMPUTED_VALUE"""),13.0)</f>
        <v>13</v>
      </c>
      <c r="B18" s="509" t="str">
        <f>IFERROR(__xludf.DUMMYFUNCTION("""COMPUTED_VALUE"""),"2526100426")</f>
        <v>2526100426</v>
      </c>
      <c r="C18" s="509" t="str">
        <f>IFERROR(__xludf.DUMMYFUNCTION("""COMPUTED_VALUE"""),"3109448408")</f>
        <v>3109448408</v>
      </c>
      <c r="D18" s="509" t="str">
        <f>IFERROR(__xludf.DUMMYFUNCTION("""COMPUTED_VALUE"""),"IWAN SOPYAN")</f>
        <v>IWAN SOPYAN</v>
      </c>
      <c r="E18" s="508" t="str">
        <f>IFERROR(__xludf.DUMMYFUNCTION("""COMPUTED_VALUE"""),"X TO 4")</f>
        <v>X TO 4</v>
      </c>
      <c r="F18" s="510"/>
      <c r="G18" s="507">
        <f>A18</f>
        <v>13</v>
      </c>
      <c r="H18" s="507">
        <f>A19</f>
        <v>14</v>
      </c>
      <c r="I18" s="503"/>
      <c r="J18" s="503"/>
      <c r="K18" s="503"/>
      <c r="L18" s="503"/>
      <c r="M18" s="503"/>
      <c r="N18" s="503"/>
      <c r="O18" s="503"/>
      <c r="P18" s="503"/>
      <c r="Q18" s="503"/>
      <c r="R18" s="503"/>
      <c r="S18" s="503"/>
      <c r="T18" s="15"/>
      <c r="U18" s="15"/>
      <c r="V18" s="15"/>
      <c r="W18" s="15"/>
      <c r="X18" s="15"/>
      <c r="Y18" s="15"/>
      <c r="Z18" s="15"/>
      <c r="AA18" s="15"/>
      <c r="AB18" s="15"/>
    </row>
    <row r="19" ht="15.75" customHeight="1">
      <c r="A19" s="508">
        <f>IFERROR(__xludf.DUMMYFUNCTION("""COMPUTED_VALUE"""),14.0)</f>
        <v>14</v>
      </c>
      <c r="B19" s="509" t="str">
        <f>IFERROR(__xludf.DUMMYFUNCTION("""COMPUTED_VALUE"""),"2526100427")</f>
        <v>2526100427</v>
      </c>
      <c r="C19" s="509" t="str">
        <f>IFERROR(__xludf.DUMMYFUNCTION("""COMPUTED_VALUE"""),"0097319943")</f>
        <v>0097319943</v>
      </c>
      <c r="D19" s="509" t="str">
        <f>IFERROR(__xludf.DUMMYFUNCTION("""COMPUTED_VALUE"""),"JEJEN JAENI")</f>
        <v>JEJEN JAENI</v>
      </c>
      <c r="E19" s="508" t="str">
        <f>IFERROR(__xludf.DUMMYFUNCTION("""COMPUTED_VALUE"""),"X TO 4")</f>
        <v>X TO 4</v>
      </c>
      <c r="F19" s="510"/>
      <c r="G19" s="511"/>
      <c r="H19" s="511"/>
      <c r="I19" s="503"/>
      <c r="J19" s="503"/>
      <c r="K19" s="503"/>
      <c r="L19" s="503"/>
      <c r="M19" s="503"/>
      <c r="N19" s="503"/>
      <c r="O19" s="503"/>
      <c r="P19" s="503"/>
      <c r="Q19" s="503"/>
      <c r="R19" s="503"/>
      <c r="S19" s="503"/>
      <c r="T19" s="15"/>
      <c r="U19" s="15"/>
      <c r="V19" s="15"/>
      <c r="W19" s="15"/>
      <c r="X19" s="15"/>
      <c r="Y19" s="15"/>
      <c r="Z19" s="15"/>
      <c r="AA19" s="15"/>
      <c r="AB19" s="15"/>
    </row>
    <row r="20" ht="15.75" customHeight="1">
      <c r="A20" s="508">
        <f>IFERROR(__xludf.DUMMYFUNCTION("""COMPUTED_VALUE"""),15.0)</f>
        <v>15</v>
      </c>
      <c r="B20" s="509" t="str">
        <f>IFERROR(__xludf.DUMMYFUNCTION("""COMPUTED_VALUE"""),"2526100428")</f>
        <v>2526100428</v>
      </c>
      <c r="C20" s="509" t="str">
        <f>IFERROR(__xludf.DUMMYFUNCTION("""COMPUTED_VALUE"""),"0093753099")</f>
        <v>0093753099</v>
      </c>
      <c r="D20" s="509" t="str">
        <f>IFERROR(__xludf.DUMMYFUNCTION("""COMPUTED_VALUE"""),"M.HASAN ASARI")</f>
        <v>M.HASAN ASARI</v>
      </c>
      <c r="E20" s="508" t="str">
        <f>IFERROR(__xludf.DUMMYFUNCTION("""COMPUTED_VALUE"""),"X TO 4")</f>
        <v>X TO 4</v>
      </c>
      <c r="F20" s="510"/>
      <c r="G20" s="507">
        <f>A20</f>
        <v>15</v>
      </c>
      <c r="H20" s="507">
        <f>A21</f>
        <v>16</v>
      </c>
      <c r="I20" s="503"/>
      <c r="J20" s="503"/>
      <c r="K20" s="503"/>
      <c r="L20" s="503"/>
      <c r="M20" s="503"/>
      <c r="N20" s="503"/>
      <c r="O20" s="503"/>
      <c r="P20" s="503"/>
      <c r="Q20" s="503"/>
      <c r="R20" s="503"/>
      <c r="S20" s="503"/>
      <c r="T20" s="15"/>
      <c r="U20" s="15"/>
      <c r="V20" s="15"/>
      <c r="W20" s="15"/>
      <c r="X20" s="15"/>
      <c r="Y20" s="15"/>
      <c r="Z20" s="15"/>
      <c r="AA20" s="15"/>
      <c r="AB20" s="15"/>
    </row>
    <row r="21" ht="15.75" customHeight="1">
      <c r="A21" s="508">
        <f>IFERROR(__xludf.DUMMYFUNCTION("""COMPUTED_VALUE"""),16.0)</f>
        <v>16</v>
      </c>
      <c r="B21" s="509" t="str">
        <f>IFERROR(__xludf.DUMMYFUNCTION("""COMPUTED_VALUE"""),"2526100429")</f>
        <v>2526100429</v>
      </c>
      <c r="C21" s="509" t="str">
        <f>IFERROR(__xludf.DUMMYFUNCTION("""COMPUTED_VALUE"""),"0105910447")</f>
        <v>0105910447</v>
      </c>
      <c r="D21" s="509" t="str">
        <f>IFERROR(__xludf.DUMMYFUNCTION("""COMPUTED_VALUE"""),"MUHAMAD ABIB RIZAL")</f>
        <v>MUHAMAD ABIB RIZAL</v>
      </c>
      <c r="E21" s="508" t="str">
        <f>IFERROR(__xludf.DUMMYFUNCTION("""COMPUTED_VALUE"""),"X TO 4")</f>
        <v>X TO 4</v>
      </c>
      <c r="F21" s="510"/>
      <c r="G21" s="511"/>
      <c r="H21" s="511"/>
      <c r="I21" s="503"/>
      <c r="J21" s="503"/>
      <c r="K21" s="503"/>
      <c r="L21" s="503"/>
      <c r="M21" s="503"/>
      <c r="N21" s="503"/>
      <c r="O21" s="503"/>
      <c r="P21" s="503"/>
      <c r="Q21" s="503"/>
      <c r="R21" s="503"/>
      <c r="S21" s="503"/>
      <c r="T21" s="15"/>
      <c r="U21" s="15"/>
      <c r="V21" s="15"/>
      <c r="W21" s="15"/>
      <c r="X21" s="15"/>
      <c r="Y21" s="15"/>
      <c r="Z21" s="15"/>
      <c r="AA21" s="15"/>
      <c r="AB21" s="15"/>
    </row>
    <row r="22" ht="15.75" customHeight="1">
      <c r="A22" s="508">
        <f>IFERROR(__xludf.DUMMYFUNCTION("""COMPUTED_VALUE"""),17.0)</f>
        <v>17</v>
      </c>
      <c r="B22" s="509" t="str">
        <f>IFERROR(__xludf.DUMMYFUNCTION("""COMPUTED_VALUE"""),"2526100430")</f>
        <v>2526100430</v>
      </c>
      <c r="C22" s="509" t="str">
        <f>IFERROR(__xludf.DUMMYFUNCTION("""COMPUTED_VALUE"""),"0099084784")</f>
        <v>0099084784</v>
      </c>
      <c r="D22" s="509" t="str">
        <f>IFERROR(__xludf.DUMMYFUNCTION("""COMPUTED_VALUE"""),"MUHAMAD AL FARIZ")</f>
        <v>MUHAMAD AL FARIZ</v>
      </c>
      <c r="E22" s="508" t="str">
        <f>IFERROR(__xludf.DUMMYFUNCTION("""COMPUTED_VALUE"""),"X TO 4")</f>
        <v>X TO 4</v>
      </c>
      <c r="F22" s="510"/>
      <c r="G22" s="507">
        <f>A22</f>
        <v>17</v>
      </c>
      <c r="H22" s="507">
        <f>A23</f>
        <v>18</v>
      </c>
      <c r="I22" s="503"/>
      <c r="J22" s="503"/>
      <c r="K22" s="503"/>
      <c r="L22" s="503"/>
      <c r="M22" s="503"/>
      <c r="N22" s="503"/>
      <c r="O22" s="503"/>
      <c r="P22" s="503"/>
      <c r="Q22" s="503"/>
      <c r="R22" s="503"/>
      <c r="S22" s="503"/>
      <c r="T22" s="15"/>
      <c r="U22" s="15"/>
      <c r="V22" s="15"/>
      <c r="W22" s="15"/>
      <c r="X22" s="15"/>
      <c r="Y22" s="15"/>
      <c r="Z22" s="15"/>
      <c r="AA22" s="15"/>
      <c r="AB22" s="15"/>
    </row>
    <row r="23" ht="15.75" customHeight="1">
      <c r="A23" s="508">
        <f>IFERROR(__xludf.DUMMYFUNCTION("""COMPUTED_VALUE"""),18.0)</f>
        <v>18</v>
      </c>
      <c r="B23" s="509" t="str">
        <f>IFERROR(__xludf.DUMMYFUNCTION("""COMPUTED_VALUE"""),"2526100431")</f>
        <v>2526100431</v>
      </c>
      <c r="C23" s="509" t="str">
        <f>IFERROR(__xludf.DUMMYFUNCTION("""COMPUTED_VALUE"""),"0092469837")</f>
        <v>0092469837</v>
      </c>
      <c r="D23" s="509" t="str">
        <f>IFERROR(__xludf.DUMMYFUNCTION("""COMPUTED_VALUE"""),"MUHAMAD ASRUL")</f>
        <v>MUHAMAD ASRUL</v>
      </c>
      <c r="E23" s="508" t="str">
        <f>IFERROR(__xludf.DUMMYFUNCTION("""COMPUTED_VALUE"""),"X TO 4")</f>
        <v>X TO 4</v>
      </c>
      <c r="F23" s="510"/>
      <c r="G23" s="511"/>
      <c r="H23" s="511"/>
      <c r="I23" s="503"/>
      <c r="J23" s="503"/>
      <c r="K23" s="503"/>
      <c r="L23" s="503"/>
      <c r="M23" s="503"/>
      <c r="N23" s="503"/>
      <c r="O23" s="503"/>
      <c r="P23" s="503"/>
      <c r="Q23" s="503"/>
      <c r="R23" s="503"/>
      <c r="S23" s="503"/>
      <c r="T23" s="15"/>
      <c r="U23" s="15"/>
      <c r="V23" s="15"/>
      <c r="W23" s="15"/>
      <c r="X23" s="15"/>
      <c r="Y23" s="15"/>
      <c r="Z23" s="15"/>
      <c r="AA23" s="15"/>
      <c r="AB23" s="15"/>
    </row>
    <row r="24" ht="15.75" customHeight="1">
      <c r="A24" s="508">
        <f>IFERROR(__xludf.DUMMYFUNCTION("""COMPUTED_VALUE"""),19.0)</f>
        <v>19</v>
      </c>
      <c r="B24" s="509" t="str">
        <f>IFERROR(__xludf.DUMMYFUNCTION("""COMPUTED_VALUE"""),"2526100432")</f>
        <v>2526100432</v>
      </c>
      <c r="C24" s="509" t="str">
        <f>IFERROR(__xludf.DUMMYFUNCTION("""COMPUTED_VALUE"""),"0099940282")</f>
        <v>0099940282</v>
      </c>
      <c r="D24" s="509" t="str">
        <f>IFERROR(__xludf.DUMMYFUNCTION("""COMPUTED_VALUE"""),"MUHAMAD FARHAN")</f>
        <v>MUHAMAD FARHAN</v>
      </c>
      <c r="E24" s="508" t="str">
        <f>IFERROR(__xludf.DUMMYFUNCTION("""COMPUTED_VALUE"""),"X TO 4")</f>
        <v>X TO 4</v>
      </c>
      <c r="F24" s="510"/>
      <c r="G24" s="507">
        <f>A24</f>
        <v>19</v>
      </c>
      <c r="H24" s="507">
        <f>A25</f>
        <v>20</v>
      </c>
      <c r="I24" s="503"/>
      <c r="J24" s="503"/>
      <c r="K24" s="503"/>
      <c r="L24" s="503"/>
      <c r="M24" s="503"/>
      <c r="N24" s="503"/>
      <c r="O24" s="503"/>
      <c r="P24" s="503"/>
      <c r="Q24" s="503"/>
      <c r="R24" s="503"/>
      <c r="S24" s="503"/>
      <c r="T24" s="15"/>
      <c r="U24" s="15"/>
      <c r="V24" s="15"/>
      <c r="W24" s="15"/>
      <c r="X24" s="15"/>
      <c r="Y24" s="15"/>
      <c r="Z24" s="15"/>
      <c r="AA24" s="15"/>
      <c r="AB24" s="15"/>
    </row>
    <row r="25" ht="15.75" customHeight="1">
      <c r="A25" s="508">
        <f>IFERROR(__xludf.DUMMYFUNCTION("""COMPUTED_VALUE"""),20.0)</f>
        <v>20</v>
      </c>
      <c r="B25" s="509" t="str">
        <f>IFERROR(__xludf.DUMMYFUNCTION("""COMPUTED_VALUE"""),"2526100433")</f>
        <v>2526100433</v>
      </c>
      <c r="C25" s="509" t="str">
        <f>IFERROR(__xludf.DUMMYFUNCTION("""COMPUTED_VALUE"""),"0088633294")</f>
        <v>0088633294</v>
      </c>
      <c r="D25" s="509" t="str">
        <f>IFERROR(__xludf.DUMMYFUNCTION("""COMPUTED_VALUE"""),"MUHAMAD MIFTAH NASHIRUDIN")</f>
        <v>MUHAMAD MIFTAH NASHIRUDIN</v>
      </c>
      <c r="E25" s="508" t="str">
        <f>IFERROR(__xludf.DUMMYFUNCTION("""COMPUTED_VALUE"""),"X TO 4")</f>
        <v>X TO 4</v>
      </c>
      <c r="F25" s="510"/>
      <c r="G25" s="511"/>
      <c r="H25" s="511"/>
      <c r="I25" s="503"/>
      <c r="J25" s="503"/>
      <c r="K25" s="503"/>
      <c r="L25" s="503"/>
      <c r="M25" s="503"/>
      <c r="N25" s="503"/>
      <c r="O25" s="503"/>
      <c r="P25" s="503"/>
      <c r="Q25" s="503"/>
      <c r="R25" s="503"/>
      <c r="S25" s="503"/>
      <c r="T25" s="15"/>
      <c r="U25" s="15"/>
      <c r="V25" s="15"/>
      <c r="W25" s="15"/>
      <c r="X25" s="15"/>
      <c r="Y25" s="15"/>
      <c r="Z25" s="15"/>
      <c r="AA25" s="15"/>
      <c r="AB25" s="15"/>
    </row>
    <row r="26" ht="15.75" customHeight="1">
      <c r="A26" s="508">
        <f>IFERROR(__xludf.DUMMYFUNCTION("""COMPUTED_VALUE"""),21.0)</f>
        <v>21</v>
      </c>
      <c r="B26" s="509" t="str">
        <f>IFERROR(__xludf.DUMMYFUNCTION("""COMPUTED_VALUE"""),"2526100434")</f>
        <v>2526100434</v>
      </c>
      <c r="C26" s="509" t="str">
        <f>IFERROR(__xludf.DUMMYFUNCTION("""COMPUTED_VALUE"""),"0094805329")</f>
        <v>0094805329</v>
      </c>
      <c r="D26" s="509" t="str">
        <f>IFERROR(__xludf.DUMMYFUNCTION("""COMPUTED_VALUE"""),"MUHAMAD NUR KHOLIS ROMDONI")</f>
        <v>MUHAMAD NUR KHOLIS ROMDONI</v>
      </c>
      <c r="E26" s="508" t="str">
        <f>IFERROR(__xludf.DUMMYFUNCTION("""COMPUTED_VALUE"""),"X TO 4")</f>
        <v>X TO 4</v>
      </c>
      <c r="F26" s="510"/>
      <c r="G26" s="507">
        <f>A26</f>
        <v>21</v>
      </c>
      <c r="H26" s="507">
        <f>A27</f>
        <v>22</v>
      </c>
      <c r="I26" s="503"/>
      <c r="J26" s="503"/>
      <c r="K26" s="503"/>
      <c r="L26" s="503"/>
      <c r="M26" s="503"/>
      <c r="N26" s="503"/>
      <c r="O26" s="503"/>
      <c r="P26" s="503"/>
      <c r="Q26" s="503"/>
      <c r="R26" s="503"/>
      <c r="S26" s="503"/>
      <c r="T26" s="15"/>
      <c r="U26" s="15"/>
      <c r="V26" s="15"/>
      <c r="W26" s="15"/>
      <c r="X26" s="15"/>
      <c r="Y26" s="15"/>
      <c r="Z26" s="15"/>
      <c r="AA26" s="15"/>
      <c r="AB26" s="15"/>
    </row>
    <row r="27" ht="15.75" customHeight="1">
      <c r="A27" s="508">
        <f>IFERROR(__xludf.DUMMYFUNCTION("""COMPUTED_VALUE"""),22.0)</f>
        <v>22</v>
      </c>
      <c r="B27" s="509" t="str">
        <f>IFERROR(__xludf.DUMMYFUNCTION("""COMPUTED_VALUE"""),"2526100435")</f>
        <v>2526100435</v>
      </c>
      <c r="C27" s="509" t="str">
        <f>IFERROR(__xludf.DUMMYFUNCTION("""COMPUTED_VALUE"""),"0098562523")</f>
        <v>0098562523</v>
      </c>
      <c r="D27" s="509" t="str">
        <f>IFERROR(__xludf.DUMMYFUNCTION("""COMPUTED_VALUE"""),"MUHAMAD RIDWAN")</f>
        <v>MUHAMAD RIDWAN</v>
      </c>
      <c r="E27" s="508" t="str">
        <f>IFERROR(__xludf.DUMMYFUNCTION("""COMPUTED_VALUE"""),"X TO 4")</f>
        <v>X TO 4</v>
      </c>
      <c r="F27" s="510"/>
      <c r="G27" s="511"/>
      <c r="H27" s="511"/>
      <c r="I27" s="503"/>
      <c r="J27" s="503"/>
      <c r="K27" s="503"/>
      <c r="L27" s="503"/>
      <c r="M27" s="503"/>
      <c r="N27" s="503"/>
      <c r="O27" s="503"/>
      <c r="P27" s="503"/>
      <c r="Q27" s="503"/>
      <c r="R27" s="503"/>
      <c r="S27" s="503"/>
      <c r="T27" s="15"/>
      <c r="U27" s="15"/>
      <c r="V27" s="15"/>
      <c r="W27" s="15"/>
      <c r="X27" s="15"/>
      <c r="Y27" s="15"/>
      <c r="Z27" s="15"/>
      <c r="AA27" s="15"/>
      <c r="AB27" s="15"/>
    </row>
    <row r="28" ht="15.75" customHeight="1">
      <c r="A28" s="508">
        <f>IFERROR(__xludf.DUMMYFUNCTION("""COMPUTED_VALUE"""),23.0)</f>
        <v>23</v>
      </c>
      <c r="B28" s="509" t="str">
        <f>IFERROR(__xludf.DUMMYFUNCTION("""COMPUTED_VALUE"""),"2526100436")</f>
        <v>2526100436</v>
      </c>
      <c r="C28" s="509" t="str">
        <f>IFERROR(__xludf.DUMMYFUNCTION("""COMPUTED_VALUE"""),"0095384573")</f>
        <v>0095384573</v>
      </c>
      <c r="D28" s="509" t="str">
        <f>IFERROR(__xludf.DUMMYFUNCTION("""COMPUTED_VALUE"""),"MUHAMAD RUDI RIVIANSYAH")</f>
        <v>MUHAMAD RUDI RIVIANSYAH</v>
      </c>
      <c r="E28" s="508" t="str">
        <f>IFERROR(__xludf.DUMMYFUNCTION("""COMPUTED_VALUE"""),"X TO 4")</f>
        <v>X TO 4</v>
      </c>
      <c r="F28" s="510"/>
      <c r="G28" s="507">
        <f>A28</f>
        <v>23</v>
      </c>
      <c r="H28" s="507">
        <f>A29</f>
        <v>24</v>
      </c>
      <c r="I28" s="503"/>
      <c r="J28" s="503"/>
      <c r="K28" s="503"/>
      <c r="L28" s="503"/>
      <c r="M28" s="503"/>
      <c r="N28" s="503"/>
      <c r="O28" s="503"/>
      <c r="P28" s="503"/>
      <c r="Q28" s="503"/>
      <c r="R28" s="503"/>
      <c r="S28" s="503"/>
      <c r="T28" s="15"/>
      <c r="U28" s="15"/>
      <c r="V28" s="15"/>
      <c r="W28" s="15"/>
      <c r="X28" s="15"/>
      <c r="Y28" s="15"/>
      <c r="Z28" s="15"/>
      <c r="AA28" s="15"/>
      <c r="AB28" s="15"/>
    </row>
    <row r="29" ht="15.75" customHeight="1">
      <c r="A29" s="508">
        <f>IFERROR(__xludf.DUMMYFUNCTION("""COMPUTED_VALUE"""),24.0)</f>
        <v>24</v>
      </c>
      <c r="B29" s="509" t="str">
        <f>IFERROR(__xludf.DUMMYFUNCTION("""COMPUTED_VALUE"""),"2526100437")</f>
        <v>2526100437</v>
      </c>
      <c r="C29" s="509" t="str">
        <f>IFERROR(__xludf.DUMMYFUNCTION("""COMPUTED_VALUE"""),"3098503903")</f>
        <v>3098503903</v>
      </c>
      <c r="D29" s="509" t="str">
        <f>IFERROR(__xludf.DUMMYFUNCTION("""COMPUTED_VALUE"""),"MUHAMAD SALMAN")</f>
        <v>MUHAMAD SALMAN</v>
      </c>
      <c r="E29" s="508" t="str">
        <f>IFERROR(__xludf.DUMMYFUNCTION("""COMPUTED_VALUE"""),"X TO 4")</f>
        <v>X TO 4</v>
      </c>
      <c r="F29" s="510"/>
      <c r="G29" s="511"/>
      <c r="H29" s="511"/>
      <c r="I29" s="503"/>
      <c r="J29" s="503"/>
      <c r="K29" s="503"/>
      <c r="L29" s="503"/>
      <c r="M29" s="503"/>
      <c r="N29" s="503"/>
      <c r="O29" s="503"/>
      <c r="P29" s="503"/>
      <c r="Q29" s="503"/>
      <c r="R29" s="503"/>
      <c r="S29" s="503"/>
      <c r="T29" s="15"/>
      <c r="U29" s="15"/>
      <c r="V29" s="15"/>
      <c r="W29" s="15"/>
      <c r="X29" s="15"/>
      <c r="Y29" s="15"/>
      <c r="Z29" s="15"/>
      <c r="AA29" s="15"/>
      <c r="AB29" s="15"/>
    </row>
    <row r="30" ht="15.75" customHeight="1">
      <c r="A30" s="508">
        <f>IFERROR(__xludf.DUMMYFUNCTION("""COMPUTED_VALUE"""),25.0)</f>
        <v>25</v>
      </c>
      <c r="B30" s="509" t="str">
        <f>IFERROR(__xludf.DUMMYFUNCTION("""COMPUTED_VALUE"""),"2526100438")</f>
        <v>2526100438</v>
      </c>
      <c r="C30" s="509" t="str">
        <f>IFERROR(__xludf.DUMMYFUNCTION("""COMPUTED_VALUE"""),"0096750607")</f>
        <v>0096750607</v>
      </c>
      <c r="D30" s="509" t="str">
        <f>IFERROR(__xludf.DUMMYFUNCTION("""COMPUTED_VALUE"""),"MUHAMAD SUTIAWAN ALI")</f>
        <v>MUHAMAD SUTIAWAN ALI</v>
      </c>
      <c r="E30" s="508" t="str">
        <f>IFERROR(__xludf.DUMMYFUNCTION("""COMPUTED_VALUE"""),"X TO 4")</f>
        <v>X TO 4</v>
      </c>
      <c r="F30" s="510"/>
      <c r="G30" s="507">
        <f>A30</f>
        <v>25</v>
      </c>
      <c r="H30" s="507">
        <f>A31</f>
        <v>26</v>
      </c>
      <c r="I30" s="503"/>
      <c r="J30" s="503"/>
      <c r="K30" s="503"/>
      <c r="L30" s="503"/>
      <c r="M30" s="503"/>
      <c r="N30" s="503"/>
      <c r="O30" s="503"/>
      <c r="P30" s="503"/>
      <c r="Q30" s="503"/>
      <c r="R30" s="503"/>
      <c r="S30" s="503"/>
      <c r="T30" s="15"/>
      <c r="U30" s="15"/>
      <c r="V30" s="15"/>
      <c r="W30" s="15"/>
      <c r="X30" s="15"/>
      <c r="Y30" s="15"/>
      <c r="Z30" s="15"/>
      <c r="AA30" s="15"/>
      <c r="AB30" s="15"/>
    </row>
    <row r="31" ht="15.75" customHeight="1">
      <c r="A31" s="508">
        <f>IFERROR(__xludf.DUMMYFUNCTION("""COMPUTED_VALUE"""),26.0)</f>
        <v>26</v>
      </c>
      <c r="B31" s="509" t="str">
        <f>IFERROR(__xludf.DUMMYFUNCTION("""COMPUTED_VALUE"""),"2526100439")</f>
        <v>2526100439</v>
      </c>
      <c r="C31" s="509" t="str">
        <f>IFERROR(__xludf.DUMMYFUNCTION("""COMPUTED_VALUE"""),"0094990767")</f>
        <v>0094990767</v>
      </c>
      <c r="D31" s="509" t="str">
        <f>IFERROR(__xludf.DUMMYFUNCTION("""COMPUTED_VALUE"""),"MUHAMMAD FAHRI MAULANA")</f>
        <v>MUHAMMAD FAHRI MAULANA</v>
      </c>
      <c r="E31" s="508" t="str">
        <f>IFERROR(__xludf.DUMMYFUNCTION("""COMPUTED_VALUE"""),"X TO 4")</f>
        <v>X TO 4</v>
      </c>
      <c r="F31" s="510"/>
      <c r="G31" s="511"/>
      <c r="H31" s="511"/>
      <c r="I31" s="503"/>
      <c r="J31" s="503"/>
      <c r="K31" s="503"/>
      <c r="L31" s="503"/>
      <c r="M31" s="503"/>
      <c r="N31" s="503"/>
      <c r="O31" s="503"/>
      <c r="P31" s="503"/>
      <c r="Q31" s="503"/>
      <c r="R31" s="503"/>
      <c r="S31" s="503"/>
      <c r="T31" s="15"/>
      <c r="U31" s="15"/>
      <c r="V31" s="15"/>
      <c r="W31" s="15"/>
      <c r="X31" s="15"/>
      <c r="Y31" s="15"/>
      <c r="Z31" s="15"/>
      <c r="AA31" s="15"/>
      <c r="AB31" s="15"/>
    </row>
    <row r="32" ht="15.75" customHeight="1">
      <c r="A32" s="508">
        <f>IFERROR(__xludf.DUMMYFUNCTION("""COMPUTED_VALUE"""),27.0)</f>
        <v>27</v>
      </c>
      <c r="B32" s="509" t="str">
        <f>IFERROR(__xludf.DUMMYFUNCTION("""COMPUTED_VALUE"""),"2526100440")</f>
        <v>2526100440</v>
      </c>
      <c r="C32" s="509" t="str">
        <f>IFERROR(__xludf.DUMMYFUNCTION("""COMPUTED_VALUE"""),"0105005356")</f>
        <v>0105005356</v>
      </c>
      <c r="D32" s="509" t="str">
        <f>IFERROR(__xludf.DUMMYFUNCTION("""COMPUTED_VALUE"""),"MUHAMMAD GALANG GUNAWAN")</f>
        <v>MUHAMMAD GALANG GUNAWAN</v>
      </c>
      <c r="E32" s="508" t="str">
        <f>IFERROR(__xludf.DUMMYFUNCTION("""COMPUTED_VALUE"""),"X TO 4")</f>
        <v>X TO 4</v>
      </c>
      <c r="F32" s="510"/>
      <c r="G32" s="507">
        <f>A32</f>
        <v>27</v>
      </c>
      <c r="H32" s="507">
        <f>A33</f>
        <v>28</v>
      </c>
      <c r="I32" s="503"/>
      <c r="J32" s="503"/>
      <c r="K32" s="503"/>
      <c r="L32" s="503"/>
      <c r="M32" s="503"/>
      <c r="N32" s="503"/>
      <c r="O32" s="503"/>
      <c r="P32" s="503"/>
      <c r="Q32" s="503"/>
      <c r="R32" s="503"/>
      <c r="S32" s="503"/>
      <c r="T32" s="15"/>
      <c r="U32" s="15"/>
      <c r="V32" s="15"/>
      <c r="W32" s="15"/>
      <c r="X32" s="15"/>
      <c r="Y32" s="15"/>
      <c r="Z32" s="15"/>
      <c r="AA32" s="15"/>
      <c r="AB32" s="15"/>
    </row>
    <row r="33" ht="15.75" customHeight="1">
      <c r="A33" s="508">
        <f>IFERROR(__xludf.DUMMYFUNCTION("""COMPUTED_VALUE"""),28.0)</f>
        <v>28</v>
      </c>
      <c r="B33" s="509" t="str">
        <f>IFERROR(__xludf.DUMMYFUNCTION("""COMPUTED_VALUE"""),"2526100441")</f>
        <v>2526100441</v>
      </c>
      <c r="C33" s="509" t="str">
        <f>IFERROR(__xludf.DUMMYFUNCTION("""COMPUTED_VALUE"""),"0089904752")</f>
        <v>0089904752</v>
      </c>
      <c r="D33" s="509" t="str">
        <f>IFERROR(__xludf.DUMMYFUNCTION("""COMPUTED_VALUE"""),"MUHAMMAD GOZALI")</f>
        <v>MUHAMMAD GOZALI</v>
      </c>
      <c r="E33" s="508" t="str">
        <f>IFERROR(__xludf.DUMMYFUNCTION("""COMPUTED_VALUE"""),"X TO 4")</f>
        <v>X TO 4</v>
      </c>
      <c r="F33" s="510"/>
      <c r="G33" s="511"/>
      <c r="H33" s="511"/>
      <c r="I33" s="503"/>
      <c r="J33" s="503"/>
      <c r="K33" s="503"/>
      <c r="L33" s="503"/>
      <c r="M33" s="503"/>
      <c r="N33" s="503"/>
      <c r="O33" s="503"/>
      <c r="P33" s="503"/>
      <c r="Q33" s="503"/>
      <c r="R33" s="503"/>
      <c r="S33" s="503"/>
      <c r="T33" s="15"/>
      <c r="U33" s="15"/>
      <c r="V33" s="15"/>
      <c r="W33" s="15"/>
      <c r="X33" s="15"/>
      <c r="Y33" s="15"/>
      <c r="Z33" s="15"/>
      <c r="AA33" s="15"/>
      <c r="AB33" s="15"/>
    </row>
    <row r="34" ht="15.75" customHeight="1">
      <c r="A34" s="508">
        <f>IFERROR(__xludf.DUMMYFUNCTION("""COMPUTED_VALUE"""),29.0)</f>
        <v>29</v>
      </c>
      <c r="B34" s="509" t="str">
        <f>IFERROR(__xludf.DUMMYFUNCTION("""COMPUTED_VALUE"""),"2526100442")</f>
        <v>2526100442</v>
      </c>
      <c r="C34" s="509" t="str">
        <f>IFERROR(__xludf.DUMMYFUNCTION("""COMPUTED_VALUE"""),"0093764470")</f>
        <v>0093764470</v>
      </c>
      <c r="D34" s="509" t="str">
        <f>IFERROR(__xludf.DUMMYFUNCTION("""COMPUTED_VALUE"""),"MUHAMMAD HADAD AT'TOILLAH")</f>
        <v>MUHAMMAD HADAD AT'TOILLAH</v>
      </c>
      <c r="E34" s="508" t="str">
        <f>IFERROR(__xludf.DUMMYFUNCTION("""COMPUTED_VALUE"""),"X TO 4")</f>
        <v>X TO 4</v>
      </c>
      <c r="F34" s="510"/>
      <c r="G34" s="507">
        <f>A34</f>
        <v>29</v>
      </c>
      <c r="H34" s="507">
        <f>A35</f>
        <v>30</v>
      </c>
      <c r="I34" s="503"/>
      <c r="J34" s="503"/>
      <c r="K34" s="503"/>
      <c r="L34" s="503"/>
      <c r="M34" s="503"/>
      <c r="N34" s="503"/>
      <c r="O34" s="503"/>
      <c r="P34" s="503"/>
      <c r="Q34" s="503"/>
      <c r="R34" s="503"/>
      <c r="S34" s="503"/>
      <c r="T34" s="15"/>
      <c r="U34" s="15"/>
      <c r="V34" s="15"/>
      <c r="W34" s="15"/>
      <c r="X34" s="15"/>
      <c r="Y34" s="15"/>
      <c r="Z34" s="15"/>
      <c r="AA34" s="15"/>
      <c r="AB34" s="15"/>
    </row>
    <row r="35" ht="15.75" customHeight="1">
      <c r="A35" s="508">
        <f>IFERROR(__xludf.DUMMYFUNCTION("""COMPUTED_VALUE"""),30.0)</f>
        <v>30</v>
      </c>
      <c r="B35" s="509" t="str">
        <f>IFERROR(__xludf.DUMMYFUNCTION("""COMPUTED_VALUE"""),"2526100443")</f>
        <v>2526100443</v>
      </c>
      <c r="C35" s="509" t="str">
        <f>IFERROR(__xludf.DUMMYFUNCTION("""COMPUTED_VALUE"""),"0092995954")</f>
        <v>0092995954</v>
      </c>
      <c r="D35" s="509" t="str">
        <f>IFERROR(__xludf.DUMMYFUNCTION("""COMPUTED_VALUE"""),"MUHAMMAD ILHAM")</f>
        <v>MUHAMMAD ILHAM</v>
      </c>
      <c r="E35" s="508" t="str">
        <f>IFERROR(__xludf.DUMMYFUNCTION("""COMPUTED_VALUE"""),"X TO 4")</f>
        <v>X TO 4</v>
      </c>
      <c r="F35" s="510"/>
      <c r="G35" s="511"/>
      <c r="H35" s="511"/>
      <c r="I35" s="503"/>
      <c r="J35" s="503"/>
      <c r="K35" s="503"/>
      <c r="L35" s="503"/>
      <c r="M35" s="503"/>
      <c r="N35" s="503"/>
      <c r="O35" s="503"/>
      <c r="P35" s="503"/>
      <c r="Q35" s="503"/>
      <c r="R35" s="503"/>
      <c r="S35" s="503"/>
      <c r="T35" s="15"/>
      <c r="U35" s="15"/>
      <c r="V35" s="15"/>
      <c r="W35" s="15"/>
      <c r="X35" s="15"/>
      <c r="Y35" s="15"/>
      <c r="Z35" s="15"/>
      <c r="AA35" s="15"/>
      <c r="AB35" s="15"/>
    </row>
    <row r="36" ht="15.75" customHeight="1">
      <c r="A36" s="508">
        <f>IFERROR(__xludf.DUMMYFUNCTION("""COMPUTED_VALUE"""),31.0)</f>
        <v>31</v>
      </c>
      <c r="B36" s="509" t="str">
        <f>IFERROR(__xludf.DUMMYFUNCTION("""COMPUTED_VALUE"""),"2526100444")</f>
        <v>2526100444</v>
      </c>
      <c r="C36" s="509" t="str">
        <f>IFERROR(__xludf.DUMMYFUNCTION("""COMPUTED_VALUE"""),"0091433917")</f>
        <v>0091433917</v>
      </c>
      <c r="D36" s="509" t="str">
        <f>IFERROR(__xludf.DUMMYFUNCTION("""COMPUTED_VALUE"""),"M. IRPAN SAEPUL IBRAHIM ")</f>
        <v>M. IRPAN SAEPUL IBRAHIM </v>
      </c>
      <c r="E36" s="508" t="str">
        <f>IFERROR(__xludf.DUMMYFUNCTION("""COMPUTED_VALUE"""),"X TO 4")</f>
        <v>X TO 4</v>
      </c>
      <c r="F36" s="510"/>
      <c r="G36" s="507">
        <f>A36</f>
        <v>31</v>
      </c>
      <c r="H36" s="507">
        <f>A37</f>
        <v>32</v>
      </c>
      <c r="I36" s="503"/>
      <c r="J36" s="503"/>
      <c r="K36" s="503"/>
      <c r="L36" s="503"/>
      <c r="M36" s="503"/>
      <c r="N36" s="503"/>
      <c r="O36" s="503"/>
      <c r="P36" s="503"/>
      <c r="Q36" s="503"/>
      <c r="R36" s="503"/>
      <c r="S36" s="503"/>
      <c r="T36" s="15"/>
      <c r="U36" s="15"/>
      <c r="V36" s="15"/>
      <c r="W36" s="15"/>
      <c r="X36" s="15"/>
      <c r="Y36" s="15"/>
      <c r="Z36" s="15"/>
      <c r="AA36" s="15"/>
      <c r="AB36" s="15"/>
    </row>
    <row r="37" ht="15.75" customHeight="1">
      <c r="A37" s="508">
        <f>IFERROR(__xludf.DUMMYFUNCTION("""COMPUTED_VALUE"""),32.0)</f>
        <v>32</v>
      </c>
      <c r="B37" s="509" t="str">
        <f>IFERROR(__xludf.DUMMYFUNCTION("""COMPUTED_VALUE"""),"2526100445")</f>
        <v>2526100445</v>
      </c>
      <c r="C37" s="509" t="str">
        <f>IFERROR(__xludf.DUMMYFUNCTION("""COMPUTED_VALUE"""),"0093505472")</f>
        <v>0093505472</v>
      </c>
      <c r="D37" s="509" t="str">
        <f>IFERROR(__xludf.DUMMYFUNCTION("""COMPUTED_VALUE"""),"MUHAMMAD NAZIL SIBTHURRIDHO")</f>
        <v>MUHAMMAD NAZIL SIBTHURRIDHO</v>
      </c>
      <c r="E37" s="508" t="str">
        <f>IFERROR(__xludf.DUMMYFUNCTION("""COMPUTED_VALUE"""),"X TO 4")</f>
        <v>X TO 4</v>
      </c>
      <c r="F37" s="510"/>
      <c r="G37" s="511"/>
      <c r="H37" s="511"/>
      <c r="I37" s="503"/>
      <c r="J37" s="503"/>
      <c r="K37" s="503"/>
      <c r="L37" s="503"/>
      <c r="M37" s="503"/>
      <c r="N37" s="503"/>
      <c r="O37" s="503"/>
      <c r="P37" s="503"/>
      <c r="Q37" s="503"/>
      <c r="R37" s="503"/>
      <c r="S37" s="503"/>
      <c r="T37" s="15"/>
      <c r="U37" s="15"/>
      <c r="V37" s="15"/>
      <c r="W37" s="15"/>
      <c r="X37" s="15"/>
      <c r="Y37" s="15"/>
      <c r="Z37" s="15"/>
      <c r="AA37" s="15"/>
      <c r="AB37" s="15"/>
    </row>
    <row r="38" ht="15.75" customHeight="1">
      <c r="A38" s="508">
        <f>IFERROR(__xludf.DUMMYFUNCTION("""COMPUTED_VALUE"""),33.0)</f>
        <v>33</v>
      </c>
      <c r="B38" s="509" t="str">
        <f>IFERROR(__xludf.DUMMYFUNCTION("""COMPUTED_VALUE"""),"2526100446")</f>
        <v>2526100446</v>
      </c>
      <c r="C38" s="509" t="str">
        <f>IFERROR(__xludf.DUMMYFUNCTION("""COMPUTED_VALUE"""),"0078810983")</f>
        <v>0078810983</v>
      </c>
      <c r="D38" s="509" t="str">
        <f>IFERROR(__xludf.DUMMYFUNCTION("""COMPUTED_VALUE"""),"MUHAMMAD RAGIL")</f>
        <v>MUHAMMAD RAGIL</v>
      </c>
      <c r="E38" s="508" t="str">
        <f>IFERROR(__xludf.DUMMYFUNCTION("""COMPUTED_VALUE"""),"X TO 4")</f>
        <v>X TO 4</v>
      </c>
      <c r="F38" s="510"/>
      <c r="G38" s="507">
        <f>A38</f>
        <v>33</v>
      </c>
      <c r="H38" s="507">
        <f>A39</f>
        <v>34</v>
      </c>
      <c r="I38" s="503"/>
      <c r="J38" s="503"/>
      <c r="K38" s="503"/>
      <c r="L38" s="503"/>
      <c r="M38" s="503"/>
      <c r="N38" s="503"/>
      <c r="O38" s="503"/>
      <c r="P38" s="503"/>
      <c r="Q38" s="503"/>
      <c r="R38" s="503"/>
      <c r="S38" s="503"/>
      <c r="T38" s="15"/>
      <c r="U38" s="15"/>
      <c r="V38" s="15"/>
      <c r="W38" s="15"/>
      <c r="X38" s="15"/>
      <c r="Y38" s="15"/>
      <c r="Z38" s="15"/>
      <c r="AA38" s="15"/>
      <c r="AB38" s="15"/>
    </row>
    <row r="39" ht="15.75" customHeight="1">
      <c r="A39" s="508">
        <f>IFERROR(__xludf.DUMMYFUNCTION("""COMPUTED_VALUE"""),34.0)</f>
        <v>34</v>
      </c>
      <c r="B39" s="509" t="str">
        <f>IFERROR(__xludf.DUMMYFUNCTION("""COMPUTED_VALUE"""),"2526100447")</f>
        <v>2526100447</v>
      </c>
      <c r="C39" s="509" t="str">
        <f>IFERROR(__xludf.DUMMYFUNCTION("""COMPUTED_VALUE"""),"0098041660")</f>
        <v>0098041660</v>
      </c>
      <c r="D39" s="509" t="str">
        <f>IFERROR(__xludf.DUMMYFUNCTION("""COMPUTED_VALUE"""),"NAJMI ERIANA")</f>
        <v>NAJMI ERIANA</v>
      </c>
      <c r="E39" s="508" t="str">
        <f>IFERROR(__xludf.DUMMYFUNCTION("""COMPUTED_VALUE"""),"X TO 4")</f>
        <v>X TO 4</v>
      </c>
      <c r="F39" s="510"/>
      <c r="G39" s="511"/>
      <c r="H39" s="511"/>
      <c r="I39" s="503"/>
      <c r="J39" s="503"/>
      <c r="K39" s="503"/>
      <c r="L39" s="503"/>
      <c r="M39" s="503"/>
      <c r="N39" s="503"/>
      <c r="O39" s="503"/>
      <c r="P39" s="503"/>
      <c r="Q39" s="503"/>
      <c r="R39" s="503"/>
      <c r="S39" s="503"/>
      <c r="T39" s="15"/>
      <c r="U39" s="15"/>
      <c r="V39" s="15"/>
      <c r="W39" s="15"/>
      <c r="X39" s="15"/>
      <c r="Y39" s="15"/>
      <c r="Z39" s="15"/>
      <c r="AA39" s="15"/>
      <c r="AB39" s="15"/>
    </row>
    <row r="40" ht="15.75" customHeight="1">
      <c r="A40" s="508">
        <f>IFERROR(__xludf.DUMMYFUNCTION("""COMPUTED_VALUE"""),35.0)</f>
        <v>35</v>
      </c>
      <c r="B40" s="509" t="str">
        <f>IFERROR(__xludf.DUMMYFUNCTION("""COMPUTED_VALUE"""),"2526100448")</f>
        <v>2526100448</v>
      </c>
      <c r="C40" s="509" t="str">
        <f>IFERROR(__xludf.DUMMYFUNCTION("""COMPUTED_VALUE"""),"0094411174")</f>
        <v>0094411174</v>
      </c>
      <c r="D40" s="509" t="str">
        <f>IFERROR(__xludf.DUMMYFUNCTION("""COMPUTED_VALUE"""),"PANO PAIZAL")</f>
        <v>PANO PAIZAL</v>
      </c>
      <c r="E40" s="508" t="str">
        <f>IFERROR(__xludf.DUMMYFUNCTION("""COMPUTED_VALUE"""),"X TO 4")</f>
        <v>X TO 4</v>
      </c>
      <c r="F40" s="510"/>
      <c r="G40" s="507">
        <f>A40</f>
        <v>35</v>
      </c>
      <c r="H40" s="507">
        <f>A41</f>
        <v>36</v>
      </c>
      <c r="I40" s="503"/>
      <c r="J40" s="503"/>
      <c r="K40" s="503"/>
      <c r="L40" s="503"/>
      <c r="M40" s="503"/>
      <c r="N40" s="503"/>
      <c r="O40" s="503"/>
      <c r="P40" s="503"/>
      <c r="Q40" s="503"/>
      <c r="R40" s="503"/>
      <c r="S40" s="503"/>
      <c r="T40" s="15"/>
      <c r="U40" s="15"/>
      <c r="V40" s="15"/>
      <c r="W40" s="15"/>
      <c r="X40" s="15"/>
      <c r="Y40" s="15"/>
      <c r="Z40" s="15"/>
      <c r="AA40" s="15"/>
      <c r="AB40" s="15"/>
    </row>
    <row r="41" ht="15.75" customHeight="1">
      <c r="A41" s="508">
        <f>IFERROR(__xludf.DUMMYFUNCTION("""COMPUTED_VALUE"""),36.0)</f>
        <v>36</v>
      </c>
      <c r="B41" s="509" t="str">
        <f>IFERROR(__xludf.DUMMYFUNCTION("""COMPUTED_VALUE"""),"2526100449")</f>
        <v>2526100449</v>
      </c>
      <c r="C41" s="509" t="str">
        <f>IFERROR(__xludf.DUMMYFUNCTION("""COMPUTED_VALUE"""),"3104749923")</f>
        <v>3104749923</v>
      </c>
      <c r="D41" s="509" t="str">
        <f>IFERROR(__xludf.DUMMYFUNCTION("""COMPUTED_VALUE"""),"PIRMAN ADRIYANI PUTRA")</f>
        <v>PIRMAN ADRIYANI PUTRA</v>
      </c>
      <c r="E41" s="508" t="str">
        <f>IFERROR(__xludf.DUMMYFUNCTION("""COMPUTED_VALUE"""),"X TO 4")</f>
        <v>X TO 4</v>
      </c>
      <c r="F41" s="510"/>
      <c r="G41" s="511"/>
      <c r="H41" s="511"/>
      <c r="I41" s="503"/>
      <c r="J41" s="503"/>
      <c r="K41" s="503"/>
      <c r="L41" s="503"/>
      <c r="M41" s="503"/>
      <c r="N41" s="503"/>
      <c r="O41" s="503"/>
      <c r="P41" s="503"/>
      <c r="Q41" s="503"/>
      <c r="R41" s="503"/>
      <c r="S41" s="503"/>
      <c r="T41" s="15"/>
      <c r="U41" s="15"/>
      <c r="V41" s="15"/>
      <c r="W41" s="15"/>
      <c r="X41" s="15"/>
      <c r="Y41" s="15"/>
      <c r="Z41" s="15"/>
      <c r="AA41" s="15"/>
      <c r="AB41" s="15"/>
    </row>
    <row r="42" ht="15.75" customHeight="1">
      <c r="A42" s="508">
        <f>IFERROR(__xludf.DUMMYFUNCTION("""COMPUTED_VALUE"""),37.0)</f>
        <v>37</v>
      </c>
      <c r="B42" s="509" t="str">
        <f>IFERROR(__xludf.DUMMYFUNCTION("""COMPUTED_VALUE"""),"2526100450")</f>
        <v>2526100450</v>
      </c>
      <c r="C42" s="509" t="str">
        <f>IFERROR(__xludf.DUMMYFUNCTION("""COMPUTED_VALUE"""),"0106511353")</f>
        <v>0106511353</v>
      </c>
      <c r="D42" s="509" t="str">
        <f>IFERROR(__xludf.DUMMYFUNCTION("""COMPUTED_VALUE"""),"RAFFA RAMADHAN")</f>
        <v>RAFFA RAMADHAN</v>
      </c>
      <c r="E42" s="508" t="str">
        <f>IFERROR(__xludf.DUMMYFUNCTION("""COMPUTED_VALUE"""),"X TO 4")</f>
        <v>X TO 4</v>
      </c>
      <c r="F42" s="510"/>
      <c r="G42" s="507">
        <f>A42</f>
        <v>37</v>
      </c>
      <c r="H42" s="507">
        <f>A43</f>
        <v>38</v>
      </c>
      <c r="I42" s="503"/>
      <c r="J42" s="503"/>
      <c r="K42" s="503"/>
      <c r="L42" s="503"/>
      <c r="M42" s="503"/>
      <c r="N42" s="503"/>
      <c r="O42" s="503"/>
      <c r="P42" s="503"/>
      <c r="Q42" s="503"/>
      <c r="R42" s="503"/>
      <c r="S42" s="503"/>
      <c r="T42" s="15"/>
      <c r="U42" s="15"/>
      <c r="V42" s="15"/>
      <c r="W42" s="15"/>
      <c r="X42" s="15"/>
      <c r="Y42" s="15"/>
      <c r="Z42" s="15"/>
      <c r="AA42" s="15"/>
      <c r="AB42" s="15"/>
    </row>
    <row r="43" ht="15.75" customHeight="1">
      <c r="A43" s="508">
        <f>IFERROR(__xludf.DUMMYFUNCTION("""COMPUTED_VALUE"""),38.0)</f>
        <v>38</v>
      </c>
      <c r="B43" s="509" t="str">
        <f>IFERROR(__xludf.DUMMYFUNCTION("""COMPUTED_VALUE"""),"2526100451")</f>
        <v>2526100451</v>
      </c>
      <c r="C43" s="509" t="str">
        <f>IFERROR(__xludf.DUMMYFUNCTION("""COMPUTED_VALUE"""),"3100673583")</f>
        <v>3100673583</v>
      </c>
      <c r="D43" s="509" t="str">
        <f>IFERROR(__xludf.DUMMYFUNCTION("""COMPUTED_VALUE"""),"RAFQA NUZULUL AKBAR SETIANA")</f>
        <v>RAFQA NUZULUL AKBAR SETIANA</v>
      </c>
      <c r="E43" s="508" t="str">
        <f>IFERROR(__xludf.DUMMYFUNCTION("""COMPUTED_VALUE"""),"X TO 4")</f>
        <v>X TO 4</v>
      </c>
      <c r="F43" s="510"/>
      <c r="G43" s="511"/>
      <c r="H43" s="511"/>
      <c r="I43" s="503"/>
      <c r="J43" s="503"/>
      <c r="K43" s="503"/>
      <c r="L43" s="503"/>
      <c r="M43" s="503"/>
      <c r="N43" s="503"/>
      <c r="O43" s="503"/>
      <c r="P43" s="503"/>
      <c r="Q43" s="503"/>
      <c r="R43" s="503"/>
      <c r="S43" s="503"/>
      <c r="T43" s="15"/>
      <c r="U43" s="15"/>
      <c r="V43" s="15"/>
      <c r="W43" s="15"/>
      <c r="X43" s="15"/>
      <c r="Y43" s="15"/>
      <c r="Z43" s="15"/>
      <c r="AA43" s="15"/>
      <c r="AB43" s="15"/>
    </row>
    <row r="44" ht="15.75" customHeight="1">
      <c r="A44" s="508">
        <f>IFERROR(__xludf.DUMMYFUNCTION("""COMPUTED_VALUE"""),39.0)</f>
        <v>39</v>
      </c>
      <c r="B44" s="509" t="str">
        <f>IFERROR(__xludf.DUMMYFUNCTION("""COMPUTED_VALUE"""),"2526100452")</f>
        <v>2526100452</v>
      </c>
      <c r="C44" s="509" t="str">
        <f>IFERROR(__xludf.DUMMYFUNCTION("""COMPUTED_VALUE"""),"0098144365")</f>
        <v>0098144365</v>
      </c>
      <c r="D44" s="509" t="str">
        <f>IFERROR(__xludf.DUMMYFUNCTION("""COMPUTED_VALUE"""),"RIDO MUHAMAD NUR FADILAH")</f>
        <v>RIDO MUHAMAD NUR FADILAH</v>
      </c>
      <c r="E44" s="508" t="str">
        <f>IFERROR(__xludf.DUMMYFUNCTION("""COMPUTED_VALUE"""),"X TO 4")</f>
        <v>X TO 4</v>
      </c>
      <c r="F44" s="510"/>
      <c r="G44" s="507">
        <f>A44</f>
        <v>39</v>
      </c>
      <c r="H44" s="507">
        <f>A45</f>
        <v>40</v>
      </c>
      <c r="I44" s="503"/>
      <c r="J44" s="503"/>
      <c r="K44" s="503"/>
      <c r="L44" s="503"/>
      <c r="M44" s="503"/>
      <c r="N44" s="503"/>
      <c r="O44" s="503"/>
      <c r="P44" s="503"/>
      <c r="Q44" s="503"/>
      <c r="R44" s="503"/>
      <c r="S44" s="503"/>
      <c r="T44" s="15"/>
      <c r="U44" s="15"/>
      <c r="V44" s="15"/>
      <c r="W44" s="15"/>
      <c r="X44" s="15"/>
      <c r="Y44" s="15"/>
      <c r="Z44" s="15"/>
      <c r="AA44" s="15"/>
      <c r="AB44" s="15"/>
    </row>
    <row r="45" ht="15.75" customHeight="1">
      <c r="A45" s="508">
        <f>IFERROR(__xludf.DUMMYFUNCTION("""COMPUTED_VALUE"""),40.0)</f>
        <v>40</v>
      </c>
      <c r="B45" s="509" t="str">
        <f>IFERROR(__xludf.DUMMYFUNCTION("""COMPUTED_VALUE"""),"2526100453")</f>
        <v>2526100453</v>
      </c>
      <c r="C45" s="509" t="str">
        <f>IFERROR(__xludf.DUMMYFUNCTION("""COMPUTED_VALUE"""),"0101384399")</f>
        <v>0101384399</v>
      </c>
      <c r="D45" s="509" t="str">
        <f>IFERROR(__xludf.DUMMYFUNCTION("""COMPUTED_VALUE"""),"RIFAL KAMILUL AJHAR")</f>
        <v>RIFAL KAMILUL AJHAR</v>
      </c>
      <c r="E45" s="508" t="str">
        <f>IFERROR(__xludf.DUMMYFUNCTION("""COMPUTED_VALUE"""),"X TO 4")</f>
        <v>X TO 4</v>
      </c>
      <c r="F45" s="510"/>
      <c r="G45" s="511"/>
      <c r="H45" s="511"/>
      <c r="I45" s="503"/>
      <c r="J45" s="503"/>
      <c r="K45" s="503"/>
      <c r="L45" s="503"/>
      <c r="M45" s="503"/>
      <c r="N45" s="503"/>
      <c r="O45" s="503"/>
      <c r="P45" s="503"/>
      <c r="Q45" s="503"/>
      <c r="R45" s="503"/>
      <c r="S45" s="503"/>
      <c r="T45" s="15"/>
      <c r="U45" s="15"/>
      <c r="V45" s="15"/>
      <c r="W45" s="15"/>
      <c r="X45" s="15"/>
      <c r="Y45" s="15"/>
      <c r="Z45" s="15"/>
      <c r="AA45" s="15"/>
      <c r="AB45" s="15"/>
    </row>
    <row r="46" ht="15.75" customHeight="1">
      <c r="A46" s="508">
        <f>IFERROR(__xludf.DUMMYFUNCTION("""COMPUTED_VALUE"""),41.0)</f>
        <v>41</v>
      </c>
      <c r="B46" s="509" t="str">
        <f>IFERROR(__xludf.DUMMYFUNCTION("""COMPUTED_VALUE"""),"2526100454")</f>
        <v>2526100454</v>
      </c>
      <c r="C46" s="509" t="str">
        <f>IFERROR(__xludf.DUMMYFUNCTION("""COMPUTED_VALUE"""),"0095007656")</f>
        <v>0095007656</v>
      </c>
      <c r="D46" s="509" t="str">
        <f>IFERROR(__xludf.DUMMYFUNCTION("""COMPUTED_VALUE"""),"RIVALDI MAULANA")</f>
        <v>RIVALDI MAULANA</v>
      </c>
      <c r="E46" s="508" t="str">
        <f>IFERROR(__xludf.DUMMYFUNCTION("""COMPUTED_VALUE"""),"X TO 4")</f>
        <v>X TO 4</v>
      </c>
      <c r="F46" s="510"/>
      <c r="G46" s="507">
        <f>A46</f>
        <v>41</v>
      </c>
      <c r="H46" s="507">
        <f>A47</f>
        <v>42</v>
      </c>
      <c r="I46" s="503"/>
      <c r="J46" s="503"/>
      <c r="K46" s="503"/>
      <c r="L46" s="503"/>
      <c r="M46" s="503"/>
      <c r="N46" s="503"/>
      <c r="O46" s="503"/>
      <c r="P46" s="503"/>
      <c r="Q46" s="503"/>
      <c r="R46" s="503"/>
      <c r="S46" s="503"/>
      <c r="T46" s="15"/>
      <c r="U46" s="15"/>
      <c r="V46" s="15"/>
      <c r="W46" s="15"/>
      <c r="X46" s="15"/>
      <c r="Y46" s="15"/>
      <c r="Z46" s="15"/>
      <c r="AA46" s="15"/>
      <c r="AB46" s="15"/>
    </row>
    <row r="47" ht="15.75" customHeight="1">
      <c r="A47" s="508">
        <f>IFERROR(__xludf.DUMMYFUNCTION("""COMPUTED_VALUE"""),42.0)</f>
        <v>42</v>
      </c>
      <c r="B47" s="509" t="str">
        <f>IFERROR(__xludf.DUMMYFUNCTION("""COMPUTED_VALUE"""),"2526100455")</f>
        <v>2526100455</v>
      </c>
      <c r="C47" s="509" t="str">
        <f>IFERROR(__xludf.DUMMYFUNCTION("""COMPUTED_VALUE"""),"3095900062")</f>
        <v>3095900062</v>
      </c>
      <c r="D47" s="509" t="str">
        <f>IFERROR(__xludf.DUMMYFUNCTION("""COMPUTED_VALUE"""),"RIZAL RISMAYANDI")</f>
        <v>RIZAL RISMAYANDI</v>
      </c>
      <c r="E47" s="508" t="str">
        <f>IFERROR(__xludf.DUMMYFUNCTION("""COMPUTED_VALUE"""),"X TO 4")</f>
        <v>X TO 4</v>
      </c>
      <c r="F47" s="510"/>
      <c r="G47" s="511"/>
      <c r="H47" s="511"/>
      <c r="I47" s="503"/>
      <c r="J47" s="503"/>
      <c r="K47" s="503"/>
      <c r="L47" s="503"/>
      <c r="M47" s="503"/>
      <c r="N47" s="503"/>
      <c r="O47" s="503"/>
      <c r="P47" s="503"/>
      <c r="Q47" s="503"/>
      <c r="R47" s="503"/>
      <c r="S47" s="503"/>
      <c r="T47" s="15"/>
      <c r="U47" s="15"/>
      <c r="V47" s="15"/>
      <c r="W47" s="15"/>
      <c r="X47" s="15"/>
      <c r="Y47" s="15"/>
      <c r="Z47" s="15"/>
      <c r="AA47" s="15"/>
      <c r="AB47" s="15"/>
    </row>
    <row r="48" ht="15.75" customHeight="1">
      <c r="A48" s="508">
        <f>IFERROR(__xludf.DUMMYFUNCTION("""COMPUTED_VALUE"""),43.0)</f>
        <v>43</v>
      </c>
      <c r="B48" s="509" t="str">
        <f>IFERROR(__xludf.DUMMYFUNCTION("""COMPUTED_VALUE"""),"2526100456")</f>
        <v>2526100456</v>
      </c>
      <c r="C48" s="509" t="str">
        <f>IFERROR(__xludf.DUMMYFUNCTION("""COMPUTED_VALUE"""),"0097206975")</f>
        <v>0097206975</v>
      </c>
      <c r="D48" s="509" t="str">
        <f>IFERROR(__xludf.DUMMYFUNCTION("""COMPUTED_VALUE"""),"RIZKI ADITIA PRATAMA")</f>
        <v>RIZKI ADITIA PRATAMA</v>
      </c>
      <c r="E48" s="508" t="str">
        <f>IFERROR(__xludf.DUMMYFUNCTION("""COMPUTED_VALUE"""),"X TO 4")</f>
        <v>X TO 4</v>
      </c>
      <c r="F48" s="510"/>
      <c r="G48" s="507">
        <f>A48</f>
        <v>43</v>
      </c>
      <c r="H48" s="507">
        <f>A49</f>
        <v>44</v>
      </c>
      <c r="I48" s="503"/>
      <c r="J48" s="503"/>
      <c r="K48" s="503"/>
      <c r="L48" s="503"/>
      <c r="M48" s="503"/>
      <c r="N48" s="503"/>
      <c r="O48" s="503"/>
      <c r="P48" s="503"/>
      <c r="Q48" s="503"/>
      <c r="R48" s="503"/>
      <c r="S48" s="503"/>
      <c r="T48" s="15"/>
      <c r="U48" s="15"/>
      <c r="V48" s="15"/>
      <c r="W48" s="15"/>
      <c r="X48" s="15"/>
      <c r="Y48" s="15"/>
      <c r="Z48" s="15"/>
      <c r="AA48" s="15"/>
      <c r="AB48" s="15"/>
    </row>
    <row r="49" ht="15.75" customHeight="1">
      <c r="A49" s="508">
        <f>IFERROR(__xludf.DUMMYFUNCTION("""COMPUTED_VALUE"""),44.0)</f>
        <v>44</v>
      </c>
      <c r="B49" s="509" t="str">
        <f>IFERROR(__xludf.DUMMYFUNCTION("""COMPUTED_VALUE"""),"2526100457")</f>
        <v>2526100457</v>
      </c>
      <c r="C49" s="509" t="str">
        <f>IFERROR(__xludf.DUMMYFUNCTION("""COMPUTED_VALUE"""),"0099911084")</f>
        <v>0099911084</v>
      </c>
      <c r="D49" s="509" t="str">
        <f>IFERROR(__xludf.DUMMYFUNCTION("""COMPUTED_VALUE"""),"SURYA BAGJA JUNIOR")</f>
        <v>SURYA BAGJA JUNIOR</v>
      </c>
      <c r="E49" s="508" t="str">
        <f>IFERROR(__xludf.DUMMYFUNCTION("""COMPUTED_VALUE"""),"X TO 4")</f>
        <v>X TO 4</v>
      </c>
      <c r="F49" s="510"/>
      <c r="G49" s="511"/>
      <c r="H49" s="511"/>
      <c r="I49" s="503"/>
      <c r="J49" s="503"/>
      <c r="K49" s="503"/>
      <c r="L49" s="503"/>
      <c r="M49" s="503"/>
      <c r="N49" s="503"/>
      <c r="O49" s="503"/>
      <c r="P49" s="503"/>
      <c r="Q49" s="503"/>
      <c r="R49" s="503"/>
      <c r="S49" s="503"/>
      <c r="T49" s="15"/>
      <c r="U49" s="15"/>
      <c r="V49" s="15"/>
      <c r="W49" s="15"/>
      <c r="X49" s="15"/>
      <c r="Y49" s="15"/>
      <c r="Z49" s="15"/>
      <c r="AA49" s="15"/>
      <c r="AB49" s="15"/>
    </row>
    <row r="50" ht="15.75" customHeight="1">
      <c r="A50" s="508">
        <f>IFERROR(__xludf.DUMMYFUNCTION("""COMPUTED_VALUE"""),45.0)</f>
        <v>45</v>
      </c>
      <c r="B50" s="509" t="str">
        <f>IFERROR(__xludf.DUMMYFUNCTION("""COMPUTED_VALUE"""),"2526100458")</f>
        <v>2526100458</v>
      </c>
      <c r="C50" s="509" t="str">
        <f>IFERROR(__xludf.DUMMYFUNCTION("""COMPUTED_VALUE"""),"3096786504")</f>
        <v>3096786504</v>
      </c>
      <c r="D50" s="509" t="str">
        <f>IFERROR(__xludf.DUMMYFUNCTION("""COMPUTED_VALUE"""),"WILDAN RIPAI")</f>
        <v>WILDAN RIPAI</v>
      </c>
      <c r="E50" s="508" t="str">
        <f>IFERROR(__xludf.DUMMYFUNCTION("""COMPUTED_VALUE"""),"X TO 4")</f>
        <v>X TO 4</v>
      </c>
      <c r="F50" s="510"/>
      <c r="G50" s="507">
        <f>A50</f>
        <v>45</v>
      </c>
      <c r="H50" s="507">
        <f>A51</f>
        <v>46</v>
      </c>
      <c r="I50" s="503"/>
      <c r="J50" s="503"/>
      <c r="K50" s="503"/>
      <c r="L50" s="503"/>
      <c r="M50" s="503"/>
      <c r="N50" s="503"/>
      <c r="O50" s="503"/>
      <c r="P50" s="503"/>
      <c r="Q50" s="503"/>
      <c r="R50" s="503"/>
      <c r="S50" s="503"/>
      <c r="T50" s="15"/>
      <c r="U50" s="15"/>
      <c r="V50" s="15"/>
      <c r="W50" s="15"/>
      <c r="X50" s="15"/>
      <c r="Y50" s="15"/>
      <c r="Z50" s="15"/>
      <c r="AA50" s="15"/>
      <c r="AB50" s="15"/>
    </row>
    <row r="51" ht="15.75" customHeight="1">
      <c r="A51" s="508">
        <f>IFERROR(__xludf.DUMMYFUNCTION("""COMPUTED_VALUE"""),46.0)</f>
        <v>46</v>
      </c>
      <c r="B51" s="509" t="str">
        <f>IFERROR(__xludf.DUMMYFUNCTION("""COMPUTED_VALUE"""),"2526100459")</f>
        <v>2526100459</v>
      </c>
      <c r="C51" s="509" t="str">
        <f>IFERROR(__xludf.DUMMYFUNCTION("""COMPUTED_VALUE"""),"3100392230")</f>
        <v>3100392230</v>
      </c>
      <c r="D51" s="509" t="str">
        <f>IFERROR(__xludf.DUMMYFUNCTION("""COMPUTED_VALUE"""),"YUDHA PRASETYO")</f>
        <v>YUDHA PRASETYO</v>
      </c>
      <c r="E51" s="508" t="str">
        <f>IFERROR(__xludf.DUMMYFUNCTION("""COMPUTED_VALUE"""),"X TO 4")</f>
        <v>X TO 4</v>
      </c>
      <c r="F51" s="510"/>
      <c r="G51" s="511"/>
      <c r="H51" s="511"/>
      <c r="I51" s="503"/>
      <c r="J51" s="503"/>
      <c r="K51" s="503"/>
      <c r="L51" s="503"/>
      <c r="M51" s="503"/>
      <c r="N51" s="503"/>
      <c r="O51" s="503"/>
      <c r="P51" s="503"/>
      <c r="Q51" s="503"/>
      <c r="R51" s="503"/>
      <c r="S51" s="503"/>
      <c r="T51" s="15"/>
      <c r="U51" s="15"/>
      <c r="V51" s="15"/>
      <c r="W51" s="15"/>
      <c r="X51" s="15"/>
      <c r="Y51" s="15"/>
      <c r="Z51" s="15"/>
      <c r="AA51" s="15"/>
      <c r="AB51" s="15"/>
    </row>
    <row r="52" ht="15.75" customHeight="1">
      <c r="A52" s="508"/>
      <c r="B52" s="509"/>
      <c r="C52" s="509"/>
      <c r="D52" s="509"/>
      <c r="E52" s="508"/>
      <c r="F52" s="510"/>
      <c r="G52" s="507" t="str">
        <f>A52</f>
        <v/>
      </c>
      <c r="H52" s="507" t="str">
        <f>A53</f>
        <v/>
      </c>
      <c r="I52" s="503"/>
      <c r="J52" s="503"/>
      <c r="K52" s="503"/>
      <c r="L52" s="503"/>
      <c r="M52" s="503"/>
      <c r="N52" s="503"/>
      <c r="O52" s="503"/>
      <c r="P52" s="503"/>
      <c r="Q52" s="503"/>
      <c r="R52" s="503"/>
      <c r="S52" s="503"/>
      <c r="T52" s="15"/>
      <c r="U52" s="15"/>
      <c r="V52" s="15"/>
      <c r="W52" s="15"/>
      <c r="X52" s="15"/>
      <c r="Y52" s="15"/>
      <c r="Z52" s="15"/>
      <c r="AA52" s="15"/>
      <c r="AB52" s="15"/>
    </row>
    <row r="53" ht="15.75" customHeight="1">
      <c r="A53" s="508"/>
      <c r="B53" s="509"/>
      <c r="C53" s="509"/>
      <c r="D53" s="509"/>
      <c r="E53" s="508"/>
      <c r="F53" s="510"/>
      <c r="G53" s="511"/>
      <c r="H53" s="511"/>
      <c r="I53" s="503"/>
      <c r="J53" s="503"/>
      <c r="K53" s="503"/>
      <c r="L53" s="503"/>
      <c r="M53" s="503"/>
      <c r="N53" s="503"/>
      <c r="O53" s="503"/>
      <c r="P53" s="503"/>
      <c r="Q53" s="503"/>
      <c r="R53" s="503"/>
      <c r="S53" s="503"/>
      <c r="T53" s="15"/>
      <c r="U53" s="15"/>
      <c r="V53" s="15"/>
      <c r="W53" s="15"/>
      <c r="X53" s="15"/>
      <c r="Y53" s="15"/>
      <c r="Z53" s="15"/>
      <c r="AA53" s="15"/>
      <c r="AB53" s="15"/>
    </row>
    <row r="54" ht="15.75" customHeight="1">
      <c r="A54" s="508"/>
      <c r="B54" s="509"/>
      <c r="C54" s="509"/>
      <c r="D54" s="509"/>
      <c r="E54" s="508"/>
      <c r="F54" s="510"/>
      <c r="G54" s="507" t="str">
        <f>A54</f>
        <v/>
      </c>
      <c r="H54" s="507" t="str">
        <f>A55</f>
        <v/>
      </c>
      <c r="I54" s="503"/>
      <c r="J54" s="503"/>
      <c r="K54" s="503"/>
      <c r="L54" s="503"/>
      <c r="M54" s="503"/>
      <c r="N54" s="503"/>
      <c r="O54" s="503"/>
      <c r="P54" s="503"/>
      <c r="Q54" s="503"/>
      <c r="R54" s="503"/>
      <c r="S54" s="503"/>
      <c r="T54" s="15"/>
      <c r="U54" s="15"/>
      <c r="V54" s="15"/>
      <c r="W54" s="15"/>
      <c r="X54" s="15"/>
      <c r="Y54" s="15"/>
      <c r="Z54" s="15"/>
      <c r="AA54" s="15"/>
      <c r="AB54" s="15"/>
    </row>
    <row r="55" ht="15.75" customHeight="1">
      <c r="A55" s="518"/>
      <c r="B55" s="519"/>
      <c r="C55" s="519"/>
      <c r="D55" s="519"/>
      <c r="E55" s="518"/>
      <c r="F55" s="520"/>
      <c r="G55" s="63"/>
      <c r="H55" s="63"/>
      <c r="I55" s="503"/>
      <c r="J55" s="503"/>
      <c r="K55" s="503"/>
      <c r="L55" s="503"/>
      <c r="M55" s="503"/>
      <c r="N55" s="503"/>
      <c r="O55" s="503"/>
      <c r="P55" s="503"/>
      <c r="Q55" s="503"/>
      <c r="R55" s="503"/>
      <c r="S55" s="503"/>
      <c r="T55" s="15"/>
      <c r="U55" s="15"/>
      <c r="V55" s="15"/>
      <c r="W55" s="15"/>
      <c r="X55" s="15"/>
      <c r="Y55" s="15"/>
      <c r="Z55" s="15"/>
      <c r="AA55" s="15"/>
      <c r="AB55" s="15"/>
    </row>
    <row r="56" ht="9.0" customHeight="1">
      <c r="A56" s="496"/>
      <c r="B56" s="503"/>
      <c r="C56" s="503"/>
      <c r="D56" s="503"/>
      <c r="E56" s="496"/>
      <c r="F56" s="496"/>
      <c r="G56" s="521"/>
      <c r="H56" s="521"/>
      <c r="I56" s="496"/>
      <c r="J56" s="496"/>
      <c r="K56" s="496"/>
      <c r="L56" s="496"/>
      <c r="M56" s="496"/>
      <c r="N56" s="496"/>
      <c r="O56" s="496"/>
      <c r="P56" s="496"/>
      <c r="Q56" s="503"/>
      <c r="R56" s="503"/>
      <c r="S56" s="496"/>
      <c r="T56" s="496"/>
      <c r="U56" s="496"/>
      <c r="V56" s="496"/>
      <c r="W56" s="496"/>
      <c r="X56" s="496"/>
      <c r="Y56" s="15"/>
      <c r="Z56" s="496"/>
      <c r="AA56" s="496"/>
      <c r="AB56" s="503"/>
    </row>
    <row r="57" ht="12.75" customHeight="1">
      <c r="A57" s="496"/>
      <c r="B57" s="462"/>
      <c r="C57" s="462"/>
      <c r="D57" s="462"/>
      <c r="E57" s="448"/>
      <c r="F57" s="15"/>
      <c r="G57" s="522" t="str">
        <f>SETTING!$C$34</f>
        <v>Purwakarta, 22 Desember 2025</v>
      </c>
      <c r="H57" s="523"/>
      <c r="I57" s="15"/>
      <c r="J57" s="496"/>
      <c r="K57" s="496"/>
      <c r="L57" s="496"/>
      <c r="M57" s="496"/>
      <c r="N57" s="447"/>
      <c r="O57" s="496"/>
      <c r="P57" s="496"/>
      <c r="Q57" s="503"/>
      <c r="R57" s="503"/>
      <c r="S57" s="503"/>
      <c r="T57" s="503"/>
      <c r="U57" s="503"/>
      <c r="V57" s="503"/>
      <c r="W57" s="503"/>
      <c r="X57" s="503"/>
      <c r="Y57" s="503"/>
      <c r="Z57" s="503"/>
      <c r="AA57" s="503"/>
      <c r="AB57" s="503"/>
    </row>
    <row r="58" ht="12.75" customHeight="1">
      <c r="A58" s="496"/>
      <c r="B58" s="449"/>
      <c r="C58" s="449"/>
      <c r="D58" s="524" t="s">
        <v>366</v>
      </c>
      <c r="E58" s="448"/>
      <c r="F58" s="15"/>
      <c r="G58" s="522"/>
      <c r="H58" s="523"/>
      <c r="I58" s="15"/>
      <c r="J58" s="496"/>
      <c r="K58" s="496"/>
      <c r="L58" s="496"/>
      <c r="M58" s="496"/>
      <c r="N58" s="447"/>
      <c r="O58" s="496"/>
      <c r="P58" s="496"/>
      <c r="Q58" s="503"/>
      <c r="R58" s="503"/>
      <c r="S58" s="503"/>
      <c r="T58" s="503"/>
      <c r="U58" s="503"/>
      <c r="V58" s="503"/>
      <c r="W58" s="503"/>
      <c r="X58" s="503"/>
      <c r="Y58" s="503"/>
      <c r="Z58" s="503"/>
      <c r="AA58" s="503"/>
      <c r="AB58" s="503"/>
    </row>
    <row r="59" ht="12.75" customHeight="1">
      <c r="A59" s="496"/>
      <c r="B59" s="449"/>
      <c r="C59" s="449"/>
      <c r="D59" s="524" t="str">
        <f>"Kepala "&amp;SETTING!$C$30</f>
        <v>Kepala SMKN 1 PLERED</v>
      </c>
      <c r="E59" s="448"/>
      <c r="F59" s="15"/>
      <c r="G59" s="522" t="s">
        <v>368</v>
      </c>
      <c r="H59" s="523"/>
      <c r="I59" s="15"/>
      <c r="J59" s="496"/>
      <c r="K59" s="496"/>
      <c r="L59" s="496"/>
      <c r="M59" s="496"/>
      <c r="N59" s="15"/>
      <c r="O59" s="496"/>
      <c r="P59" s="496"/>
      <c r="Q59" s="503"/>
      <c r="R59" s="503"/>
      <c r="S59" s="503"/>
      <c r="T59" s="503"/>
      <c r="U59" s="503"/>
      <c r="V59" s="503"/>
      <c r="W59" s="503"/>
      <c r="X59" s="503"/>
      <c r="Y59" s="503"/>
      <c r="Z59" s="503"/>
      <c r="AA59" s="503"/>
      <c r="AB59" s="503"/>
    </row>
    <row r="60" ht="12.75" customHeight="1">
      <c r="A60" s="496"/>
      <c r="B60" s="449"/>
      <c r="C60" s="449"/>
      <c r="D60" s="524"/>
      <c r="E60" s="448"/>
      <c r="F60" s="15"/>
      <c r="G60" s="522"/>
      <c r="H60" s="523"/>
      <c r="I60" s="15"/>
      <c r="J60" s="496"/>
      <c r="K60" s="496"/>
      <c r="L60" s="496"/>
      <c r="M60" s="496"/>
      <c r="N60" s="15"/>
      <c r="O60" s="496"/>
      <c r="P60" s="496"/>
      <c r="Q60" s="503"/>
      <c r="R60" s="503"/>
      <c r="S60" s="503"/>
      <c r="T60" s="503"/>
      <c r="U60" s="503"/>
      <c r="V60" s="503"/>
      <c r="W60" s="503"/>
      <c r="X60" s="503"/>
      <c r="Y60" s="503"/>
      <c r="Z60" s="503"/>
      <c r="AA60" s="503"/>
      <c r="AB60" s="503"/>
    </row>
    <row r="61" ht="12.75" customHeight="1">
      <c r="A61" s="496"/>
      <c r="B61" s="449"/>
      <c r="C61" s="449"/>
      <c r="D61" s="524"/>
      <c r="E61" s="448"/>
      <c r="F61" s="15"/>
      <c r="G61" s="522"/>
      <c r="H61" s="523"/>
      <c r="I61" s="15"/>
      <c r="J61" s="496"/>
      <c r="K61" s="496"/>
      <c r="L61" s="496"/>
      <c r="M61" s="496"/>
      <c r="N61" s="15"/>
      <c r="O61" s="496"/>
      <c r="P61" s="496"/>
      <c r="Q61" s="503"/>
      <c r="R61" s="503"/>
      <c r="S61" s="503"/>
      <c r="T61" s="503"/>
      <c r="U61" s="503"/>
      <c r="V61" s="503"/>
      <c r="W61" s="503"/>
      <c r="X61" s="503"/>
      <c r="Y61" s="503"/>
      <c r="Z61" s="503"/>
      <c r="AA61" s="503"/>
      <c r="AB61" s="503"/>
    </row>
    <row r="62" ht="12.75" customHeight="1">
      <c r="A62" s="496"/>
      <c r="B62" s="449"/>
      <c r="C62" s="449"/>
      <c r="D62" s="524"/>
      <c r="E62" s="448"/>
      <c r="F62" s="15"/>
      <c r="G62" s="522"/>
      <c r="H62" s="523"/>
      <c r="I62" s="15"/>
      <c r="J62" s="496"/>
      <c r="K62" s="496"/>
      <c r="L62" s="496"/>
      <c r="M62" s="496"/>
      <c r="N62" s="15"/>
      <c r="O62" s="496"/>
      <c r="P62" s="496"/>
      <c r="Q62" s="503"/>
      <c r="R62" s="503"/>
      <c r="S62" s="503"/>
      <c r="T62" s="503"/>
      <c r="U62" s="503"/>
      <c r="V62" s="503"/>
      <c r="W62" s="503"/>
      <c r="X62" s="503"/>
      <c r="Y62" s="503"/>
      <c r="Z62" s="503"/>
      <c r="AA62" s="503"/>
      <c r="AB62" s="503"/>
    </row>
    <row r="63" ht="12.75" customHeight="1">
      <c r="A63" s="496"/>
      <c r="B63" s="449"/>
      <c r="C63" s="449"/>
      <c r="D63" s="524"/>
      <c r="E63" s="448"/>
      <c r="F63" s="15"/>
      <c r="G63" s="525"/>
      <c r="H63" s="523"/>
      <c r="I63" s="15"/>
      <c r="J63" s="496"/>
      <c r="K63" s="496"/>
      <c r="L63" s="496"/>
      <c r="M63" s="496"/>
      <c r="N63" s="15"/>
      <c r="O63" s="496"/>
      <c r="P63" s="496"/>
      <c r="Q63" s="503"/>
      <c r="R63" s="503"/>
      <c r="S63" s="503"/>
      <c r="T63" s="503"/>
      <c r="U63" s="503"/>
      <c r="V63" s="503"/>
      <c r="W63" s="503"/>
      <c r="X63" s="503"/>
      <c r="Y63" s="503"/>
      <c r="Z63" s="503"/>
      <c r="AA63" s="503"/>
      <c r="AB63" s="503"/>
    </row>
    <row r="64" ht="12.75" customHeight="1">
      <c r="A64" s="496"/>
      <c r="B64" s="449"/>
      <c r="C64" s="449"/>
      <c r="D64" s="526" t="str">
        <f>SETTING!$C$32</f>
        <v>WAHYU TAMIMBARKAH, S,Pd.</v>
      </c>
      <c r="E64" s="448"/>
      <c r="F64" s="15"/>
      <c r="G64" s="527" t="str">
        <f>SETTING!$C$9</f>
        <v>ASEP SANDIANA AZHAR, S.T.</v>
      </c>
      <c r="H64" s="523"/>
      <c r="I64" s="15"/>
      <c r="J64" s="496"/>
      <c r="K64" s="496"/>
      <c r="L64" s="496"/>
      <c r="M64" s="496"/>
      <c r="N64" s="528"/>
      <c r="O64" s="496"/>
      <c r="P64" s="496"/>
      <c r="Q64" s="503"/>
      <c r="R64" s="503"/>
      <c r="S64" s="503"/>
      <c r="T64" s="503"/>
      <c r="U64" s="503"/>
      <c r="V64" s="503"/>
      <c r="W64" s="503"/>
      <c r="X64" s="503"/>
      <c r="Y64" s="503"/>
      <c r="Z64" s="503"/>
      <c r="AA64" s="503"/>
      <c r="AB64" s="503"/>
    </row>
    <row r="65" ht="12.75" customHeight="1">
      <c r="A65" s="496"/>
      <c r="B65" s="530"/>
      <c r="C65" s="530"/>
      <c r="D65" s="524" t="str">
        <f>"NIP "&amp;SETTING!$C$33</f>
        <v>NIP NIP. 197111022008011001</v>
      </c>
      <c r="E65" s="448"/>
      <c r="F65" s="15"/>
      <c r="G65" s="522" t="str">
        <f>"NIP "&amp;SETTING!$C$10</f>
        <v>NIP NIP. 199203032025211186</v>
      </c>
      <c r="H65" s="523"/>
      <c r="I65" s="15"/>
      <c r="J65" s="496"/>
      <c r="K65" s="496"/>
      <c r="L65" s="496"/>
      <c r="M65" s="496"/>
      <c r="N65" s="531"/>
      <c r="O65" s="532"/>
      <c r="P65" s="496"/>
      <c r="Q65" s="503"/>
      <c r="R65" s="503"/>
      <c r="S65" s="503"/>
      <c r="T65" s="503"/>
      <c r="U65" s="503"/>
      <c r="V65" s="503"/>
      <c r="W65" s="503"/>
      <c r="X65" s="503"/>
      <c r="Y65" s="503"/>
      <c r="Z65" s="503"/>
      <c r="AA65" s="503"/>
      <c r="AB65" s="503"/>
    </row>
    <row r="66" ht="12.75" customHeight="1">
      <c r="A66" s="496"/>
      <c r="B66" s="449"/>
      <c r="C66" s="449"/>
      <c r="D66" s="449"/>
      <c r="E66" s="448"/>
      <c r="F66" s="15"/>
      <c r="H66" s="523"/>
      <c r="I66" s="503"/>
      <c r="J66" s="503"/>
      <c r="K66" s="496"/>
      <c r="L66" s="496"/>
      <c r="M66" s="496"/>
      <c r="N66" s="496"/>
      <c r="O66" s="496"/>
      <c r="P66" s="496"/>
      <c r="Q66" s="503"/>
      <c r="R66" s="503"/>
      <c r="S66" s="496"/>
      <c r="T66" s="15"/>
      <c r="U66" s="496"/>
      <c r="V66" s="496"/>
      <c r="W66" s="496"/>
      <c r="X66" s="496"/>
      <c r="Y66" s="496"/>
      <c r="Z66" s="496"/>
      <c r="AA66" s="496"/>
      <c r="AB66" s="503"/>
    </row>
    <row r="67" ht="12.75" customHeight="1">
      <c r="A67" s="496"/>
      <c r="B67" s="503"/>
      <c r="C67" s="503"/>
      <c r="D67" s="503"/>
      <c r="E67" s="496"/>
      <c r="F67" s="496"/>
      <c r="G67" s="521"/>
      <c r="H67" s="521"/>
      <c r="I67" s="496"/>
      <c r="J67" s="496"/>
      <c r="K67" s="496"/>
      <c r="L67" s="496"/>
      <c r="M67" s="496"/>
      <c r="N67" s="496"/>
      <c r="O67" s="496"/>
      <c r="P67" s="496"/>
      <c r="Q67" s="503"/>
      <c r="R67" s="503"/>
      <c r="S67" s="496"/>
      <c r="T67" s="496"/>
      <c r="U67" s="496"/>
      <c r="V67" s="496"/>
      <c r="W67" s="496"/>
      <c r="X67" s="496"/>
      <c r="Y67" s="496"/>
      <c r="Z67" s="496"/>
      <c r="AA67" s="496"/>
      <c r="AB67" s="503"/>
    </row>
    <row r="68" ht="12.75" customHeight="1">
      <c r="A68" s="496"/>
      <c r="B68" s="503"/>
      <c r="C68" s="503"/>
      <c r="D68" s="503"/>
      <c r="E68" s="496"/>
      <c r="F68" s="496"/>
      <c r="G68" s="521"/>
      <c r="H68" s="521"/>
      <c r="I68" s="496"/>
      <c r="J68" s="496"/>
      <c r="K68" s="496"/>
      <c r="L68" s="496"/>
      <c r="M68" s="496"/>
      <c r="N68" s="496"/>
      <c r="O68" s="496"/>
      <c r="P68" s="496"/>
      <c r="Q68" s="503"/>
      <c r="R68" s="503"/>
      <c r="S68" s="496"/>
      <c r="T68" s="496"/>
      <c r="U68" s="496"/>
      <c r="V68" s="496"/>
      <c r="W68" s="496"/>
      <c r="X68" s="496"/>
      <c r="Y68" s="496"/>
      <c r="Z68" s="496"/>
      <c r="AA68" s="496"/>
      <c r="AB68" s="503"/>
    </row>
    <row r="69" ht="12.75" customHeight="1">
      <c r="A69" s="496"/>
      <c r="B69" s="503"/>
      <c r="C69" s="503"/>
      <c r="D69" s="503"/>
      <c r="E69" s="496"/>
      <c r="F69" s="496"/>
      <c r="G69" s="521"/>
      <c r="H69" s="521"/>
      <c r="I69" s="496"/>
      <c r="J69" s="496"/>
      <c r="K69" s="496"/>
      <c r="L69" s="496"/>
      <c r="M69" s="496"/>
      <c r="N69" s="496"/>
      <c r="O69" s="496"/>
      <c r="P69" s="496"/>
      <c r="Q69" s="503"/>
      <c r="R69" s="503"/>
      <c r="S69" s="496"/>
      <c r="T69" s="496"/>
      <c r="U69" s="496"/>
      <c r="V69" s="496"/>
      <c r="W69" s="496"/>
      <c r="X69" s="496"/>
      <c r="Y69" s="496"/>
      <c r="Z69" s="496"/>
      <c r="AA69" s="496"/>
      <c r="AB69" s="503"/>
    </row>
    <row r="70" ht="12.75" customHeight="1">
      <c r="A70" s="496"/>
      <c r="B70" s="503"/>
      <c r="C70" s="503"/>
      <c r="D70" s="503"/>
      <c r="E70" s="496"/>
      <c r="F70" s="496"/>
      <c r="G70" s="521"/>
      <c r="H70" s="521"/>
      <c r="I70" s="496"/>
      <c r="J70" s="496"/>
      <c r="K70" s="496"/>
      <c r="L70" s="496"/>
      <c r="M70" s="496"/>
      <c r="N70" s="496"/>
      <c r="O70" s="496"/>
      <c r="P70" s="496"/>
      <c r="Q70" s="503"/>
      <c r="R70" s="503"/>
      <c r="S70" s="496"/>
      <c r="T70" s="496"/>
      <c r="U70" s="496"/>
      <c r="V70" s="496"/>
      <c r="W70" s="496"/>
      <c r="X70" s="496"/>
      <c r="Y70" s="496"/>
      <c r="Z70" s="496"/>
      <c r="AA70" s="496"/>
      <c r="AB70" s="503"/>
    </row>
    <row r="71" ht="12.75" customHeight="1">
      <c r="A71" s="496"/>
      <c r="B71" s="503"/>
      <c r="C71" s="503"/>
      <c r="D71" s="503"/>
      <c r="E71" s="496"/>
      <c r="F71" s="496"/>
      <c r="G71" s="521"/>
      <c r="H71" s="521"/>
      <c r="I71" s="496"/>
      <c r="J71" s="496"/>
      <c r="K71" s="496"/>
      <c r="L71" s="496"/>
      <c r="M71" s="496"/>
      <c r="N71" s="496"/>
      <c r="O71" s="496"/>
      <c r="P71" s="496"/>
      <c r="Q71" s="503"/>
      <c r="R71" s="503"/>
      <c r="S71" s="496"/>
      <c r="T71" s="496"/>
      <c r="U71" s="496"/>
      <c r="V71" s="496"/>
      <c r="W71" s="496"/>
      <c r="X71" s="496"/>
      <c r="Y71" s="496"/>
      <c r="Z71" s="496"/>
      <c r="AA71" s="496"/>
      <c r="AB71" s="503"/>
    </row>
    <row r="72" ht="12.75" customHeight="1">
      <c r="A72" s="496"/>
      <c r="B72" s="503"/>
      <c r="C72" s="503"/>
      <c r="D72" s="503"/>
      <c r="E72" s="496"/>
      <c r="F72" s="496"/>
      <c r="G72" s="521"/>
      <c r="H72" s="521"/>
      <c r="I72" s="496"/>
      <c r="J72" s="496"/>
      <c r="K72" s="496"/>
      <c r="L72" s="496"/>
      <c r="M72" s="496"/>
      <c r="N72" s="496"/>
      <c r="O72" s="496"/>
      <c r="P72" s="496"/>
      <c r="Q72" s="503"/>
      <c r="R72" s="503"/>
      <c r="S72" s="496"/>
      <c r="T72" s="496"/>
      <c r="U72" s="496"/>
      <c r="V72" s="496"/>
      <c r="W72" s="496"/>
      <c r="X72" s="496"/>
      <c r="Y72" s="496"/>
      <c r="Z72" s="496"/>
      <c r="AA72" s="496"/>
      <c r="AB72" s="503"/>
    </row>
    <row r="73" ht="12.75" customHeight="1">
      <c r="A73" s="496"/>
      <c r="B73" s="503"/>
      <c r="C73" s="503"/>
      <c r="D73" s="503"/>
      <c r="E73" s="496"/>
      <c r="F73" s="496"/>
      <c r="G73" s="521"/>
      <c r="H73" s="521"/>
      <c r="I73" s="496"/>
      <c r="J73" s="496"/>
      <c r="K73" s="496"/>
      <c r="L73" s="496"/>
      <c r="M73" s="496"/>
      <c r="N73" s="496"/>
      <c r="O73" s="496"/>
      <c r="P73" s="496"/>
      <c r="Q73" s="503"/>
      <c r="R73" s="503"/>
      <c r="S73" s="496"/>
      <c r="T73" s="496"/>
      <c r="U73" s="496"/>
      <c r="V73" s="496"/>
      <c r="W73" s="496"/>
      <c r="X73" s="496"/>
      <c r="Y73" s="496"/>
      <c r="Z73" s="496"/>
      <c r="AA73" s="496"/>
      <c r="AB73" s="503"/>
    </row>
    <row r="74" ht="12.75" customHeight="1">
      <c r="A74" s="496"/>
      <c r="B74" s="503"/>
      <c r="C74" s="503"/>
      <c r="D74" s="503"/>
      <c r="E74" s="496"/>
      <c r="F74" s="496"/>
      <c r="G74" s="521"/>
      <c r="H74" s="521"/>
      <c r="I74" s="496"/>
      <c r="J74" s="496"/>
      <c r="K74" s="496"/>
      <c r="L74" s="496"/>
      <c r="M74" s="496"/>
      <c r="N74" s="496"/>
      <c r="O74" s="496"/>
      <c r="P74" s="496"/>
      <c r="Q74" s="503"/>
      <c r="R74" s="503"/>
      <c r="S74" s="496"/>
      <c r="T74" s="496"/>
      <c r="U74" s="496"/>
      <c r="V74" s="496"/>
      <c r="W74" s="496"/>
      <c r="X74" s="496"/>
      <c r="Y74" s="496"/>
      <c r="Z74" s="496"/>
      <c r="AA74" s="496"/>
      <c r="AB74" s="503"/>
    </row>
    <row r="75" ht="12.75" customHeight="1">
      <c r="A75" s="496"/>
      <c r="B75" s="503"/>
      <c r="C75" s="503"/>
      <c r="D75" s="503"/>
      <c r="E75" s="496"/>
      <c r="F75" s="496"/>
      <c r="G75" s="521"/>
      <c r="H75" s="521"/>
      <c r="I75" s="496"/>
      <c r="J75" s="496"/>
      <c r="K75" s="496"/>
      <c r="L75" s="496"/>
      <c r="M75" s="496"/>
      <c r="N75" s="496"/>
      <c r="O75" s="496"/>
      <c r="P75" s="496"/>
      <c r="Q75" s="503"/>
      <c r="R75" s="503"/>
      <c r="S75" s="496"/>
      <c r="T75" s="496"/>
      <c r="U75" s="496"/>
      <c r="V75" s="496"/>
      <c r="W75" s="496"/>
      <c r="X75" s="496"/>
      <c r="Y75" s="496"/>
      <c r="Z75" s="496"/>
      <c r="AA75" s="496"/>
      <c r="AB75" s="503"/>
    </row>
    <row r="76" ht="12.75" customHeight="1">
      <c r="A76" s="496"/>
      <c r="B76" s="503"/>
      <c r="C76" s="503"/>
      <c r="D76" s="503"/>
      <c r="E76" s="496"/>
      <c r="F76" s="496"/>
      <c r="G76" s="521"/>
      <c r="H76" s="521"/>
      <c r="I76" s="496"/>
      <c r="J76" s="496"/>
      <c r="K76" s="496"/>
      <c r="L76" s="496"/>
      <c r="M76" s="496"/>
      <c r="N76" s="496"/>
      <c r="O76" s="496"/>
      <c r="P76" s="496"/>
      <c r="Q76" s="503"/>
      <c r="R76" s="503"/>
      <c r="S76" s="496"/>
      <c r="T76" s="496"/>
      <c r="U76" s="496"/>
      <c r="V76" s="496"/>
      <c r="W76" s="496"/>
      <c r="X76" s="496"/>
      <c r="Y76" s="496"/>
      <c r="Z76" s="496"/>
      <c r="AA76" s="496"/>
      <c r="AB76" s="503"/>
    </row>
    <row r="77" ht="12.75" customHeight="1">
      <c r="A77" s="496"/>
      <c r="B77" s="503"/>
      <c r="C77" s="503"/>
      <c r="D77" s="503"/>
      <c r="E77" s="496"/>
      <c r="F77" s="496"/>
      <c r="G77" s="521"/>
      <c r="H77" s="521"/>
      <c r="I77" s="496"/>
      <c r="J77" s="496"/>
      <c r="K77" s="496"/>
      <c r="L77" s="496"/>
      <c r="M77" s="496"/>
      <c r="N77" s="496"/>
      <c r="O77" s="496"/>
      <c r="P77" s="496"/>
      <c r="Q77" s="503"/>
      <c r="R77" s="503"/>
      <c r="S77" s="496"/>
      <c r="T77" s="496"/>
      <c r="U77" s="496"/>
      <c r="V77" s="496"/>
      <c r="W77" s="496"/>
      <c r="X77" s="496"/>
      <c r="Y77" s="496"/>
      <c r="Z77" s="496"/>
      <c r="AA77" s="496"/>
      <c r="AB77" s="503"/>
    </row>
    <row r="78" ht="12.75" customHeight="1">
      <c r="A78" s="496"/>
      <c r="B78" s="503"/>
      <c r="C78" s="503"/>
      <c r="D78" s="503"/>
      <c r="E78" s="496"/>
      <c r="F78" s="496"/>
      <c r="G78" s="521"/>
      <c r="H78" s="521"/>
      <c r="I78" s="496"/>
      <c r="J78" s="496"/>
      <c r="K78" s="496"/>
      <c r="L78" s="496"/>
      <c r="M78" s="496"/>
      <c r="N78" s="496"/>
      <c r="O78" s="496"/>
      <c r="P78" s="496"/>
      <c r="Q78" s="503"/>
      <c r="R78" s="503"/>
      <c r="S78" s="496"/>
      <c r="T78" s="496"/>
      <c r="U78" s="496"/>
      <c r="V78" s="496"/>
      <c r="W78" s="496"/>
      <c r="X78" s="496"/>
      <c r="Y78" s="496"/>
      <c r="Z78" s="496"/>
      <c r="AA78" s="496"/>
      <c r="AB78" s="503"/>
    </row>
    <row r="79" ht="12.75" customHeight="1">
      <c r="A79" s="496"/>
      <c r="B79" s="503"/>
      <c r="C79" s="503"/>
      <c r="D79" s="503"/>
      <c r="E79" s="496"/>
      <c r="F79" s="496"/>
      <c r="G79" s="521"/>
      <c r="H79" s="521"/>
      <c r="I79" s="496"/>
      <c r="J79" s="496"/>
      <c r="K79" s="496"/>
      <c r="L79" s="496"/>
      <c r="M79" s="496"/>
      <c r="N79" s="496"/>
      <c r="O79" s="496"/>
      <c r="P79" s="496"/>
      <c r="Q79" s="503"/>
      <c r="R79" s="503"/>
      <c r="S79" s="496"/>
      <c r="T79" s="496"/>
      <c r="U79" s="496"/>
      <c r="V79" s="496"/>
      <c r="W79" s="496"/>
      <c r="X79" s="496"/>
      <c r="Y79" s="496"/>
      <c r="Z79" s="496"/>
      <c r="AA79" s="496"/>
      <c r="AB79" s="503"/>
    </row>
    <row r="80" ht="12.75" customHeight="1">
      <c r="A80" s="496"/>
      <c r="B80" s="503"/>
      <c r="C80" s="503"/>
      <c r="D80" s="503"/>
      <c r="E80" s="496"/>
      <c r="F80" s="496"/>
      <c r="G80" s="521"/>
      <c r="H80" s="521"/>
      <c r="I80" s="496"/>
      <c r="J80" s="496"/>
      <c r="K80" s="496"/>
      <c r="L80" s="496"/>
      <c r="M80" s="496"/>
      <c r="N80" s="496"/>
      <c r="O80" s="496"/>
      <c r="P80" s="496"/>
      <c r="Q80" s="503"/>
      <c r="R80" s="503"/>
      <c r="S80" s="496"/>
      <c r="T80" s="496"/>
      <c r="U80" s="496"/>
      <c r="V80" s="496"/>
      <c r="W80" s="496"/>
      <c r="X80" s="496"/>
      <c r="Y80" s="496"/>
      <c r="Z80" s="496"/>
      <c r="AA80" s="496"/>
      <c r="AB80" s="503"/>
    </row>
    <row r="81" ht="12.75" customHeight="1">
      <c r="A81" s="496"/>
      <c r="B81" s="503"/>
      <c r="C81" s="503"/>
      <c r="D81" s="503"/>
      <c r="E81" s="496"/>
      <c r="F81" s="496"/>
      <c r="G81" s="521"/>
      <c r="H81" s="521"/>
      <c r="I81" s="496"/>
      <c r="J81" s="496"/>
      <c r="K81" s="496"/>
      <c r="L81" s="496"/>
      <c r="M81" s="496"/>
      <c r="N81" s="496"/>
      <c r="O81" s="496"/>
      <c r="P81" s="496"/>
      <c r="Q81" s="503"/>
      <c r="R81" s="503"/>
      <c r="S81" s="496"/>
      <c r="T81" s="496"/>
      <c r="U81" s="496"/>
      <c r="V81" s="496"/>
      <c r="W81" s="496"/>
      <c r="X81" s="496"/>
      <c r="Y81" s="496"/>
      <c r="Z81" s="496"/>
      <c r="AA81" s="496"/>
      <c r="AB81" s="503"/>
    </row>
    <row r="82" ht="12.75" customHeight="1">
      <c r="A82" s="496"/>
      <c r="B82" s="503"/>
      <c r="C82" s="503"/>
      <c r="D82" s="503"/>
      <c r="E82" s="496"/>
      <c r="F82" s="496"/>
      <c r="G82" s="521"/>
      <c r="H82" s="521"/>
      <c r="I82" s="496"/>
      <c r="J82" s="496"/>
      <c r="K82" s="496"/>
      <c r="L82" s="496"/>
      <c r="M82" s="496"/>
      <c r="N82" s="496"/>
      <c r="O82" s="496"/>
      <c r="P82" s="496"/>
      <c r="Q82" s="503"/>
      <c r="R82" s="503"/>
      <c r="S82" s="496"/>
      <c r="T82" s="496"/>
      <c r="U82" s="496"/>
      <c r="V82" s="496"/>
      <c r="W82" s="496"/>
      <c r="X82" s="496"/>
      <c r="Y82" s="496"/>
      <c r="Z82" s="496"/>
      <c r="AA82" s="496"/>
      <c r="AB82" s="503"/>
    </row>
    <row r="83" ht="12.75" customHeight="1">
      <c r="A83" s="496"/>
      <c r="B83" s="503"/>
      <c r="C83" s="503"/>
      <c r="D83" s="503"/>
      <c r="E83" s="496"/>
      <c r="F83" s="496"/>
      <c r="G83" s="521"/>
      <c r="H83" s="521"/>
      <c r="I83" s="496"/>
      <c r="J83" s="496"/>
      <c r="K83" s="496"/>
      <c r="L83" s="496"/>
      <c r="M83" s="496"/>
      <c r="N83" s="496"/>
      <c r="O83" s="496"/>
      <c r="P83" s="496"/>
      <c r="Q83" s="503"/>
      <c r="R83" s="503"/>
      <c r="S83" s="496"/>
      <c r="T83" s="496"/>
      <c r="U83" s="496"/>
      <c r="V83" s="496"/>
      <c r="W83" s="496"/>
      <c r="X83" s="496"/>
      <c r="Y83" s="496"/>
      <c r="Z83" s="496"/>
      <c r="AA83" s="496"/>
      <c r="AB83" s="503"/>
    </row>
    <row r="84" ht="12.75" customHeight="1">
      <c r="A84" s="496"/>
      <c r="B84" s="503"/>
      <c r="C84" s="503"/>
      <c r="D84" s="503"/>
      <c r="E84" s="496"/>
      <c r="F84" s="496"/>
      <c r="G84" s="521"/>
      <c r="H84" s="521"/>
      <c r="I84" s="496"/>
      <c r="J84" s="496"/>
      <c r="K84" s="496"/>
      <c r="L84" s="496"/>
      <c r="M84" s="496"/>
      <c r="N84" s="496"/>
      <c r="O84" s="496"/>
      <c r="P84" s="496"/>
      <c r="Q84" s="503"/>
      <c r="R84" s="503"/>
      <c r="S84" s="496"/>
      <c r="T84" s="496"/>
      <c r="U84" s="496"/>
      <c r="V84" s="496"/>
      <c r="W84" s="496"/>
      <c r="X84" s="496"/>
      <c r="Y84" s="496"/>
      <c r="Z84" s="496"/>
      <c r="AA84" s="496"/>
      <c r="AB84" s="503"/>
    </row>
    <row r="85" ht="12.75" customHeight="1">
      <c r="A85" s="496"/>
      <c r="B85" s="503"/>
      <c r="C85" s="503"/>
      <c r="D85" s="503"/>
      <c r="E85" s="496"/>
      <c r="F85" s="496"/>
      <c r="G85" s="521"/>
      <c r="H85" s="521"/>
      <c r="I85" s="496"/>
      <c r="J85" s="496"/>
      <c r="K85" s="496"/>
      <c r="L85" s="496"/>
      <c r="M85" s="496"/>
      <c r="N85" s="496"/>
      <c r="O85" s="496"/>
      <c r="P85" s="496"/>
      <c r="Q85" s="503"/>
      <c r="R85" s="503"/>
      <c r="S85" s="496"/>
      <c r="T85" s="496"/>
      <c r="U85" s="496"/>
      <c r="V85" s="496"/>
      <c r="W85" s="496"/>
      <c r="X85" s="496"/>
      <c r="Y85" s="496"/>
      <c r="Z85" s="496"/>
      <c r="AA85" s="496"/>
      <c r="AB85" s="503"/>
    </row>
    <row r="86" ht="12.75" customHeight="1">
      <c r="A86" s="496"/>
      <c r="B86" s="503"/>
      <c r="C86" s="503"/>
      <c r="D86" s="503"/>
      <c r="E86" s="496"/>
      <c r="F86" s="496"/>
      <c r="G86" s="521"/>
      <c r="H86" s="521"/>
      <c r="I86" s="496"/>
      <c r="J86" s="496"/>
      <c r="K86" s="496"/>
      <c r="L86" s="496"/>
      <c r="M86" s="496"/>
      <c r="N86" s="496"/>
      <c r="O86" s="496"/>
      <c r="P86" s="496"/>
      <c r="Q86" s="503"/>
      <c r="R86" s="503"/>
      <c r="S86" s="496"/>
      <c r="T86" s="496"/>
      <c r="U86" s="496"/>
      <c r="V86" s="496"/>
      <c r="W86" s="496"/>
      <c r="X86" s="496"/>
      <c r="Y86" s="496"/>
      <c r="Z86" s="496"/>
      <c r="AA86" s="496"/>
      <c r="AB86" s="503"/>
    </row>
    <row r="87" ht="12.75" customHeight="1">
      <c r="A87" s="496"/>
      <c r="B87" s="503"/>
      <c r="C87" s="503"/>
      <c r="D87" s="503"/>
      <c r="E87" s="496"/>
      <c r="F87" s="496"/>
      <c r="G87" s="521"/>
      <c r="H87" s="521"/>
      <c r="I87" s="496"/>
      <c r="J87" s="496"/>
      <c r="K87" s="496"/>
      <c r="L87" s="496"/>
      <c r="M87" s="496"/>
      <c r="N87" s="496"/>
      <c r="O87" s="496"/>
      <c r="P87" s="496"/>
      <c r="Q87" s="503"/>
      <c r="R87" s="503"/>
      <c r="S87" s="496"/>
      <c r="T87" s="496"/>
      <c r="U87" s="496"/>
      <c r="V87" s="496"/>
      <c r="W87" s="496"/>
      <c r="X87" s="496"/>
      <c r="Y87" s="496"/>
      <c r="Z87" s="496"/>
      <c r="AA87" s="496"/>
      <c r="AB87" s="503"/>
    </row>
    <row r="88" ht="12.75" customHeight="1">
      <c r="A88" s="496"/>
      <c r="B88" s="503"/>
      <c r="C88" s="503"/>
      <c r="D88" s="503"/>
      <c r="E88" s="496"/>
      <c r="F88" s="496"/>
      <c r="G88" s="521"/>
      <c r="H88" s="521"/>
      <c r="I88" s="496"/>
      <c r="J88" s="496"/>
      <c r="K88" s="496"/>
      <c r="L88" s="496"/>
      <c r="M88" s="496"/>
      <c r="N88" s="496"/>
      <c r="O88" s="496"/>
      <c r="P88" s="496"/>
      <c r="Q88" s="503"/>
      <c r="R88" s="503"/>
      <c r="S88" s="496"/>
      <c r="T88" s="496"/>
      <c r="U88" s="496"/>
      <c r="V88" s="496"/>
      <c r="W88" s="496"/>
      <c r="X88" s="496"/>
      <c r="Y88" s="496"/>
      <c r="Z88" s="496"/>
      <c r="AA88" s="496"/>
      <c r="AB88" s="503"/>
    </row>
    <row r="89" ht="12.75" customHeight="1">
      <c r="A89" s="496"/>
      <c r="B89" s="503"/>
      <c r="C89" s="503"/>
      <c r="D89" s="503"/>
      <c r="E89" s="496"/>
      <c r="F89" s="496"/>
      <c r="G89" s="521"/>
      <c r="H89" s="521"/>
      <c r="I89" s="496"/>
      <c r="J89" s="496"/>
      <c r="K89" s="496"/>
      <c r="L89" s="496"/>
      <c r="M89" s="496"/>
      <c r="N89" s="496"/>
      <c r="O89" s="496"/>
      <c r="P89" s="496"/>
      <c r="Q89" s="503"/>
      <c r="R89" s="503"/>
      <c r="S89" s="496"/>
      <c r="T89" s="496"/>
      <c r="U89" s="496"/>
      <c r="V89" s="496"/>
      <c r="W89" s="496"/>
      <c r="X89" s="496"/>
      <c r="Y89" s="496"/>
      <c r="Z89" s="496"/>
      <c r="AA89" s="496"/>
      <c r="AB89" s="503"/>
    </row>
    <row r="90" ht="12.75" customHeight="1">
      <c r="A90" s="496"/>
      <c r="B90" s="503"/>
      <c r="C90" s="503"/>
      <c r="D90" s="503"/>
      <c r="E90" s="496"/>
      <c r="F90" s="496"/>
      <c r="G90" s="521"/>
      <c r="H90" s="521"/>
      <c r="I90" s="496"/>
      <c r="J90" s="496"/>
      <c r="K90" s="496"/>
      <c r="L90" s="496"/>
      <c r="M90" s="496"/>
      <c r="N90" s="496"/>
      <c r="O90" s="496"/>
      <c r="P90" s="496"/>
      <c r="Q90" s="503"/>
      <c r="R90" s="503"/>
      <c r="S90" s="496"/>
      <c r="T90" s="496"/>
      <c r="U90" s="496"/>
      <c r="V90" s="496"/>
      <c r="W90" s="496"/>
      <c r="X90" s="496"/>
      <c r="Y90" s="496"/>
      <c r="Z90" s="496"/>
      <c r="AA90" s="496"/>
      <c r="AB90" s="503"/>
    </row>
    <row r="91" ht="12.75" customHeight="1">
      <c r="A91" s="496"/>
      <c r="B91" s="503"/>
      <c r="C91" s="503"/>
      <c r="D91" s="503"/>
      <c r="E91" s="496"/>
      <c r="F91" s="496"/>
      <c r="G91" s="521"/>
      <c r="H91" s="521"/>
      <c r="I91" s="496"/>
      <c r="J91" s="496"/>
      <c r="K91" s="496"/>
      <c r="L91" s="496"/>
      <c r="M91" s="496"/>
      <c r="N91" s="496"/>
      <c r="O91" s="496"/>
      <c r="P91" s="496"/>
      <c r="Q91" s="503"/>
      <c r="R91" s="503"/>
      <c r="S91" s="496"/>
      <c r="T91" s="496"/>
      <c r="U91" s="496"/>
      <c r="V91" s="496"/>
      <c r="W91" s="496"/>
      <c r="X91" s="496"/>
      <c r="Y91" s="496"/>
      <c r="Z91" s="496"/>
      <c r="AA91" s="496"/>
      <c r="AB91" s="503"/>
    </row>
    <row r="92" ht="12.75" customHeight="1">
      <c r="A92" s="496"/>
      <c r="B92" s="503"/>
      <c r="C92" s="503"/>
      <c r="D92" s="503"/>
      <c r="E92" s="496"/>
      <c r="F92" s="496"/>
      <c r="G92" s="521"/>
      <c r="H92" s="521"/>
      <c r="I92" s="496"/>
      <c r="J92" s="496"/>
      <c r="K92" s="496"/>
      <c r="L92" s="496"/>
      <c r="M92" s="496"/>
      <c r="N92" s="496"/>
      <c r="O92" s="496"/>
      <c r="P92" s="496"/>
      <c r="Q92" s="503"/>
      <c r="R92" s="503"/>
      <c r="S92" s="496"/>
      <c r="T92" s="496"/>
      <c r="U92" s="496"/>
      <c r="V92" s="496"/>
      <c r="W92" s="496"/>
      <c r="X92" s="496"/>
      <c r="Y92" s="496"/>
      <c r="Z92" s="496"/>
      <c r="AA92" s="496"/>
      <c r="AB92" s="503"/>
    </row>
    <row r="93" ht="12.75" customHeight="1">
      <c r="A93" s="496"/>
      <c r="B93" s="503"/>
      <c r="C93" s="503"/>
      <c r="D93" s="503"/>
      <c r="E93" s="496"/>
      <c r="F93" s="496"/>
      <c r="G93" s="521"/>
      <c r="H93" s="521"/>
      <c r="I93" s="496"/>
      <c r="J93" s="496"/>
      <c r="K93" s="496"/>
      <c r="L93" s="496"/>
      <c r="M93" s="496"/>
      <c r="N93" s="496"/>
      <c r="O93" s="496"/>
      <c r="P93" s="496"/>
      <c r="Q93" s="503"/>
      <c r="R93" s="503"/>
      <c r="S93" s="496"/>
      <c r="T93" s="496"/>
      <c r="U93" s="496"/>
      <c r="V93" s="496"/>
      <c r="W93" s="496"/>
      <c r="X93" s="496"/>
      <c r="Y93" s="496"/>
      <c r="Z93" s="496"/>
      <c r="AA93" s="496"/>
      <c r="AB93" s="503"/>
    </row>
    <row r="94" ht="12.75" customHeight="1">
      <c r="A94" s="496"/>
      <c r="B94" s="503"/>
      <c r="C94" s="503"/>
      <c r="D94" s="503"/>
      <c r="E94" s="496"/>
      <c r="F94" s="496"/>
      <c r="G94" s="521"/>
      <c r="H94" s="521"/>
      <c r="I94" s="496"/>
      <c r="J94" s="496"/>
      <c r="K94" s="496"/>
      <c r="L94" s="496"/>
      <c r="M94" s="496"/>
      <c r="N94" s="496"/>
      <c r="O94" s="496"/>
      <c r="P94" s="496"/>
      <c r="Q94" s="503"/>
      <c r="R94" s="503"/>
      <c r="S94" s="496"/>
      <c r="T94" s="496"/>
      <c r="U94" s="496"/>
      <c r="V94" s="496"/>
      <c r="W94" s="496"/>
      <c r="X94" s="496"/>
      <c r="Y94" s="496"/>
      <c r="Z94" s="496"/>
      <c r="AA94" s="496"/>
      <c r="AB94" s="503"/>
    </row>
    <row r="95" ht="12.75" customHeight="1">
      <c r="A95" s="496"/>
      <c r="B95" s="503"/>
      <c r="C95" s="503"/>
      <c r="D95" s="503"/>
      <c r="E95" s="496"/>
      <c r="F95" s="496"/>
      <c r="G95" s="521"/>
      <c r="H95" s="521"/>
      <c r="I95" s="496"/>
      <c r="J95" s="496"/>
      <c r="K95" s="496"/>
      <c r="L95" s="496"/>
      <c r="M95" s="496"/>
      <c r="N95" s="496"/>
      <c r="O95" s="496"/>
      <c r="P95" s="496"/>
      <c r="Q95" s="503"/>
      <c r="R95" s="503"/>
      <c r="S95" s="496"/>
      <c r="T95" s="496"/>
      <c r="U95" s="496"/>
      <c r="V95" s="496"/>
      <c r="W95" s="496"/>
      <c r="X95" s="496"/>
      <c r="Y95" s="496"/>
      <c r="Z95" s="496"/>
      <c r="AA95" s="496"/>
      <c r="AB95" s="503"/>
    </row>
    <row r="96" ht="12.75" customHeight="1">
      <c r="A96" s="496"/>
      <c r="B96" s="503"/>
      <c r="C96" s="503"/>
      <c r="D96" s="503"/>
      <c r="E96" s="496"/>
      <c r="F96" s="496"/>
      <c r="G96" s="521"/>
      <c r="H96" s="521"/>
      <c r="I96" s="496"/>
      <c r="J96" s="496"/>
      <c r="K96" s="496"/>
      <c r="L96" s="496"/>
      <c r="M96" s="496"/>
      <c r="N96" s="496"/>
      <c r="O96" s="496"/>
      <c r="P96" s="496"/>
      <c r="Q96" s="503"/>
      <c r="R96" s="503"/>
      <c r="S96" s="496"/>
      <c r="T96" s="496"/>
      <c r="U96" s="496"/>
      <c r="V96" s="496"/>
      <c r="W96" s="496"/>
      <c r="X96" s="496"/>
      <c r="Y96" s="496"/>
      <c r="Z96" s="496"/>
      <c r="AA96" s="496"/>
      <c r="AB96" s="503"/>
    </row>
    <row r="97" ht="12.75" customHeight="1">
      <c r="A97" s="496"/>
      <c r="B97" s="503"/>
      <c r="C97" s="503"/>
      <c r="D97" s="503"/>
      <c r="E97" s="496"/>
      <c r="F97" s="496"/>
      <c r="G97" s="521"/>
      <c r="H97" s="521"/>
      <c r="I97" s="496"/>
      <c r="J97" s="496"/>
      <c r="K97" s="496"/>
      <c r="L97" s="496"/>
      <c r="M97" s="496"/>
      <c r="N97" s="496"/>
      <c r="O97" s="496"/>
      <c r="P97" s="496"/>
      <c r="Q97" s="503"/>
      <c r="R97" s="503"/>
      <c r="S97" s="496"/>
      <c r="T97" s="496"/>
      <c r="U97" s="496"/>
      <c r="V97" s="496"/>
      <c r="W97" s="496"/>
      <c r="X97" s="496"/>
      <c r="Y97" s="496"/>
      <c r="Z97" s="496"/>
      <c r="AA97" s="496"/>
      <c r="AB97" s="503"/>
    </row>
    <row r="98" ht="12.75" customHeight="1">
      <c r="A98" s="496"/>
      <c r="B98" s="503"/>
      <c r="C98" s="503"/>
      <c r="D98" s="503"/>
      <c r="E98" s="496"/>
      <c r="F98" s="496"/>
      <c r="G98" s="521"/>
      <c r="H98" s="521"/>
      <c r="I98" s="496"/>
      <c r="J98" s="496"/>
      <c r="K98" s="496"/>
      <c r="L98" s="496"/>
      <c r="M98" s="496"/>
      <c r="N98" s="496"/>
      <c r="O98" s="496"/>
      <c r="P98" s="496"/>
      <c r="Q98" s="503"/>
      <c r="R98" s="503"/>
      <c r="S98" s="496"/>
      <c r="T98" s="496"/>
      <c r="U98" s="496"/>
      <c r="V98" s="496"/>
      <c r="W98" s="496"/>
      <c r="X98" s="496"/>
      <c r="Y98" s="496"/>
      <c r="Z98" s="496"/>
      <c r="AA98" s="496"/>
      <c r="AB98" s="503"/>
    </row>
    <row r="99" ht="12.75" customHeight="1">
      <c r="A99" s="496"/>
      <c r="B99" s="503"/>
      <c r="C99" s="503"/>
      <c r="D99" s="503"/>
      <c r="E99" s="496"/>
      <c r="F99" s="496"/>
      <c r="G99" s="521"/>
      <c r="H99" s="521"/>
      <c r="I99" s="496"/>
      <c r="J99" s="496"/>
      <c r="K99" s="496"/>
      <c r="L99" s="496"/>
      <c r="M99" s="496"/>
      <c r="N99" s="496"/>
      <c r="O99" s="496"/>
      <c r="P99" s="496"/>
      <c r="Q99" s="503"/>
      <c r="R99" s="503"/>
      <c r="S99" s="496"/>
      <c r="T99" s="496"/>
      <c r="U99" s="496"/>
      <c r="V99" s="496"/>
      <c r="W99" s="496"/>
      <c r="X99" s="496"/>
      <c r="Y99" s="496"/>
      <c r="Z99" s="496"/>
      <c r="AA99" s="496"/>
      <c r="AB99" s="503"/>
    </row>
    <row r="100" ht="12.75" customHeight="1">
      <c r="A100" s="496"/>
      <c r="B100" s="503"/>
      <c r="C100" s="503"/>
      <c r="D100" s="503"/>
      <c r="E100" s="496"/>
      <c r="F100" s="496"/>
      <c r="G100" s="521"/>
      <c r="H100" s="521"/>
      <c r="I100" s="496"/>
      <c r="J100" s="496"/>
      <c r="K100" s="496"/>
      <c r="L100" s="496"/>
      <c r="M100" s="496"/>
      <c r="N100" s="496"/>
      <c r="O100" s="496"/>
      <c r="P100" s="496"/>
      <c r="Q100" s="503"/>
      <c r="R100" s="503"/>
      <c r="S100" s="496"/>
      <c r="T100" s="496"/>
      <c r="U100" s="496"/>
      <c r="V100" s="496"/>
      <c r="W100" s="496"/>
      <c r="X100" s="496"/>
      <c r="Y100" s="496"/>
      <c r="Z100" s="496"/>
      <c r="AA100" s="496"/>
      <c r="AB100" s="503"/>
    </row>
    <row r="101" ht="12.75" customHeight="1">
      <c r="A101" s="496"/>
      <c r="B101" s="503"/>
      <c r="C101" s="503"/>
      <c r="D101" s="503"/>
      <c r="E101" s="496"/>
      <c r="F101" s="496"/>
      <c r="G101" s="521"/>
      <c r="H101" s="521"/>
      <c r="I101" s="496"/>
      <c r="J101" s="496"/>
      <c r="K101" s="496"/>
      <c r="L101" s="496"/>
      <c r="M101" s="496"/>
      <c r="N101" s="496"/>
      <c r="O101" s="496"/>
      <c r="P101" s="496"/>
      <c r="Q101" s="503"/>
      <c r="R101" s="503"/>
      <c r="S101" s="496"/>
      <c r="T101" s="496"/>
      <c r="U101" s="496"/>
      <c r="V101" s="496"/>
      <c r="W101" s="496"/>
      <c r="X101" s="496"/>
      <c r="Y101" s="496"/>
      <c r="Z101" s="496"/>
      <c r="AA101" s="496"/>
      <c r="AB101" s="503"/>
    </row>
    <row r="102" ht="12.75" customHeight="1">
      <c r="A102" s="496"/>
      <c r="B102" s="503"/>
      <c r="C102" s="503"/>
      <c r="D102" s="503"/>
      <c r="E102" s="496"/>
      <c r="F102" s="496"/>
      <c r="G102" s="521"/>
      <c r="H102" s="521"/>
      <c r="I102" s="496"/>
      <c r="J102" s="496"/>
      <c r="K102" s="496"/>
      <c r="L102" s="496"/>
      <c r="M102" s="496"/>
      <c r="N102" s="496"/>
      <c r="O102" s="496"/>
      <c r="P102" s="496"/>
      <c r="Q102" s="503"/>
      <c r="R102" s="503"/>
      <c r="S102" s="496"/>
      <c r="T102" s="496"/>
      <c r="U102" s="496"/>
      <c r="V102" s="496"/>
      <c r="W102" s="496"/>
      <c r="X102" s="496"/>
      <c r="Y102" s="496"/>
      <c r="Z102" s="496"/>
      <c r="AA102" s="496"/>
      <c r="AB102" s="503"/>
    </row>
    <row r="103" ht="12.75" customHeight="1">
      <c r="A103" s="496"/>
      <c r="B103" s="503"/>
      <c r="C103" s="503"/>
      <c r="D103" s="503"/>
      <c r="E103" s="496"/>
      <c r="F103" s="496"/>
      <c r="G103" s="521"/>
      <c r="H103" s="521"/>
      <c r="I103" s="496"/>
      <c r="J103" s="496"/>
      <c r="K103" s="496"/>
      <c r="L103" s="496"/>
      <c r="M103" s="496"/>
      <c r="N103" s="496"/>
      <c r="O103" s="496"/>
      <c r="P103" s="496"/>
      <c r="Q103" s="503"/>
      <c r="R103" s="503"/>
      <c r="S103" s="496"/>
      <c r="T103" s="496"/>
      <c r="U103" s="496"/>
      <c r="V103" s="496"/>
      <c r="W103" s="496"/>
      <c r="X103" s="496"/>
      <c r="Y103" s="496"/>
      <c r="Z103" s="496"/>
      <c r="AA103" s="496"/>
      <c r="AB103" s="503"/>
    </row>
    <row r="104" ht="12.75" customHeight="1">
      <c r="A104" s="496"/>
      <c r="B104" s="503"/>
      <c r="C104" s="503"/>
      <c r="D104" s="503"/>
      <c r="E104" s="496"/>
      <c r="F104" s="496"/>
      <c r="G104" s="521"/>
      <c r="H104" s="521"/>
      <c r="I104" s="496"/>
      <c r="J104" s="496"/>
      <c r="K104" s="496"/>
      <c r="L104" s="496"/>
      <c r="M104" s="496"/>
      <c r="N104" s="496"/>
      <c r="O104" s="496"/>
      <c r="P104" s="496"/>
      <c r="Q104" s="503"/>
      <c r="R104" s="503"/>
      <c r="S104" s="496"/>
      <c r="T104" s="496"/>
      <c r="U104" s="496"/>
      <c r="V104" s="496"/>
      <c r="W104" s="496"/>
      <c r="X104" s="496"/>
      <c r="Y104" s="496"/>
      <c r="Z104" s="496"/>
      <c r="AA104" s="496"/>
      <c r="AB104" s="503"/>
    </row>
    <row r="105" ht="12.75" customHeight="1">
      <c r="A105" s="496"/>
      <c r="B105" s="503"/>
      <c r="C105" s="503"/>
      <c r="D105" s="503"/>
      <c r="E105" s="496"/>
      <c r="F105" s="496"/>
      <c r="G105" s="521"/>
      <c r="H105" s="521"/>
      <c r="I105" s="496"/>
      <c r="J105" s="496"/>
      <c r="K105" s="496"/>
      <c r="L105" s="496"/>
      <c r="M105" s="496"/>
      <c r="N105" s="496"/>
      <c r="O105" s="496"/>
      <c r="P105" s="496"/>
      <c r="Q105" s="503"/>
      <c r="R105" s="503"/>
      <c r="S105" s="496"/>
      <c r="T105" s="496"/>
      <c r="U105" s="496"/>
      <c r="V105" s="496"/>
      <c r="W105" s="496"/>
      <c r="X105" s="496"/>
      <c r="Y105" s="496"/>
      <c r="Z105" s="496"/>
      <c r="AA105" s="496"/>
      <c r="AB105" s="503"/>
    </row>
    <row r="106" ht="12.75" customHeight="1">
      <c r="A106" s="496"/>
      <c r="B106" s="503"/>
      <c r="C106" s="503"/>
      <c r="D106" s="503"/>
      <c r="E106" s="496"/>
      <c r="F106" s="496"/>
      <c r="G106" s="521"/>
      <c r="H106" s="521"/>
      <c r="I106" s="496"/>
      <c r="J106" s="496"/>
      <c r="K106" s="496"/>
      <c r="L106" s="496"/>
      <c r="M106" s="496"/>
      <c r="N106" s="496"/>
      <c r="O106" s="496"/>
      <c r="P106" s="496"/>
      <c r="Q106" s="503"/>
      <c r="R106" s="503"/>
      <c r="S106" s="496"/>
      <c r="T106" s="496"/>
      <c r="U106" s="496"/>
      <c r="V106" s="496"/>
      <c r="W106" s="496"/>
      <c r="X106" s="496"/>
      <c r="Y106" s="496"/>
      <c r="Z106" s="496"/>
      <c r="AA106" s="496"/>
      <c r="AB106" s="503"/>
    </row>
    <row r="107" ht="12.75" customHeight="1">
      <c r="A107" s="496"/>
      <c r="B107" s="503"/>
      <c r="C107" s="503"/>
      <c r="D107" s="503"/>
      <c r="E107" s="496"/>
      <c r="F107" s="496"/>
      <c r="G107" s="521"/>
      <c r="H107" s="521"/>
      <c r="I107" s="496"/>
      <c r="J107" s="496"/>
      <c r="K107" s="496"/>
      <c r="L107" s="496"/>
      <c r="M107" s="496"/>
      <c r="N107" s="496"/>
      <c r="O107" s="496"/>
      <c r="P107" s="496"/>
      <c r="Q107" s="503"/>
      <c r="R107" s="503"/>
      <c r="S107" s="496"/>
      <c r="T107" s="496"/>
      <c r="U107" s="496"/>
      <c r="V107" s="496"/>
      <c r="W107" s="496"/>
      <c r="X107" s="496"/>
      <c r="Y107" s="496"/>
      <c r="Z107" s="496"/>
      <c r="AA107" s="496"/>
      <c r="AB107" s="503"/>
    </row>
    <row r="108" ht="12.75" customHeight="1">
      <c r="A108" s="496"/>
      <c r="B108" s="503"/>
      <c r="C108" s="503"/>
      <c r="D108" s="503"/>
      <c r="E108" s="496"/>
      <c r="F108" s="496"/>
      <c r="G108" s="521"/>
      <c r="H108" s="521"/>
      <c r="I108" s="496"/>
      <c r="J108" s="496"/>
      <c r="K108" s="496"/>
      <c r="L108" s="496"/>
      <c r="M108" s="496"/>
      <c r="N108" s="496"/>
      <c r="O108" s="496"/>
      <c r="P108" s="496"/>
      <c r="Q108" s="503"/>
      <c r="R108" s="503"/>
      <c r="S108" s="496"/>
      <c r="T108" s="496"/>
      <c r="U108" s="496"/>
      <c r="V108" s="496"/>
      <c r="W108" s="496"/>
      <c r="X108" s="496"/>
      <c r="Y108" s="496"/>
      <c r="Z108" s="496"/>
      <c r="AA108" s="496"/>
      <c r="AB108" s="503"/>
    </row>
    <row r="109" ht="12.75" customHeight="1">
      <c r="A109" s="496"/>
      <c r="B109" s="503"/>
      <c r="C109" s="503"/>
      <c r="D109" s="503"/>
      <c r="E109" s="496"/>
      <c r="F109" s="496"/>
      <c r="G109" s="521"/>
      <c r="H109" s="521"/>
      <c r="I109" s="496"/>
      <c r="J109" s="496"/>
      <c r="K109" s="496"/>
      <c r="L109" s="496"/>
      <c r="M109" s="496"/>
      <c r="N109" s="496"/>
      <c r="O109" s="496"/>
      <c r="P109" s="496"/>
      <c r="Q109" s="503"/>
      <c r="R109" s="503"/>
      <c r="S109" s="496"/>
      <c r="T109" s="496"/>
      <c r="U109" s="496"/>
      <c r="V109" s="496"/>
      <c r="W109" s="496"/>
      <c r="X109" s="496"/>
      <c r="Y109" s="496"/>
      <c r="Z109" s="496"/>
      <c r="AA109" s="496"/>
      <c r="AB109" s="503"/>
    </row>
    <row r="110" ht="12.75" customHeight="1">
      <c r="A110" s="496"/>
      <c r="B110" s="503"/>
      <c r="C110" s="503"/>
      <c r="D110" s="503"/>
      <c r="E110" s="496"/>
      <c r="F110" s="496"/>
      <c r="G110" s="521"/>
      <c r="H110" s="521"/>
      <c r="I110" s="496"/>
      <c r="J110" s="496"/>
      <c r="K110" s="496"/>
      <c r="L110" s="496"/>
      <c r="M110" s="496"/>
      <c r="N110" s="496"/>
      <c r="O110" s="496"/>
      <c r="P110" s="496"/>
      <c r="Q110" s="503"/>
      <c r="R110" s="503"/>
      <c r="S110" s="496"/>
      <c r="T110" s="496"/>
      <c r="U110" s="496"/>
      <c r="V110" s="496"/>
      <c r="W110" s="496"/>
      <c r="X110" s="496"/>
      <c r="Y110" s="496"/>
      <c r="Z110" s="496"/>
      <c r="AA110" s="496"/>
      <c r="AB110" s="503"/>
    </row>
    <row r="111" ht="12.75" customHeight="1">
      <c r="A111" s="496"/>
      <c r="B111" s="503"/>
      <c r="C111" s="503"/>
      <c r="D111" s="503"/>
      <c r="E111" s="496"/>
      <c r="F111" s="496"/>
      <c r="G111" s="521"/>
      <c r="H111" s="521"/>
      <c r="I111" s="496"/>
      <c r="J111" s="496"/>
      <c r="K111" s="496"/>
      <c r="L111" s="496"/>
      <c r="M111" s="496"/>
      <c r="N111" s="496"/>
      <c r="O111" s="496"/>
      <c r="P111" s="496"/>
      <c r="Q111" s="503"/>
      <c r="R111" s="503"/>
      <c r="S111" s="496"/>
      <c r="T111" s="496"/>
      <c r="U111" s="496"/>
      <c r="V111" s="496"/>
      <c r="W111" s="496"/>
      <c r="X111" s="496"/>
      <c r="Y111" s="496"/>
      <c r="Z111" s="496"/>
      <c r="AA111" s="496"/>
      <c r="AB111" s="503"/>
    </row>
    <row r="112" ht="12.75" customHeight="1">
      <c r="A112" s="496"/>
      <c r="B112" s="503"/>
      <c r="C112" s="503"/>
      <c r="D112" s="503"/>
      <c r="E112" s="496"/>
      <c r="F112" s="496"/>
      <c r="G112" s="521"/>
      <c r="H112" s="521"/>
      <c r="I112" s="496"/>
      <c r="J112" s="496"/>
      <c r="K112" s="496"/>
      <c r="L112" s="496"/>
      <c r="M112" s="496"/>
      <c r="N112" s="496"/>
      <c r="O112" s="496"/>
      <c r="P112" s="496"/>
      <c r="Q112" s="503"/>
      <c r="R112" s="503"/>
      <c r="S112" s="496"/>
      <c r="T112" s="496"/>
      <c r="U112" s="496"/>
      <c r="V112" s="496"/>
      <c r="W112" s="496"/>
      <c r="X112" s="496"/>
      <c r="Y112" s="496"/>
      <c r="Z112" s="496"/>
      <c r="AA112" s="496"/>
      <c r="AB112" s="503"/>
    </row>
    <row r="113" ht="12.75" customHeight="1">
      <c r="A113" s="496"/>
      <c r="B113" s="503"/>
      <c r="C113" s="503"/>
      <c r="D113" s="503"/>
      <c r="E113" s="496"/>
      <c r="F113" s="496"/>
      <c r="G113" s="521"/>
      <c r="H113" s="521"/>
      <c r="I113" s="496"/>
      <c r="J113" s="496"/>
      <c r="K113" s="496"/>
      <c r="L113" s="496"/>
      <c r="M113" s="496"/>
      <c r="N113" s="496"/>
      <c r="O113" s="496"/>
      <c r="P113" s="496"/>
      <c r="Q113" s="503"/>
      <c r="R113" s="503"/>
      <c r="S113" s="496"/>
      <c r="T113" s="496"/>
      <c r="U113" s="496"/>
      <c r="V113" s="496"/>
      <c r="W113" s="496"/>
      <c r="X113" s="496"/>
      <c r="Y113" s="496"/>
      <c r="Z113" s="496"/>
      <c r="AA113" s="496"/>
      <c r="AB113" s="503"/>
    </row>
    <row r="114" ht="12.75" customHeight="1">
      <c r="A114" s="496"/>
      <c r="B114" s="503"/>
      <c r="C114" s="503"/>
      <c r="D114" s="503"/>
      <c r="E114" s="496"/>
      <c r="F114" s="496"/>
      <c r="G114" s="521"/>
      <c r="H114" s="521"/>
      <c r="I114" s="496"/>
      <c r="J114" s="496"/>
      <c r="K114" s="496"/>
      <c r="L114" s="496"/>
      <c r="M114" s="496"/>
      <c r="N114" s="496"/>
      <c r="O114" s="496"/>
      <c r="P114" s="496"/>
      <c r="Q114" s="503"/>
      <c r="R114" s="503"/>
      <c r="S114" s="496"/>
      <c r="T114" s="496"/>
      <c r="U114" s="496"/>
      <c r="V114" s="496"/>
      <c r="W114" s="496"/>
      <c r="X114" s="496"/>
      <c r="Y114" s="496"/>
      <c r="Z114" s="496"/>
      <c r="AA114" s="496"/>
      <c r="AB114" s="503"/>
    </row>
    <row r="115" ht="12.75" customHeight="1">
      <c r="A115" s="496"/>
      <c r="B115" s="503"/>
      <c r="C115" s="503"/>
      <c r="D115" s="503"/>
      <c r="E115" s="496"/>
      <c r="F115" s="496"/>
      <c r="G115" s="521"/>
      <c r="H115" s="521"/>
      <c r="I115" s="496"/>
      <c r="J115" s="496"/>
      <c r="K115" s="496"/>
      <c r="L115" s="496"/>
      <c r="M115" s="496"/>
      <c r="N115" s="496"/>
      <c r="O115" s="496"/>
      <c r="P115" s="496"/>
      <c r="Q115" s="503"/>
      <c r="R115" s="503"/>
      <c r="S115" s="496"/>
      <c r="T115" s="496"/>
      <c r="U115" s="496"/>
      <c r="V115" s="496"/>
      <c r="W115" s="496"/>
      <c r="X115" s="496"/>
      <c r="Y115" s="496"/>
      <c r="Z115" s="496"/>
      <c r="AA115" s="496"/>
      <c r="AB115" s="503"/>
    </row>
    <row r="116" ht="12.75" customHeight="1">
      <c r="A116" s="496"/>
      <c r="B116" s="503"/>
      <c r="C116" s="503"/>
      <c r="D116" s="503"/>
      <c r="E116" s="496"/>
      <c r="F116" s="496"/>
      <c r="G116" s="521"/>
      <c r="H116" s="521"/>
      <c r="I116" s="496"/>
      <c r="J116" s="496"/>
      <c r="K116" s="496"/>
      <c r="L116" s="496"/>
      <c r="M116" s="496"/>
      <c r="N116" s="496"/>
      <c r="O116" s="496"/>
      <c r="P116" s="496"/>
      <c r="Q116" s="503"/>
      <c r="R116" s="503"/>
      <c r="S116" s="496"/>
      <c r="T116" s="496"/>
      <c r="U116" s="496"/>
      <c r="V116" s="496"/>
      <c r="W116" s="496"/>
      <c r="X116" s="496"/>
      <c r="Y116" s="496"/>
      <c r="Z116" s="496"/>
      <c r="AA116" s="496"/>
      <c r="AB116" s="503"/>
    </row>
    <row r="117" ht="12.75" customHeight="1">
      <c r="A117" s="496"/>
      <c r="B117" s="503"/>
      <c r="C117" s="503"/>
      <c r="D117" s="503"/>
      <c r="E117" s="496"/>
      <c r="F117" s="496"/>
      <c r="G117" s="521"/>
      <c r="H117" s="521"/>
      <c r="I117" s="496"/>
      <c r="J117" s="496"/>
      <c r="K117" s="496"/>
      <c r="L117" s="496"/>
      <c r="M117" s="496"/>
      <c r="N117" s="496"/>
      <c r="O117" s="496"/>
      <c r="P117" s="496"/>
      <c r="Q117" s="503"/>
      <c r="R117" s="503"/>
      <c r="S117" s="496"/>
      <c r="T117" s="496"/>
      <c r="U117" s="496"/>
      <c r="V117" s="496"/>
      <c r="W117" s="496"/>
      <c r="X117" s="496"/>
      <c r="Y117" s="496"/>
      <c r="Z117" s="496"/>
      <c r="AA117" s="496"/>
      <c r="AB117" s="503"/>
    </row>
    <row r="118" ht="12.75" customHeight="1">
      <c r="A118" s="496"/>
      <c r="B118" s="503"/>
      <c r="C118" s="503"/>
      <c r="D118" s="503"/>
      <c r="E118" s="496"/>
      <c r="F118" s="496"/>
      <c r="G118" s="521"/>
      <c r="H118" s="521"/>
      <c r="I118" s="496"/>
      <c r="J118" s="496"/>
      <c r="K118" s="496"/>
      <c r="L118" s="496"/>
      <c r="M118" s="496"/>
      <c r="N118" s="496"/>
      <c r="O118" s="496"/>
      <c r="P118" s="496"/>
      <c r="Q118" s="503"/>
      <c r="R118" s="503"/>
      <c r="S118" s="496"/>
      <c r="T118" s="496"/>
      <c r="U118" s="496"/>
      <c r="V118" s="496"/>
      <c r="W118" s="496"/>
      <c r="X118" s="496"/>
      <c r="Y118" s="496"/>
      <c r="Z118" s="496"/>
      <c r="AA118" s="496"/>
      <c r="AB118" s="503"/>
    </row>
    <row r="119" ht="12.75" customHeight="1">
      <c r="A119" s="496"/>
      <c r="B119" s="503"/>
      <c r="C119" s="503"/>
      <c r="D119" s="503"/>
      <c r="E119" s="496"/>
      <c r="F119" s="496"/>
      <c r="G119" s="521"/>
      <c r="H119" s="521"/>
      <c r="I119" s="496"/>
      <c r="J119" s="496"/>
      <c r="K119" s="496"/>
      <c r="L119" s="496"/>
      <c r="M119" s="496"/>
      <c r="N119" s="496"/>
      <c r="O119" s="496"/>
      <c r="P119" s="496"/>
      <c r="Q119" s="503"/>
      <c r="R119" s="503"/>
      <c r="S119" s="496"/>
      <c r="T119" s="496"/>
      <c r="U119" s="496"/>
      <c r="V119" s="496"/>
      <c r="W119" s="496"/>
      <c r="X119" s="496"/>
      <c r="Y119" s="496"/>
      <c r="Z119" s="496"/>
      <c r="AA119" s="496"/>
      <c r="AB119" s="503"/>
    </row>
    <row r="120" ht="12.75" customHeight="1">
      <c r="A120" s="496"/>
      <c r="B120" s="503"/>
      <c r="C120" s="503"/>
      <c r="D120" s="503"/>
      <c r="E120" s="496"/>
      <c r="F120" s="496"/>
      <c r="G120" s="521"/>
      <c r="H120" s="521"/>
      <c r="I120" s="496"/>
      <c r="J120" s="496"/>
      <c r="K120" s="496"/>
      <c r="L120" s="496"/>
      <c r="M120" s="496"/>
      <c r="N120" s="496"/>
      <c r="O120" s="496"/>
      <c r="P120" s="496"/>
      <c r="Q120" s="503"/>
      <c r="R120" s="503"/>
      <c r="S120" s="496"/>
      <c r="T120" s="496"/>
      <c r="U120" s="496"/>
      <c r="V120" s="496"/>
      <c r="W120" s="496"/>
      <c r="X120" s="496"/>
      <c r="Y120" s="496"/>
      <c r="Z120" s="496"/>
      <c r="AA120" s="496"/>
      <c r="AB120" s="503"/>
    </row>
    <row r="121" ht="12.75" customHeight="1">
      <c r="A121" s="496"/>
      <c r="B121" s="503"/>
      <c r="C121" s="503"/>
      <c r="D121" s="503"/>
      <c r="E121" s="496"/>
      <c r="F121" s="496"/>
      <c r="G121" s="521"/>
      <c r="H121" s="521"/>
      <c r="I121" s="496"/>
      <c r="J121" s="496"/>
      <c r="K121" s="496"/>
      <c r="L121" s="496"/>
      <c r="M121" s="496"/>
      <c r="N121" s="496"/>
      <c r="O121" s="496"/>
      <c r="P121" s="496"/>
      <c r="Q121" s="503"/>
      <c r="R121" s="503"/>
      <c r="S121" s="496"/>
      <c r="T121" s="496"/>
      <c r="U121" s="496"/>
      <c r="V121" s="496"/>
      <c r="W121" s="496"/>
      <c r="X121" s="496"/>
      <c r="Y121" s="496"/>
      <c r="Z121" s="496"/>
      <c r="AA121" s="496"/>
      <c r="AB121" s="503"/>
    </row>
    <row r="122" ht="12.75" customHeight="1">
      <c r="A122" s="496"/>
      <c r="B122" s="503"/>
      <c r="C122" s="503"/>
      <c r="D122" s="503"/>
      <c r="E122" s="496"/>
      <c r="F122" s="496"/>
      <c r="G122" s="521"/>
      <c r="H122" s="521"/>
      <c r="I122" s="496"/>
      <c r="J122" s="496"/>
      <c r="K122" s="496"/>
      <c r="L122" s="496"/>
      <c r="M122" s="496"/>
      <c r="N122" s="496"/>
      <c r="O122" s="496"/>
      <c r="P122" s="496"/>
      <c r="Q122" s="503"/>
      <c r="R122" s="503"/>
      <c r="S122" s="496"/>
      <c r="T122" s="496"/>
      <c r="U122" s="496"/>
      <c r="V122" s="496"/>
      <c r="W122" s="496"/>
      <c r="X122" s="496"/>
      <c r="Y122" s="496"/>
      <c r="Z122" s="496"/>
      <c r="AA122" s="496"/>
      <c r="AB122" s="503"/>
    </row>
    <row r="123" ht="12.75" customHeight="1">
      <c r="A123" s="496"/>
      <c r="B123" s="503"/>
      <c r="C123" s="503"/>
      <c r="D123" s="503"/>
      <c r="E123" s="496"/>
      <c r="F123" s="496"/>
      <c r="G123" s="521"/>
      <c r="H123" s="521"/>
      <c r="I123" s="496"/>
      <c r="J123" s="496"/>
      <c r="K123" s="496"/>
      <c r="L123" s="496"/>
      <c r="M123" s="496"/>
      <c r="N123" s="496"/>
      <c r="O123" s="496"/>
      <c r="P123" s="496"/>
      <c r="Q123" s="503"/>
      <c r="R123" s="503"/>
      <c r="S123" s="496"/>
      <c r="T123" s="496"/>
      <c r="U123" s="496"/>
      <c r="V123" s="496"/>
      <c r="W123" s="496"/>
      <c r="X123" s="496"/>
      <c r="Y123" s="496"/>
      <c r="Z123" s="496"/>
      <c r="AA123" s="496"/>
      <c r="AB123" s="503"/>
    </row>
    <row r="124" ht="12.75" customHeight="1">
      <c r="A124" s="496"/>
      <c r="B124" s="503"/>
      <c r="C124" s="503"/>
      <c r="D124" s="503"/>
      <c r="E124" s="496"/>
      <c r="F124" s="496"/>
      <c r="G124" s="521"/>
      <c r="H124" s="521"/>
      <c r="I124" s="496"/>
      <c r="J124" s="496"/>
      <c r="K124" s="496"/>
      <c r="L124" s="496"/>
      <c r="M124" s="496"/>
      <c r="N124" s="496"/>
      <c r="O124" s="496"/>
      <c r="P124" s="496"/>
      <c r="Q124" s="503"/>
      <c r="R124" s="503"/>
      <c r="S124" s="496"/>
      <c r="T124" s="496"/>
      <c r="U124" s="496"/>
      <c r="V124" s="496"/>
      <c r="W124" s="496"/>
      <c r="X124" s="496"/>
      <c r="Y124" s="496"/>
      <c r="Z124" s="496"/>
      <c r="AA124" s="496"/>
      <c r="AB124" s="503"/>
    </row>
    <row r="125" ht="12.75" customHeight="1">
      <c r="A125" s="496"/>
      <c r="B125" s="503"/>
      <c r="C125" s="503"/>
      <c r="D125" s="503"/>
      <c r="E125" s="496"/>
      <c r="F125" s="496"/>
      <c r="G125" s="521"/>
      <c r="H125" s="521"/>
      <c r="I125" s="496"/>
      <c r="J125" s="496"/>
      <c r="K125" s="496"/>
      <c r="L125" s="496"/>
      <c r="M125" s="496"/>
      <c r="N125" s="496"/>
      <c r="O125" s="496"/>
      <c r="P125" s="496"/>
      <c r="Q125" s="503"/>
      <c r="R125" s="503"/>
      <c r="S125" s="496"/>
      <c r="T125" s="496"/>
      <c r="U125" s="496"/>
      <c r="V125" s="496"/>
      <c r="W125" s="496"/>
      <c r="X125" s="496"/>
      <c r="Y125" s="496"/>
      <c r="Z125" s="496"/>
      <c r="AA125" s="496"/>
      <c r="AB125" s="503"/>
    </row>
    <row r="126" ht="12.75" customHeight="1">
      <c r="A126" s="496"/>
      <c r="B126" s="503"/>
      <c r="C126" s="503"/>
      <c r="D126" s="503"/>
      <c r="E126" s="496"/>
      <c r="F126" s="496"/>
      <c r="G126" s="521"/>
      <c r="H126" s="521"/>
      <c r="I126" s="496"/>
      <c r="J126" s="496"/>
      <c r="K126" s="496"/>
      <c r="L126" s="496"/>
      <c r="M126" s="496"/>
      <c r="N126" s="496"/>
      <c r="O126" s="496"/>
      <c r="P126" s="496"/>
      <c r="Q126" s="503"/>
      <c r="R126" s="503"/>
      <c r="S126" s="496"/>
      <c r="T126" s="496"/>
      <c r="U126" s="496"/>
      <c r="V126" s="496"/>
      <c r="W126" s="496"/>
      <c r="X126" s="496"/>
      <c r="Y126" s="496"/>
      <c r="Z126" s="496"/>
      <c r="AA126" s="496"/>
      <c r="AB126" s="503"/>
    </row>
    <row r="127" ht="12.75" customHeight="1">
      <c r="A127" s="496"/>
      <c r="B127" s="503"/>
      <c r="C127" s="503"/>
      <c r="D127" s="503"/>
      <c r="E127" s="496"/>
      <c r="F127" s="496"/>
      <c r="G127" s="521"/>
      <c r="H127" s="521"/>
      <c r="I127" s="496"/>
      <c r="J127" s="496"/>
      <c r="K127" s="496"/>
      <c r="L127" s="496"/>
      <c r="M127" s="496"/>
      <c r="N127" s="496"/>
      <c r="O127" s="496"/>
      <c r="P127" s="496"/>
      <c r="Q127" s="503"/>
      <c r="R127" s="503"/>
      <c r="S127" s="496"/>
      <c r="T127" s="496"/>
      <c r="U127" s="496"/>
      <c r="V127" s="496"/>
      <c r="W127" s="496"/>
      <c r="X127" s="496"/>
      <c r="Y127" s="496"/>
      <c r="Z127" s="496"/>
      <c r="AA127" s="496"/>
      <c r="AB127" s="503"/>
    </row>
    <row r="128" ht="12.75" customHeight="1">
      <c r="A128" s="496"/>
      <c r="B128" s="503"/>
      <c r="C128" s="503"/>
      <c r="D128" s="503"/>
      <c r="E128" s="496"/>
      <c r="F128" s="496"/>
      <c r="G128" s="521"/>
      <c r="H128" s="521"/>
      <c r="I128" s="496"/>
      <c r="J128" s="496"/>
      <c r="K128" s="496"/>
      <c r="L128" s="496"/>
      <c r="M128" s="496"/>
      <c r="N128" s="496"/>
      <c r="O128" s="496"/>
      <c r="P128" s="496"/>
      <c r="Q128" s="503"/>
      <c r="R128" s="503"/>
      <c r="S128" s="496"/>
      <c r="T128" s="496"/>
      <c r="U128" s="496"/>
      <c r="V128" s="496"/>
      <c r="W128" s="496"/>
      <c r="X128" s="496"/>
      <c r="Y128" s="496"/>
      <c r="Z128" s="496"/>
      <c r="AA128" s="496"/>
      <c r="AB128" s="503"/>
    </row>
    <row r="129" ht="12.75" customHeight="1">
      <c r="A129" s="496"/>
      <c r="B129" s="503"/>
      <c r="C129" s="503"/>
      <c r="D129" s="503"/>
      <c r="E129" s="496"/>
      <c r="F129" s="496"/>
      <c r="G129" s="521"/>
      <c r="H129" s="521"/>
      <c r="I129" s="496"/>
      <c r="J129" s="496"/>
      <c r="K129" s="496"/>
      <c r="L129" s="496"/>
      <c r="M129" s="496"/>
      <c r="N129" s="496"/>
      <c r="O129" s="496"/>
      <c r="P129" s="496"/>
      <c r="Q129" s="503"/>
      <c r="R129" s="503"/>
      <c r="S129" s="496"/>
      <c r="T129" s="496"/>
      <c r="U129" s="496"/>
      <c r="V129" s="496"/>
      <c r="W129" s="496"/>
      <c r="X129" s="496"/>
      <c r="Y129" s="496"/>
      <c r="Z129" s="496"/>
      <c r="AA129" s="496"/>
      <c r="AB129" s="503"/>
    </row>
    <row r="130" ht="12.75" customHeight="1">
      <c r="A130" s="496"/>
      <c r="B130" s="503"/>
      <c r="C130" s="503"/>
      <c r="D130" s="503"/>
      <c r="E130" s="496"/>
      <c r="F130" s="496"/>
      <c r="G130" s="521"/>
      <c r="H130" s="521"/>
      <c r="I130" s="496"/>
      <c r="J130" s="496"/>
      <c r="K130" s="496"/>
      <c r="L130" s="496"/>
      <c r="M130" s="496"/>
      <c r="N130" s="496"/>
      <c r="O130" s="496"/>
      <c r="P130" s="496"/>
      <c r="Q130" s="503"/>
      <c r="R130" s="503"/>
      <c r="S130" s="496"/>
      <c r="T130" s="496"/>
      <c r="U130" s="496"/>
      <c r="V130" s="496"/>
      <c r="W130" s="496"/>
      <c r="X130" s="496"/>
      <c r="Y130" s="496"/>
      <c r="Z130" s="496"/>
      <c r="AA130" s="496"/>
      <c r="AB130" s="503"/>
    </row>
    <row r="131" ht="12.75" customHeight="1">
      <c r="A131" s="496"/>
      <c r="B131" s="503"/>
      <c r="C131" s="503"/>
      <c r="D131" s="503"/>
      <c r="E131" s="496"/>
      <c r="F131" s="496"/>
      <c r="G131" s="521"/>
      <c r="H131" s="521"/>
      <c r="I131" s="496"/>
      <c r="J131" s="496"/>
      <c r="K131" s="496"/>
      <c r="L131" s="496"/>
      <c r="M131" s="496"/>
      <c r="N131" s="496"/>
      <c r="O131" s="496"/>
      <c r="P131" s="496"/>
      <c r="Q131" s="503"/>
      <c r="R131" s="503"/>
      <c r="S131" s="496"/>
      <c r="T131" s="496"/>
      <c r="U131" s="496"/>
      <c r="V131" s="496"/>
      <c r="W131" s="496"/>
      <c r="X131" s="496"/>
      <c r="Y131" s="496"/>
      <c r="Z131" s="496"/>
      <c r="AA131" s="496"/>
      <c r="AB131" s="503"/>
    </row>
    <row r="132" ht="12.75" customHeight="1">
      <c r="A132" s="496"/>
      <c r="B132" s="503"/>
      <c r="C132" s="503"/>
      <c r="D132" s="503"/>
      <c r="E132" s="496"/>
      <c r="F132" s="496"/>
      <c r="G132" s="521"/>
      <c r="H132" s="521"/>
      <c r="I132" s="496"/>
      <c r="J132" s="496"/>
      <c r="K132" s="496"/>
      <c r="L132" s="496"/>
      <c r="M132" s="496"/>
      <c r="N132" s="496"/>
      <c r="O132" s="496"/>
      <c r="P132" s="496"/>
      <c r="Q132" s="503"/>
      <c r="R132" s="503"/>
      <c r="S132" s="496"/>
      <c r="T132" s="496"/>
      <c r="U132" s="496"/>
      <c r="V132" s="496"/>
      <c r="W132" s="496"/>
      <c r="X132" s="496"/>
      <c r="Y132" s="496"/>
      <c r="Z132" s="496"/>
      <c r="AA132" s="496"/>
      <c r="AB132" s="503"/>
    </row>
    <row r="133" ht="12.75" customHeight="1">
      <c r="A133" s="496"/>
      <c r="B133" s="503"/>
      <c r="C133" s="503"/>
      <c r="D133" s="503"/>
      <c r="E133" s="496"/>
      <c r="F133" s="496"/>
      <c r="G133" s="521"/>
      <c r="H133" s="521"/>
      <c r="I133" s="496"/>
      <c r="J133" s="496"/>
      <c r="K133" s="496"/>
      <c r="L133" s="496"/>
      <c r="M133" s="496"/>
      <c r="N133" s="496"/>
      <c r="O133" s="496"/>
      <c r="P133" s="496"/>
      <c r="Q133" s="503"/>
      <c r="R133" s="503"/>
      <c r="S133" s="496"/>
      <c r="T133" s="496"/>
      <c r="U133" s="496"/>
      <c r="V133" s="496"/>
      <c r="W133" s="496"/>
      <c r="X133" s="496"/>
      <c r="Y133" s="496"/>
      <c r="Z133" s="496"/>
      <c r="AA133" s="496"/>
      <c r="AB133" s="503"/>
    </row>
    <row r="134" ht="12.75" customHeight="1">
      <c r="A134" s="496"/>
      <c r="B134" s="503"/>
      <c r="C134" s="503"/>
      <c r="D134" s="503"/>
      <c r="E134" s="496"/>
      <c r="F134" s="496"/>
      <c r="G134" s="521"/>
      <c r="H134" s="521"/>
      <c r="I134" s="496"/>
      <c r="J134" s="496"/>
      <c r="K134" s="496"/>
      <c r="L134" s="496"/>
      <c r="M134" s="496"/>
      <c r="N134" s="496"/>
      <c r="O134" s="496"/>
      <c r="P134" s="496"/>
      <c r="Q134" s="503"/>
      <c r="R134" s="503"/>
      <c r="S134" s="496"/>
      <c r="T134" s="496"/>
      <c r="U134" s="496"/>
      <c r="V134" s="496"/>
      <c r="W134" s="496"/>
      <c r="X134" s="496"/>
      <c r="Y134" s="496"/>
      <c r="Z134" s="496"/>
      <c r="AA134" s="496"/>
      <c r="AB134" s="503"/>
    </row>
    <row r="135" ht="12.75" customHeight="1">
      <c r="A135" s="496"/>
      <c r="B135" s="503"/>
      <c r="C135" s="503"/>
      <c r="D135" s="503"/>
      <c r="E135" s="496"/>
      <c r="F135" s="496"/>
      <c r="G135" s="521"/>
      <c r="H135" s="521"/>
      <c r="I135" s="496"/>
      <c r="J135" s="496"/>
      <c r="K135" s="496"/>
      <c r="L135" s="496"/>
      <c r="M135" s="496"/>
      <c r="N135" s="496"/>
      <c r="O135" s="496"/>
      <c r="P135" s="496"/>
      <c r="Q135" s="503"/>
      <c r="R135" s="503"/>
      <c r="S135" s="496"/>
      <c r="T135" s="496"/>
      <c r="U135" s="496"/>
      <c r="V135" s="496"/>
      <c r="W135" s="496"/>
      <c r="X135" s="496"/>
      <c r="Y135" s="496"/>
      <c r="Z135" s="496"/>
      <c r="AA135" s="496"/>
      <c r="AB135" s="503"/>
    </row>
    <row r="136" ht="12.75" customHeight="1">
      <c r="A136" s="496"/>
      <c r="B136" s="503"/>
      <c r="C136" s="503"/>
      <c r="D136" s="503"/>
      <c r="E136" s="496"/>
      <c r="F136" s="496"/>
      <c r="G136" s="521"/>
      <c r="H136" s="521"/>
      <c r="I136" s="496"/>
      <c r="J136" s="496"/>
      <c r="K136" s="496"/>
      <c r="L136" s="496"/>
      <c r="M136" s="496"/>
      <c r="N136" s="496"/>
      <c r="O136" s="496"/>
      <c r="P136" s="496"/>
      <c r="Q136" s="503"/>
      <c r="R136" s="503"/>
      <c r="S136" s="496"/>
      <c r="T136" s="496"/>
      <c r="U136" s="496"/>
      <c r="V136" s="496"/>
      <c r="W136" s="496"/>
      <c r="X136" s="496"/>
      <c r="Y136" s="496"/>
      <c r="Z136" s="496"/>
      <c r="AA136" s="496"/>
      <c r="AB136" s="503"/>
    </row>
    <row r="137" ht="12.75" customHeight="1">
      <c r="A137" s="496"/>
      <c r="B137" s="503"/>
      <c r="C137" s="503"/>
      <c r="D137" s="503"/>
      <c r="E137" s="496"/>
      <c r="F137" s="496"/>
      <c r="G137" s="521"/>
      <c r="H137" s="521"/>
      <c r="I137" s="496"/>
      <c r="J137" s="496"/>
      <c r="K137" s="496"/>
      <c r="L137" s="496"/>
      <c r="M137" s="496"/>
      <c r="N137" s="496"/>
      <c r="O137" s="496"/>
      <c r="P137" s="496"/>
      <c r="Q137" s="503"/>
      <c r="R137" s="503"/>
      <c r="S137" s="496"/>
      <c r="T137" s="496"/>
      <c r="U137" s="496"/>
      <c r="V137" s="496"/>
      <c r="W137" s="496"/>
      <c r="X137" s="496"/>
      <c r="Y137" s="496"/>
      <c r="Z137" s="496"/>
      <c r="AA137" s="496"/>
      <c r="AB137" s="503"/>
    </row>
    <row r="138" ht="12.75" customHeight="1">
      <c r="A138" s="496"/>
      <c r="B138" s="503"/>
      <c r="C138" s="503"/>
      <c r="D138" s="503"/>
      <c r="E138" s="496"/>
      <c r="F138" s="496"/>
      <c r="G138" s="521"/>
      <c r="H138" s="521"/>
      <c r="I138" s="496"/>
      <c r="J138" s="496"/>
      <c r="K138" s="496"/>
      <c r="L138" s="496"/>
      <c r="M138" s="496"/>
      <c r="N138" s="496"/>
      <c r="O138" s="496"/>
      <c r="P138" s="496"/>
      <c r="Q138" s="503"/>
      <c r="R138" s="503"/>
      <c r="S138" s="496"/>
      <c r="T138" s="496"/>
      <c r="U138" s="496"/>
      <c r="V138" s="496"/>
      <c r="W138" s="496"/>
      <c r="X138" s="496"/>
      <c r="Y138" s="496"/>
      <c r="Z138" s="496"/>
      <c r="AA138" s="496"/>
      <c r="AB138" s="503"/>
    </row>
    <row r="139" ht="12.75" customHeight="1">
      <c r="A139" s="496"/>
      <c r="B139" s="503"/>
      <c r="C139" s="503"/>
      <c r="D139" s="503"/>
      <c r="E139" s="496"/>
      <c r="F139" s="496"/>
      <c r="G139" s="521"/>
      <c r="H139" s="521"/>
      <c r="I139" s="496"/>
      <c r="J139" s="496"/>
      <c r="K139" s="496"/>
      <c r="L139" s="496"/>
      <c r="M139" s="496"/>
      <c r="N139" s="496"/>
      <c r="O139" s="496"/>
      <c r="P139" s="496"/>
      <c r="Q139" s="503"/>
      <c r="R139" s="503"/>
      <c r="S139" s="496"/>
      <c r="T139" s="496"/>
      <c r="U139" s="496"/>
      <c r="V139" s="496"/>
      <c r="W139" s="496"/>
      <c r="X139" s="496"/>
      <c r="Y139" s="496"/>
      <c r="Z139" s="496"/>
      <c r="AA139" s="496"/>
      <c r="AB139" s="503"/>
    </row>
    <row r="140" ht="12.75" customHeight="1">
      <c r="A140" s="496"/>
      <c r="B140" s="503"/>
      <c r="C140" s="503"/>
      <c r="D140" s="503"/>
      <c r="E140" s="496"/>
      <c r="F140" s="496"/>
      <c r="G140" s="521"/>
      <c r="H140" s="521"/>
      <c r="I140" s="496"/>
      <c r="J140" s="496"/>
      <c r="K140" s="496"/>
      <c r="L140" s="496"/>
      <c r="M140" s="496"/>
      <c r="N140" s="496"/>
      <c r="O140" s="496"/>
      <c r="P140" s="496"/>
      <c r="Q140" s="503"/>
      <c r="R140" s="503"/>
      <c r="S140" s="496"/>
      <c r="T140" s="496"/>
      <c r="U140" s="496"/>
      <c r="V140" s="496"/>
      <c r="W140" s="496"/>
      <c r="X140" s="496"/>
      <c r="Y140" s="496"/>
      <c r="Z140" s="496"/>
      <c r="AA140" s="496"/>
      <c r="AB140" s="503"/>
    </row>
    <row r="141" ht="12.75" customHeight="1">
      <c r="A141" s="496"/>
      <c r="B141" s="503"/>
      <c r="C141" s="503"/>
      <c r="D141" s="503"/>
      <c r="E141" s="496"/>
      <c r="F141" s="496"/>
      <c r="G141" s="521"/>
      <c r="H141" s="521"/>
      <c r="I141" s="496"/>
      <c r="J141" s="496"/>
      <c r="K141" s="496"/>
      <c r="L141" s="496"/>
      <c r="M141" s="496"/>
      <c r="N141" s="496"/>
      <c r="O141" s="496"/>
      <c r="P141" s="496"/>
      <c r="Q141" s="503"/>
      <c r="R141" s="503"/>
      <c r="S141" s="496"/>
      <c r="T141" s="496"/>
      <c r="U141" s="496"/>
      <c r="V141" s="496"/>
      <c r="W141" s="496"/>
      <c r="X141" s="496"/>
      <c r="Y141" s="496"/>
      <c r="Z141" s="496"/>
      <c r="AA141" s="496"/>
      <c r="AB141" s="503"/>
    </row>
    <row r="142" ht="12.75" customHeight="1">
      <c r="A142" s="496"/>
      <c r="B142" s="503"/>
      <c r="C142" s="503"/>
      <c r="D142" s="503"/>
      <c r="E142" s="496"/>
      <c r="F142" s="496"/>
      <c r="G142" s="521"/>
      <c r="H142" s="521"/>
      <c r="I142" s="496"/>
      <c r="J142" s="496"/>
      <c r="K142" s="496"/>
      <c r="L142" s="496"/>
      <c r="M142" s="496"/>
      <c r="N142" s="496"/>
      <c r="O142" s="496"/>
      <c r="P142" s="496"/>
      <c r="Q142" s="503"/>
      <c r="R142" s="503"/>
      <c r="S142" s="496"/>
      <c r="T142" s="496"/>
      <c r="U142" s="496"/>
      <c r="V142" s="496"/>
      <c r="W142" s="496"/>
      <c r="X142" s="496"/>
      <c r="Y142" s="496"/>
      <c r="Z142" s="496"/>
      <c r="AA142" s="496"/>
      <c r="AB142" s="503"/>
    </row>
    <row r="143" ht="12.75" customHeight="1">
      <c r="A143" s="496"/>
      <c r="B143" s="503"/>
      <c r="C143" s="503"/>
      <c r="D143" s="503"/>
      <c r="E143" s="496"/>
      <c r="F143" s="496"/>
      <c r="G143" s="521"/>
      <c r="H143" s="521"/>
      <c r="I143" s="496"/>
      <c r="J143" s="496"/>
      <c r="K143" s="496"/>
      <c r="L143" s="496"/>
      <c r="M143" s="496"/>
      <c r="N143" s="496"/>
      <c r="O143" s="496"/>
      <c r="P143" s="496"/>
      <c r="Q143" s="503"/>
      <c r="R143" s="503"/>
      <c r="S143" s="496"/>
      <c r="T143" s="496"/>
      <c r="U143" s="496"/>
      <c r="V143" s="496"/>
      <c r="W143" s="496"/>
      <c r="X143" s="496"/>
      <c r="Y143" s="496"/>
      <c r="Z143" s="496"/>
      <c r="AA143" s="496"/>
      <c r="AB143" s="503"/>
    </row>
    <row r="144" ht="12.75" customHeight="1">
      <c r="A144" s="496"/>
      <c r="B144" s="503"/>
      <c r="C144" s="503"/>
      <c r="D144" s="503"/>
      <c r="E144" s="496"/>
      <c r="F144" s="496"/>
      <c r="G144" s="521"/>
      <c r="H144" s="521"/>
      <c r="I144" s="496"/>
      <c r="J144" s="496"/>
      <c r="K144" s="496"/>
      <c r="L144" s="496"/>
      <c r="M144" s="496"/>
      <c r="N144" s="496"/>
      <c r="O144" s="496"/>
      <c r="P144" s="496"/>
      <c r="Q144" s="503"/>
      <c r="R144" s="503"/>
      <c r="S144" s="496"/>
      <c r="T144" s="496"/>
      <c r="U144" s="496"/>
      <c r="V144" s="496"/>
      <c r="W144" s="496"/>
      <c r="X144" s="496"/>
      <c r="Y144" s="496"/>
      <c r="Z144" s="496"/>
      <c r="AA144" s="496"/>
      <c r="AB144" s="503"/>
    </row>
    <row r="145" ht="12.75" customHeight="1">
      <c r="A145" s="496"/>
      <c r="B145" s="503"/>
      <c r="C145" s="503"/>
      <c r="D145" s="503"/>
      <c r="E145" s="496"/>
      <c r="F145" s="496"/>
      <c r="G145" s="521"/>
      <c r="H145" s="521"/>
      <c r="I145" s="496"/>
      <c r="J145" s="496"/>
      <c r="K145" s="496"/>
      <c r="L145" s="496"/>
      <c r="M145" s="496"/>
      <c r="N145" s="496"/>
      <c r="O145" s="496"/>
      <c r="P145" s="496"/>
      <c r="Q145" s="503"/>
      <c r="R145" s="503"/>
      <c r="S145" s="496"/>
      <c r="T145" s="496"/>
      <c r="U145" s="496"/>
      <c r="V145" s="496"/>
      <c r="W145" s="496"/>
      <c r="X145" s="496"/>
      <c r="Y145" s="496"/>
      <c r="Z145" s="496"/>
      <c r="AA145" s="496"/>
      <c r="AB145" s="503"/>
    </row>
    <row r="146" ht="12.75" customHeight="1">
      <c r="A146" s="496"/>
      <c r="B146" s="503"/>
      <c r="C146" s="503"/>
      <c r="D146" s="503"/>
      <c r="E146" s="496"/>
      <c r="F146" s="496"/>
      <c r="G146" s="521"/>
      <c r="H146" s="521"/>
      <c r="I146" s="496"/>
      <c r="J146" s="496"/>
      <c r="K146" s="496"/>
      <c r="L146" s="496"/>
      <c r="M146" s="496"/>
      <c r="N146" s="496"/>
      <c r="O146" s="496"/>
      <c r="P146" s="496"/>
      <c r="Q146" s="503"/>
      <c r="R146" s="503"/>
      <c r="S146" s="496"/>
      <c r="T146" s="496"/>
      <c r="U146" s="496"/>
      <c r="V146" s="496"/>
      <c r="W146" s="496"/>
      <c r="X146" s="496"/>
      <c r="Y146" s="496"/>
      <c r="Z146" s="496"/>
      <c r="AA146" s="496"/>
      <c r="AB146" s="503"/>
    </row>
    <row r="147" ht="12.75" customHeight="1">
      <c r="A147" s="496"/>
      <c r="B147" s="503"/>
      <c r="C147" s="503"/>
      <c r="D147" s="503"/>
      <c r="E147" s="496"/>
      <c r="F147" s="496"/>
      <c r="G147" s="521"/>
      <c r="H147" s="521"/>
      <c r="I147" s="496"/>
      <c r="J147" s="496"/>
      <c r="K147" s="496"/>
      <c r="L147" s="496"/>
      <c r="M147" s="496"/>
      <c r="N147" s="496"/>
      <c r="O147" s="496"/>
      <c r="P147" s="496"/>
      <c r="Q147" s="503"/>
      <c r="R147" s="503"/>
      <c r="S147" s="496"/>
      <c r="T147" s="496"/>
      <c r="U147" s="496"/>
      <c r="V147" s="496"/>
      <c r="W147" s="496"/>
      <c r="X147" s="496"/>
      <c r="Y147" s="496"/>
      <c r="Z147" s="496"/>
      <c r="AA147" s="496"/>
      <c r="AB147" s="503"/>
    </row>
    <row r="148" ht="12.75" customHeight="1">
      <c r="A148" s="496"/>
      <c r="B148" s="503"/>
      <c r="C148" s="503"/>
      <c r="D148" s="503"/>
      <c r="E148" s="496"/>
      <c r="F148" s="496"/>
      <c r="G148" s="521"/>
      <c r="H148" s="521"/>
      <c r="I148" s="496"/>
      <c r="J148" s="496"/>
      <c r="K148" s="496"/>
      <c r="L148" s="496"/>
      <c r="M148" s="496"/>
      <c r="N148" s="496"/>
      <c r="O148" s="496"/>
      <c r="P148" s="496"/>
      <c r="Q148" s="503"/>
      <c r="R148" s="503"/>
      <c r="S148" s="496"/>
      <c r="T148" s="496"/>
      <c r="U148" s="496"/>
      <c r="V148" s="496"/>
      <c r="W148" s="496"/>
      <c r="X148" s="496"/>
      <c r="Y148" s="496"/>
      <c r="Z148" s="496"/>
      <c r="AA148" s="496"/>
      <c r="AB148" s="503"/>
    </row>
    <row r="149" ht="12.75" customHeight="1">
      <c r="A149" s="496"/>
      <c r="B149" s="503"/>
      <c r="C149" s="503"/>
      <c r="D149" s="503"/>
      <c r="E149" s="496"/>
      <c r="F149" s="496"/>
      <c r="G149" s="521"/>
      <c r="H149" s="521"/>
      <c r="I149" s="496"/>
      <c r="J149" s="496"/>
      <c r="K149" s="496"/>
      <c r="L149" s="496"/>
      <c r="M149" s="496"/>
      <c r="N149" s="496"/>
      <c r="O149" s="496"/>
      <c r="P149" s="496"/>
      <c r="Q149" s="503"/>
      <c r="R149" s="503"/>
      <c r="S149" s="496"/>
      <c r="T149" s="496"/>
      <c r="U149" s="496"/>
      <c r="V149" s="496"/>
      <c r="W149" s="496"/>
      <c r="X149" s="496"/>
      <c r="Y149" s="496"/>
      <c r="Z149" s="496"/>
      <c r="AA149" s="496"/>
      <c r="AB149" s="503"/>
    </row>
    <row r="150" ht="12.75" customHeight="1">
      <c r="A150" s="496"/>
      <c r="B150" s="503"/>
      <c r="C150" s="503"/>
      <c r="D150" s="503"/>
      <c r="E150" s="496"/>
      <c r="F150" s="496"/>
      <c r="G150" s="521"/>
      <c r="H150" s="521"/>
      <c r="I150" s="496"/>
      <c r="J150" s="496"/>
      <c r="K150" s="496"/>
      <c r="L150" s="496"/>
      <c r="M150" s="496"/>
      <c r="N150" s="496"/>
      <c r="O150" s="496"/>
      <c r="P150" s="496"/>
      <c r="Q150" s="503"/>
      <c r="R150" s="503"/>
      <c r="S150" s="496"/>
      <c r="T150" s="496"/>
      <c r="U150" s="496"/>
      <c r="V150" s="496"/>
      <c r="W150" s="496"/>
      <c r="X150" s="496"/>
      <c r="Y150" s="496"/>
      <c r="Z150" s="496"/>
      <c r="AA150" s="496"/>
      <c r="AB150" s="503"/>
    </row>
    <row r="151" ht="12.75" customHeight="1">
      <c r="A151" s="496"/>
      <c r="B151" s="503"/>
      <c r="C151" s="503"/>
      <c r="D151" s="503"/>
      <c r="E151" s="496"/>
      <c r="F151" s="496"/>
      <c r="G151" s="521"/>
      <c r="H151" s="521"/>
      <c r="I151" s="496"/>
      <c r="J151" s="496"/>
      <c r="K151" s="496"/>
      <c r="L151" s="496"/>
      <c r="M151" s="496"/>
      <c r="N151" s="496"/>
      <c r="O151" s="496"/>
      <c r="P151" s="496"/>
      <c r="Q151" s="503"/>
      <c r="R151" s="503"/>
      <c r="S151" s="496"/>
      <c r="T151" s="496"/>
      <c r="U151" s="496"/>
      <c r="V151" s="496"/>
      <c r="W151" s="496"/>
      <c r="X151" s="496"/>
      <c r="Y151" s="496"/>
      <c r="Z151" s="496"/>
      <c r="AA151" s="496"/>
      <c r="AB151" s="503"/>
    </row>
    <row r="152" ht="12.75" customHeight="1">
      <c r="A152" s="496"/>
      <c r="B152" s="503"/>
      <c r="C152" s="503"/>
      <c r="D152" s="503"/>
      <c r="E152" s="496"/>
      <c r="F152" s="496"/>
      <c r="G152" s="521"/>
      <c r="H152" s="521"/>
      <c r="I152" s="496"/>
      <c r="J152" s="496"/>
      <c r="K152" s="496"/>
      <c r="L152" s="496"/>
      <c r="M152" s="496"/>
      <c r="N152" s="496"/>
      <c r="O152" s="496"/>
      <c r="P152" s="496"/>
      <c r="Q152" s="503"/>
      <c r="R152" s="503"/>
      <c r="S152" s="496"/>
      <c r="T152" s="496"/>
      <c r="U152" s="496"/>
      <c r="V152" s="496"/>
      <c r="W152" s="496"/>
      <c r="X152" s="496"/>
      <c r="Y152" s="496"/>
      <c r="Z152" s="496"/>
      <c r="AA152" s="496"/>
      <c r="AB152" s="503"/>
    </row>
    <row r="153" ht="12.75" customHeight="1">
      <c r="A153" s="496"/>
      <c r="B153" s="503"/>
      <c r="C153" s="503"/>
      <c r="D153" s="503"/>
      <c r="E153" s="496"/>
      <c r="F153" s="496"/>
      <c r="G153" s="521"/>
      <c r="H153" s="521"/>
      <c r="I153" s="496"/>
      <c r="J153" s="496"/>
      <c r="K153" s="496"/>
      <c r="L153" s="496"/>
      <c r="M153" s="496"/>
      <c r="N153" s="496"/>
      <c r="O153" s="496"/>
      <c r="P153" s="496"/>
      <c r="Q153" s="503"/>
      <c r="R153" s="503"/>
      <c r="S153" s="496"/>
      <c r="T153" s="496"/>
      <c r="U153" s="496"/>
      <c r="V153" s="496"/>
      <c r="W153" s="496"/>
      <c r="X153" s="496"/>
      <c r="Y153" s="496"/>
      <c r="Z153" s="496"/>
      <c r="AA153" s="496"/>
      <c r="AB153" s="503"/>
    </row>
    <row r="154" ht="12.75" customHeight="1">
      <c r="A154" s="496"/>
      <c r="B154" s="503"/>
      <c r="C154" s="503"/>
      <c r="D154" s="503"/>
      <c r="E154" s="496"/>
      <c r="F154" s="496"/>
      <c r="G154" s="521"/>
      <c r="H154" s="521"/>
      <c r="I154" s="496"/>
      <c r="J154" s="496"/>
      <c r="K154" s="496"/>
      <c r="L154" s="496"/>
      <c r="M154" s="496"/>
      <c r="N154" s="496"/>
      <c r="O154" s="496"/>
      <c r="P154" s="496"/>
      <c r="Q154" s="503"/>
      <c r="R154" s="503"/>
      <c r="S154" s="496"/>
      <c r="T154" s="496"/>
      <c r="U154" s="496"/>
      <c r="V154" s="496"/>
      <c r="W154" s="496"/>
      <c r="X154" s="496"/>
      <c r="Y154" s="496"/>
      <c r="Z154" s="496"/>
      <c r="AA154" s="496"/>
      <c r="AB154" s="503"/>
    </row>
    <row r="155" ht="12.75" customHeight="1">
      <c r="A155" s="496"/>
      <c r="B155" s="503"/>
      <c r="C155" s="503"/>
      <c r="D155" s="503"/>
      <c r="E155" s="496"/>
      <c r="F155" s="496"/>
      <c r="G155" s="521"/>
      <c r="H155" s="521"/>
      <c r="I155" s="496"/>
      <c r="J155" s="496"/>
      <c r="K155" s="496"/>
      <c r="L155" s="496"/>
      <c r="M155" s="496"/>
      <c r="N155" s="496"/>
      <c r="O155" s="496"/>
      <c r="P155" s="496"/>
      <c r="Q155" s="503"/>
      <c r="R155" s="503"/>
      <c r="S155" s="496"/>
      <c r="T155" s="496"/>
      <c r="U155" s="496"/>
      <c r="V155" s="496"/>
      <c r="W155" s="496"/>
      <c r="X155" s="496"/>
      <c r="Y155" s="496"/>
      <c r="Z155" s="496"/>
      <c r="AA155" s="496"/>
      <c r="AB155" s="503"/>
    </row>
    <row r="156" ht="12.75" customHeight="1">
      <c r="A156" s="496"/>
      <c r="B156" s="503"/>
      <c r="C156" s="503"/>
      <c r="D156" s="503"/>
      <c r="E156" s="496"/>
      <c r="F156" s="496"/>
      <c r="G156" s="521"/>
      <c r="H156" s="521"/>
      <c r="I156" s="496"/>
      <c r="J156" s="496"/>
      <c r="K156" s="496"/>
      <c r="L156" s="496"/>
      <c r="M156" s="496"/>
      <c r="N156" s="496"/>
      <c r="O156" s="496"/>
      <c r="P156" s="496"/>
      <c r="Q156" s="503"/>
      <c r="R156" s="503"/>
      <c r="S156" s="496"/>
      <c r="T156" s="496"/>
      <c r="U156" s="496"/>
      <c r="V156" s="496"/>
      <c r="W156" s="496"/>
      <c r="X156" s="496"/>
      <c r="Y156" s="496"/>
      <c r="Z156" s="496"/>
      <c r="AA156" s="496"/>
      <c r="AB156" s="503"/>
    </row>
    <row r="157" ht="12.75" customHeight="1">
      <c r="A157" s="496"/>
      <c r="B157" s="503"/>
      <c r="C157" s="503"/>
      <c r="D157" s="503"/>
      <c r="E157" s="496"/>
      <c r="F157" s="496"/>
      <c r="G157" s="521"/>
      <c r="H157" s="521"/>
      <c r="I157" s="496"/>
      <c r="J157" s="496"/>
      <c r="K157" s="496"/>
      <c r="L157" s="496"/>
      <c r="M157" s="496"/>
      <c r="N157" s="496"/>
      <c r="O157" s="496"/>
      <c r="P157" s="496"/>
      <c r="Q157" s="503"/>
      <c r="R157" s="503"/>
      <c r="S157" s="496"/>
      <c r="T157" s="496"/>
      <c r="U157" s="496"/>
      <c r="V157" s="496"/>
      <c r="W157" s="496"/>
      <c r="X157" s="496"/>
      <c r="Y157" s="496"/>
      <c r="Z157" s="496"/>
      <c r="AA157" s="496"/>
      <c r="AB157" s="503"/>
    </row>
    <row r="158" ht="12.75" customHeight="1">
      <c r="A158" s="496"/>
      <c r="B158" s="503"/>
      <c r="C158" s="503"/>
      <c r="D158" s="503"/>
      <c r="E158" s="496"/>
      <c r="F158" s="496"/>
      <c r="G158" s="521"/>
      <c r="H158" s="521"/>
      <c r="I158" s="496"/>
      <c r="J158" s="496"/>
      <c r="K158" s="496"/>
      <c r="L158" s="496"/>
      <c r="M158" s="496"/>
      <c r="N158" s="496"/>
      <c r="O158" s="496"/>
      <c r="P158" s="496"/>
      <c r="Q158" s="503"/>
      <c r="R158" s="503"/>
      <c r="S158" s="496"/>
      <c r="T158" s="496"/>
      <c r="U158" s="496"/>
      <c r="V158" s="496"/>
      <c r="W158" s="496"/>
      <c r="X158" s="496"/>
      <c r="Y158" s="496"/>
      <c r="Z158" s="496"/>
      <c r="AA158" s="496"/>
      <c r="AB158" s="503"/>
    </row>
    <row r="159" ht="12.75" customHeight="1">
      <c r="A159" s="496"/>
      <c r="B159" s="503"/>
      <c r="C159" s="503"/>
      <c r="D159" s="503"/>
      <c r="E159" s="496"/>
      <c r="F159" s="496"/>
      <c r="G159" s="521"/>
      <c r="H159" s="521"/>
      <c r="I159" s="496"/>
      <c r="J159" s="496"/>
      <c r="K159" s="496"/>
      <c r="L159" s="496"/>
      <c r="M159" s="496"/>
      <c r="N159" s="496"/>
      <c r="O159" s="496"/>
      <c r="P159" s="496"/>
      <c r="Q159" s="503"/>
      <c r="R159" s="503"/>
      <c r="S159" s="496"/>
      <c r="T159" s="496"/>
      <c r="U159" s="496"/>
      <c r="V159" s="496"/>
      <c r="W159" s="496"/>
      <c r="X159" s="496"/>
      <c r="Y159" s="496"/>
      <c r="Z159" s="496"/>
      <c r="AA159" s="496"/>
      <c r="AB159" s="503"/>
    </row>
    <row r="160" ht="12.75" customHeight="1">
      <c r="A160" s="496"/>
      <c r="B160" s="503"/>
      <c r="C160" s="503"/>
      <c r="D160" s="503"/>
      <c r="E160" s="496"/>
      <c r="F160" s="496"/>
      <c r="G160" s="521"/>
      <c r="H160" s="521"/>
      <c r="I160" s="496"/>
      <c r="J160" s="496"/>
      <c r="K160" s="496"/>
      <c r="L160" s="496"/>
      <c r="M160" s="496"/>
      <c r="N160" s="496"/>
      <c r="O160" s="496"/>
      <c r="P160" s="496"/>
      <c r="Q160" s="503"/>
      <c r="R160" s="503"/>
      <c r="S160" s="496"/>
      <c r="T160" s="496"/>
      <c r="U160" s="496"/>
      <c r="V160" s="496"/>
      <c r="W160" s="496"/>
      <c r="X160" s="496"/>
      <c r="Y160" s="496"/>
      <c r="Z160" s="496"/>
      <c r="AA160" s="496"/>
      <c r="AB160" s="503"/>
    </row>
    <row r="161" ht="12.75" customHeight="1">
      <c r="A161" s="496"/>
      <c r="B161" s="503"/>
      <c r="C161" s="503"/>
      <c r="D161" s="503"/>
      <c r="E161" s="496"/>
      <c r="F161" s="496"/>
      <c r="G161" s="521"/>
      <c r="H161" s="521"/>
      <c r="I161" s="496"/>
      <c r="J161" s="496"/>
      <c r="K161" s="496"/>
      <c r="L161" s="496"/>
      <c r="M161" s="496"/>
      <c r="N161" s="496"/>
      <c r="O161" s="496"/>
      <c r="P161" s="496"/>
      <c r="Q161" s="503"/>
      <c r="R161" s="503"/>
      <c r="S161" s="496"/>
      <c r="T161" s="496"/>
      <c r="U161" s="496"/>
      <c r="V161" s="496"/>
      <c r="W161" s="496"/>
      <c r="X161" s="496"/>
      <c r="Y161" s="496"/>
      <c r="Z161" s="496"/>
      <c r="AA161" s="496"/>
      <c r="AB161" s="503"/>
    </row>
    <row r="162" ht="12.75" customHeight="1">
      <c r="A162" s="496"/>
      <c r="B162" s="503"/>
      <c r="C162" s="503"/>
      <c r="D162" s="503"/>
      <c r="E162" s="496"/>
      <c r="F162" s="496"/>
      <c r="G162" s="521"/>
      <c r="H162" s="521"/>
      <c r="I162" s="496"/>
      <c r="J162" s="496"/>
      <c r="K162" s="496"/>
      <c r="L162" s="496"/>
      <c r="M162" s="496"/>
      <c r="N162" s="496"/>
      <c r="O162" s="496"/>
      <c r="P162" s="496"/>
      <c r="Q162" s="503"/>
      <c r="R162" s="503"/>
      <c r="S162" s="496"/>
      <c r="T162" s="496"/>
      <c r="U162" s="496"/>
      <c r="V162" s="496"/>
      <c r="W162" s="496"/>
      <c r="X162" s="496"/>
      <c r="Y162" s="496"/>
      <c r="Z162" s="496"/>
      <c r="AA162" s="496"/>
      <c r="AB162" s="503"/>
    </row>
    <row r="163" ht="12.75" customHeight="1">
      <c r="A163" s="496"/>
      <c r="B163" s="503"/>
      <c r="C163" s="503"/>
      <c r="D163" s="503"/>
      <c r="E163" s="496"/>
      <c r="F163" s="496"/>
      <c r="G163" s="521"/>
      <c r="H163" s="521"/>
      <c r="I163" s="496"/>
      <c r="J163" s="496"/>
      <c r="K163" s="496"/>
      <c r="L163" s="496"/>
      <c r="M163" s="496"/>
      <c r="N163" s="496"/>
      <c r="O163" s="496"/>
      <c r="P163" s="496"/>
      <c r="Q163" s="503"/>
      <c r="R163" s="503"/>
      <c r="S163" s="496"/>
      <c r="T163" s="496"/>
      <c r="U163" s="496"/>
      <c r="V163" s="496"/>
      <c r="W163" s="496"/>
      <c r="X163" s="496"/>
      <c r="Y163" s="496"/>
      <c r="Z163" s="496"/>
      <c r="AA163" s="496"/>
      <c r="AB163" s="503"/>
    </row>
    <row r="164" ht="12.75" customHeight="1">
      <c r="A164" s="496"/>
      <c r="B164" s="503"/>
      <c r="C164" s="503"/>
      <c r="D164" s="503"/>
      <c r="E164" s="496"/>
      <c r="F164" s="496"/>
      <c r="G164" s="521"/>
      <c r="H164" s="521"/>
      <c r="I164" s="496"/>
      <c r="J164" s="496"/>
      <c r="K164" s="496"/>
      <c r="L164" s="496"/>
      <c r="M164" s="496"/>
      <c r="N164" s="496"/>
      <c r="O164" s="496"/>
      <c r="P164" s="496"/>
      <c r="Q164" s="503"/>
      <c r="R164" s="503"/>
      <c r="S164" s="496"/>
      <c r="T164" s="496"/>
      <c r="U164" s="496"/>
      <c r="V164" s="496"/>
      <c r="W164" s="496"/>
      <c r="X164" s="496"/>
      <c r="Y164" s="496"/>
      <c r="Z164" s="496"/>
      <c r="AA164" s="496"/>
      <c r="AB164" s="503"/>
    </row>
    <row r="165" ht="12.75" customHeight="1">
      <c r="A165" s="496"/>
      <c r="B165" s="503"/>
      <c r="C165" s="503"/>
      <c r="D165" s="503"/>
      <c r="E165" s="496"/>
      <c r="F165" s="496"/>
      <c r="G165" s="521"/>
      <c r="H165" s="521"/>
      <c r="I165" s="496"/>
      <c r="J165" s="496"/>
      <c r="K165" s="496"/>
      <c r="L165" s="496"/>
      <c r="M165" s="496"/>
      <c r="N165" s="496"/>
      <c r="O165" s="496"/>
      <c r="P165" s="496"/>
      <c r="Q165" s="503"/>
      <c r="R165" s="503"/>
      <c r="S165" s="496"/>
      <c r="T165" s="496"/>
      <c r="U165" s="496"/>
      <c r="V165" s="496"/>
      <c r="W165" s="496"/>
      <c r="X165" s="496"/>
      <c r="Y165" s="496"/>
      <c r="Z165" s="496"/>
      <c r="AA165" s="496"/>
      <c r="AB165" s="503"/>
    </row>
    <row r="166" ht="12.75" customHeight="1">
      <c r="A166" s="496"/>
      <c r="B166" s="503"/>
      <c r="C166" s="503"/>
      <c r="D166" s="503"/>
      <c r="E166" s="496"/>
      <c r="F166" s="496"/>
      <c r="G166" s="521"/>
      <c r="H166" s="521"/>
      <c r="I166" s="496"/>
      <c r="J166" s="496"/>
      <c r="K166" s="496"/>
      <c r="L166" s="496"/>
      <c r="M166" s="496"/>
      <c r="N166" s="496"/>
      <c r="O166" s="496"/>
      <c r="P166" s="496"/>
      <c r="Q166" s="503"/>
      <c r="R166" s="503"/>
      <c r="S166" s="496"/>
      <c r="T166" s="496"/>
      <c r="U166" s="496"/>
      <c r="V166" s="496"/>
      <c r="W166" s="496"/>
      <c r="X166" s="496"/>
      <c r="Y166" s="496"/>
      <c r="Z166" s="496"/>
      <c r="AA166" s="496"/>
      <c r="AB166" s="503"/>
    </row>
    <row r="167" ht="12.75" customHeight="1">
      <c r="A167" s="496"/>
      <c r="B167" s="503"/>
      <c r="C167" s="503"/>
      <c r="D167" s="503"/>
      <c r="E167" s="496"/>
      <c r="F167" s="496"/>
      <c r="G167" s="521"/>
      <c r="H167" s="521"/>
      <c r="I167" s="496"/>
      <c r="J167" s="496"/>
      <c r="K167" s="496"/>
      <c r="L167" s="496"/>
      <c r="M167" s="496"/>
      <c r="N167" s="496"/>
      <c r="O167" s="496"/>
      <c r="P167" s="496"/>
      <c r="Q167" s="503"/>
      <c r="R167" s="503"/>
      <c r="S167" s="496"/>
      <c r="T167" s="496"/>
      <c r="U167" s="496"/>
      <c r="V167" s="496"/>
      <c r="W167" s="496"/>
      <c r="X167" s="496"/>
      <c r="Y167" s="496"/>
      <c r="Z167" s="496"/>
      <c r="AA167" s="496"/>
      <c r="AB167" s="503"/>
    </row>
    <row r="168" ht="12.75" customHeight="1">
      <c r="A168" s="496"/>
      <c r="B168" s="503"/>
      <c r="C168" s="503"/>
      <c r="D168" s="503"/>
      <c r="E168" s="496"/>
      <c r="F168" s="496"/>
      <c r="G168" s="521"/>
      <c r="H168" s="521"/>
      <c r="I168" s="496"/>
      <c r="J168" s="496"/>
      <c r="K168" s="496"/>
      <c r="L168" s="496"/>
      <c r="M168" s="496"/>
      <c r="N168" s="496"/>
      <c r="O168" s="496"/>
      <c r="P168" s="496"/>
      <c r="Q168" s="503"/>
      <c r="R168" s="503"/>
      <c r="S168" s="496"/>
      <c r="T168" s="496"/>
      <c r="U168" s="496"/>
      <c r="V168" s="496"/>
      <c r="W168" s="496"/>
      <c r="X168" s="496"/>
      <c r="Y168" s="496"/>
      <c r="Z168" s="496"/>
      <c r="AA168" s="496"/>
      <c r="AB168" s="503"/>
    </row>
    <row r="169" ht="12.75" customHeight="1">
      <c r="A169" s="496"/>
      <c r="B169" s="503"/>
      <c r="C169" s="503"/>
      <c r="D169" s="503"/>
      <c r="E169" s="496"/>
      <c r="F169" s="496"/>
      <c r="G169" s="521"/>
      <c r="H169" s="521"/>
      <c r="I169" s="496"/>
      <c r="J169" s="496"/>
      <c r="K169" s="496"/>
      <c r="L169" s="496"/>
      <c r="M169" s="496"/>
      <c r="N169" s="496"/>
      <c r="O169" s="496"/>
      <c r="P169" s="496"/>
      <c r="Q169" s="503"/>
      <c r="R169" s="503"/>
      <c r="S169" s="496"/>
      <c r="T169" s="496"/>
      <c r="U169" s="496"/>
      <c r="V169" s="496"/>
      <c r="W169" s="496"/>
      <c r="X169" s="496"/>
      <c r="Y169" s="496"/>
      <c r="Z169" s="496"/>
      <c r="AA169" s="496"/>
      <c r="AB169" s="503"/>
    </row>
    <row r="170" ht="12.75" customHeight="1">
      <c r="A170" s="496"/>
      <c r="B170" s="503"/>
      <c r="C170" s="503"/>
      <c r="D170" s="503"/>
      <c r="E170" s="496"/>
      <c r="F170" s="496"/>
      <c r="G170" s="521"/>
      <c r="H170" s="521"/>
      <c r="I170" s="496"/>
      <c r="J170" s="496"/>
      <c r="K170" s="496"/>
      <c r="L170" s="496"/>
      <c r="M170" s="496"/>
      <c r="N170" s="496"/>
      <c r="O170" s="496"/>
      <c r="P170" s="496"/>
      <c r="Q170" s="503"/>
      <c r="R170" s="503"/>
      <c r="S170" s="496"/>
      <c r="T170" s="496"/>
      <c r="U170" s="496"/>
      <c r="V170" s="496"/>
      <c r="W170" s="496"/>
      <c r="X170" s="496"/>
      <c r="Y170" s="496"/>
      <c r="Z170" s="496"/>
      <c r="AA170" s="496"/>
      <c r="AB170" s="503"/>
    </row>
    <row r="171" ht="12.75" customHeight="1">
      <c r="A171" s="496"/>
      <c r="B171" s="503"/>
      <c r="C171" s="503"/>
      <c r="D171" s="503"/>
      <c r="E171" s="496"/>
      <c r="F171" s="496"/>
      <c r="G171" s="521"/>
      <c r="H171" s="521"/>
      <c r="I171" s="496"/>
      <c r="J171" s="496"/>
      <c r="K171" s="496"/>
      <c r="L171" s="496"/>
      <c r="M171" s="496"/>
      <c r="N171" s="496"/>
      <c r="O171" s="496"/>
      <c r="P171" s="496"/>
      <c r="Q171" s="503"/>
      <c r="R171" s="503"/>
      <c r="S171" s="496"/>
      <c r="T171" s="496"/>
      <c r="U171" s="496"/>
      <c r="V171" s="496"/>
      <c r="W171" s="496"/>
      <c r="X171" s="496"/>
      <c r="Y171" s="496"/>
      <c r="Z171" s="496"/>
      <c r="AA171" s="496"/>
      <c r="AB171" s="503"/>
    </row>
    <row r="172" ht="12.75" customHeight="1">
      <c r="A172" s="496"/>
      <c r="B172" s="503"/>
      <c r="C172" s="503"/>
      <c r="D172" s="503"/>
      <c r="E172" s="496"/>
      <c r="F172" s="496"/>
      <c r="G172" s="521"/>
      <c r="H172" s="521"/>
      <c r="I172" s="496"/>
      <c r="J172" s="496"/>
      <c r="K172" s="496"/>
      <c r="L172" s="496"/>
      <c r="M172" s="496"/>
      <c r="N172" s="496"/>
      <c r="O172" s="496"/>
      <c r="P172" s="496"/>
      <c r="Q172" s="503"/>
      <c r="R172" s="503"/>
      <c r="S172" s="496"/>
      <c r="T172" s="496"/>
      <c r="U172" s="496"/>
      <c r="V172" s="496"/>
      <c r="W172" s="496"/>
      <c r="X172" s="496"/>
      <c r="Y172" s="496"/>
      <c r="Z172" s="496"/>
      <c r="AA172" s="496"/>
      <c r="AB172" s="503"/>
    </row>
    <row r="173" ht="12.75" customHeight="1">
      <c r="A173" s="496"/>
      <c r="B173" s="503"/>
      <c r="C173" s="503"/>
      <c r="D173" s="503"/>
      <c r="E173" s="496"/>
      <c r="F173" s="496"/>
      <c r="G173" s="521"/>
      <c r="H173" s="521"/>
      <c r="I173" s="496"/>
      <c r="J173" s="496"/>
      <c r="K173" s="496"/>
      <c r="L173" s="496"/>
      <c r="M173" s="496"/>
      <c r="N173" s="496"/>
      <c r="O173" s="496"/>
      <c r="P173" s="496"/>
      <c r="Q173" s="503"/>
      <c r="R173" s="503"/>
      <c r="S173" s="496"/>
      <c r="T173" s="496"/>
      <c r="U173" s="496"/>
      <c r="V173" s="496"/>
      <c r="W173" s="496"/>
      <c r="X173" s="496"/>
      <c r="Y173" s="496"/>
      <c r="Z173" s="496"/>
      <c r="AA173" s="496"/>
      <c r="AB173" s="503"/>
    </row>
    <row r="174" ht="12.75" customHeight="1">
      <c r="A174" s="496"/>
      <c r="B174" s="503"/>
      <c r="C174" s="503"/>
      <c r="D174" s="503"/>
      <c r="E174" s="496"/>
      <c r="F174" s="496"/>
      <c r="G174" s="521"/>
      <c r="H174" s="521"/>
      <c r="I174" s="496"/>
      <c r="J174" s="496"/>
      <c r="K174" s="496"/>
      <c r="L174" s="496"/>
      <c r="M174" s="496"/>
      <c r="N174" s="496"/>
      <c r="O174" s="496"/>
      <c r="P174" s="496"/>
      <c r="Q174" s="503"/>
      <c r="R174" s="503"/>
      <c r="S174" s="496"/>
      <c r="T174" s="496"/>
      <c r="U174" s="496"/>
      <c r="V174" s="496"/>
      <c r="W174" s="496"/>
      <c r="X174" s="496"/>
      <c r="Y174" s="496"/>
      <c r="Z174" s="496"/>
      <c r="AA174" s="496"/>
      <c r="AB174" s="503"/>
    </row>
    <row r="175" ht="12.75" customHeight="1">
      <c r="A175" s="496"/>
      <c r="B175" s="503"/>
      <c r="C175" s="503"/>
      <c r="D175" s="503"/>
      <c r="E175" s="496"/>
      <c r="F175" s="496"/>
      <c r="G175" s="521"/>
      <c r="H175" s="521"/>
      <c r="I175" s="496"/>
      <c r="J175" s="496"/>
      <c r="K175" s="496"/>
      <c r="L175" s="496"/>
      <c r="M175" s="496"/>
      <c r="N175" s="496"/>
      <c r="O175" s="496"/>
      <c r="P175" s="496"/>
      <c r="Q175" s="503"/>
      <c r="R175" s="503"/>
      <c r="S175" s="496"/>
      <c r="T175" s="496"/>
      <c r="U175" s="496"/>
      <c r="V175" s="496"/>
      <c r="W175" s="496"/>
      <c r="X175" s="496"/>
      <c r="Y175" s="496"/>
      <c r="Z175" s="496"/>
      <c r="AA175" s="496"/>
      <c r="AB175" s="503"/>
    </row>
    <row r="176" ht="12.75" customHeight="1">
      <c r="A176" s="496"/>
      <c r="B176" s="503"/>
      <c r="C176" s="503"/>
      <c r="D176" s="503"/>
      <c r="E176" s="496"/>
      <c r="F176" s="496"/>
      <c r="G176" s="521"/>
      <c r="H176" s="521"/>
      <c r="I176" s="496"/>
      <c r="J176" s="496"/>
      <c r="K176" s="496"/>
      <c r="L176" s="496"/>
      <c r="M176" s="496"/>
      <c r="N176" s="496"/>
      <c r="O176" s="496"/>
      <c r="P176" s="496"/>
      <c r="Q176" s="503"/>
      <c r="R176" s="503"/>
      <c r="S176" s="496"/>
      <c r="T176" s="496"/>
      <c r="U176" s="496"/>
      <c r="V176" s="496"/>
      <c r="W176" s="496"/>
      <c r="X176" s="496"/>
      <c r="Y176" s="496"/>
      <c r="Z176" s="496"/>
      <c r="AA176" s="496"/>
      <c r="AB176" s="503"/>
    </row>
    <row r="177" ht="12.75" customHeight="1">
      <c r="A177" s="496"/>
      <c r="B177" s="503"/>
      <c r="C177" s="503"/>
      <c r="D177" s="503"/>
      <c r="E177" s="496"/>
      <c r="F177" s="496"/>
      <c r="G177" s="521"/>
      <c r="H177" s="521"/>
      <c r="I177" s="496"/>
      <c r="J177" s="496"/>
      <c r="K177" s="496"/>
      <c r="L177" s="496"/>
      <c r="M177" s="496"/>
      <c r="N177" s="496"/>
      <c r="O177" s="496"/>
      <c r="P177" s="496"/>
      <c r="Q177" s="503"/>
      <c r="R177" s="503"/>
      <c r="S177" s="496"/>
      <c r="T177" s="496"/>
      <c r="U177" s="496"/>
      <c r="V177" s="496"/>
      <c r="W177" s="496"/>
      <c r="X177" s="496"/>
      <c r="Y177" s="496"/>
      <c r="Z177" s="496"/>
      <c r="AA177" s="496"/>
      <c r="AB177" s="503"/>
    </row>
    <row r="178" ht="12.75" customHeight="1">
      <c r="A178" s="496"/>
      <c r="B178" s="503"/>
      <c r="C178" s="503"/>
      <c r="D178" s="503"/>
      <c r="E178" s="496"/>
      <c r="F178" s="496"/>
      <c r="G178" s="521"/>
      <c r="H178" s="521"/>
      <c r="I178" s="496"/>
      <c r="J178" s="496"/>
      <c r="K178" s="496"/>
      <c r="L178" s="496"/>
      <c r="M178" s="496"/>
      <c r="N178" s="496"/>
      <c r="O178" s="496"/>
      <c r="P178" s="496"/>
      <c r="Q178" s="503"/>
      <c r="R178" s="503"/>
      <c r="S178" s="496"/>
      <c r="T178" s="496"/>
      <c r="U178" s="496"/>
      <c r="V178" s="496"/>
      <c r="W178" s="496"/>
      <c r="X178" s="496"/>
      <c r="Y178" s="496"/>
      <c r="Z178" s="496"/>
      <c r="AA178" s="496"/>
      <c r="AB178" s="503"/>
    </row>
    <row r="179" ht="12.75" customHeight="1">
      <c r="A179" s="496"/>
      <c r="B179" s="503"/>
      <c r="C179" s="503"/>
      <c r="D179" s="503"/>
      <c r="E179" s="496"/>
      <c r="F179" s="496"/>
      <c r="G179" s="521"/>
      <c r="H179" s="521"/>
      <c r="I179" s="496"/>
      <c r="J179" s="496"/>
      <c r="K179" s="496"/>
      <c r="L179" s="496"/>
      <c r="M179" s="496"/>
      <c r="N179" s="496"/>
      <c r="O179" s="496"/>
      <c r="P179" s="496"/>
      <c r="Q179" s="503"/>
      <c r="R179" s="503"/>
      <c r="S179" s="496"/>
      <c r="T179" s="496"/>
      <c r="U179" s="496"/>
      <c r="V179" s="496"/>
      <c r="W179" s="496"/>
      <c r="X179" s="496"/>
      <c r="Y179" s="496"/>
      <c r="Z179" s="496"/>
      <c r="AA179" s="496"/>
      <c r="AB179" s="503"/>
    </row>
    <row r="180" ht="12.75" customHeight="1">
      <c r="A180" s="496"/>
      <c r="B180" s="503"/>
      <c r="C180" s="503"/>
      <c r="D180" s="503"/>
      <c r="E180" s="496"/>
      <c r="F180" s="496"/>
      <c r="G180" s="521"/>
      <c r="H180" s="521"/>
      <c r="I180" s="496"/>
      <c r="J180" s="496"/>
      <c r="K180" s="496"/>
      <c r="L180" s="496"/>
      <c r="M180" s="496"/>
      <c r="N180" s="496"/>
      <c r="O180" s="496"/>
      <c r="P180" s="496"/>
      <c r="Q180" s="503"/>
      <c r="R180" s="503"/>
      <c r="S180" s="496"/>
      <c r="T180" s="496"/>
      <c r="U180" s="496"/>
      <c r="V180" s="496"/>
      <c r="W180" s="496"/>
      <c r="X180" s="496"/>
      <c r="Y180" s="496"/>
      <c r="Z180" s="496"/>
      <c r="AA180" s="496"/>
      <c r="AB180" s="503"/>
    </row>
    <row r="181" ht="12.75" customHeight="1">
      <c r="A181" s="496"/>
      <c r="B181" s="503"/>
      <c r="C181" s="503"/>
      <c r="D181" s="503"/>
      <c r="E181" s="496"/>
      <c r="F181" s="496"/>
      <c r="G181" s="521"/>
      <c r="H181" s="521"/>
      <c r="I181" s="496"/>
      <c r="J181" s="496"/>
      <c r="K181" s="496"/>
      <c r="L181" s="496"/>
      <c r="M181" s="496"/>
      <c r="N181" s="496"/>
      <c r="O181" s="496"/>
      <c r="P181" s="496"/>
      <c r="Q181" s="503"/>
      <c r="R181" s="503"/>
      <c r="S181" s="496"/>
      <c r="T181" s="496"/>
      <c r="U181" s="496"/>
      <c r="V181" s="496"/>
      <c r="W181" s="496"/>
      <c r="X181" s="496"/>
      <c r="Y181" s="496"/>
      <c r="Z181" s="496"/>
      <c r="AA181" s="496"/>
      <c r="AB181" s="503"/>
    </row>
    <row r="182" ht="12.75" customHeight="1">
      <c r="A182" s="496"/>
      <c r="B182" s="503"/>
      <c r="C182" s="503"/>
      <c r="D182" s="503"/>
      <c r="E182" s="496"/>
      <c r="F182" s="496"/>
      <c r="G182" s="521"/>
      <c r="H182" s="521"/>
      <c r="I182" s="496"/>
      <c r="J182" s="496"/>
      <c r="K182" s="496"/>
      <c r="L182" s="496"/>
      <c r="M182" s="496"/>
      <c r="N182" s="496"/>
      <c r="O182" s="496"/>
      <c r="P182" s="496"/>
      <c r="Q182" s="503"/>
      <c r="R182" s="503"/>
      <c r="S182" s="496"/>
      <c r="T182" s="496"/>
      <c r="U182" s="496"/>
      <c r="V182" s="496"/>
      <c r="W182" s="496"/>
      <c r="X182" s="496"/>
      <c r="Y182" s="496"/>
      <c r="Z182" s="496"/>
      <c r="AA182" s="496"/>
      <c r="AB182" s="503"/>
    </row>
    <row r="183" ht="12.75" customHeight="1">
      <c r="A183" s="496"/>
      <c r="B183" s="503"/>
      <c r="C183" s="503"/>
      <c r="D183" s="503"/>
      <c r="E183" s="496"/>
      <c r="F183" s="496"/>
      <c r="G183" s="521"/>
      <c r="H183" s="521"/>
      <c r="I183" s="496"/>
      <c r="J183" s="496"/>
      <c r="K183" s="496"/>
      <c r="L183" s="496"/>
      <c r="M183" s="496"/>
      <c r="N183" s="496"/>
      <c r="O183" s="496"/>
      <c r="P183" s="496"/>
      <c r="Q183" s="503"/>
      <c r="R183" s="503"/>
      <c r="S183" s="496"/>
      <c r="T183" s="496"/>
      <c r="U183" s="496"/>
      <c r="V183" s="496"/>
      <c r="W183" s="496"/>
      <c r="X183" s="496"/>
      <c r="Y183" s="496"/>
      <c r="Z183" s="496"/>
      <c r="AA183" s="496"/>
      <c r="AB183" s="503"/>
    </row>
    <row r="184" ht="12.75" customHeight="1">
      <c r="A184" s="496"/>
      <c r="B184" s="503"/>
      <c r="C184" s="503"/>
      <c r="D184" s="503"/>
      <c r="E184" s="496"/>
      <c r="F184" s="496"/>
      <c r="G184" s="521"/>
      <c r="H184" s="521"/>
      <c r="I184" s="496"/>
      <c r="J184" s="496"/>
      <c r="K184" s="496"/>
      <c r="L184" s="496"/>
      <c r="M184" s="496"/>
      <c r="N184" s="496"/>
      <c r="O184" s="496"/>
      <c r="P184" s="496"/>
      <c r="Q184" s="503"/>
      <c r="R184" s="503"/>
      <c r="S184" s="496"/>
      <c r="T184" s="496"/>
      <c r="U184" s="496"/>
      <c r="V184" s="496"/>
      <c r="W184" s="496"/>
      <c r="X184" s="496"/>
      <c r="Y184" s="496"/>
      <c r="Z184" s="496"/>
      <c r="AA184" s="496"/>
      <c r="AB184" s="503"/>
    </row>
    <row r="185" ht="12.75" customHeight="1">
      <c r="A185" s="496"/>
      <c r="B185" s="503"/>
      <c r="C185" s="503"/>
      <c r="D185" s="503"/>
      <c r="E185" s="496"/>
      <c r="F185" s="496"/>
      <c r="G185" s="521"/>
      <c r="H185" s="521"/>
      <c r="I185" s="496"/>
      <c r="J185" s="496"/>
      <c r="K185" s="496"/>
      <c r="L185" s="496"/>
      <c r="M185" s="496"/>
      <c r="N185" s="496"/>
      <c r="O185" s="496"/>
      <c r="P185" s="496"/>
      <c r="Q185" s="503"/>
      <c r="R185" s="503"/>
      <c r="S185" s="496"/>
      <c r="T185" s="496"/>
      <c r="U185" s="496"/>
      <c r="V185" s="496"/>
      <c r="W185" s="496"/>
      <c r="X185" s="496"/>
      <c r="Y185" s="496"/>
      <c r="Z185" s="496"/>
      <c r="AA185" s="496"/>
      <c r="AB185" s="503"/>
    </row>
    <row r="186" ht="12.75" customHeight="1">
      <c r="A186" s="496"/>
      <c r="B186" s="503"/>
      <c r="C186" s="503"/>
      <c r="D186" s="503"/>
      <c r="E186" s="496"/>
      <c r="F186" s="496"/>
      <c r="G186" s="521"/>
      <c r="H186" s="521"/>
      <c r="I186" s="496"/>
      <c r="J186" s="496"/>
      <c r="K186" s="496"/>
      <c r="L186" s="496"/>
      <c r="M186" s="496"/>
      <c r="N186" s="496"/>
      <c r="O186" s="496"/>
      <c r="P186" s="496"/>
      <c r="Q186" s="503"/>
      <c r="R186" s="503"/>
      <c r="S186" s="496"/>
      <c r="T186" s="496"/>
      <c r="U186" s="496"/>
      <c r="V186" s="496"/>
      <c r="W186" s="496"/>
      <c r="X186" s="496"/>
      <c r="Y186" s="496"/>
      <c r="Z186" s="496"/>
      <c r="AA186" s="496"/>
      <c r="AB186" s="503"/>
    </row>
    <row r="187" ht="12.75" customHeight="1">
      <c r="A187" s="496"/>
      <c r="B187" s="503"/>
      <c r="C187" s="503"/>
      <c r="D187" s="503"/>
      <c r="E187" s="496"/>
      <c r="F187" s="496"/>
      <c r="G187" s="521"/>
      <c r="H187" s="521"/>
      <c r="I187" s="496"/>
      <c r="J187" s="496"/>
      <c r="K187" s="496"/>
      <c r="L187" s="496"/>
      <c r="M187" s="496"/>
      <c r="N187" s="496"/>
      <c r="O187" s="496"/>
      <c r="P187" s="496"/>
      <c r="Q187" s="503"/>
      <c r="R187" s="503"/>
      <c r="S187" s="496"/>
      <c r="T187" s="496"/>
      <c r="U187" s="496"/>
      <c r="V187" s="496"/>
      <c r="W187" s="496"/>
      <c r="X187" s="496"/>
      <c r="Y187" s="496"/>
      <c r="Z187" s="496"/>
      <c r="AA187" s="496"/>
      <c r="AB187" s="503"/>
    </row>
    <row r="188" ht="12.75" customHeight="1">
      <c r="A188" s="496"/>
      <c r="B188" s="503"/>
      <c r="C188" s="503"/>
      <c r="D188" s="503"/>
      <c r="E188" s="496"/>
      <c r="F188" s="496"/>
      <c r="G188" s="521"/>
      <c r="H188" s="521"/>
      <c r="I188" s="496"/>
      <c r="J188" s="496"/>
      <c r="K188" s="496"/>
      <c r="L188" s="496"/>
      <c r="M188" s="496"/>
      <c r="N188" s="496"/>
      <c r="O188" s="496"/>
      <c r="P188" s="496"/>
      <c r="Q188" s="503"/>
      <c r="R188" s="503"/>
      <c r="S188" s="496"/>
      <c r="T188" s="496"/>
      <c r="U188" s="496"/>
      <c r="V188" s="496"/>
      <c r="W188" s="496"/>
      <c r="X188" s="496"/>
      <c r="Y188" s="496"/>
      <c r="Z188" s="496"/>
      <c r="AA188" s="496"/>
      <c r="AB188" s="503"/>
    </row>
    <row r="189" ht="12.75" customHeight="1">
      <c r="A189" s="496"/>
      <c r="B189" s="503"/>
      <c r="C189" s="503"/>
      <c r="D189" s="503"/>
      <c r="E189" s="496"/>
      <c r="F189" s="496"/>
      <c r="G189" s="521"/>
      <c r="H189" s="521"/>
      <c r="I189" s="496"/>
      <c r="J189" s="496"/>
      <c r="K189" s="496"/>
      <c r="L189" s="496"/>
      <c r="M189" s="496"/>
      <c r="N189" s="496"/>
      <c r="O189" s="496"/>
      <c r="P189" s="496"/>
      <c r="Q189" s="503"/>
      <c r="R189" s="503"/>
      <c r="S189" s="496"/>
      <c r="T189" s="496"/>
      <c r="U189" s="496"/>
      <c r="V189" s="496"/>
      <c r="W189" s="496"/>
      <c r="X189" s="496"/>
      <c r="Y189" s="496"/>
      <c r="Z189" s="496"/>
      <c r="AA189" s="496"/>
      <c r="AB189" s="503"/>
    </row>
    <row r="190" ht="12.75" customHeight="1">
      <c r="A190" s="496"/>
      <c r="B190" s="503"/>
      <c r="C190" s="503"/>
      <c r="D190" s="503"/>
      <c r="E190" s="496"/>
      <c r="F190" s="496"/>
      <c r="G190" s="521"/>
      <c r="H190" s="521"/>
      <c r="I190" s="496"/>
      <c r="J190" s="496"/>
      <c r="K190" s="496"/>
      <c r="L190" s="496"/>
      <c r="M190" s="496"/>
      <c r="N190" s="496"/>
      <c r="O190" s="496"/>
      <c r="P190" s="496"/>
      <c r="Q190" s="503"/>
      <c r="R190" s="503"/>
      <c r="S190" s="496"/>
      <c r="T190" s="496"/>
      <c r="U190" s="496"/>
      <c r="V190" s="496"/>
      <c r="W190" s="496"/>
      <c r="X190" s="496"/>
      <c r="Y190" s="496"/>
      <c r="Z190" s="496"/>
      <c r="AA190" s="496"/>
      <c r="AB190" s="503"/>
    </row>
    <row r="191" ht="12.75" customHeight="1">
      <c r="A191" s="496"/>
      <c r="B191" s="503"/>
      <c r="C191" s="503"/>
      <c r="D191" s="503"/>
      <c r="E191" s="496"/>
      <c r="F191" s="496"/>
      <c r="G191" s="521"/>
      <c r="H191" s="521"/>
      <c r="I191" s="496"/>
      <c r="J191" s="496"/>
      <c r="K191" s="496"/>
      <c r="L191" s="496"/>
      <c r="M191" s="496"/>
      <c r="N191" s="496"/>
      <c r="O191" s="496"/>
      <c r="P191" s="496"/>
      <c r="Q191" s="503"/>
      <c r="R191" s="503"/>
      <c r="S191" s="496"/>
      <c r="T191" s="496"/>
      <c r="U191" s="496"/>
      <c r="V191" s="496"/>
      <c r="W191" s="496"/>
      <c r="X191" s="496"/>
      <c r="Y191" s="496"/>
      <c r="Z191" s="496"/>
      <c r="AA191" s="496"/>
      <c r="AB191" s="503"/>
    </row>
    <row r="192" ht="12.75" customHeight="1">
      <c r="A192" s="496"/>
      <c r="B192" s="503"/>
      <c r="C192" s="503"/>
      <c r="D192" s="503"/>
      <c r="E192" s="496"/>
      <c r="F192" s="496"/>
      <c r="G192" s="521"/>
      <c r="H192" s="521"/>
      <c r="I192" s="496"/>
      <c r="J192" s="496"/>
      <c r="K192" s="496"/>
      <c r="L192" s="496"/>
      <c r="M192" s="496"/>
      <c r="N192" s="496"/>
      <c r="O192" s="496"/>
      <c r="P192" s="496"/>
      <c r="Q192" s="503"/>
      <c r="R192" s="503"/>
      <c r="S192" s="496"/>
      <c r="T192" s="496"/>
      <c r="U192" s="496"/>
      <c r="V192" s="496"/>
      <c r="W192" s="496"/>
      <c r="X192" s="496"/>
      <c r="Y192" s="496"/>
      <c r="Z192" s="496"/>
      <c r="AA192" s="496"/>
      <c r="AB192" s="503"/>
    </row>
    <row r="193" ht="12.75" customHeight="1">
      <c r="A193" s="496"/>
      <c r="B193" s="503"/>
      <c r="C193" s="503"/>
      <c r="D193" s="503"/>
      <c r="E193" s="496"/>
      <c r="F193" s="496"/>
      <c r="G193" s="521"/>
      <c r="H193" s="521"/>
      <c r="I193" s="496"/>
      <c r="J193" s="496"/>
      <c r="K193" s="496"/>
      <c r="L193" s="496"/>
      <c r="M193" s="496"/>
      <c r="N193" s="496"/>
      <c r="O193" s="496"/>
      <c r="P193" s="496"/>
      <c r="Q193" s="503"/>
      <c r="R193" s="503"/>
      <c r="S193" s="496"/>
      <c r="T193" s="496"/>
      <c r="U193" s="496"/>
      <c r="V193" s="496"/>
      <c r="W193" s="496"/>
      <c r="X193" s="496"/>
      <c r="Y193" s="496"/>
      <c r="Z193" s="496"/>
      <c r="AA193" s="496"/>
      <c r="AB193" s="503"/>
    </row>
    <row r="194" ht="12.75" customHeight="1">
      <c r="A194" s="496"/>
      <c r="B194" s="503"/>
      <c r="C194" s="503"/>
      <c r="D194" s="503"/>
      <c r="E194" s="496"/>
      <c r="F194" s="496"/>
      <c r="G194" s="521"/>
      <c r="H194" s="521"/>
      <c r="I194" s="496"/>
      <c r="J194" s="496"/>
      <c r="K194" s="496"/>
      <c r="L194" s="496"/>
      <c r="M194" s="496"/>
      <c r="N194" s="496"/>
      <c r="O194" s="496"/>
      <c r="P194" s="496"/>
      <c r="Q194" s="503"/>
      <c r="R194" s="503"/>
      <c r="S194" s="496"/>
      <c r="T194" s="496"/>
      <c r="U194" s="496"/>
      <c r="V194" s="496"/>
      <c r="W194" s="496"/>
      <c r="X194" s="496"/>
      <c r="Y194" s="496"/>
      <c r="Z194" s="496"/>
      <c r="AA194" s="496"/>
      <c r="AB194" s="503"/>
    </row>
    <row r="195" ht="12.75" customHeight="1">
      <c r="A195" s="496"/>
      <c r="B195" s="503"/>
      <c r="C195" s="503"/>
      <c r="D195" s="503"/>
      <c r="E195" s="496"/>
      <c r="F195" s="496"/>
      <c r="G195" s="521"/>
      <c r="H195" s="521"/>
      <c r="I195" s="496"/>
      <c r="J195" s="496"/>
      <c r="K195" s="496"/>
      <c r="L195" s="496"/>
      <c r="M195" s="496"/>
      <c r="N195" s="496"/>
      <c r="O195" s="496"/>
      <c r="P195" s="496"/>
      <c r="Q195" s="503"/>
      <c r="R195" s="503"/>
      <c r="S195" s="496"/>
      <c r="T195" s="496"/>
      <c r="U195" s="496"/>
      <c r="V195" s="496"/>
      <c r="W195" s="496"/>
      <c r="X195" s="496"/>
      <c r="Y195" s="496"/>
      <c r="Z195" s="496"/>
      <c r="AA195" s="496"/>
      <c r="AB195" s="503"/>
    </row>
    <row r="196" ht="12.75" customHeight="1">
      <c r="A196" s="496"/>
      <c r="B196" s="503"/>
      <c r="C196" s="503"/>
      <c r="D196" s="503"/>
      <c r="E196" s="496"/>
      <c r="F196" s="496"/>
      <c r="G196" s="521"/>
      <c r="H196" s="521"/>
      <c r="I196" s="496"/>
      <c r="J196" s="496"/>
      <c r="K196" s="496"/>
      <c r="L196" s="496"/>
      <c r="M196" s="496"/>
      <c r="N196" s="496"/>
      <c r="O196" s="496"/>
      <c r="P196" s="496"/>
      <c r="Q196" s="503"/>
      <c r="R196" s="503"/>
      <c r="S196" s="496"/>
      <c r="T196" s="496"/>
      <c r="U196" s="496"/>
      <c r="V196" s="496"/>
      <c r="W196" s="496"/>
      <c r="X196" s="496"/>
      <c r="Y196" s="496"/>
      <c r="Z196" s="496"/>
      <c r="AA196" s="496"/>
      <c r="AB196" s="503"/>
    </row>
    <row r="197" ht="12.75" customHeight="1">
      <c r="A197" s="496"/>
      <c r="B197" s="503"/>
      <c r="C197" s="503"/>
      <c r="D197" s="503"/>
      <c r="E197" s="496"/>
      <c r="F197" s="496"/>
      <c r="G197" s="521"/>
      <c r="H197" s="521"/>
      <c r="I197" s="496"/>
      <c r="J197" s="496"/>
      <c r="K197" s="496"/>
      <c r="L197" s="496"/>
      <c r="M197" s="496"/>
      <c r="N197" s="496"/>
      <c r="O197" s="496"/>
      <c r="P197" s="496"/>
      <c r="Q197" s="503"/>
      <c r="R197" s="503"/>
      <c r="S197" s="496"/>
      <c r="T197" s="496"/>
      <c r="U197" s="496"/>
      <c r="V197" s="496"/>
      <c r="W197" s="496"/>
      <c r="X197" s="496"/>
      <c r="Y197" s="496"/>
      <c r="Z197" s="496"/>
      <c r="AA197" s="496"/>
      <c r="AB197" s="503"/>
    </row>
    <row r="198" ht="12.75" customHeight="1">
      <c r="A198" s="496"/>
      <c r="B198" s="503"/>
      <c r="C198" s="503"/>
      <c r="D198" s="503"/>
      <c r="E198" s="496"/>
      <c r="F198" s="496"/>
      <c r="G198" s="521"/>
      <c r="H198" s="521"/>
      <c r="I198" s="496"/>
      <c r="J198" s="496"/>
      <c r="K198" s="496"/>
      <c r="L198" s="496"/>
      <c r="M198" s="496"/>
      <c r="N198" s="496"/>
      <c r="O198" s="496"/>
      <c r="P198" s="496"/>
      <c r="Q198" s="503"/>
      <c r="R198" s="503"/>
      <c r="S198" s="496"/>
      <c r="T198" s="496"/>
      <c r="U198" s="496"/>
      <c r="V198" s="496"/>
      <c r="W198" s="496"/>
      <c r="X198" s="496"/>
      <c r="Y198" s="496"/>
      <c r="Z198" s="496"/>
      <c r="AA198" s="496"/>
      <c r="AB198" s="503"/>
    </row>
    <row r="199" ht="12.75" customHeight="1">
      <c r="A199" s="496"/>
      <c r="B199" s="503"/>
      <c r="C199" s="503"/>
      <c r="D199" s="503"/>
      <c r="E199" s="496"/>
      <c r="F199" s="496"/>
      <c r="G199" s="521"/>
      <c r="H199" s="521"/>
      <c r="I199" s="496"/>
      <c r="J199" s="496"/>
      <c r="K199" s="496"/>
      <c r="L199" s="496"/>
      <c r="M199" s="496"/>
      <c r="N199" s="496"/>
      <c r="O199" s="496"/>
      <c r="P199" s="496"/>
      <c r="Q199" s="503"/>
      <c r="R199" s="503"/>
      <c r="S199" s="496"/>
      <c r="T199" s="496"/>
      <c r="U199" s="496"/>
      <c r="V199" s="496"/>
      <c r="W199" s="496"/>
      <c r="X199" s="496"/>
      <c r="Y199" s="496"/>
      <c r="Z199" s="496"/>
      <c r="AA199" s="496"/>
      <c r="AB199" s="503"/>
    </row>
    <row r="200" ht="12.75" customHeight="1">
      <c r="A200" s="496"/>
      <c r="B200" s="503"/>
      <c r="C200" s="503"/>
      <c r="D200" s="503"/>
      <c r="E200" s="496"/>
      <c r="F200" s="496"/>
      <c r="G200" s="521"/>
      <c r="H200" s="521"/>
      <c r="I200" s="496"/>
      <c r="J200" s="496"/>
      <c r="K200" s="496"/>
      <c r="L200" s="496"/>
      <c r="M200" s="496"/>
      <c r="N200" s="496"/>
      <c r="O200" s="496"/>
      <c r="P200" s="496"/>
      <c r="Q200" s="503"/>
      <c r="R200" s="503"/>
      <c r="S200" s="496"/>
      <c r="T200" s="496"/>
      <c r="U200" s="496"/>
      <c r="V200" s="496"/>
      <c r="W200" s="496"/>
      <c r="X200" s="496"/>
      <c r="Y200" s="496"/>
      <c r="Z200" s="496"/>
      <c r="AA200" s="496"/>
      <c r="AB200" s="503"/>
    </row>
    <row r="201" ht="12.75" customHeight="1">
      <c r="A201" s="496"/>
      <c r="B201" s="503"/>
      <c r="C201" s="503"/>
      <c r="D201" s="503"/>
      <c r="E201" s="496"/>
      <c r="F201" s="496"/>
      <c r="G201" s="521"/>
      <c r="H201" s="521"/>
      <c r="I201" s="496"/>
      <c r="J201" s="496"/>
      <c r="K201" s="496"/>
      <c r="L201" s="496"/>
      <c r="M201" s="496"/>
      <c r="N201" s="496"/>
      <c r="O201" s="496"/>
      <c r="P201" s="496"/>
      <c r="Q201" s="503"/>
      <c r="R201" s="503"/>
      <c r="S201" s="496"/>
      <c r="T201" s="496"/>
      <c r="U201" s="496"/>
      <c r="V201" s="496"/>
      <c r="W201" s="496"/>
      <c r="X201" s="496"/>
      <c r="Y201" s="496"/>
      <c r="Z201" s="496"/>
      <c r="AA201" s="496"/>
      <c r="AB201" s="503"/>
    </row>
    <row r="202" ht="12.75" customHeight="1">
      <c r="A202" s="496"/>
      <c r="B202" s="503"/>
      <c r="C202" s="503"/>
      <c r="D202" s="503"/>
      <c r="E202" s="496"/>
      <c r="F202" s="496"/>
      <c r="G202" s="521"/>
      <c r="H202" s="521"/>
      <c r="I202" s="496"/>
      <c r="J202" s="496"/>
      <c r="K202" s="496"/>
      <c r="L202" s="496"/>
      <c r="M202" s="496"/>
      <c r="N202" s="496"/>
      <c r="O202" s="496"/>
      <c r="P202" s="496"/>
      <c r="Q202" s="503"/>
      <c r="R202" s="503"/>
      <c r="S202" s="496"/>
      <c r="T202" s="496"/>
      <c r="U202" s="496"/>
      <c r="V202" s="496"/>
      <c r="W202" s="496"/>
      <c r="X202" s="496"/>
      <c r="Y202" s="496"/>
      <c r="Z202" s="496"/>
      <c r="AA202" s="496"/>
      <c r="AB202" s="503"/>
    </row>
    <row r="203" ht="12.75" customHeight="1">
      <c r="A203" s="496"/>
      <c r="B203" s="503"/>
      <c r="C203" s="503"/>
      <c r="D203" s="503"/>
      <c r="E203" s="496"/>
      <c r="F203" s="496"/>
      <c r="G203" s="521"/>
      <c r="H203" s="521"/>
      <c r="I203" s="496"/>
      <c r="J203" s="496"/>
      <c r="K203" s="496"/>
      <c r="L203" s="496"/>
      <c r="M203" s="496"/>
      <c r="N203" s="496"/>
      <c r="O203" s="496"/>
      <c r="P203" s="496"/>
      <c r="Q203" s="503"/>
      <c r="R203" s="503"/>
      <c r="S203" s="496"/>
      <c r="T203" s="496"/>
      <c r="U203" s="496"/>
      <c r="V203" s="496"/>
      <c r="W203" s="496"/>
      <c r="X203" s="496"/>
      <c r="Y203" s="496"/>
      <c r="Z203" s="496"/>
      <c r="AA203" s="496"/>
      <c r="AB203" s="503"/>
    </row>
    <row r="204" ht="12.75" customHeight="1">
      <c r="A204" s="496"/>
      <c r="B204" s="503"/>
      <c r="C204" s="503"/>
      <c r="D204" s="503"/>
      <c r="E204" s="496"/>
      <c r="F204" s="496"/>
      <c r="G204" s="521"/>
      <c r="H204" s="521"/>
      <c r="I204" s="496"/>
      <c r="J204" s="496"/>
      <c r="K204" s="496"/>
      <c r="L204" s="496"/>
      <c r="M204" s="496"/>
      <c r="N204" s="496"/>
      <c r="O204" s="496"/>
      <c r="P204" s="496"/>
      <c r="Q204" s="503"/>
      <c r="R204" s="503"/>
      <c r="S204" s="496"/>
      <c r="T204" s="496"/>
      <c r="U204" s="496"/>
      <c r="V204" s="496"/>
      <c r="W204" s="496"/>
      <c r="X204" s="496"/>
      <c r="Y204" s="496"/>
      <c r="Z204" s="496"/>
      <c r="AA204" s="496"/>
      <c r="AB204" s="503"/>
    </row>
    <row r="205" ht="12.75" customHeight="1">
      <c r="A205" s="496"/>
      <c r="B205" s="503"/>
      <c r="C205" s="503"/>
      <c r="D205" s="503"/>
      <c r="E205" s="496"/>
      <c r="F205" s="496"/>
      <c r="G205" s="521"/>
      <c r="H205" s="521"/>
      <c r="I205" s="496"/>
      <c r="J205" s="496"/>
      <c r="K205" s="496"/>
      <c r="L205" s="496"/>
      <c r="M205" s="496"/>
      <c r="N205" s="496"/>
      <c r="O205" s="496"/>
      <c r="P205" s="496"/>
      <c r="Q205" s="503"/>
      <c r="R205" s="503"/>
      <c r="S205" s="496"/>
      <c r="T205" s="496"/>
      <c r="U205" s="496"/>
      <c r="V205" s="496"/>
      <c r="W205" s="496"/>
      <c r="X205" s="496"/>
      <c r="Y205" s="496"/>
      <c r="Z205" s="496"/>
      <c r="AA205" s="496"/>
      <c r="AB205" s="503"/>
    </row>
    <row r="206" ht="12.75" customHeight="1">
      <c r="A206" s="496"/>
      <c r="B206" s="503"/>
      <c r="C206" s="503"/>
      <c r="D206" s="503"/>
      <c r="E206" s="496"/>
      <c r="F206" s="496"/>
      <c r="G206" s="521"/>
      <c r="H206" s="521"/>
      <c r="I206" s="496"/>
      <c r="J206" s="496"/>
      <c r="K206" s="496"/>
      <c r="L206" s="496"/>
      <c r="M206" s="496"/>
      <c r="N206" s="496"/>
      <c r="O206" s="496"/>
      <c r="P206" s="496"/>
      <c r="Q206" s="503"/>
      <c r="R206" s="503"/>
      <c r="S206" s="496"/>
      <c r="T206" s="496"/>
      <c r="U206" s="496"/>
      <c r="V206" s="496"/>
      <c r="W206" s="496"/>
      <c r="X206" s="496"/>
      <c r="Y206" s="496"/>
      <c r="Z206" s="496"/>
      <c r="AA206" s="496"/>
      <c r="AB206" s="503"/>
    </row>
    <row r="207" ht="12.75" customHeight="1">
      <c r="A207" s="496"/>
      <c r="B207" s="503"/>
      <c r="C207" s="503"/>
      <c r="D207" s="503"/>
      <c r="E207" s="496"/>
      <c r="F207" s="496"/>
      <c r="G207" s="521"/>
      <c r="H207" s="521"/>
      <c r="I207" s="496"/>
      <c r="J207" s="496"/>
      <c r="K207" s="496"/>
      <c r="L207" s="496"/>
      <c r="M207" s="496"/>
      <c r="N207" s="496"/>
      <c r="O207" s="496"/>
      <c r="P207" s="496"/>
      <c r="Q207" s="503"/>
      <c r="R207" s="503"/>
      <c r="S207" s="496"/>
      <c r="T207" s="496"/>
      <c r="U207" s="496"/>
      <c r="V207" s="496"/>
      <c r="W207" s="496"/>
      <c r="X207" s="496"/>
      <c r="Y207" s="496"/>
      <c r="Z207" s="496"/>
      <c r="AA207" s="496"/>
      <c r="AB207" s="503"/>
    </row>
    <row r="208" ht="12.75" customHeight="1">
      <c r="A208" s="496"/>
      <c r="B208" s="503"/>
      <c r="C208" s="503"/>
      <c r="D208" s="503"/>
      <c r="E208" s="496"/>
      <c r="F208" s="496"/>
      <c r="G208" s="521"/>
      <c r="H208" s="521"/>
      <c r="I208" s="496"/>
      <c r="J208" s="496"/>
      <c r="K208" s="496"/>
      <c r="L208" s="496"/>
      <c r="M208" s="496"/>
      <c r="N208" s="496"/>
      <c r="O208" s="496"/>
      <c r="P208" s="496"/>
      <c r="Q208" s="503"/>
      <c r="R208" s="503"/>
      <c r="S208" s="496"/>
      <c r="T208" s="496"/>
      <c r="U208" s="496"/>
      <c r="V208" s="496"/>
      <c r="W208" s="496"/>
      <c r="X208" s="496"/>
      <c r="Y208" s="496"/>
      <c r="Z208" s="496"/>
      <c r="AA208" s="496"/>
      <c r="AB208" s="503"/>
    </row>
    <row r="209" ht="12.75" customHeight="1">
      <c r="A209" s="496"/>
      <c r="B209" s="503"/>
      <c r="C209" s="503"/>
      <c r="D209" s="503"/>
      <c r="E209" s="496"/>
      <c r="F209" s="496"/>
      <c r="G209" s="521"/>
      <c r="H209" s="521"/>
      <c r="I209" s="496"/>
      <c r="J209" s="496"/>
      <c r="K209" s="496"/>
      <c r="L209" s="496"/>
      <c r="M209" s="496"/>
      <c r="N209" s="496"/>
      <c r="O209" s="496"/>
      <c r="P209" s="496"/>
      <c r="Q209" s="503"/>
      <c r="R209" s="503"/>
      <c r="S209" s="496"/>
      <c r="T209" s="496"/>
      <c r="U209" s="496"/>
      <c r="V209" s="496"/>
      <c r="W209" s="496"/>
      <c r="X209" s="496"/>
      <c r="Y209" s="496"/>
      <c r="Z209" s="496"/>
      <c r="AA209" s="496"/>
      <c r="AB209" s="503"/>
    </row>
    <row r="210" ht="12.75" customHeight="1">
      <c r="A210" s="496"/>
      <c r="B210" s="503"/>
      <c r="C210" s="503"/>
      <c r="D210" s="503"/>
      <c r="E210" s="496"/>
      <c r="F210" s="496"/>
      <c r="G210" s="521"/>
      <c r="H210" s="521"/>
      <c r="I210" s="496"/>
      <c r="J210" s="496"/>
      <c r="K210" s="496"/>
      <c r="L210" s="496"/>
      <c r="M210" s="496"/>
      <c r="N210" s="496"/>
      <c r="O210" s="496"/>
      <c r="P210" s="496"/>
      <c r="Q210" s="503"/>
      <c r="R210" s="503"/>
      <c r="S210" s="496"/>
      <c r="T210" s="496"/>
      <c r="U210" s="496"/>
      <c r="V210" s="496"/>
      <c r="W210" s="496"/>
      <c r="X210" s="496"/>
      <c r="Y210" s="496"/>
      <c r="Z210" s="496"/>
      <c r="AA210" s="496"/>
      <c r="AB210" s="503"/>
    </row>
    <row r="211" ht="12.75" customHeight="1">
      <c r="A211" s="496"/>
      <c r="B211" s="503"/>
      <c r="C211" s="503"/>
      <c r="D211" s="503"/>
      <c r="E211" s="496"/>
      <c r="F211" s="496"/>
      <c r="G211" s="521"/>
      <c r="H211" s="521"/>
      <c r="I211" s="496"/>
      <c r="J211" s="496"/>
      <c r="K211" s="496"/>
      <c r="L211" s="496"/>
      <c r="M211" s="496"/>
      <c r="N211" s="496"/>
      <c r="O211" s="496"/>
      <c r="P211" s="496"/>
      <c r="Q211" s="503"/>
      <c r="R211" s="503"/>
      <c r="S211" s="496"/>
      <c r="T211" s="496"/>
      <c r="U211" s="496"/>
      <c r="V211" s="496"/>
      <c r="W211" s="496"/>
      <c r="X211" s="496"/>
      <c r="Y211" s="496"/>
      <c r="Z211" s="496"/>
      <c r="AA211" s="496"/>
      <c r="AB211" s="503"/>
    </row>
    <row r="212" ht="12.75" customHeight="1">
      <c r="A212" s="496"/>
      <c r="B212" s="503"/>
      <c r="C212" s="503"/>
      <c r="D212" s="503"/>
      <c r="E212" s="496"/>
      <c r="F212" s="496"/>
      <c r="G212" s="521"/>
      <c r="H212" s="521"/>
      <c r="I212" s="496"/>
      <c r="J212" s="496"/>
      <c r="K212" s="496"/>
      <c r="L212" s="496"/>
      <c r="M212" s="496"/>
      <c r="N212" s="496"/>
      <c r="O212" s="496"/>
      <c r="P212" s="496"/>
      <c r="Q212" s="503"/>
      <c r="R212" s="503"/>
      <c r="S212" s="496"/>
      <c r="T212" s="496"/>
      <c r="U212" s="496"/>
      <c r="V212" s="496"/>
      <c r="W212" s="496"/>
      <c r="X212" s="496"/>
      <c r="Y212" s="496"/>
      <c r="Z212" s="496"/>
      <c r="AA212" s="496"/>
      <c r="AB212" s="503"/>
    </row>
    <row r="213" ht="12.75" customHeight="1">
      <c r="A213" s="496"/>
      <c r="B213" s="503"/>
      <c r="C213" s="503"/>
      <c r="D213" s="503"/>
      <c r="E213" s="496"/>
      <c r="F213" s="496"/>
      <c r="G213" s="521"/>
      <c r="H213" s="521"/>
      <c r="I213" s="496"/>
      <c r="J213" s="496"/>
      <c r="K213" s="496"/>
      <c r="L213" s="496"/>
      <c r="M213" s="496"/>
      <c r="N213" s="496"/>
      <c r="O213" s="496"/>
      <c r="P213" s="496"/>
      <c r="Q213" s="503"/>
      <c r="R213" s="503"/>
      <c r="S213" s="496"/>
      <c r="T213" s="496"/>
      <c r="U213" s="496"/>
      <c r="V213" s="496"/>
      <c r="W213" s="496"/>
      <c r="X213" s="496"/>
      <c r="Y213" s="496"/>
      <c r="Z213" s="496"/>
      <c r="AA213" s="496"/>
      <c r="AB213" s="503"/>
    </row>
    <row r="214" ht="12.75" customHeight="1">
      <c r="A214" s="496"/>
      <c r="B214" s="503"/>
      <c r="C214" s="503"/>
      <c r="D214" s="503"/>
      <c r="E214" s="496"/>
      <c r="F214" s="496"/>
      <c r="G214" s="521"/>
      <c r="H214" s="521"/>
      <c r="I214" s="496"/>
      <c r="J214" s="496"/>
      <c r="K214" s="496"/>
      <c r="L214" s="496"/>
      <c r="M214" s="496"/>
      <c r="N214" s="496"/>
      <c r="O214" s="496"/>
      <c r="P214" s="496"/>
      <c r="Q214" s="503"/>
      <c r="R214" s="503"/>
      <c r="S214" s="496"/>
      <c r="T214" s="496"/>
      <c r="U214" s="496"/>
      <c r="V214" s="496"/>
      <c r="W214" s="496"/>
      <c r="X214" s="496"/>
      <c r="Y214" s="496"/>
      <c r="Z214" s="496"/>
      <c r="AA214" s="496"/>
      <c r="AB214" s="503"/>
    </row>
    <row r="215" ht="12.75" customHeight="1">
      <c r="A215" s="496"/>
      <c r="B215" s="503"/>
      <c r="C215" s="503"/>
      <c r="D215" s="503"/>
      <c r="E215" s="496"/>
      <c r="F215" s="496"/>
      <c r="G215" s="521"/>
      <c r="H215" s="521"/>
      <c r="I215" s="496"/>
      <c r="J215" s="496"/>
      <c r="K215" s="496"/>
      <c r="L215" s="496"/>
      <c r="M215" s="496"/>
      <c r="N215" s="496"/>
      <c r="O215" s="496"/>
      <c r="P215" s="496"/>
      <c r="Q215" s="503"/>
      <c r="R215" s="503"/>
      <c r="S215" s="496"/>
      <c r="T215" s="496"/>
      <c r="U215" s="496"/>
      <c r="V215" s="496"/>
      <c r="W215" s="496"/>
      <c r="X215" s="496"/>
      <c r="Y215" s="496"/>
      <c r="Z215" s="496"/>
      <c r="AA215" s="496"/>
      <c r="AB215" s="503"/>
    </row>
    <row r="216" ht="12.75" customHeight="1">
      <c r="A216" s="496"/>
      <c r="B216" s="503"/>
      <c r="C216" s="503"/>
      <c r="D216" s="503"/>
      <c r="E216" s="496"/>
      <c r="F216" s="496"/>
      <c r="G216" s="521"/>
      <c r="H216" s="521"/>
      <c r="I216" s="496"/>
      <c r="J216" s="496"/>
      <c r="K216" s="496"/>
      <c r="L216" s="496"/>
      <c r="M216" s="496"/>
      <c r="N216" s="496"/>
      <c r="O216" s="496"/>
      <c r="P216" s="496"/>
      <c r="Q216" s="503"/>
      <c r="R216" s="503"/>
      <c r="S216" s="496"/>
      <c r="T216" s="496"/>
      <c r="U216" s="496"/>
      <c r="V216" s="496"/>
      <c r="W216" s="496"/>
      <c r="X216" s="496"/>
      <c r="Y216" s="496"/>
      <c r="Z216" s="496"/>
      <c r="AA216" s="496"/>
      <c r="AB216" s="503"/>
    </row>
    <row r="217" ht="12.75" customHeight="1">
      <c r="A217" s="496"/>
      <c r="B217" s="503"/>
      <c r="C217" s="503"/>
      <c r="D217" s="503"/>
      <c r="E217" s="496"/>
      <c r="F217" s="496"/>
      <c r="G217" s="521"/>
      <c r="H217" s="521"/>
      <c r="I217" s="496"/>
      <c r="J217" s="496"/>
      <c r="K217" s="496"/>
      <c r="L217" s="496"/>
      <c r="M217" s="496"/>
      <c r="N217" s="496"/>
      <c r="O217" s="496"/>
      <c r="P217" s="496"/>
      <c r="Q217" s="503"/>
      <c r="R217" s="503"/>
      <c r="S217" s="496"/>
      <c r="T217" s="496"/>
      <c r="U217" s="496"/>
      <c r="V217" s="496"/>
      <c r="W217" s="496"/>
      <c r="X217" s="496"/>
      <c r="Y217" s="496"/>
      <c r="Z217" s="496"/>
      <c r="AA217" s="496"/>
      <c r="AB217" s="503"/>
    </row>
    <row r="218" ht="12.75" customHeight="1">
      <c r="A218" s="496"/>
      <c r="B218" s="503"/>
      <c r="C218" s="503"/>
      <c r="D218" s="503"/>
      <c r="E218" s="496"/>
      <c r="F218" s="496"/>
      <c r="G218" s="521"/>
      <c r="H218" s="521"/>
      <c r="I218" s="496"/>
      <c r="J218" s="496"/>
      <c r="K218" s="496"/>
      <c r="L218" s="496"/>
      <c r="M218" s="496"/>
      <c r="N218" s="496"/>
      <c r="O218" s="496"/>
      <c r="P218" s="496"/>
      <c r="Q218" s="503"/>
      <c r="R218" s="503"/>
      <c r="S218" s="496"/>
      <c r="T218" s="496"/>
      <c r="U218" s="496"/>
      <c r="V218" s="496"/>
      <c r="W218" s="496"/>
      <c r="X218" s="496"/>
      <c r="Y218" s="496"/>
      <c r="Z218" s="496"/>
      <c r="AA218" s="496"/>
      <c r="AB218" s="503"/>
    </row>
    <row r="219" ht="12.75" customHeight="1">
      <c r="A219" s="496"/>
      <c r="B219" s="503"/>
      <c r="C219" s="503"/>
      <c r="D219" s="503"/>
      <c r="E219" s="496"/>
      <c r="F219" s="496"/>
      <c r="G219" s="521"/>
      <c r="H219" s="521"/>
      <c r="I219" s="496"/>
      <c r="J219" s="496"/>
      <c r="K219" s="496"/>
      <c r="L219" s="496"/>
      <c r="M219" s="496"/>
      <c r="N219" s="496"/>
      <c r="O219" s="496"/>
      <c r="P219" s="496"/>
      <c r="Q219" s="503"/>
      <c r="R219" s="503"/>
      <c r="S219" s="496"/>
      <c r="T219" s="496"/>
      <c r="U219" s="496"/>
      <c r="V219" s="496"/>
      <c r="W219" s="496"/>
      <c r="X219" s="496"/>
      <c r="Y219" s="496"/>
      <c r="Z219" s="496"/>
      <c r="AA219" s="496"/>
      <c r="AB219" s="503"/>
    </row>
    <row r="220" ht="12.75" customHeight="1">
      <c r="A220" s="496"/>
      <c r="B220" s="503"/>
      <c r="C220" s="503"/>
      <c r="D220" s="503"/>
      <c r="E220" s="496"/>
      <c r="F220" s="496"/>
      <c r="G220" s="521"/>
      <c r="H220" s="521"/>
      <c r="I220" s="496"/>
      <c r="J220" s="496"/>
      <c r="K220" s="496"/>
      <c r="L220" s="496"/>
      <c r="M220" s="496"/>
      <c r="N220" s="496"/>
      <c r="O220" s="496"/>
      <c r="P220" s="496"/>
      <c r="Q220" s="503"/>
      <c r="R220" s="503"/>
      <c r="S220" s="496"/>
      <c r="T220" s="496"/>
      <c r="U220" s="496"/>
      <c r="V220" s="496"/>
      <c r="W220" s="496"/>
      <c r="X220" s="496"/>
      <c r="Y220" s="496"/>
      <c r="Z220" s="496"/>
      <c r="AA220" s="496"/>
      <c r="AB220" s="503"/>
    </row>
    <row r="221" ht="12.75" customHeight="1">
      <c r="A221" s="496"/>
      <c r="B221" s="503"/>
      <c r="C221" s="503"/>
      <c r="D221" s="503"/>
      <c r="E221" s="496"/>
      <c r="F221" s="496"/>
      <c r="G221" s="521"/>
      <c r="H221" s="521"/>
      <c r="I221" s="496"/>
      <c r="J221" s="496"/>
      <c r="K221" s="496"/>
      <c r="L221" s="496"/>
      <c r="M221" s="496"/>
      <c r="N221" s="496"/>
      <c r="O221" s="496"/>
      <c r="P221" s="496"/>
      <c r="Q221" s="503"/>
      <c r="R221" s="503"/>
      <c r="S221" s="496"/>
      <c r="T221" s="496"/>
      <c r="U221" s="496"/>
      <c r="V221" s="496"/>
      <c r="W221" s="496"/>
      <c r="X221" s="496"/>
      <c r="Y221" s="496"/>
      <c r="Z221" s="496"/>
      <c r="AA221" s="496"/>
      <c r="AB221" s="503"/>
    </row>
    <row r="222" ht="12.75" customHeight="1">
      <c r="A222" s="496"/>
      <c r="B222" s="503"/>
      <c r="C222" s="503"/>
      <c r="D222" s="503"/>
      <c r="E222" s="496"/>
      <c r="F222" s="496"/>
      <c r="G222" s="521"/>
      <c r="H222" s="521"/>
      <c r="I222" s="496"/>
      <c r="J222" s="496"/>
      <c r="K222" s="496"/>
      <c r="L222" s="496"/>
      <c r="M222" s="496"/>
      <c r="N222" s="496"/>
      <c r="O222" s="496"/>
      <c r="P222" s="496"/>
      <c r="Q222" s="503"/>
      <c r="R222" s="503"/>
      <c r="S222" s="496"/>
      <c r="T222" s="496"/>
      <c r="U222" s="496"/>
      <c r="V222" s="496"/>
      <c r="W222" s="496"/>
      <c r="X222" s="496"/>
      <c r="Y222" s="496"/>
      <c r="Z222" s="496"/>
      <c r="AA222" s="496"/>
      <c r="AB222" s="503"/>
    </row>
    <row r="223" ht="12.75" customHeight="1">
      <c r="A223" s="496"/>
      <c r="B223" s="503"/>
      <c r="C223" s="503"/>
      <c r="D223" s="503"/>
      <c r="E223" s="496"/>
      <c r="F223" s="496"/>
      <c r="G223" s="521"/>
      <c r="H223" s="521"/>
      <c r="I223" s="496"/>
      <c r="J223" s="496"/>
      <c r="K223" s="496"/>
      <c r="L223" s="496"/>
      <c r="M223" s="496"/>
      <c r="N223" s="496"/>
      <c r="O223" s="496"/>
      <c r="P223" s="496"/>
      <c r="Q223" s="503"/>
      <c r="R223" s="503"/>
      <c r="S223" s="496"/>
      <c r="T223" s="496"/>
      <c r="U223" s="496"/>
      <c r="V223" s="496"/>
      <c r="W223" s="496"/>
      <c r="X223" s="496"/>
      <c r="Y223" s="496"/>
      <c r="Z223" s="496"/>
      <c r="AA223" s="496"/>
      <c r="AB223" s="503"/>
    </row>
    <row r="224" ht="12.75" customHeight="1">
      <c r="A224" s="496"/>
      <c r="B224" s="503"/>
      <c r="C224" s="503"/>
      <c r="D224" s="503"/>
      <c r="E224" s="496"/>
      <c r="F224" s="496"/>
      <c r="G224" s="521"/>
      <c r="H224" s="521"/>
      <c r="I224" s="496"/>
      <c r="J224" s="496"/>
      <c r="K224" s="496"/>
      <c r="L224" s="496"/>
      <c r="M224" s="496"/>
      <c r="N224" s="496"/>
      <c r="O224" s="496"/>
      <c r="P224" s="496"/>
      <c r="Q224" s="503"/>
      <c r="R224" s="503"/>
      <c r="S224" s="496"/>
      <c r="T224" s="496"/>
      <c r="U224" s="496"/>
      <c r="V224" s="496"/>
      <c r="W224" s="496"/>
      <c r="X224" s="496"/>
      <c r="Y224" s="496"/>
      <c r="Z224" s="496"/>
      <c r="AA224" s="496"/>
      <c r="AB224" s="503"/>
    </row>
    <row r="225" ht="12.75" customHeight="1">
      <c r="A225" s="496"/>
      <c r="B225" s="503"/>
      <c r="C225" s="503"/>
      <c r="D225" s="503"/>
      <c r="E225" s="496"/>
      <c r="F225" s="496"/>
      <c r="G225" s="521"/>
      <c r="H225" s="521"/>
      <c r="I225" s="496"/>
      <c r="J225" s="496"/>
      <c r="K225" s="496"/>
      <c r="L225" s="496"/>
      <c r="M225" s="496"/>
      <c r="N225" s="496"/>
      <c r="O225" s="496"/>
      <c r="P225" s="496"/>
      <c r="Q225" s="503"/>
      <c r="R225" s="503"/>
      <c r="S225" s="496"/>
      <c r="T225" s="496"/>
      <c r="U225" s="496"/>
      <c r="V225" s="496"/>
      <c r="W225" s="496"/>
      <c r="X225" s="496"/>
      <c r="Y225" s="496"/>
      <c r="Z225" s="496"/>
      <c r="AA225" s="496"/>
      <c r="AB225" s="503"/>
    </row>
    <row r="226" ht="12.75" customHeight="1">
      <c r="A226" s="496"/>
      <c r="B226" s="503"/>
      <c r="C226" s="503"/>
      <c r="D226" s="503"/>
      <c r="E226" s="496"/>
      <c r="F226" s="496"/>
      <c r="G226" s="521"/>
      <c r="H226" s="521"/>
      <c r="I226" s="496"/>
      <c r="J226" s="496"/>
      <c r="K226" s="496"/>
      <c r="L226" s="496"/>
      <c r="M226" s="496"/>
      <c r="N226" s="496"/>
      <c r="O226" s="496"/>
      <c r="P226" s="496"/>
      <c r="Q226" s="503"/>
      <c r="R226" s="503"/>
      <c r="S226" s="496"/>
      <c r="T226" s="496"/>
      <c r="U226" s="496"/>
      <c r="V226" s="496"/>
      <c r="W226" s="496"/>
      <c r="X226" s="496"/>
      <c r="Y226" s="496"/>
      <c r="Z226" s="496"/>
      <c r="AA226" s="496"/>
      <c r="AB226" s="503"/>
    </row>
    <row r="227" ht="12.75" customHeight="1">
      <c r="A227" s="496"/>
      <c r="B227" s="503"/>
      <c r="C227" s="503"/>
      <c r="D227" s="503"/>
      <c r="E227" s="496"/>
      <c r="F227" s="496"/>
      <c r="G227" s="521"/>
      <c r="H227" s="521"/>
      <c r="I227" s="496"/>
      <c r="J227" s="496"/>
      <c r="K227" s="496"/>
      <c r="L227" s="496"/>
      <c r="M227" s="496"/>
      <c r="N227" s="496"/>
      <c r="O227" s="496"/>
      <c r="P227" s="496"/>
      <c r="Q227" s="503"/>
      <c r="R227" s="503"/>
      <c r="S227" s="496"/>
      <c r="T227" s="496"/>
      <c r="U227" s="496"/>
      <c r="V227" s="496"/>
      <c r="W227" s="496"/>
      <c r="X227" s="496"/>
      <c r="Y227" s="496"/>
      <c r="Z227" s="496"/>
      <c r="AA227" s="496"/>
      <c r="AB227" s="503"/>
    </row>
    <row r="228" ht="12.75" customHeight="1">
      <c r="A228" s="496"/>
      <c r="B228" s="503"/>
      <c r="C228" s="503"/>
      <c r="D228" s="503"/>
      <c r="E228" s="496"/>
      <c r="F228" s="496"/>
      <c r="G228" s="521"/>
      <c r="H228" s="521"/>
      <c r="I228" s="496"/>
      <c r="J228" s="496"/>
      <c r="K228" s="496"/>
      <c r="L228" s="496"/>
      <c r="M228" s="496"/>
      <c r="N228" s="496"/>
      <c r="O228" s="496"/>
      <c r="P228" s="496"/>
      <c r="Q228" s="503"/>
      <c r="R228" s="503"/>
      <c r="S228" s="496"/>
      <c r="T228" s="496"/>
      <c r="U228" s="496"/>
      <c r="V228" s="496"/>
      <c r="W228" s="496"/>
      <c r="X228" s="496"/>
      <c r="Y228" s="496"/>
      <c r="Z228" s="496"/>
      <c r="AA228" s="496"/>
      <c r="AB228" s="503"/>
    </row>
    <row r="229" ht="12.75" customHeight="1">
      <c r="A229" s="496"/>
      <c r="B229" s="503"/>
      <c r="C229" s="503"/>
      <c r="D229" s="503"/>
      <c r="E229" s="496"/>
      <c r="F229" s="496"/>
      <c r="G229" s="521"/>
      <c r="H229" s="521"/>
      <c r="I229" s="496"/>
      <c r="J229" s="496"/>
      <c r="K229" s="496"/>
      <c r="L229" s="496"/>
      <c r="M229" s="496"/>
      <c r="N229" s="496"/>
      <c r="O229" s="496"/>
      <c r="P229" s="496"/>
      <c r="Q229" s="503"/>
      <c r="R229" s="503"/>
      <c r="S229" s="496"/>
      <c r="T229" s="496"/>
      <c r="U229" s="496"/>
      <c r="V229" s="496"/>
      <c r="W229" s="496"/>
      <c r="X229" s="496"/>
      <c r="Y229" s="496"/>
      <c r="Z229" s="496"/>
      <c r="AA229" s="496"/>
      <c r="AB229" s="503"/>
    </row>
    <row r="230" ht="12.75" customHeight="1">
      <c r="A230" s="496"/>
      <c r="B230" s="503"/>
      <c r="C230" s="503"/>
      <c r="D230" s="503"/>
      <c r="E230" s="496"/>
      <c r="F230" s="496"/>
      <c r="G230" s="521"/>
      <c r="H230" s="521"/>
      <c r="I230" s="496"/>
      <c r="J230" s="496"/>
      <c r="K230" s="496"/>
      <c r="L230" s="496"/>
      <c r="M230" s="496"/>
      <c r="N230" s="496"/>
      <c r="O230" s="496"/>
      <c r="P230" s="496"/>
      <c r="Q230" s="503"/>
      <c r="R230" s="503"/>
      <c r="S230" s="496"/>
      <c r="T230" s="496"/>
      <c r="U230" s="496"/>
      <c r="V230" s="496"/>
      <c r="W230" s="496"/>
      <c r="X230" s="496"/>
      <c r="Y230" s="496"/>
      <c r="Z230" s="496"/>
      <c r="AA230" s="496"/>
      <c r="AB230" s="503"/>
    </row>
    <row r="231" ht="12.75" customHeight="1">
      <c r="A231" s="496"/>
      <c r="B231" s="503"/>
      <c r="C231" s="503"/>
      <c r="D231" s="503"/>
      <c r="E231" s="496"/>
      <c r="F231" s="496"/>
      <c r="G231" s="521"/>
      <c r="H231" s="521"/>
      <c r="I231" s="496"/>
      <c r="J231" s="496"/>
      <c r="K231" s="496"/>
      <c r="L231" s="496"/>
      <c r="M231" s="496"/>
      <c r="N231" s="496"/>
      <c r="O231" s="496"/>
      <c r="P231" s="496"/>
      <c r="Q231" s="503"/>
      <c r="R231" s="503"/>
      <c r="S231" s="496"/>
      <c r="T231" s="496"/>
      <c r="U231" s="496"/>
      <c r="V231" s="496"/>
      <c r="W231" s="496"/>
      <c r="X231" s="496"/>
      <c r="Y231" s="496"/>
      <c r="Z231" s="496"/>
      <c r="AA231" s="496"/>
      <c r="AB231" s="503"/>
    </row>
    <row r="232" ht="12.75" customHeight="1">
      <c r="A232" s="496"/>
      <c r="B232" s="503"/>
      <c r="C232" s="503"/>
      <c r="D232" s="503"/>
      <c r="E232" s="496"/>
      <c r="F232" s="496"/>
      <c r="G232" s="521"/>
      <c r="H232" s="521"/>
      <c r="I232" s="496"/>
      <c r="J232" s="496"/>
      <c r="K232" s="496"/>
      <c r="L232" s="496"/>
      <c r="M232" s="496"/>
      <c r="N232" s="496"/>
      <c r="O232" s="496"/>
      <c r="P232" s="496"/>
      <c r="Q232" s="503"/>
      <c r="R232" s="503"/>
      <c r="S232" s="496"/>
      <c r="T232" s="496"/>
      <c r="U232" s="496"/>
      <c r="V232" s="496"/>
      <c r="W232" s="496"/>
      <c r="X232" s="496"/>
      <c r="Y232" s="496"/>
      <c r="Z232" s="496"/>
      <c r="AA232" s="496"/>
      <c r="AB232" s="503"/>
    </row>
    <row r="233" ht="12.75" customHeight="1">
      <c r="A233" s="496"/>
      <c r="B233" s="503"/>
      <c r="C233" s="503"/>
      <c r="D233" s="503"/>
      <c r="E233" s="496"/>
      <c r="F233" s="496"/>
      <c r="G233" s="521"/>
      <c r="H233" s="521"/>
      <c r="I233" s="496"/>
      <c r="J233" s="496"/>
      <c r="K233" s="496"/>
      <c r="L233" s="496"/>
      <c r="M233" s="496"/>
      <c r="N233" s="496"/>
      <c r="O233" s="496"/>
      <c r="P233" s="496"/>
      <c r="Q233" s="503"/>
      <c r="R233" s="503"/>
      <c r="S233" s="496"/>
      <c r="T233" s="496"/>
      <c r="U233" s="496"/>
      <c r="V233" s="496"/>
      <c r="W233" s="496"/>
      <c r="X233" s="496"/>
      <c r="Y233" s="496"/>
      <c r="Z233" s="496"/>
      <c r="AA233" s="496"/>
      <c r="AB233" s="503"/>
    </row>
    <row r="234" ht="12.75" customHeight="1">
      <c r="A234" s="496"/>
      <c r="B234" s="503"/>
      <c r="C234" s="503"/>
      <c r="D234" s="503"/>
      <c r="E234" s="496"/>
      <c r="F234" s="496"/>
      <c r="G234" s="521"/>
      <c r="H234" s="521"/>
      <c r="I234" s="496"/>
      <c r="J234" s="496"/>
      <c r="K234" s="496"/>
      <c r="L234" s="496"/>
      <c r="M234" s="496"/>
      <c r="N234" s="496"/>
      <c r="O234" s="496"/>
      <c r="P234" s="496"/>
      <c r="Q234" s="503"/>
      <c r="R234" s="503"/>
      <c r="S234" s="496"/>
      <c r="T234" s="496"/>
      <c r="U234" s="496"/>
      <c r="V234" s="496"/>
      <c r="W234" s="496"/>
      <c r="X234" s="496"/>
      <c r="Y234" s="496"/>
      <c r="Z234" s="496"/>
      <c r="AA234" s="496"/>
      <c r="AB234" s="503"/>
    </row>
    <row r="235" ht="12.75" customHeight="1">
      <c r="A235" s="496"/>
      <c r="B235" s="503"/>
      <c r="C235" s="503"/>
      <c r="D235" s="503"/>
      <c r="E235" s="496"/>
      <c r="F235" s="496"/>
      <c r="G235" s="521"/>
      <c r="H235" s="521"/>
      <c r="I235" s="496"/>
      <c r="J235" s="496"/>
      <c r="K235" s="496"/>
      <c r="L235" s="496"/>
      <c r="M235" s="496"/>
      <c r="N235" s="496"/>
      <c r="O235" s="496"/>
      <c r="P235" s="496"/>
      <c r="Q235" s="503"/>
      <c r="R235" s="503"/>
      <c r="S235" s="496"/>
      <c r="T235" s="496"/>
      <c r="U235" s="496"/>
      <c r="V235" s="496"/>
      <c r="W235" s="496"/>
      <c r="X235" s="496"/>
      <c r="Y235" s="496"/>
      <c r="Z235" s="496"/>
      <c r="AA235" s="496"/>
      <c r="AB235" s="503"/>
    </row>
    <row r="236" ht="12.75" customHeight="1">
      <c r="A236" s="496"/>
      <c r="B236" s="503"/>
      <c r="C236" s="503"/>
      <c r="D236" s="503"/>
      <c r="E236" s="496"/>
      <c r="F236" s="496"/>
      <c r="G236" s="521"/>
      <c r="H236" s="521"/>
      <c r="I236" s="496"/>
      <c r="J236" s="496"/>
      <c r="K236" s="496"/>
      <c r="L236" s="496"/>
      <c r="M236" s="496"/>
      <c r="N236" s="496"/>
      <c r="O236" s="496"/>
      <c r="P236" s="496"/>
      <c r="Q236" s="503"/>
      <c r="R236" s="503"/>
      <c r="S236" s="496"/>
      <c r="T236" s="496"/>
      <c r="U236" s="496"/>
      <c r="V236" s="496"/>
      <c r="W236" s="496"/>
      <c r="X236" s="496"/>
      <c r="Y236" s="496"/>
      <c r="Z236" s="496"/>
      <c r="AA236" s="496"/>
      <c r="AB236" s="503"/>
    </row>
    <row r="237" ht="12.75" customHeight="1">
      <c r="A237" s="496"/>
      <c r="B237" s="503"/>
      <c r="C237" s="503"/>
      <c r="D237" s="503"/>
      <c r="E237" s="496"/>
      <c r="F237" s="496"/>
      <c r="G237" s="521"/>
      <c r="H237" s="521"/>
      <c r="I237" s="496"/>
      <c r="J237" s="496"/>
      <c r="K237" s="496"/>
      <c r="L237" s="496"/>
      <c r="M237" s="496"/>
      <c r="N237" s="496"/>
      <c r="O237" s="496"/>
      <c r="P237" s="496"/>
      <c r="Q237" s="503"/>
      <c r="R237" s="503"/>
      <c r="S237" s="496"/>
      <c r="T237" s="496"/>
      <c r="U237" s="496"/>
      <c r="V237" s="496"/>
      <c r="W237" s="496"/>
      <c r="X237" s="496"/>
      <c r="Y237" s="496"/>
      <c r="Z237" s="496"/>
      <c r="AA237" s="496"/>
      <c r="AB237" s="503"/>
    </row>
    <row r="238" ht="12.75" customHeight="1">
      <c r="A238" s="496"/>
      <c r="B238" s="503"/>
      <c r="C238" s="503"/>
      <c r="D238" s="503"/>
      <c r="E238" s="496"/>
      <c r="F238" s="496"/>
      <c r="G238" s="521"/>
      <c r="H238" s="521"/>
      <c r="I238" s="496"/>
      <c r="J238" s="496"/>
      <c r="K238" s="496"/>
      <c r="L238" s="496"/>
      <c r="M238" s="496"/>
      <c r="N238" s="496"/>
      <c r="O238" s="496"/>
      <c r="P238" s="496"/>
      <c r="Q238" s="503"/>
      <c r="R238" s="503"/>
      <c r="S238" s="496"/>
      <c r="T238" s="496"/>
      <c r="U238" s="496"/>
      <c r="V238" s="496"/>
      <c r="W238" s="496"/>
      <c r="X238" s="496"/>
      <c r="Y238" s="496"/>
      <c r="Z238" s="496"/>
      <c r="AA238" s="496"/>
      <c r="AB238" s="503"/>
    </row>
    <row r="239" ht="12.75" customHeight="1">
      <c r="A239" s="496"/>
      <c r="B239" s="503"/>
      <c r="C239" s="503"/>
      <c r="D239" s="503"/>
      <c r="E239" s="496"/>
      <c r="F239" s="496"/>
      <c r="G239" s="521"/>
      <c r="H239" s="521"/>
      <c r="I239" s="496"/>
      <c r="J239" s="496"/>
      <c r="K239" s="496"/>
      <c r="L239" s="496"/>
      <c r="M239" s="496"/>
      <c r="N239" s="496"/>
      <c r="O239" s="496"/>
      <c r="P239" s="496"/>
      <c r="Q239" s="503"/>
      <c r="R239" s="503"/>
      <c r="S239" s="496"/>
      <c r="T239" s="496"/>
      <c r="U239" s="496"/>
      <c r="V239" s="496"/>
      <c r="W239" s="496"/>
      <c r="X239" s="496"/>
      <c r="Y239" s="496"/>
      <c r="Z239" s="496"/>
      <c r="AA239" s="496"/>
      <c r="AB239" s="503"/>
    </row>
    <row r="240" ht="12.75" customHeight="1">
      <c r="A240" s="496"/>
      <c r="B240" s="503"/>
      <c r="C240" s="503"/>
      <c r="D240" s="503"/>
      <c r="E240" s="496"/>
      <c r="F240" s="496"/>
      <c r="G240" s="521"/>
      <c r="H240" s="521"/>
      <c r="I240" s="496"/>
      <c r="J240" s="496"/>
      <c r="K240" s="496"/>
      <c r="L240" s="496"/>
      <c r="M240" s="496"/>
      <c r="N240" s="496"/>
      <c r="O240" s="496"/>
      <c r="P240" s="496"/>
      <c r="Q240" s="503"/>
      <c r="R240" s="503"/>
      <c r="S240" s="496"/>
      <c r="T240" s="496"/>
      <c r="U240" s="496"/>
      <c r="V240" s="496"/>
      <c r="W240" s="496"/>
      <c r="X240" s="496"/>
      <c r="Y240" s="496"/>
      <c r="Z240" s="496"/>
      <c r="AA240" s="496"/>
      <c r="AB240" s="503"/>
    </row>
    <row r="241" ht="12.75" customHeight="1">
      <c r="A241" s="496"/>
      <c r="B241" s="503"/>
      <c r="C241" s="503"/>
      <c r="D241" s="503"/>
      <c r="E241" s="496"/>
      <c r="F241" s="496"/>
      <c r="G241" s="521"/>
      <c r="H241" s="521"/>
      <c r="I241" s="496"/>
      <c r="J241" s="496"/>
      <c r="K241" s="496"/>
      <c r="L241" s="496"/>
      <c r="M241" s="496"/>
      <c r="N241" s="496"/>
      <c r="O241" s="496"/>
      <c r="P241" s="496"/>
      <c r="Q241" s="503"/>
      <c r="R241" s="503"/>
      <c r="S241" s="496"/>
      <c r="T241" s="496"/>
      <c r="U241" s="496"/>
      <c r="V241" s="496"/>
      <c r="W241" s="496"/>
      <c r="X241" s="496"/>
      <c r="Y241" s="496"/>
      <c r="Z241" s="496"/>
      <c r="AA241" s="496"/>
      <c r="AB241" s="503"/>
    </row>
    <row r="242" ht="12.75" customHeight="1">
      <c r="A242" s="496"/>
      <c r="B242" s="503"/>
      <c r="C242" s="503"/>
      <c r="D242" s="503"/>
      <c r="E242" s="496"/>
      <c r="F242" s="496"/>
      <c r="G242" s="521"/>
      <c r="H242" s="521"/>
      <c r="I242" s="496"/>
      <c r="J242" s="496"/>
      <c r="K242" s="496"/>
      <c r="L242" s="496"/>
      <c r="M242" s="496"/>
      <c r="N242" s="496"/>
      <c r="O242" s="496"/>
      <c r="P242" s="496"/>
      <c r="Q242" s="503"/>
      <c r="R242" s="503"/>
      <c r="S242" s="496"/>
      <c r="T242" s="496"/>
      <c r="U242" s="496"/>
      <c r="V242" s="496"/>
      <c r="W242" s="496"/>
      <c r="X242" s="496"/>
      <c r="Y242" s="496"/>
      <c r="Z242" s="496"/>
      <c r="AA242" s="496"/>
      <c r="AB242" s="503"/>
    </row>
    <row r="243" ht="12.75" customHeight="1">
      <c r="A243" s="496"/>
      <c r="B243" s="503"/>
      <c r="C243" s="503"/>
      <c r="D243" s="503"/>
      <c r="E243" s="496"/>
      <c r="F243" s="496"/>
      <c r="G243" s="521"/>
      <c r="H243" s="521"/>
      <c r="I243" s="496"/>
      <c r="J243" s="496"/>
      <c r="K243" s="496"/>
      <c r="L243" s="496"/>
      <c r="M243" s="496"/>
      <c r="N243" s="496"/>
      <c r="O243" s="496"/>
      <c r="P243" s="496"/>
      <c r="Q243" s="503"/>
      <c r="R243" s="503"/>
      <c r="S243" s="496"/>
      <c r="T243" s="496"/>
      <c r="U243" s="496"/>
      <c r="V243" s="496"/>
      <c r="W243" s="496"/>
      <c r="X243" s="496"/>
      <c r="Y243" s="496"/>
      <c r="Z243" s="496"/>
      <c r="AA243" s="496"/>
      <c r="AB243" s="503"/>
    </row>
    <row r="244" ht="12.75" customHeight="1">
      <c r="A244" s="496"/>
      <c r="B244" s="503"/>
      <c r="C244" s="503"/>
      <c r="D244" s="503"/>
      <c r="E244" s="496"/>
      <c r="F244" s="496"/>
      <c r="G244" s="521"/>
      <c r="H244" s="521"/>
      <c r="I244" s="496"/>
      <c r="J244" s="496"/>
      <c r="K244" s="496"/>
      <c r="L244" s="496"/>
      <c r="M244" s="496"/>
      <c r="N244" s="496"/>
      <c r="O244" s="496"/>
      <c r="P244" s="496"/>
      <c r="Q244" s="503"/>
      <c r="R244" s="503"/>
      <c r="S244" s="496"/>
      <c r="T244" s="496"/>
      <c r="U244" s="496"/>
      <c r="V244" s="496"/>
      <c r="W244" s="496"/>
      <c r="X244" s="496"/>
      <c r="Y244" s="496"/>
      <c r="Z244" s="496"/>
      <c r="AA244" s="496"/>
      <c r="AB244" s="503"/>
    </row>
    <row r="245" ht="12.75" customHeight="1">
      <c r="A245" s="496"/>
      <c r="B245" s="503"/>
      <c r="C245" s="503"/>
      <c r="D245" s="503"/>
      <c r="E245" s="496"/>
      <c r="F245" s="496"/>
      <c r="G245" s="521"/>
      <c r="H245" s="521"/>
      <c r="I245" s="496"/>
      <c r="J245" s="496"/>
      <c r="K245" s="496"/>
      <c r="L245" s="496"/>
      <c r="M245" s="496"/>
      <c r="N245" s="496"/>
      <c r="O245" s="496"/>
      <c r="P245" s="496"/>
      <c r="Q245" s="503"/>
      <c r="R245" s="503"/>
      <c r="S245" s="496"/>
      <c r="T245" s="496"/>
      <c r="U245" s="496"/>
      <c r="V245" s="496"/>
      <c r="W245" s="496"/>
      <c r="X245" s="496"/>
      <c r="Y245" s="496"/>
      <c r="Z245" s="496"/>
      <c r="AA245" s="496"/>
      <c r="AB245" s="503"/>
    </row>
    <row r="246" ht="12.75" customHeight="1">
      <c r="A246" s="496"/>
      <c r="B246" s="503"/>
      <c r="C246" s="503"/>
      <c r="D246" s="503"/>
      <c r="E246" s="496"/>
      <c r="F246" s="496"/>
      <c r="G246" s="521"/>
      <c r="H246" s="521"/>
      <c r="I246" s="496"/>
      <c r="J246" s="496"/>
      <c r="K246" s="496"/>
      <c r="L246" s="496"/>
      <c r="M246" s="496"/>
      <c r="N246" s="496"/>
      <c r="O246" s="496"/>
      <c r="P246" s="496"/>
      <c r="Q246" s="503"/>
      <c r="R246" s="503"/>
      <c r="S246" s="496"/>
      <c r="T246" s="496"/>
      <c r="U246" s="496"/>
      <c r="V246" s="496"/>
      <c r="W246" s="496"/>
      <c r="X246" s="496"/>
      <c r="Y246" s="496"/>
      <c r="Z246" s="496"/>
      <c r="AA246" s="496"/>
      <c r="AB246" s="503"/>
    </row>
    <row r="247" ht="12.75" customHeight="1">
      <c r="A247" s="496"/>
      <c r="B247" s="503"/>
      <c r="C247" s="503"/>
      <c r="D247" s="503"/>
      <c r="E247" s="496"/>
      <c r="F247" s="496"/>
      <c r="G247" s="521"/>
      <c r="H247" s="521"/>
      <c r="I247" s="496"/>
      <c r="J247" s="496"/>
      <c r="K247" s="496"/>
      <c r="L247" s="496"/>
      <c r="M247" s="496"/>
      <c r="N247" s="496"/>
      <c r="O247" s="496"/>
      <c r="P247" s="496"/>
      <c r="Q247" s="503"/>
      <c r="R247" s="503"/>
      <c r="S247" s="496"/>
      <c r="T247" s="496"/>
      <c r="U247" s="496"/>
      <c r="V247" s="496"/>
      <c r="W247" s="496"/>
      <c r="X247" s="496"/>
      <c r="Y247" s="496"/>
      <c r="Z247" s="496"/>
      <c r="AA247" s="496"/>
      <c r="AB247" s="503"/>
    </row>
    <row r="248" ht="12.75" customHeight="1">
      <c r="A248" s="496"/>
      <c r="B248" s="503"/>
      <c r="C248" s="503"/>
      <c r="D248" s="503"/>
      <c r="E248" s="496"/>
      <c r="F248" s="496"/>
      <c r="G248" s="521"/>
      <c r="H248" s="521"/>
      <c r="I248" s="496"/>
      <c r="J248" s="496"/>
      <c r="K248" s="496"/>
      <c r="L248" s="496"/>
      <c r="M248" s="496"/>
      <c r="N248" s="496"/>
      <c r="O248" s="496"/>
      <c r="P248" s="496"/>
      <c r="Q248" s="503"/>
      <c r="R248" s="503"/>
      <c r="S248" s="496"/>
      <c r="T248" s="496"/>
      <c r="U248" s="496"/>
      <c r="V248" s="496"/>
      <c r="W248" s="496"/>
      <c r="X248" s="496"/>
      <c r="Y248" s="496"/>
      <c r="Z248" s="496"/>
      <c r="AA248" s="496"/>
      <c r="AB248" s="503"/>
    </row>
    <row r="249" ht="12.75" customHeight="1">
      <c r="A249" s="496"/>
      <c r="B249" s="503"/>
      <c r="C249" s="503"/>
      <c r="D249" s="503"/>
      <c r="E249" s="496"/>
      <c r="F249" s="496"/>
      <c r="G249" s="521"/>
      <c r="H249" s="521"/>
      <c r="I249" s="496"/>
      <c r="J249" s="496"/>
      <c r="K249" s="496"/>
      <c r="L249" s="496"/>
      <c r="M249" s="496"/>
      <c r="N249" s="496"/>
      <c r="O249" s="496"/>
      <c r="P249" s="496"/>
      <c r="Q249" s="503"/>
      <c r="R249" s="503"/>
      <c r="S249" s="496"/>
      <c r="T249" s="496"/>
      <c r="U249" s="496"/>
      <c r="V249" s="496"/>
      <c r="W249" s="496"/>
      <c r="X249" s="496"/>
      <c r="Y249" s="496"/>
      <c r="Z249" s="496"/>
      <c r="AA249" s="496"/>
      <c r="AB249" s="503"/>
    </row>
    <row r="250" ht="12.75" customHeight="1">
      <c r="A250" s="496"/>
      <c r="B250" s="503"/>
      <c r="C250" s="503"/>
      <c r="D250" s="503"/>
      <c r="E250" s="496"/>
      <c r="F250" s="496"/>
      <c r="G250" s="521"/>
      <c r="H250" s="521"/>
      <c r="I250" s="496"/>
      <c r="J250" s="496"/>
      <c r="K250" s="496"/>
      <c r="L250" s="496"/>
      <c r="M250" s="496"/>
      <c r="N250" s="496"/>
      <c r="O250" s="496"/>
      <c r="P250" s="496"/>
      <c r="Q250" s="503"/>
      <c r="R250" s="503"/>
      <c r="S250" s="496"/>
      <c r="T250" s="496"/>
      <c r="U250" s="496"/>
      <c r="V250" s="496"/>
      <c r="W250" s="496"/>
      <c r="X250" s="496"/>
      <c r="Y250" s="496"/>
      <c r="Z250" s="496"/>
      <c r="AA250" s="496"/>
      <c r="AB250" s="503"/>
    </row>
    <row r="251" ht="12.75" customHeight="1">
      <c r="A251" s="496"/>
      <c r="B251" s="503"/>
      <c r="C251" s="503"/>
      <c r="D251" s="503"/>
      <c r="E251" s="496"/>
      <c r="F251" s="496"/>
      <c r="G251" s="521"/>
      <c r="H251" s="521"/>
      <c r="I251" s="496"/>
      <c r="J251" s="496"/>
      <c r="K251" s="496"/>
      <c r="L251" s="496"/>
      <c r="M251" s="496"/>
      <c r="N251" s="496"/>
      <c r="O251" s="496"/>
      <c r="P251" s="496"/>
      <c r="Q251" s="503"/>
      <c r="R251" s="503"/>
      <c r="S251" s="496"/>
      <c r="T251" s="496"/>
      <c r="U251" s="496"/>
      <c r="V251" s="496"/>
      <c r="W251" s="496"/>
      <c r="X251" s="496"/>
      <c r="Y251" s="496"/>
      <c r="Z251" s="496"/>
      <c r="AA251" s="496"/>
      <c r="AB251" s="503"/>
    </row>
    <row r="252" ht="12.75" customHeight="1">
      <c r="A252" s="496"/>
      <c r="B252" s="503"/>
      <c r="C252" s="503"/>
      <c r="D252" s="503"/>
      <c r="E252" s="496"/>
      <c r="F252" s="496"/>
      <c r="G252" s="521"/>
      <c r="H252" s="521"/>
      <c r="I252" s="496"/>
      <c r="J252" s="496"/>
      <c r="K252" s="496"/>
      <c r="L252" s="496"/>
      <c r="M252" s="496"/>
      <c r="N252" s="496"/>
      <c r="O252" s="496"/>
      <c r="P252" s="496"/>
      <c r="Q252" s="503"/>
      <c r="R252" s="503"/>
      <c r="S252" s="496"/>
      <c r="T252" s="496"/>
      <c r="U252" s="496"/>
      <c r="V252" s="496"/>
      <c r="W252" s="496"/>
      <c r="X252" s="496"/>
      <c r="Y252" s="496"/>
      <c r="Z252" s="496"/>
      <c r="AA252" s="496"/>
      <c r="AB252" s="503"/>
    </row>
    <row r="253" ht="12.75" customHeight="1">
      <c r="A253" s="496"/>
      <c r="B253" s="503"/>
      <c r="C253" s="503"/>
      <c r="D253" s="503"/>
      <c r="E253" s="496"/>
      <c r="F253" s="496"/>
      <c r="G253" s="521"/>
      <c r="H253" s="521"/>
      <c r="I253" s="496"/>
      <c r="J253" s="496"/>
      <c r="K253" s="496"/>
      <c r="L253" s="496"/>
      <c r="M253" s="496"/>
      <c r="N253" s="496"/>
      <c r="O253" s="496"/>
      <c r="P253" s="496"/>
      <c r="Q253" s="503"/>
      <c r="R253" s="503"/>
      <c r="S253" s="496"/>
      <c r="T253" s="496"/>
      <c r="U253" s="496"/>
      <c r="V253" s="496"/>
      <c r="W253" s="496"/>
      <c r="X253" s="496"/>
      <c r="Y253" s="496"/>
      <c r="Z253" s="496"/>
      <c r="AA253" s="496"/>
      <c r="AB253" s="503"/>
    </row>
    <row r="254" ht="12.75" customHeight="1">
      <c r="A254" s="496"/>
      <c r="B254" s="503"/>
      <c r="C254" s="503"/>
      <c r="D254" s="503"/>
      <c r="E254" s="496"/>
      <c r="F254" s="496"/>
      <c r="G254" s="521"/>
      <c r="H254" s="521"/>
      <c r="I254" s="496"/>
      <c r="J254" s="496"/>
      <c r="K254" s="496"/>
      <c r="L254" s="496"/>
      <c r="M254" s="496"/>
      <c r="N254" s="496"/>
      <c r="O254" s="496"/>
      <c r="P254" s="496"/>
      <c r="Q254" s="503"/>
      <c r="R254" s="503"/>
      <c r="S254" s="496"/>
      <c r="T254" s="496"/>
      <c r="U254" s="496"/>
      <c r="V254" s="496"/>
      <c r="W254" s="496"/>
      <c r="X254" s="496"/>
      <c r="Y254" s="496"/>
      <c r="Z254" s="496"/>
      <c r="AA254" s="496"/>
      <c r="AB254" s="503"/>
    </row>
    <row r="255" ht="12.75" customHeight="1">
      <c r="A255" s="496"/>
      <c r="B255" s="503"/>
      <c r="C255" s="503"/>
      <c r="D255" s="503"/>
      <c r="E255" s="496"/>
      <c r="F255" s="496"/>
      <c r="G255" s="521"/>
      <c r="H255" s="521"/>
      <c r="I255" s="496"/>
      <c r="J255" s="496"/>
      <c r="K255" s="496"/>
      <c r="L255" s="496"/>
      <c r="M255" s="496"/>
      <c r="N255" s="496"/>
      <c r="O255" s="496"/>
      <c r="P255" s="496"/>
      <c r="Q255" s="503"/>
      <c r="R255" s="503"/>
      <c r="S255" s="496"/>
      <c r="T255" s="496"/>
      <c r="U255" s="496"/>
      <c r="V255" s="496"/>
      <c r="W255" s="496"/>
      <c r="X255" s="496"/>
      <c r="Y255" s="496"/>
      <c r="Z255" s="496"/>
      <c r="AA255" s="496"/>
      <c r="AB255" s="503"/>
    </row>
    <row r="256" ht="12.75" customHeight="1">
      <c r="A256" s="496"/>
      <c r="B256" s="503"/>
      <c r="C256" s="503"/>
      <c r="D256" s="503"/>
      <c r="E256" s="496"/>
      <c r="F256" s="496"/>
      <c r="G256" s="521"/>
      <c r="H256" s="521"/>
      <c r="I256" s="496"/>
      <c r="J256" s="496"/>
      <c r="K256" s="496"/>
      <c r="L256" s="496"/>
      <c r="M256" s="496"/>
      <c r="N256" s="496"/>
      <c r="O256" s="496"/>
      <c r="P256" s="496"/>
      <c r="Q256" s="503"/>
      <c r="R256" s="503"/>
      <c r="S256" s="496"/>
      <c r="T256" s="496"/>
      <c r="U256" s="496"/>
      <c r="V256" s="496"/>
      <c r="W256" s="496"/>
      <c r="X256" s="496"/>
      <c r="Y256" s="496"/>
      <c r="Z256" s="496"/>
      <c r="AA256" s="496"/>
      <c r="AB256" s="503"/>
    </row>
    <row r="257" ht="12.75" customHeight="1">
      <c r="A257" s="496"/>
      <c r="B257" s="503"/>
      <c r="C257" s="503"/>
      <c r="D257" s="503"/>
      <c r="E257" s="496"/>
      <c r="F257" s="496"/>
      <c r="G257" s="521"/>
      <c r="H257" s="521"/>
      <c r="I257" s="496"/>
      <c r="J257" s="496"/>
      <c r="K257" s="496"/>
      <c r="L257" s="496"/>
      <c r="M257" s="496"/>
      <c r="N257" s="496"/>
      <c r="O257" s="496"/>
      <c r="P257" s="496"/>
      <c r="Q257" s="503"/>
      <c r="R257" s="503"/>
      <c r="S257" s="496"/>
      <c r="T257" s="496"/>
      <c r="U257" s="496"/>
      <c r="V257" s="496"/>
      <c r="W257" s="496"/>
      <c r="X257" s="496"/>
      <c r="Y257" s="496"/>
      <c r="Z257" s="496"/>
      <c r="AA257" s="496"/>
      <c r="AB257" s="503"/>
    </row>
    <row r="258" ht="12.75" customHeight="1">
      <c r="A258" s="496"/>
      <c r="B258" s="503"/>
      <c r="C258" s="503"/>
      <c r="D258" s="503"/>
      <c r="E258" s="496"/>
      <c r="F258" s="496"/>
      <c r="G258" s="521"/>
      <c r="H258" s="521"/>
      <c r="I258" s="496"/>
      <c r="J258" s="496"/>
      <c r="K258" s="496"/>
      <c r="L258" s="496"/>
      <c r="M258" s="496"/>
      <c r="N258" s="496"/>
      <c r="O258" s="496"/>
      <c r="P258" s="496"/>
      <c r="Q258" s="503"/>
      <c r="R258" s="503"/>
      <c r="S258" s="496"/>
      <c r="T258" s="496"/>
      <c r="U258" s="496"/>
      <c r="V258" s="496"/>
      <c r="W258" s="496"/>
      <c r="X258" s="496"/>
      <c r="Y258" s="496"/>
      <c r="Z258" s="496"/>
      <c r="AA258" s="496"/>
      <c r="AB258" s="503"/>
    </row>
    <row r="259" ht="12.75" customHeight="1">
      <c r="A259" s="496"/>
      <c r="B259" s="503"/>
      <c r="C259" s="503"/>
      <c r="D259" s="503"/>
      <c r="E259" s="496"/>
      <c r="F259" s="496"/>
      <c r="G259" s="521"/>
      <c r="H259" s="521"/>
      <c r="I259" s="496"/>
      <c r="J259" s="496"/>
      <c r="K259" s="496"/>
      <c r="L259" s="496"/>
      <c r="M259" s="496"/>
      <c r="N259" s="496"/>
      <c r="O259" s="496"/>
      <c r="P259" s="496"/>
      <c r="Q259" s="503"/>
      <c r="R259" s="503"/>
      <c r="S259" s="496"/>
      <c r="T259" s="496"/>
      <c r="U259" s="496"/>
      <c r="V259" s="496"/>
      <c r="W259" s="496"/>
      <c r="X259" s="496"/>
      <c r="Y259" s="496"/>
      <c r="Z259" s="496"/>
      <c r="AA259" s="496"/>
      <c r="AB259" s="503"/>
    </row>
    <row r="260" ht="12.75" customHeight="1">
      <c r="A260" s="496"/>
      <c r="B260" s="503"/>
      <c r="C260" s="503"/>
      <c r="D260" s="503"/>
      <c r="E260" s="496"/>
      <c r="F260" s="496"/>
      <c r="G260" s="521"/>
      <c r="H260" s="521"/>
      <c r="I260" s="496"/>
      <c r="J260" s="496"/>
      <c r="K260" s="496"/>
      <c r="L260" s="496"/>
      <c r="M260" s="496"/>
      <c r="N260" s="496"/>
      <c r="O260" s="496"/>
      <c r="P260" s="496"/>
      <c r="Q260" s="503"/>
      <c r="R260" s="503"/>
      <c r="S260" s="496"/>
      <c r="T260" s="496"/>
      <c r="U260" s="496"/>
      <c r="V260" s="496"/>
      <c r="W260" s="496"/>
      <c r="X260" s="496"/>
      <c r="Y260" s="496"/>
      <c r="Z260" s="496"/>
      <c r="AA260" s="496"/>
      <c r="AB260" s="503"/>
    </row>
    <row r="261" ht="12.75" customHeight="1">
      <c r="A261" s="496"/>
      <c r="B261" s="503"/>
      <c r="C261" s="503"/>
      <c r="D261" s="503"/>
      <c r="E261" s="496"/>
      <c r="F261" s="496"/>
      <c r="G261" s="521"/>
      <c r="H261" s="521"/>
      <c r="I261" s="496"/>
      <c r="J261" s="496"/>
      <c r="K261" s="496"/>
      <c r="L261" s="496"/>
      <c r="M261" s="496"/>
      <c r="N261" s="496"/>
      <c r="O261" s="496"/>
      <c r="P261" s="496"/>
      <c r="Q261" s="503"/>
      <c r="R261" s="503"/>
      <c r="S261" s="496"/>
      <c r="T261" s="496"/>
      <c r="U261" s="496"/>
      <c r="V261" s="496"/>
      <c r="W261" s="496"/>
      <c r="X261" s="496"/>
      <c r="Y261" s="496"/>
      <c r="Z261" s="496"/>
      <c r="AA261" s="496"/>
      <c r="AB261" s="503"/>
    </row>
    <row r="262" ht="12.75" customHeight="1">
      <c r="A262" s="496"/>
      <c r="B262" s="503"/>
      <c r="C262" s="503"/>
      <c r="D262" s="503"/>
      <c r="E262" s="496"/>
      <c r="F262" s="496"/>
      <c r="G262" s="521"/>
      <c r="H262" s="521"/>
      <c r="I262" s="496"/>
      <c r="J262" s="496"/>
      <c r="K262" s="496"/>
      <c r="L262" s="496"/>
      <c r="M262" s="496"/>
      <c r="N262" s="496"/>
      <c r="O262" s="496"/>
      <c r="P262" s="496"/>
      <c r="Q262" s="503"/>
      <c r="R262" s="503"/>
      <c r="S262" s="496"/>
      <c r="T262" s="496"/>
      <c r="U262" s="496"/>
      <c r="V262" s="496"/>
      <c r="W262" s="496"/>
      <c r="X262" s="496"/>
      <c r="Y262" s="496"/>
      <c r="Z262" s="496"/>
      <c r="AA262" s="496"/>
      <c r="AB262" s="503"/>
    </row>
    <row r="263" ht="12.75" customHeight="1">
      <c r="A263" s="496"/>
      <c r="B263" s="503"/>
      <c r="C263" s="503"/>
      <c r="D263" s="503"/>
      <c r="E263" s="496"/>
      <c r="F263" s="496"/>
      <c r="G263" s="521"/>
      <c r="H263" s="521"/>
      <c r="I263" s="496"/>
      <c r="J263" s="496"/>
      <c r="K263" s="496"/>
      <c r="L263" s="496"/>
      <c r="M263" s="496"/>
      <c r="N263" s="496"/>
      <c r="O263" s="496"/>
      <c r="P263" s="496"/>
      <c r="Q263" s="503"/>
      <c r="R263" s="503"/>
      <c r="S263" s="496"/>
      <c r="T263" s="496"/>
      <c r="U263" s="496"/>
      <c r="V263" s="496"/>
      <c r="W263" s="496"/>
      <c r="X263" s="496"/>
      <c r="Y263" s="496"/>
      <c r="Z263" s="496"/>
      <c r="AA263" s="496"/>
      <c r="AB263" s="503"/>
    </row>
    <row r="264" ht="12.75" customHeight="1">
      <c r="A264" s="496"/>
      <c r="B264" s="503"/>
      <c r="C264" s="503"/>
      <c r="D264" s="503"/>
      <c r="E264" s="496"/>
      <c r="F264" s="496"/>
      <c r="G264" s="521"/>
      <c r="H264" s="521"/>
      <c r="I264" s="496"/>
      <c r="J264" s="496"/>
      <c r="K264" s="496"/>
      <c r="L264" s="496"/>
      <c r="M264" s="496"/>
      <c r="N264" s="496"/>
      <c r="O264" s="496"/>
      <c r="P264" s="496"/>
      <c r="Q264" s="503"/>
      <c r="R264" s="503"/>
      <c r="S264" s="496"/>
      <c r="T264" s="496"/>
      <c r="U264" s="496"/>
      <c r="V264" s="496"/>
      <c r="W264" s="496"/>
      <c r="X264" s="496"/>
      <c r="Y264" s="496"/>
      <c r="Z264" s="496"/>
      <c r="AA264" s="496"/>
      <c r="AB264" s="503"/>
    </row>
    <row r="265" ht="12.75" customHeight="1">
      <c r="A265" s="496"/>
      <c r="B265" s="503"/>
      <c r="C265" s="503"/>
      <c r="D265" s="503"/>
      <c r="E265" s="496"/>
      <c r="F265" s="496"/>
      <c r="G265" s="521"/>
      <c r="H265" s="521"/>
      <c r="I265" s="496"/>
      <c r="J265" s="496"/>
      <c r="K265" s="496"/>
      <c r="L265" s="496"/>
      <c r="M265" s="496"/>
      <c r="N265" s="496"/>
      <c r="O265" s="496"/>
      <c r="P265" s="496"/>
      <c r="Q265" s="503"/>
      <c r="R265" s="503"/>
      <c r="S265" s="496"/>
      <c r="T265" s="496"/>
      <c r="U265" s="496"/>
      <c r="V265" s="496"/>
      <c r="W265" s="496"/>
      <c r="X265" s="496"/>
      <c r="Y265" s="496"/>
      <c r="Z265" s="496"/>
      <c r="AA265" s="496"/>
      <c r="AB265" s="503"/>
    </row>
    <row r="266" ht="12.75" customHeight="1">
      <c r="A266" s="496"/>
      <c r="B266" s="503"/>
      <c r="C266" s="503"/>
      <c r="D266" s="503"/>
      <c r="E266" s="496"/>
      <c r="F266" s="496"/>
      <c r="G266" s="521"/>
      <c r="H266" s="521"/>
      <c r="I266" s="496"/>
      <c r="J266" s="496"/>
      <c r="K266" s="496"/>
      <c r="L266" s="496"/>
      <c r="M266" s="496"/>
      <c r="N266" s="496"/>
      <c r="O266" s="496"/>
      <c r="P266" s="496"/>
      <c r="Q266" s="503"/>
      <c r="R266" s="503"/>
      <c r="S266" s="496"/>
      <c r="T266" s="496"/>
      <c r="U266" s="496"/>
      <c r="V266" s="496"/>
      <c r="W266" s="496"/>
      <c r="X266" s="496"/>
      <c r="Y266" s="496"/>
      <c r="Z266" s="496"/>
      <c r="AA266" s="496"/>
      <c r="AB266" s="503"/>
    </row>
    <row r="267" ht="15.75" customHeight="1">
      <c r="A267" s="534"/>
    </row>
    <row r="268" ht="15.75" customHeight="1">
      <c r="A268" s="534"/>
    </row>
    <row r="269" ht="15.75" customHeight="1">
      <c r="A269" s="534"/>
    </row>
    <row r="270" ht="15.75" customHeight="1">
      <c r="A270" s="534"/>
    </row>
    <row r="271" ht="15.75" customHeight="1">
      <c r="A271" s="534"/>
    </row>
    <row r="272" ht="15.75" customHeight="1">
      <c r="A272" s="534"/>
    </row>
    <row r="273" ht="15.75" customHeight="1">
      <c r="A273" s="534"/>
    </row>
    <row r="274" ht="15.75" customHeight="1">
      <c r="A274" s="534"/>
    </row>
    <row r="275" ht="15.75" customHeight="1">
      <c r="A275" s="534"/>
    </row>
    <row r="276" ht="15.75" customHeight="1">
      <c r="A276" s="534"/>
    </row>
    <row r="277" ht="15.75" customHeight="1">
      <c r="A277" s="534"/>
    </row>
    <row r="278" ht="15.75" customHeight="1">
      <c r="A278" s="534"/>
    </row>
    <row r="279" ht="15.75" customHeight="1">
      <c r="A279" s="534"/>
    </row>
    <row r="280" ht="15.75" customHeight="1">
      <c r="A280" s="534"/>
    </row>
    <row r="281" ht="15.75" customHeight="1">
      <c r="A281" s="534"/>
    </row>
    <row r="282" ht="15.75" customHeight="1">
      <c r="A282" s="534"/>
    </row>
    <row r="283" ht="15.75" customHeight="1">
      <c r="A283" s="534"/>
    </row>
    <row r="284" ht="15.75" customHeight="1">
      <c r="A284" s="534"/>
    </row>
    <row r="285" ht="15.75" customHeight="1">
      <c r="A285" s="534"/>
    </row>
    <row r="286" ht="15.75" customHeight="1">
      <c r="A286" s="534"/>
    </row>
    <row r="287" ht="15.75" customHeight="1">
      <c r="A287" s="534"/>
    </row>
    <row r="288" ht="15.75" customHeight="1">
      <c r="A288" s="534"/>
    </row>
    <row r="289" ht="15.75" customHeight="1">
      <c r="A289" s="534"/>
    </row>
    <row r="290" ht="15.75" customHeight="1">
      <c r="A290" s="534"/>
    </row>
    <row r="291" ht="15.75" customHeight="1">
      <c r="A291" s="534"/>
    </row>
    <row r="292" ht="15.75" customHeight="1">
      <c r="A292" s="534"/>
    </row>
    <row r="293" ht="15.75" customHeight="1">
      <c r="A293" s="534"/>
    </row>
    <row r="294" ht="15.75" customHeight="1">
      <c r="A294" s="534"/>
    </row>
    <row r="295" ht="15.75" customHeight="1">
      <c r="A295" s="534"/>
    </row>
    <row r="296" ht="15.75" customHeight="1">
      <c r="A296" s="534"/>
    </row>
    <row r="297" ht="15.75" customHeight="1">
      <c r="A297" s="534"/>
    </row>
    <row r="298" ht="15.75" customHeight="1">
      <c r="A298" s="534"/>
    </row>
    <row r="299" ht="15.75" customHeight="1">
      <c r="A299" s="534"/>
    </row>
    <row r="300" ht="15.75" customHeight="1">
      <c r="A300" s="534"/>
    </row>
    <row r="301" ht="15.75" customHeight="1">
      <c r="A301" s="534"/>
    </row>
    <row r="302" ht="15.75" customHeight="1">
      <c r="A302" s="534"/>
    </row>
    <row r="303" ht="15.75" customHeight="1">
      <c r="A303" s="534"/>
    </row>
    <row r="304" ht="15.75" customHeight="1">
      <c r="A304" s="534"/>
    </row>
    <row r="305" ht="15.75" customHeight="1">
      <c r="A305" s="534"/>
    </row>
    <row r="306" ht="15.75" customHeight="1">
      <c r="A306" s="534"/>
    </row>
    <row r="307" ht="15.75" customHeight="1">
      <c r="A307" s="534"/>
    </row>
    <row r="308" ht="15.75" customHeight="1">
      <c r="A308" s="534"/>
    </row>
    <row r="309" ht="15.75" customHeight="1">
      <c r="A309" s="534"/>
    </row>
    <row r="310" ht="15.75" customHeight="1">
      <c r="A310" s="534"/>
    </row>
    <row r="311" ht="15.75" customHeight="1">
      <c r="A311" s="534"/>
    </row>
    <row r="312" ht="15.75" customHeight="1">
      <c r="A312" s="534"/>
    </row>
    <row r="313" ht="15.75" customHeight="1">
      <c r="A313" s="534"/>
    </row>
    <row r="314" ht="15.75" customHeight="1">
      <c r="A314" s="534"/>
    </row>
    <row r="315" ht="15.75" customHeight="1">
      <c r="A315" s="534"/>
    </row>
    <row r="316" ht="15.75" customHeight="1">
      <c r="A316" s="534"/>
    </row>
    <row r="317" ht="15.75" customHeight="1">
      <c r="A317" s="534"/>
    </row>
    <row r="318" ht="15.75" customHeight="1">
      <c r="A318" s="534"/>
    </row>
    <row r="319" ht="15.75" customHeight="1">
      <c r="A319" s="534"/>
    </row>
    <row r="320" ht="15.75" customHeight="1">
      <c r="A320" s="534"/>
    </row>
    <row r="321" ht="15.75" customHeight="1">
      <c r="A321" s="534"/>
    </row>
    <row r="322" ht="15.75" customHeight="1">
      <c r="A322" s="534"/>
    </row>
    <row r="323" ht="15.75" customHeight="1">
      <c r="A323" s="534"/>
    </row>
    <row r="324" ht="15.75" customHeight="1">
      <c r="A324" s="534"/>
    </row>
    <row r="325" ht="15.75" customHeight="1">
      <c r="A325" s="534"/>
    </row>
    <row r="326" ht="15.75" customHeight="1">
      <c r="A326" s="534"/>
    </row>
    <row r="327" ht="15.75" customHeight="1">
      <c r="A327" s="534"/>
    </row>
    <row r="328" ht="15.75" customHeight="1">
      <c r="A328" s="534"/>
    </row>
    <row r="329" ht="15.75" customHeight="1">
      <c r="A329" s="534"/>
    </row>
    <row r="330" ht="15.75" customHeight="1">
      <c r="A330" s="534"/>
    </row>
    <row r="331" ht="15.75" customHeight="1">
      <c r="A331" s="534"/>
    </row>
    <row r="332" ht="15.75" customHeight="1">
      <c r="A332" s="534"/>
    </row>
    <row r="333" ht="15.75" customHeight="1">
      <c r="A333" s="534"/>
    </row>
    <row r="334" ht="15.75" customHeight="1">
      <c r="A334" s="534"/>
    </row>
    <row r="335" ht="15.75" customHeight="1">
      <c r="A335" s="534"/>
    </row>
    <row r="336" ht="15.75" customHeight="1">
      <c r="A336" s="534"/>
    </row>
    <row r="337" ht="15.75" customHeight="1">
      <c r="A337" s="534"/>
    </row>
    <row r="338" ht="15.75" customHeight="1">
      <c r="A338" s="534"/>
    </row>
    <row r="339" ht="15.75" customHeight="1">
      <c r="A339" s="534"/>
    </row>
    <row r="340" ht="15.75" customHeight="1">
      <c r="A340" s="534"/>
    </row>
    <row r="341" ht="15.75" customHeight="1">
      <c r="A341" s="534"/>
    </row>
    <row r="342" ht="15.75" customHeight="1">
      <c r="A342" s="534"/>
    </row>
    <row r="343" ht="15.75" customHeight="1">
      <c r="A343" s="534"/>
    </row>
    <row r="344" ht="15.75" customHeight="1">
      <c r="A344" s="534"/>
    </row>
    <row r="345" ht="15.75" customHeight="1">
      <c r="A345" s="534"/>
    </row>
    <row r="346" ht="15.75" customHeight="1">
      <c r="A346" s="534"/>
    </row>
    <row r="347" ht="15.75" customHeight="1">
      <c r="A347" s="534"/>
    </row>
    <row r="348" ht="15.75" customHeight="1">
      <c r="A348" s="534"/>
    </row>
    <row r="349" ht="15.75" customHeight="1">
      <c r="A349" s="534"/>
    </row>
    <row r="350" ht="15.75" customHeight="1">
      <c r="A350" s="534"/>
    </row>
    <row r="351" ht="15.75" customHeight="1">
      <c r="A351" s="534"/>
    </row>
    <row r="352" ht="15.75" customHeight="1">
      <c r="A352" s="534"/>
    </row>
    <row r="353" ht="15.75" customHeight="1">
      <c r="A353" s="534"/>
    </row>
    <row r="354" ht="15.75" customHeight="1">
      <c r="A354" s="534"/>
    </row>
    <row r="355" ht="15.75" customHeight="1">
      <c r="A355" s="534"/>
    </row>
    <row r="356" ht="15.75" customHeight="1">
      <c r="A356" s="534"/>
    </row>
    <row r="357" ht="15.75" customHeight="1">
      <c r="A357" s="534"/>
    </row>
    <row r="358" ht="15.75" customHeight="1">
      <c r="A358" s="534"/>
    </row>
    <row r="359" ht="15.75" customHeight="1">
      <c r="A359" s="534"/>
    </row>
    <row r="360" ht="15.75" customHeight="1">
      <c r="A360" s="534"/>
    </row>
    <row r="361" ht="15.75" customHeight="1">
      <c r="A361" s="534"/>
    </row>
    <row r="362" ht="15.75" customHeight="1">
      <c r="A362" s="534"/>
    </row>
    <row r="363" ht="15.75" customHeight="1">
      <c r="A363" s="534"/>
    </row>
    <row r="364" ht="15.75" customHeight="1">
      <c r="A364" s="534"/>
    </row>
    <row r="365" ht="15.75" customHeight="1">
      <c r="A365" s="534"/>
    </row>
    <row r="366" ht="15.75" customHeight="1">
      <c r="A366" s="534"/>
    </row>
    <row r="367" ht="15.75" customHeight="1">
      <c r="A367" s="534"/>
    </row>
    <row r="368" ht="15.75" customHeight="1">
      <c r="A368" s="534"/>
    </row>
    <row r="369" ht="15.75" customHeight="1">
      <c r="A369" s="534"/>
    </row>
    <row r="370" ht="15.75" customHeight="1">
      <c r="A370" s="534"/>
    </row>
    <row r="371" ht="15.75" customHeight="1">
      <c r="A371" s="534"/>
    </row>
    <row r="372" ht="15.75" customHeight="1">
      <c r="A372" s="534"/>
    </row>
    <row r="373" ht="15.75" customHeight="1">
      <c r="A373" s="534"/>
    </row>
    <row r="374" ht="15.75" customHeight="1">
      <c r="A374" s="534"/>
    </row>
    <row r="375" ht="15.75" customHeight="1">
      <c r="A375" s="534"/>
    </row>
    <row r="376" ht="15.75" customHeight="1">
      <c r="A376" s="534"/>
    </row>
    <row r="377" ht="15.75" customHeight="1">
      <c r="A377" s="534"/>
    </row>
    <row r="378" ht="15.75" customHeight="1">
      <c r="A378" s="534"/>
    </row>
    <row r="379" ht="15.75" customHeight="1">
      <c r="A379" s="534"/>
    </row>
    <row r="380" ht="15.75" customHeight="1">
      <c r="A380" s="534"/>
    </row>
    <row r="381" ht="15.75" customHeight="1">
      <c r="A381" s="534"/>
    </row>
    <row r="382" ht="15.75" customHeight="1">
      <c r="A382" s="534"/>
    </row>
    <row r="383" ht="15.75" customHeight="1">
      <c r="A383" s="534"/>
    </row>
    <row r="384" ht="15.75" customHeight="1">
      <c r="A384" s="534"/>
    </row>
    <row r="385" ht="15.75" customHeight="1">
      <c r="A385" s="534"/>
    </row>
    <row r="386" ht="15.75" customHeight="1">
      <c r="A386" s="534"/>
    </row>
    <row r="387" ht="15.75" customHeight="1">
      <c r="A387" s="534"/>
    </row>
    <row r="388" ht="15.75" customHeight="1">
      <c r="A388" s="534"/>
    </row>
    <row r="389" ht="15.75" customHeight="1">
      <c r="A389" s="534"/>
    </row>
    <row r="390" ht="15.75" customHeight="1">
      <c r="A390" s="534"/>
    </row>
    <row r="391" ht="15.75" customHeight="1">
      <c r="A391" s="534"/>
    </row>
    <row r="392" ht="15.75" customHeight="1">
      <c r="A392" s="534"/>
    </row>
    <row r="393" ht="15.75" customHeight="1">
      <c r="A393" s="534"/>
    </row>
    <row r="394" ht="15.75" customHeight="1">
      <c r="A394" s="534"/>
    </row>
    <row r="395" ht="15.75" customHeight="1">
      <c r="A395" s="534"/>
    </row>
    <row r="396" ht="15.75" customHeight="1">
      <c r="A396" s="534"/>
    </row>
    <row r="397" ht="15.75" customHeight="1">
      <c r="A397" s="534"/>
    </row>
    <row r="398" ht="15.75" customHeight="1">
      <c r="A398" s="534"/>
    </row>
    <row r="399" ht="15.75" customHeight="1">
      <c r="A399" s="534"/>
    </row>
    <row r="400" ht="15.75" customHeight="1">
      <c r="A400" s="534"/>
    </row>
    <row r="401" ht="15.75" customHeight="1">
      <c r="A401" s="534"/>
    </row>
    <row r="402" ht="15.75" customHeight="1">
      <c r="A402" s="534"/>
    </row>
    <row r="403" ht="15.75" customHeight="1">
      <c r="A403" s="534"/>
    </row>
    <row r="404" ht="15.75" customHeight="1">
      <c r="A404" s="534"/>
    </row>
    <row r="405" ht="15.75" customHeight="1">
      <c r="A405" s="534"/>
    </row>
    <row r="406" ht="15.75" customHeight="1">
      <c r="A406" s="534"/>
    </row>
    <row r="407" ht="15.75" customHeight="1">
      <c r="A407" s="534"/>
    </row>
    <row r="408" ht="15.75" customHeight="1">
      <c r="A408" s="534"/>
    </row>
    <row r="409" ht="15.75" customHeight="1">
      <c r="A409" s="534"/>
    </row>
    <row r="410" ht="15.75" customHeight="1">
      <c r="A410" s="534"/>
    </row>
    <row r="411" ht="15.75" customHeight="1">
      <c r="A411" s="534"/>
    </row>
    <row r="412" ht="15.75" customHeight="1">
      <c r="A412" s="534"/>
    </row>
    <row r="413" ht="15.75" customHeight="1">
      <c r="A413" s="534"/>
    </row>
    <row r="414" ht="15.75" customHeight="1">
      <c r="A414" s="534"/>
    </row>
    <row r="415" ht="15.75" customHeight="1">
      <c r="A415" s="534"/>
    </row>
    <row r="416" ht="15.75" customHeight="1">
      <c r="A416" s="534"/>
    </row>
    <row r="417" ht="15.75" customHeight="1">
      <c r="A417" s="534"/>
    </row>
    <row r="418" ht="15.75" customHeight="1">
      <c r="A418" s="534"/>
    </row>
    <row r="419" ht="15.75" customHeight="1">
      <c r="A419" s="534"/>
    </row>
    <row r="420" ht="15.75" customHeight="1">
      <c r="A420" s="534"/>
    </row>
    <row r="421" ht="15.75" customHeight="1">
      <c r="A421" s="534"/>
    </row>
    <row r="422" ht="15.75" customHeight="1">
      <c r="A422" s="534"/>
    </row>
    <row r="423" ht="15.75" customHeight="1">
      <c r="A423" s="534"/>
    </row>
    <row r="424" ht="15.75" customHeight="1">
      <c r="A424" s="534"/>
    </row>
    <row r="425" ht="15.75" customHeight="1">
      <c r="A425" s="534"/>
    </row>
    <row r="426" ht="15.75" customHeight="1">
      <c r="A426" s="534"/>
    </row>
    <row r="427" ht="15.75" customHeight="1">
      <c r="A427" s="534"/>
    </row>
    <row r="428" ht="15.75" customHeight="1">
      <c r="A428" s="534"/>
    </row>
    <row r="429" ht="15.75" customHeight="1">
      <c r="A429" s="534"/>
    </row>
    <row r="430" ht="15.75" customHeight="1">
      <c r="A430" s="534"/>
    </row>
    <row r="431" ht="15.75" customHeight="1">
      <c r="A431" s="534"/>
    </row>
    <row r="432" ht="15.75" customHeight="1">
      <c r="A432" s="534"/>
    </row>
    <row r="433" ht="15.75" customHeight="1">
      <c r="A433" s="534"/>
    </row>
    <row r="434" ht="15.75" customHeight="1">
      <c r="A434" s="534"/>
    </row>
    <row r="435" ht="15.75" customHeight="1">
      <c r="A435" s="534"/>
    </row>
    <row r="436" ht="15.75" customHeight="1">
      <c r="A436" s="534"/>
    </row>
    <row r="437" ht="15.75" customHeight="1">
      <c r="A437" s="534"/>
    </row>
    <row r="438" ht="15.75" customHeight="1">
      <c r="A438" s="534"/>
    </row>
    <row r="439" ht="15.75" customHeight="1">
      <c r="A439" s="534"/>
    </row>
    <row r="440" ht="15.75" customHeight="1">
      <c r="A440" s="534"/>
    </row>
    <row r="441" ht="15.75" customHeight="1">
      <c r="A441" s="534"/>
    </row>
    <row r="442" ht="15.75" customHeight="1">
      <c r="A442" s="534"/>
    </row>
    <row r="443" ht="15.75" customHeight="1">
      <c r="A443" s="534"/>
    </row>
    <row r="444" ht="15.75" customHeight="1">
      <c r="A444" s="534"/>
    </row>
    <row r="445" ht="15.75" customHeight="1">
      <c r="A445" s="534"/>
    </row>
    <row r="446" ht="15.75" customHeight="1">
      <c r="A446" s="534"/>
    </row>
    <row r="447" ht="15.75" customHeight="1">
      <c r="A447" s="534"/>
    </row>
    <row r="448" ht="15.75" customHeight="1">
      <c r="A448" s="534"/>
    </row>
    <row r="449" ht="15.75" customHeight="1">
      <c r="A449" s="534"/>
    </row>
    <row r="450" ht="15.75" customHeight="1">
      <c r="A450" s="534"/>
    </row>
    <row r="451" ht="15.75" customHeight="1">
      <c r="A451" s="534"/>
    </row>
    <row r="452" ht="15.75" customHeight="1">
      <c r="A452" s="534"/>
    </row>
    <row r="453" ht="15.75" customHeight="1">
      <c r="A453" s="534"/>
    </row>
    <row r="454" ht="15.75" customHeight="1">
      <c r="A454" s="534"/>
    </row>
    <row r="455" ht="15.75" customHeight="1">
      <c r="A455" s="534"/>
    </row>
    <row r="456" ht="15.75" customHeight="1">
      <c r="A456" s="534"/>
    </row>
    <row r="457" ht="15.75" customHeight="1">
      <c r="A457" s="534"/>
    </row>
    <row r="458" ht="15.75" customHeight="1">
      <c r="A458" s="534"/>
    </row>
    <row r="459" ht="15.75" customHeight="1">
      <c r="A459" s="534"/>
    </row>
    <row r="460" ht="15.75" customHeight="1">
      <c r="A460" s="534"/>
    </row>
    <row r="461" ht="15.75" customHeight="1">
      <c r="A461" s="534"/>
    </row>
    <row r="462" ht="15.75" customHeight="1">
      <c r="A462" s="534"/>
    </row>
    <row r="463" ht="15.75" customHeight="1">
      <c r="A463" s="534"/>
    </row>
    <row r="464" ht="15.75" customHeight="1">
      <c r="A464" s="534"/>
    </row>
    <row r="465" ht="15.75" customHeight="1">
      <c r="A465" s="534"/>
    </row>
    <row r="466" ht="15.75" customHeight="1">
      <c r="A466" s="534"/>
    </row>
    <row r="467" ht="15.75" customHeight="1">
      <c r="A467" s="534"/>
    </row>
    <row r="468" ht="15.75" customHeight="1">
      <c r="A468" s="534"/>
    </row>
    <row r="469" ht="15.75" customHeight="1">
      <c r="A469" s="534"/>
    </row>
    <row r="470" ht="15.75" customHeight="1">
      <c r="A470" s="534"/>
    </row>
    <row r="471" ht="15.75" customHeight="1">
      <c r="A471" s="534"/>
    </row>
    <row r="472" ht="15.75" customHeight="1">
      <c r="A472" s="534"/>
    </row>
    <row r="473" ht="15.75" customHeight="1">
      <c r="A473" s="534"/>
    </row>
    <row r="474" ht="15.75" customHeight="1">
      <c r="A474" s="534"/>
    </row>
    <row r="475" ht="15.75" customHeight="1">
      <c r="A475" s="534"/>
    </row>
    <row r="476" ht="15.75" customHeight="1">
      <c r="A476" s="534"/>
    </row>
    <row r="477" ht="15.75" customHeight="1">
      <c r="A477" s="534"/>
    </row>
    <row r="478" ht="15.75" customHeight="1">
      <c r="A478" s="534"/>
    </row>
    <row r="479" ht="15.75" customHeight="1">
      <c r="A479" s="534"/>
    </row>
    <row r="480" ht="15.75" customHeight="1">
      <c r="A480" s="534"/>
    </row>
    <row r="481" ht="15.75" customHeight="1">
      <c r="A481" s="534"/>
    </row>
    <row r="482" ht="15.75" customHeight="1">
      <c r="A482" s="534"/>
    </row>
    <row r="483" ht="15.75" customHeight="1">
      <c r="A483" s="534"/>
    </row>
    <row r="484" ht="15.75" customHeight="1">
      <c r="A484" s="534"/>
    </row>
    <row r="485" ht="15.75" customHeight="1">
      <c r="A485" s="534"/>
    </row>
    <row r="486" ht="15.75" customHeight="1">
      <c r="A486" s="534"/>
    </row>
    <row r="487" ht="15.75" customHeight="1">
      <c r="A487" s="534"/>
    </row>
    <row r="488" ht="15.75" customHeight="1">
      <c r="A488" s="534"/>
    </row>
    <row r="489" ht="15.75" customHeight="1">
      <c r="A489" s="534"/>
    </row>
    <row r="490" ht="15.75" customHeight="1">
      <c r="A490" s="534"/>
    </row>
    <row r="491" ht="15.75" customHeight="1">
      <c r="A491" s="534"/>
    </row>
    <row r="492" ht="15.75" customHeight="1">
      <c r="A492" s="534"/>
    </row>
    <row r="493" ht="15.75" customHeight="1">
      <c r="A493" s="534"/>
    </row>
    <row r="494" ht="15.75" customHeight="1">
      <c r="A494" s="534"/>
    </row>
    <row r="495" ht="15.75" customHeight="1">
      <c r="A495" s="534"/>
    </row>
    <row r="496" ht="15.75" customHeight="1">
      <c r="A496" s="534"/>
    </row>
    <row r="497" ht="15.75" customHeight="1">
      <c r="A497" s="534"/>
    </row>
    <row r="498" ht="15.75" customHeight="1">
      <c r="A498" s="534"/>
    </row>
    <row r="499" ht="15.75" customHeight="1">
      <c r="A499" s="534"/>
    </row>
    <row r="500" ht="15.75" customHeight="1">
      <c r="A500" s="534"/>
    </row>
    <row r="501" ht="15.75" customHeight="1">
      <c r="A501" s="534"/>
    </row>
    <row r="502" ht="15.75" customHeight="1">
      <c r="A502" s="534"/>
    </row>
    <row r="503" ht="15.75" customHeight="1">
      <c r="A503" s="534"/>
    </row>
    <row r="504" ht="15.75" customHeight="1">
      <c r="A504" s="534"/>
    </row>
    <row r="505" ht="15.75" customHeight="1">
      <c r="A505" s="534"/>
    </row>
    <row r="506" ht="15.75" customHeight="1">
      <c r="A506" s="534"/>
    </row>
    <row r="507" ht="15.75" customHeight="1">
      <c r="A507" s="534"/>
    </row>
    <row r="508" ht="15.75" customHeight="1">
      <c r="A508" s="534"/>
    </row>
    <row r="509" ht="15.75" customHeight="1">
      <c r="A509" s="534"/>
    </row>
    <row r="510" ht="15.75" customHeight="1">
      <c r="A510" s="534"/>
    </row>
    <row r="511" ht="15.75" customHeight="1">
      <c r="A511" s="534"/>
    </row>
    <row r="512" ht="15.75" customHeight="1">
      <c r="A512" s="534"/>
    </row>
    <row r="513" ht="15.75" customHeight="1">
      <c r="A513" s="534"/>
    </row>
    <row r="514" ht="15.75" customHeight="1">
      <c r="A514" s="534"/>
    </row>
    <row r="515" ht="15.75" customHeight="1">
      <c r="A515" s="534"/>
    </row>
    <row r="516" ht="15.75" customHeight="1">
      <c r="A516" s="534"/>
    </row>
    <row r="517" ht="15.75" customHeight="1">
      <c r="A517" s="534"/>
    </row>
    <row r="518" ht="15.75" customHeight="1">
      <c r="A518" s="534"/>
    </row>
    <row r="519" ht="15.75" customHeight="1">
      <c r="A519" s="534"/>
    </row>
    <row r="520" ht="15.75" customHeight="1">
      <c r="A520" s="534"/>
    </row>
    <row r="521" ht="15.75" customHeight="1">
      <c r="A521" s="534"/>
    </row>
    <row r="522" ht="15.75" customHeight="1">
      <c r="A522" s="534"/>
    </row>
    <row r="523" ht="15.75" customHeight="1">
      <c r="A523" s="534"/>
    </row>
    <row r="524" ht="15.75" customHeight="1">
      <c r="A524" s="534"/>
    </row>
    <row r="525" ht="15.75" customHeight="1">
      <c r="A525" s="534"/>
    </row>
    <row r="526" ht="15.75" customHeight="1">
      <c r="A526" s="534"/>
    </row>
    <row r="527" ht="15.75" customHeight="1">
      <c r="A527" s="534"/>
    </row>
    <row r="528" ht="15.75" customHeight="1">
      <c r="A528" s="534"/>
    </row>
    <row r="529" ht="15.75" customHeight="1">
      <c r="A529" s="534"/>
    </row>
    <row r="530" ht="15.75" customHeight="1">
      <c r="A530" s="534"/>
    </row>
    <row r="531" ht="15.75" customHeight="1">
      <c r="A531" s="534"/>
    </row>
    <row r="532" ht="15.75" customHeight="1">
      <c r="A532" s="534"/>
    </row>
    <row r="533" ht="15.75" customHeight="1">
      <c r="A533" s="534"/>
    </row>
    <row r="534" ht="15.75" customHeight="1">
      <c r="A534" s="534"/>
    </row>
    <row r="535" ht="15.75" customHeight="1">
      <c r="A535" s="534"/>
    </row>
    <row r="536" ht="15.75" customHeight="1">
      <c r="A536" s="534"/>
    </row>
    <row r="537" ht="15.75" customHeight="1">
      <c r="A537" s="534"/>
    </row>
    <row r="538" ht="15.75" customHeight="1">
      <c r="A538" s="534"/>
    </row>
    <row r="539" ht="15.75" customHeight="1">
      <c r="A539" s="534"/>
    </row>
    <row r="540" ht="15.75" customHeight="1">
      <c r="A540" s="534"/>
    </row>
    <row r="541" ht="15.75" customHeight="1">
      <c r="A541" s="534"/>
    </row>
    <row r="542" ht="15.75" customHeight="1">
      <c r="A542" s="534"/>
    </row>
    <row r="543" ht="15.75" customHeight="1">
      <c r="A543" s="534"/>
    </row>
    <row r="544" ht="15.75" customHeight="1">
      <c r="A544" s="534"/>
    </row>
    <row r="545" ht="15.75" customHeight="1">
      <c r="A545" s="534"/>
    </row>
    <row r="546" ht="15.75" customHeight="1">
      <c r="A546" s="534"/>
    </row>
    <row r="547" ht="15.75" customHeight="1">
      <c r="A547" s="534"/>
    </row>
    <row r="548" ht="15.75" customHeight="1">
      <c r="A548" s="534"/>
    </row>
    <row r="549" ht="15.75" customHeight="1">
      <c r="A549" s="534"/>
    </row>
    <row r="550" ht="15.75" customHeight="1">
      <c r="A550" s="534"/>
    </row>
    <row r="551" ht="15.75" customHeight="1">
      <c r="A551" s="534"/>
    </row>
    <row r="552" ht="15.75" customHeight="1">
      <c r="A552" s="534"/>
    </row>
    <row r="553" ht="15.75" customHeight="1">
      <c r="A553" s="534"/>
    </row>
    <row r="554" ht="15.75" customHeight="1">
      <c r="A554" s="534"/>
    </row>
    <row r="555" ht="15.75" customHeight="1">
      <c r="A555" s="534"/>
    </row>
    <row r="556" ht="15.75" customHeight="1">
      <c r="A556" s="534"/>
    </row>
    <row r="557" ht="15.75" customHeight="1">
      <c r="A557" s="534"/>
    </row>
    <row r="558" ht="15.75" customHeight="1">
      <c r="A558" s="534"/>
    </row>
    <row r="559" ht="15.75" customHeight="1">
      <c r="A559" s="534"/>
    </row>
    <row r="560" ht="15.75" customHeight="1">
      <c r="A560" s="534"/>
    </row>
    <row r="561" ht="15.75" customHeight="1">
      <c r="A561" s="534"/>
    </row>
    <row r="562" ht="15.75" customHeight="1">
      <c r="A562" s="534"/>
    </row>
    <row r="563" ht="15.75" customHeight="1">
      <c r="A563" s="534"/>
    </row>
    <row r="564" ht="15.75" customHeight="1">
      <c r="A564" s="534"/>
    </row>
    <row r="565" ht="15.75" customHeight="1">
      <c r="A565" s="534"/>
    </row>
    <row r="566" ht="15.75" customHeight="1">
      <c r="A566" s="534"/>
    </row>
    <row r="567" ht="15.75" customHeight="1">
      <c r="A567" s="534"/>
    </row>
    <row r="568" ht="15.75" customHeight="1">
      <c r="A568" s="534"/>
    </row>
    <row r="569" ht="15.75" customHeight="1">
      <c r="A569" s="534"/>
    </row>
    <row r="570" ht="15.75" customHeight="1">
      <c r="A570" s="534"/>
    </row>
    <row r="571" ht="15.75" customHeight="1">
      <c r="A571" s="534"/>
    </row>
    <row r="572" ht="15.75" customHeight="1">
      <c r="A572" s="534"/>
    </row>
    <row r="573" ht="15.75" customHeight="1">
      <c r="A573" s="534"/>
    </row>
    <row r="574" ht="15.75" customHeight="1">
      <c r="A574" s="534"/>
    </row>
    <row r="575" ht="15.75" customHeight="1">
      <c r="A575" s="534"/>
    </row>
    <row r="576" ht="15.75" customHeight="1">
      <c r="A576" s="534"/>
    </row>
    <row r="577" ht="15.75" customHeight="1">
      <c r="A577" s="534"/>
    </row>
    <row r="578" ht="15.75" customHeight="1">
      <c r="A578" s="534"/>
    </row>
    <row r="579" ht="15.75" customHeight="1">
      <c r="A579" s="534"/>
    </row>
    <row r="580" ht="15.75" customHeight="1">
      <c r="A580" s="534"/>
    </row>
    <row r="581" ht="15.75" customHeight="1">
      <c r="A581" s="534"/>
    </row>
    <row r="582" ht="15.75" customHeight="1">
      <c r="A582" s="534"/>
    </row>
    <row r="583" ht="15.75" customHeight="1">
      <c r="A583" s="534"/>
    </row>
    <row r="584" ht="15.75" customHeight="1">
      <c r="A584" s="534"/>
    </row>
    <row r="585" ht="15.75" customHeight="1">
      <c r="A585" s="534"/>
    </row>
    <row r="586" ht="15.75" customHeight="1">
      <c r="A586" s="534"/>
    </row>
    <row r="587" ht="15.75" customHeight="1">
      <c r="A587" s="534"/>
    </row>
    <row r="588" ht="15.75" customHeight="1">
      <c r="A588" s="534"/>
    </row>
    <row r="589" ht="15.75" customHeight="1">
      <c r="A589" s="534"/>
    </row>
    <row r="590" ht="15.75" customHeight="1">
      <c r="A590" s="534"/>
    </row>
    <row r="591" ht="15.75" customHeight="1">
      <c r="A591" s="534"/>
    </row>
    <row r="592" ht="15.75" customHeight="1">
      <c r="A592" s="534"/>
    </row>
    <row r="593" ht="15.75" customHeight="1">
      <c r="A593" s="534"/>
    </row>
    <row r="594" ht="15.75" customHeight="1">
      <c r="A594" s="534"/>
    </row>
    <row r="595" ht="15.75" customHeight="1">
      <c r="A595" s="534"/>
    </row>
    <row r="596" ht="15.75" customHeight="1">
      <c r="A596" s="534"/>
    </row>
    <row r="597" ht="15.75" customHeight="1">
      <c r="A597" s="534"/>
    </row>
    <row r="598" ht="15.75" customHeight="1">
      <c r="A598" s="534"/>
    </row>
    <row r="599" ht="15.75" customHeight="1">
      <c r="A599" s="534"/>
    </row>
    <row r="600" ht="15.75" customHeight="1">
      <c r="A600" s="534"/>
    </row>
    <row r="601" ht="15.75" customHeight="1">
      <c r="A601" s="534"/>
    </row>
    <row r="602" ht="15.75" customHeight="1">
      <c r="A602" s="534"/>
    </row>
    <row r="603" ht="15.75" customHeight="1">
      <c r="A603" s="534"/>
    </row>
    <row r="604" ht="15.75" customHeight="1">
      <c r="A604" s="534"/>
    </row>
    <row r="605" ht="15.75" customHeight="1">
      <c r="A605" s="534"/>
    </row>
    <row r="606" ht="15.75" customHeight="1">
      <c r="A606" s="534"/>
    </row>
    <row r="607" ht="15.75" customHeight="1">
      <c r="A607" s="534"/>
    </row>
    <row r="608" ht="15.75" customHeight="1">
      <c r="A608" s="534"/>
    </row>
    <row r="609" ht="15.75" customHeight="1">
      <c r="A609" s="534"/>
    </row>
    <row r="610" ht="15.75" customHeight="1">
      <c r="A610" s="534"/>
    </row>
    <row r="611" ht="15.75" customHeight="1">
      <c r="A611" s="534"/>
    </row>
    <row r="612" ht="15.75" customHeight="1">
      <c r="A612" s="534"/>
    </row>
    <row r="613" ht="15.75" customHeight="1">
      <c r="A613" s="534"/>
    </row>
    <row r="614" ht="15.75" customHeight="1">
      <c r="A614" s="534"/>
    </row>
    <row r="615" ht="15.75" customHeight="1">
      <c r="A615" s="534"/>
    </row>
    <row r="616" ht="15.75" customHeight="1">
      <c r="A616" s="534"/>
    </row>
    <row r="617" ht="15.75" customHeight="1">
      <c r="A617" s="534"/>
    </row>
    <row r="618" ht="15.75" customHeight="1">
      <c r="A618" s="534"/>
    </row>
    <row r="619" ht="15.75" customHeight="1">
      <c r="A619" s="534"/>
    </row>
    <row r="620" ht="15.75" customHeight="1">
      <c r="A620" s="534"/>
    </row>
    <row r="621" ht="15.75" customHeight="1">
      <c r="A621" s="534"/>
    </row>
    <row r="622" ht="15.75" customHeight="1">
      <c r="A622" s="534"/>
    </row>
    <row r="623" ht="15.75" customHeight="1">
      <c r="A623" s="534"/>
    </row>
    <row r="624" ht="15.75" customHeight="1">
      <c r="A624" s="534"/>
    </row>
    <row r="625" ht="15.75" customHeight="1">
      <c r="A625" s="534"/>
    </row>
    <row r="626" ht="15.75" customHeight="1">
      <c r="A626" s="534"/>
    </row>
    <row r="627" ht="15.75" customHeight="1">
      <c r="A627" s="534"/>
    </row>
    <row r="628" ht="15.75" customHeight="1">
      <c r="A628" s="534"/>
    </row>
    <row r="629" ht="15.75" customHeight="1">
      <c r="A629" s="534"/>
    </row>
    <row r="630" ht="15.75" customHeight="1">
      <c r="A630" s="534"/>
    </row>
    <row r="631" ht="15.75" customHeight="1">
      <c r="A631" s="534"/>
    </row>
    <row r="632" ht="15.75" customHeight="1">
      <c r="A632" s="534"/>
    </row>
    <row r="633" ht="15.75" customHeight="1">
      <c r="A633" s="534"/>
    </row>
    <row r="634" ht="15.75" customHeight="1">
      <c r="A634" s="534"/>
    </row>
    <row r="635" ht="15.75" customHeight="1">
      <c r="A635" s="534"/>
    </row>
    <row r="636" ht="15.75" customHeight="1">
      <c r="A636" s="534"/>
    </row>
    <row r="637" ht="15.75" customHeight="1">
      <c r="A637" s="534"/>
    </row>
    <row r="638" ht="15.75" customHeight="1">
      <c r="A638" s="534"/>
    </row>
    <row r="639" ht="15.75" customHeight="1">
      <c r="A639" s="534"/>
    </row>
    <row r="640" ht="15.75" customHeight="1">
      <c r="A640" s="534"/>
    </row>
    <row r="641" ht="15.75" customHeight="1">
      <c r="A641" s="534"/>
    </row>
    <row r="642" ht="15.75" customHeight="1">
      <c r="A642" s="534"/>
    </row>
    <row r="643" ht="15.75" customHeight="1">
      <c r="A643" s="534"/>
    </row>
    <row r="644" ht="15.75" customHeight="1">
      <c r="A644" s="534"/>
    </row>
    <row r="645" ht="15.75" customHeight="1">
      <c r="A645" s="534"/>
    </row>
    <row r="646" ht="15.75" customHeight="1">
      <c r="A646" s="534"/>
    </row>
    <row r="647" ht="15.75" customHeight="1">
      <c r="A647" s="534"/>
    </row>
    <row r="648" ht="15.75" customHeight="1">
      <c r="A648" s="534"/>
    </row>
    <row r="649" ht="15.75" customHeight="1">
      <c r="A649" s="534"/>
    </row>
    <row r="650" ht="15.75" customHeight="1">
      <c r="A650" s="534"/>
    </row>
    <row r="651" ht="15.75" customHeight="1">
      <c r="A651" s="534"/>
    </row>
    <row r="652" ht="15.75" customHeight="1">
      <c r="A652" s="534"/>
    </row>
    <row r="653" ht="15.75" customHeight="1">
      <c r="A653" s="534"/>
    </row>
    <row r="654" ht="15.75" customHeight="1">
      <c r="A654" s="534"/>
    </row>
    <row r="655" ht="15.75" customHeight="1">
      <c r="A655" s="534"/>
    </row>
    <row r="656" ht="15.75" customHeight="1">
      <c r="A656" s="534"/>
    </row>
    <row r="657" ht="15.75" customHeight="1">
      <c r="A657" s="534"/>
    </row>
    <row r="658" ht="15.75" customHeight="1">
      <c r="A658" s="534"/>
    </row>
    <row r="659" ht="15.75" customHeight="1">
      <c r="A659" s="534"/>
    </row>
    <row r="660" ht="15.75" customHeight="1">
      <c r="A660" s="534"/>
    </row>
    <row r="661" ht="15.75" customHeight="1">
      <c r="A661" s="534"/>
    </row>
    <row r="662" ht="15.75" customHeight="1">
      <c r="A662" s="534"/>
    </row>
    <row r="663" ht="15.75" customHeight="1">
      <c r="A663" s="534"/>
    </row>
    <row r="664" ht="15.75" customHeight="1">
      <c r="A664" s="534"/>
    </row>
    <row r="665" ht="15.75" customHeight="1">
      <c r="A665" s="534"/>
    </row>
    <row r="666" ht="15.75" customHeight="1">
      <c r="A666" s="534"/>
    </row>
    <row r="667" ht="15.75" customHeight="1">
      <c r="A667" s="534"/>
    </row>
    <row r="668" ht="15.75" customHeight="1">
      <c r="A668" s="534"/>
    </row>
    <row r="669" ht="15.75" customHeight="1">
      <c r="A669" s="534"/>
    </row>
    <row r="670" ht="15.75" customHeight="1">
      <c r="A670" s="534"/>
    </row>
    <row r="671" ht="15.75" customHeight="1">
      <c r="A671" s="534"/>
    </row>
    <row r="672" ht="15.75" customHeight="1">
      <c r="A672" s="534"/>
    </row>
    <row r="673" ht="15.75" customHeight="1">
      <c r="A673" s="534"/>
    </row>
    <row r="674" ht="15.75" customHeight="1">
      <c r="A674" s="534"/>
    </row>
    <row r="675" ht="15.75" customHeight="1">
      <c r="A675" s="534"/>
    </row>
    <row r="676" ht="15.75" customHeight="1">
      <c r="A676" s="534"/>
    </row>
    <row r="677" ht="15.75" customHeight="1">
      <c r="A677" s="534"/>
    </row>
    <row r="678" ht="15.75" customHeight="1">
      <c r="A678" s="534"/>
    </row>
    <row r="679" ht="15.75" customHeight="1">
      <c r="A679" s="534"/>
    </row>
    <row r="680" ht="15.75" customHeight="1">
      <c r="A680" s="534"/>
    </row>
    <row r="681" ht="15.75" customHeight="1">
      <c r="A681" s="534"/>
    </row>
    <row r="682" ht="15.75" customHeight="1">
      <c r="A682" s="534"/>
    </row>
    <row r="683" ht="15.75" customHeight="1">
      <c r="A683" s="534"/>
    </row>
    <row r="684" ht="15.75" customHeight="1">
      <c r="A684" s="534"/>
    </row>
    <row r="685" ht="15.75" customHeight="1">
      <c r="A685" s="534"/>
    </row>
    <row r="686" ht="15.75" customHeight="1">
      <c r="A686" s="534"/>
    </row>
    <row r="687" ht="15.75" customHeight="1">
      <c r="A687" s="534"/>
    </row>
    <row r="688" ht="15.75" customHeight="1">
      <c r="A688" s="534"/>
    </row>
    <row r="689" ht="15.75" customHeight="1">
      <c r="A689" s="534"/>
    </row>
    <row r="690" ht="15.75" customHeight="1">
      <c r="A690" s="534"/>
    </row>
    <row r="691" ht="15.75" customHeight="1">
      <c r="A691" s="534"/>
    </row>
    <row r="692" ht="15.75" customHeight="1">
      <c r="A692" s="534"/>
    </row>
    <row r="693" ht="15.75" customHeight="1">
      <c r="A693" s="534"/>
    </row>
    <row r="694" ht="15.75" customHeight="1">
      <c r="A694" s="534"/>
    </row>
    <row r="695" ht="15.75" customHeight="1">
      <c r="A695" s="534"/>
    </row>
    <row r="696" ht="15.75" customHeight="1">
      <c r="A696" s="534"/>
    </row>
    <row r="697" ht="15.75" customHeight="1">
      <c r="A697" s="534"/>
    </row>
    <row r="698" ht="15.75" customHeight="1">
      <c r="A698" s="534"/>
    </row>
    <row r="699" ht="15.75" customHeight="1">
      <c r="A699" s="534"/>
    </row>
    <row r="700" ht="15.75" customHeight="1">
      <c r="A700" s="534"/>
    </row>
    <row r="701" ht="15.75" customHeight="1">
      <c r="A701" s="534"/>
    </row>
    <row r="702" ht="15.75" customHeight="1">
      <c r="A702" s="534"/>
    </row>
    <row r="703" ht="15.75" customHeight="1">
      <c r="A703" s="534"/>
    </row>
    <row r="704" ht="15.75" customHeight="1">
      <c r="A704" s="534"/>
    </row>
    <row r="705" ht="15.75" customHeight="1">
      <c r="A705" s="534"/>
    </row>
    <row r="706" ht="15.75" customHeight="1">
      <c r="A706" s="534"/>
    </row>
    <row r="707" ht="15.75" customHeight="1">
      <c r="A707" s="534"/>
    </row>
    <row r="708" ht="15.75" customHeight="1">
      <c r="A708" s="534"/>
    </row>
    <row r="709" ht="15.75" customHeight="1">
      <c r="A709" s="534"/>
    </row>
    <row r="710" ht="15.75" customHeight="1">
      <c r="A710" s="534"/>
    </row>
    <row r="711" ht="15.75" customHeight="1">
      <c r="A711" s="534"/>
    </row>
    <row r="712" ht="15.75" customHeight="1">
      <c r="A712" s="534"/>
    </row>
    <row r="713" ht="15.75" customHeight="1">
      <c r="A713" s="534"/>
    </row>
    <row r="714" ht="15.75" customHeight="1">
      <c r="A714" s="534"/>
    </row>
    <row r="715" ht="15.75" customHeight="1">
      <c r="A715" s="534"/>
    </row>
    <row r="716" ht="15.75" customHeight="1">
      <c r="A716" s="534"/>
    </row>
    <row r="717" ht="15.75" customHeight="1">
      <c r="A717" s="534"/>
    </row>
    <row r="718" ht="15.75" customHeight="1">
      <c r="A718" s="534"/>
    </row>
    <row r="719" ht="15.75" customHeight="1">
      <c r="A719" s="534"/>
    </row>
    <row r="720" ht="15.75" customHeight="1">
      <c r="A720" s="534"/>
    </row>
    <row r="721" ht="15.75" customHeight="1">
      <c r="A721" s="534"/>
    </row>
    <row r="722" ht="15.75" customHeight="1">
      <c r="A722" s="534"/>
    </row>
    <row r="723" ht="15.75" customHeight="1">
      <c r="A723" s="534"/>
    </row>
    <row r="724" ht="15.75" customHeight="1">
      <c r="A724" s="534"/>
    </row>
    <row r="725" ht="15.75" customHeight="1">
      <c r="A725" s="534"/>
    </row>
    <row r="726" ht="15.75" customHeight="1">
      <c r="A726" s="534"/>
    </row>
    <row r="727" ht="15.75" customHeight="1">
      <c r="A727" s="534"/>
    </row>
    <row r="728" ht="15.75" customHeight="1">
      <c r="A728" s="534"/>
    </row>
    <row r="729" ht="15.75" customHeight="1">
      <c r="A729" s="534"/>
    </row>
    <row r="730" ht="15.75" customHeight="1">
      <c r="A730" s="534"/>
    </row>
    <row r="731" ht="15.75" customHeight="1">
      <c r="A731" s="534"/>
    </row>
    <row r="732" ht="15.75" customHeight="1">
      <c r="A732" s="534"/>
    </row>
    <row r="733" ht="15.75" customHeight="1">
      <c r="A733" s="534"/>
    </row>
    <row r="734" ht="15.75" customHeight="1">
      <c r="A734" s="534"/>
    </row>
    <row r="735" ht="15.75" customHeight="1">
      <c r="A735" s="534"/>
    </row>
    <row r="736" ht="15.75" customHeight="1">
      <c r="A736" s="534"/>
    </row>
    <row r="737" ht="15.75" customHeight="1">
      <c r="A737" s="534"/>
    </row>
    <row r="738" ht="15.75" customHeight="1">
      <c r="A738" s="534"/>
    </row>
    <row r="739" ht="15.75" customHeight="1">
      <c r="A739" s="534"/>
    </row>
    <row r="740" ht="15.75" customHeight="1">
      <c r="A740" s="534"/>
    </row>
    <row r="741" ht="15.75" customHeight="1">
      <c r="A741" s="534"/>
    </row>
    <row r="742" ht="15.75" customHeight="1">
      <c r="A742" s="534"/>
    </row>
    <row r="743" ht="15.75" customHeight="1">
      <c r="A743" s="534"/>
    </row>
    <row r="744" ht="15.75" customHeight="1">
      <c r="A744" s="534"/>
    </row>
    <row r="745" ht="15.75" customHeight="1">
      <c r="A745" s="534"/>
    </row>
    <row r="746" ht="15.75" customHeight="1">
      <c r="A746" s="534"/>
    </row>
    <row r="747" ht="15.75" customHeight="1">
      <c r="A747" s="534"/>
    </row>
    <row r="748" ht="15.75" customHeight="1">
      <c r="A748" s="534"/>
    </row>
    <row r="749" ht="15.75" customHeight="1">
      <c r="A749" s="534"/>
    </row>
    <row r="750" ht="15.75" customHeight="1">
      <c r="A750" s="534"/>
    </row>
    <row r="751" ht="15.75" customHeight="1">
      <c r="A751" s="534"/>
    </row>
    <row r="752" ht="15.75" customHeight="1">
      <c r="A752" s="534"/>
    </row>
    <row r="753" ht="15.75" customHeight="1">
      <c r="A753" s="534"/>
    </row>
    <row r="754" ht="15.75" customHeight="1">
      <c r="A754" s="534"/>
    </row>
    <row r="755" ht="15.75" customHeight="1">
      <c r="A755" s="534"/>
    </row>
    <row r="756" ht="15.75" customHeight="1">
      <c r="A756" s="534"/>
    </row>
    <row r="757" ht="15.75" customHeight="1">
      <c r="A757" s="534"/>
    </row>
    <row r="758" ht="15.75" customHeight="1">
      <c r="A758" s="534"/>
    </row>
    <row r="759" ht="15.75" customHeight="1">
      <c r="A759" s="534"/>
    </row>
    <row r="760" ht="15.75" customHeight="1">
      <c r="A760" s="534"/>
    </row>
    <row r="761" ht="15.75" customHeight="1">
      <c r="A761" s="534"/>
    </row>
    <row r="762" ht="15.75" customHeight="1">
      <c r="A762" s="534"/>
    </row>
    <row r="763" ht="15.75" customHeight="1">
      <c r="A763" s="534"/>
    </row>
    <row r="764" ht="15.75" customHeight="1">
      <c r="A764" s="534"/>
    </row>
    <row r="765" ht="15.75" customHeight="1">
      <c r="A765" s="534"/>
    </row>
    <row r="766" ht="15.75" customHeight="1">
      <c r="A766" s="534"/>
    </row>
    <row r="767" ht="15.75" customHeight="1">
      <c r="A767" s="534"/>
    </row>
    <row r="768" ht="15.75" customHeight="1">
      <c r="A768" s="534"/>
    </row>
    <row r="769" ht="15.75" customHeight="1">
      <c r="A769" s="534"/>
    </row>
    <row r="770" ht="15.75" customHeight="1">
      <c r="A770" s="534"/>
    </row>
    <row r="771" ht="15.75" customHeight="1">
      <c r="A771" s="534"/>
    </row>
    <row r="772" ht="15.75" customHeight="1">
      <c r="A772" s="534"/>
    </row>
    <row r="773" ht="15.75" customHeight="1">
      <c r="A773" s="534"/>
    </row>
    <row r="774" ht="15.75" customHeight="1">
      <c r="A774" s="534"/>
    </row>
    <row r="775" ht="15.75" customHeight="1">
      <c r="A775" s="534"/>
    </row>
    <row r="776" ht="15.75" customHeight="1">
      <c r="A776" s="534"/>
    </row>
    <row r="777" ht="15.75" customHeight="1">
      <c r="A777" s="534"/>
    </row>
    <row r="778" ht="15.75" customHeight="1">
      <c r="A778" s="534"/>
    </row>
    <row r="779" ht="15.75" customHeight="1">
      <c r="A779" s="534"/>
    </row>
    <row r="780" ht="15.75" customHeight="1">
      <c r="A780" s="534"/>
    </row>
    <row r="781" ht="15.75" customHeight="1">
      <c r="A781" s="534"/>
    </row>
    <row r="782" ht="15.75" customHeight="1">
      <c r="A782" s="534"/>
    </row>
    <row r="783" ht="15.75" customHeight="1">
      <c r="A783" s="534"/>
    </row>
    <row r="784" ht="15.75" customHeight="1">
      <c r="A784" s="534"/>
    </row>
    <row r="785" ht="15.75" customHeight="1">
      <c r="A785" s="534"/>
    </row>
    <row r="786" ht="15.75" customHeight="1">
      <c r="A786" s="534"/>
    </row>
    <row r="787" ht="15.75" customHeight="1">
      <c r="A787" s="534"/>
    </row>
    <row r="788" ht="15.75" customHeight="1">
      <c r="A788" s="534"/>
    </row>
    <row r="789" ht="15.75" customHeight="1">
      <c r="A789" s="534"/>
    </row>
    <row r="790" ht="15.75" customHeight="1">
      <c r="A790" s="534"/>
    </row>
    <row r="791" ht="15.75" customHeight="1">
      <c r="A791" s="534"/>
    </row>
    <row r="792" ht="15.75" customHeight="1">
      <c r="A792" s="534"/>
    </row>
    <row r="793" ht="15.75" customHeight="1">
      <c r="A793" s="534"/>
    </row>
    <row r="794" ht="15.75" customHeight="1">
      <c r="A794" s="534"/>
    </row>
    <row r="795" ht="15.75" customHeight="1">
      <c r="A795" s="534"/>
    </row>
    <row r="796" ht="15.75" customHeight="1">
      <c r="A796" s="534"/>
    </row>
    <row r="797" ht="15.75" customHeight="1">
      <c r="A797" s="534"/>
    </row>
    <row r="798" ht="15.75" customHeight="1">
      <c r="A798" s="534"/>
    </row>
    <row r="799" ht="15.75" customHeight="1">
      <c r="A799" s="534"/>
    </row>
    <row r="800" ht="15.75" customHeight="1">
      <c r="A800" s="534"/>
    </row>
    <row r="801" ht="15.75" customHeight="1">
      <c r="A801" s="534"/>
    </row>
    <row r="802" ht="15.75" customHeight="1">
      <c r="A802" s="534"/>
    </row>
    <row r="803" ht="15.75" customHeight="1">
      <c r="A803" s="534"/>
    </row>
    <row r="804" ht="15.75" customHeight="1">
      <c r="A804" s="534"/>
    </row>
    <row r="805" ht="15.75" customHeight="1">
      <c r="A805" s="534"/>
    </row>
    <row r="806" ht="15.75" customHeight="1">
      <c r="A806" s="534"/>
    </row>
    <row r="807" ht="15.75" customHeight="1">
      <c r="A807" s="534"/>
    </row>
    <row r="808" ht="15.75" customHeight="1">
      <c r="A808" s="534"/>
    </row>
    <row r="809" ht="15.75" customHeight="1">
      <c r="A809" s="534"/>
    </row>
    <row r="810" ht="15.75" customHeight="1">
      <c r="A810" s="534"/>
    </row>
    <row r="811" ht="15.75" customHeight="1">
      <c r="A811" s="534"/>
    </row>
    <row r="812" ht="15.75" customHeight="1">
      <c r="A812" s="534"/>
    </row>
    <row r="813" ht="15.75" customHeight="1">
      <c r="A813" s="534"/>
    </row>
    <row r="814" ht="15.75" customHeight="1">
      <c r="A814" s="534"/>
    </row>
    <row r="815" ht="15.75" customHeight="1">
      <c r="A815" s="534"/>
    </row>
    <row r="816" ht="15.75" customHeight="1">
      <c r="A816" s="534"/>
    </row>
    <row r="817" ht="15.75" customHeight="1">
      <c r="A817" s="534"/>
    </row>
    <row r="818" ht="15.75" customHeight="1">
      <c r="A818" s="534"/>
    </row>
    <row r="819" ht="15.75" customHeight="1">
      <c r="A819" s="534"/>
    </row>
    <row r="820" ht="15.75" customHeight="1">
      <c r="A820" s="534"/>
    </row>
    <row r="821" ht="15.75" customHeight="1">
      <c r="A821" s="534"/>
    </row>
    <row r="822" ht="15.75" customHeight="1">
      <c r="A822" s="534"/>
    </row>
    <row r="823" ht="15.75" customHeight="1">
      <c r="A823" s="534"/>
    </row>
    <row r="824" ht="15.75" customHeight="1">
      <c r="A824" s="534"/>
    </row>
    <row r="825" ht="15.75" customHeight="1">
      <c r="A825" s="534"/>
    </row>
    <row r="826" ht="15.75" customHeight="1">
      <c r="A826" s="534"/>
    </row>
    <row r="827" ht="15.75" customHeight="1">
      <c r="A827" s="534"/>
    </row>
    <row r="828" ht="15.75" customHeight="1">
      <c r="A828" s="534"/>
    </row>
    <row r="829" ht="15.75" customHeight="1">
      <c r="A829" s="534"/>
    </row>
    <row r="830" ht="15.75" customHeight="1">
      <c r="A830" s="534"/>
    </row>
    <row r="831" ht="15.75" customHeight="1">
      <c r="A831" s="534"/>
    </row>
    <row r="832" ht="15.75" customHeight="1">
      <c r="A832" s="534"/>
    </row>
    <row r="833" ht="15.75" customHeight="1">
      <c r="A833" s="534"/>
    </row>
    <row r="834" ht="15.75" customHeight="1">
      <c r="A834" s="534"/>
    </row>
    <row r="835" ht="15.75" customHeight="1">
      <c r="A835" s="534"/>
    </row>
    <row r="836" ht="15.75" customHeight="1">
      <c r="A836" s="534"/>
    </row>
    <row r="837" ht="15.75" customHeight="1">
      <c r="A837" s="534"/>
    </row>
    <row r="838" ht="15.75" customHeight="1">
      <c r="A838" s="534"/>
    </row>
    <row r="839" ht="15.75" customHeight="1">
      <c r="A839" s="534"/>
    </row>
    <row r="840" ht="15.75" customHeight="1">
      <c r="A840" s="534"/>
    </row>
    <row r="841" ht="15.75" customHeight="1">
      <c r="A841" s="534"/>
    </row>
    <row r="842" ht="15.75" customHeight="1">
      <c r="A842" s="534"/>
    </row>
    <row r="843" ht="15.75" customHeight="1">
      <c r="A843" s="534"/>
    </row>
    <row r="844" ht="15.75" customHeight="1">
      <c r="A844" s="534"/>
    </row>
    <row r="845" ht="15.75" customHeight="1">
      <c r="A845" s="534"/>
    </row>
    <row r="846" ht="15.75" customHeight="1">
      <c r="A846" s="534"/>
    </row>
    <row r="847" ht="15.75" customHeight="1">
      <c r="A847" s="534"/>
    </row>
    <row r="848" ht="15.75" customHeight="1">
      <c r="A848" s="534"/>
    </row>
    <row r="849" ht="15.75" customHeight="1">
      <c r="A849" s="534"/>
    </row>
    <row r="850" ht="15.75" customHeight="1">
      <c r="A850" s="534"/>
    </row>
    <row r="851" ht="15.75" customHeight="1">
      <c r="A851" s="534"/>
    </row>
    <row r="852" ht="15.75" customHeight="1">
      <c r="A852" s="534"/>
    </row>
    <row r="853" ht="15.75" customHeight="1">
      <c r="A853" s="534"/>
    </row>
    <row r="854" ht="15.75" customHeight="1">
      <c r="A854" s="534"/>
    </row>
    <row r="855" ht="15.75" customHeight="1">
      <c r="A855" s="534"/>
    </row>
    <row r="856" ht="15.75" customHeight="1">
      <c r="A856" s="534"/>
    </row>
    <row r="857" ht="15.75" customHeight="1">
      <c r="A857" s="534"/>
    </row>
    <row r="858" ht="15.75" customHeight="1">
      <c r="A858" s="534"/>
    </row>
    <row r="859" ht="15.75" customHeight="1">
      <c r="A859" s="534"/>
    </row>
    <row r="860" ht="15.75" customHeight="1">
      <c r="A860" s="534"/>
    </row>
    <row r="861" ht="15.75" customHeight="1">
      <c r="A861" s="534"/>
    </row>
    <row r="862" ht="15.75" customHeight="1">
      <c r="A862" s="534"/>
    </row>
    <row r="863" ht="15.75" customHeight="1">
      <c r="A863" s="534"/>
    </row>
    <row r="864" ht="15.75" customHeight="1">
      <c r="A864" s="534"/>
    </row>
    <row r="865" ht="15.75" customHeight="1">
      <c r="A865" s="534"/>
    </row>
    <row r="866" ht="15.75" customHeight="1">
      <c r="A866" s="534"/>
    </row>
    <row r="867" ht="15.75" customHeight="1">
      <c r="A867" s="534"/>
    </row>
    <row r="868" ht="15.75" customHeight="1">
      <c r="A868" s="534"/>
    </row>
    <row r="869" ht="15.75" customHeight="1">
      <c r="A869" s="534"/>
    </row>
    <row r="870" ht="15.75" customHeight="1">
      <c r="A870" s="534"/>
    </row>
    <row r="871" ht="15.75" customHeight="1">
      <c r="A871" s="534"/>
    </row>
    <row r="872" ht="15.75" customHeight="1">
      <c r="A872" s="534"/>
    </row>
    <row r="873" ht="15.75" customHeight="1">
      <c r="A873" s="534"/>
    </row>
    <row r="874" ht="15.75" customHeight="1">
      <c r="A874" s="534"/>
    </row>
    <row r="875" ht="15.75" customHeight="1">
      <c r="A875" s="534"/>
    </row>
    <row r="876" ht="15.75" customHeight="1">
      <c r="A876" s="534"/>
    </row>
    <row r="877" ht="15.75" customHeight="1">
      <c r="A877" s="534"/>
    </row>
    <row r="878" ht="15.75" customHeight="1">
      <c r="A878" s="534"/>
    </row>
    <row r="879" ht="15.75" customHeight="1">
      <c r="A879" s="534"/>
    </row>
    <row r="880" ht="15.75" customHeight="1">
      <c r="A880" s="534"/>
    </row>
    <row r="881" ht="15.75" customHeight="1">
      <c r="A881" s="534"/>
    </row>
    <row r="882" ht="15.75" customHeight="1">
      <c r="A882" s="534"/>
    </row>
    <row r="883" ht="15.75" customHeight="1">
      <c r="A883" s="534"/>
    </row>
    <row r="884" ht="15.75" customHeight="1">
      <c r="A884" s="534"/>
    </row>
    <row r="885" ht="15.75" customHeight="1">
      <c r="A885" s="534"/>
    </row>
    <row r="886" ht="15.75" customHeight="1">
      <c r="A886" s="534"/>
    </row>
    <row r="887" ht="15.75" customHeight="1">
      <c r="A887" s="534"/>
    </row>
    <row r="888" ht="15.75" customHeight="1">
      <c r="A888" s="534"/>
    </row>
    <row r="889" ht="15.75" customHeight="1">
      <c r="A889" s="534"/>
    </row>
    <row r="890" ht="15.75" customHeight="1">
      <c r="A890" s="534"/>
    </row>
    <row r="891" ht="15.75" customHeight="1">
      <c r="A891" s="534"/>
    </row>
    <row r="892" ht="15.75" customHeight="1">
      <c r="A892" s="534"/>
    </row>
    <row r="893" ht="15.75" customHeight="1">
      <c r="A893" s="534"/>
    </row>
    <row r="894" ht="15.75" customHeight="1">
      <c r="A894" s="534"/>
    </row>
    <row r="895" ht="15.75" customHeight="1">
      <c r="A895" s="534"/>
    </row>
    <row r="896" ht="15.75" customHeight="1">
      <c r="A896" s="534"/>
    </row>
    <row r="897" ht="15.75" customHeight="1">
      <c r="A897" s="534"/>
    </row>
    <row r="898" ht="15.75" customHeight="1">
      <c r="A898" s="534"/>
    </row>
    <row r="899" ht="15.75" customHeight="1">
      <c r="A899" s="534"/>
    </row>
    <row r="900" ht="15.75" customHeight="1">
      <c r="A900" s="534"/>
    </row>
    <row r="901" ht="15.75" customHeight="1">
      <c r="A901" s="534"/>
    </row>
    <row r="902" ht="15.75" customHeight="1">
      <c r="A902" s="534"/>
    </row>
    <row r="903" ht="15.75" customHeight="1">
      <c r="A903" s="534"/>
    </row>
    <row r="904" ht="15.75" customHeight="1">
      <c r="A904" s="534"/>
    </row>
    <row r="905" ht="15.75" customHeight="1">
      <c r="A905" s="534"/>
    </row>
    <row r="906" ht="15.75" customHeight="1">
      <c r="A906" s="534"/>
    </row>
    <row r="907" ht="15.75" customHeight="1">
      <c r="A907" s="534"/>
    </row>
    <row r="908" ht="15.75" customHeight="1">
      <c r="A908" s="534"/>
    </row>
    <row r="909" ht="15.75" customHeight="1">
      <c r="A909" s="534"/>
    </row>
    <row r="910" ht="15.75" customHeight="1">
      <c r="A910" s="534"/>
    </row>
    <row r="911" ht="15.75" customHeight="1">
      <c r="A911" s="534"/>
    </row>
    <row r="912" ht="15.75" customHeight="1">
      <c r="A912" s="534"/>
    </row>
    <row r="913" ht="15.75" customHeight="1">
      <c r="A913" s="534"/>
    </row>
    <row r="914" ht="15.75" customHeight="1">
      <c r="A914" s="534"/>
    </row>
    <row r="915" ht="15.75" customHeight="1">
      <c r="A915" s="534"/>
    </row>
    <row r="916" ht="15.75" customHeight="1">
      <c r="A916" s="534"/>
    </row>
    <row r="917" ht="15.75" customHeight="1">
      <c r="A917" s="534"/>
    </row>
    <row r="918" ht="15.75" customHeight="1">
      <c r="A918" s="534"/>
    </row>
    <row r="919" ht="15.75" customHeight="1">
      <c r="A919" s="534"/>
    </row>
    <row r="920" ht="15.75" customHeight="1">
      <c r="A920" s="534"/>
    </row>
    <row r="921" ht="15.75" customHeight="1">
      <c r="A921" s="534"/>
    </row>
    <row r="922" ht="15.75" customHeight="1">
      <c r="A922" s="534"/>
    </row>
    <row r="923" ht="15.75" customHeight="1">
      <c r="A923" s="534"/>
    </row>
    <row r="924" ht="15.75" customHeight="1">
      <c r="A924" s="534"/>
    </row>
    <row r="925" ht="15.75" customHeight="1">
      <c r="A925" s="534"/>
    </row>
    <row r="926" ht="15.75" customHeight="1">
      <c r="A926" s="534"/>
    </row>
    <row r="927" ht="15.75" customHeight="1">
      <c r="A927" s="534"/>
    </row>
    <row r="928" ht="15.75" customHeight="1">
      <c r="A928" s="534"/>
    </row>
    <row r="929" ht="15.75" customHeight="1">
      <c r="A929" s="534"/>
    </row>
    <row r="930" ht="15.75" customHeight="1">
      <c r="A930" s="534"/>
    </row>
    <row r="931" ht="15.75" customHeight="1">
      <c r="A931" s="534"/>
    </row>
    <row r="932" ht="15.75" customHeight="1">
      <c r="A932" s="534"/>
    </row>
    <row r="933" ht="15.75" customHeight="1">
      <c r="A933" s="534"/>
    </row>
    <row r="934" ht="15.75" customHeight="1">
      <c r="A934" s="534"/>
    </row>
    <row r="935" ht="15.75" customHeight="1">
      <c r="A935" s="534"/>
    </row>
    <row r="936" ht="15.75" customHeight="1">
      <c r="A936" s="534"/>
    </row>
    <row r="937" ht="15.75" customHeight="1">
      <c r="A937" s="534"/>
    </row>
    <row r="938" ht="15.75" customHeight="1">
      <c r="A938" s="534"/>
    </row>
    <row r="939" ht="15.75" customHeight="1">
      <c r="A939" s="534"/>
    </row>
    <row r="940" ht="15.75" customHeight="1">
      <c r="A940" s="534"/>
    </row>
    <row r="941" ht="15.75" customHeight="1">
      <c r="A941" s="534"/>
    </row>
    <row r="942" ht="15.75" customHeight="1">
      <c r="A942" s="534"/>
    </row>
    <row r="943" ht="15.75" customHeight="1">
      <c r="A943" s="534"/>
    </row>
    <row r="944" ht="15.75" customHeight="1">
      <c r="A944" s="534"/>
    </row>
    <row r="945" ht="15.75" customHeight="1">
      <c r="A945" s="534"/>
    </row>
    <row r="946" ht="15.75" customHeight="1">
      <c r="A946" s="534"/>
    </row>
    <row r="947" ht="15.75" customHeight="1">
      <c r="A947" s="534"/>
    </row>
    <row r="948" ht="15.75" customHeight="1">
      <c r="A948" s="534"/>
    </row>
    <row r="949" ht="15.75" customHeight="1">
      <c r="A949" s="534"/>
    </row>
    <row r="950" ht="15.75" customHeight="1">
      <c r="A950" s="534"/>
    </row>
    <row r="951" ht="15.75" customHeight="1">
      <c r="A951" s="534"/>
    </row>
    <row r="952" ht="15.75" customHeight="1">
      <c r="A952" s="534"/>
    </row>
    <row r="953" ht="15.75" customHeight="1">
      <c r="A953" s="534"/>
    </row>
    <row r="954" ht="15.75" customHeight="1">
      <c r="A954" s="534"/>
    </row>
    <row r="955" ht="15.75" customHeight="1">
      <c r="A955" s="534"/>
    </row>
    <row r="956" ht="15.75" customHeight="1">
      <c r="A956" s="534"/>
    </row>
    <row r="957" ht="15.75" customHeight="1">
      <c r="A957" s="534"/>
    </row>
    <row r="958" ht="15.75" customHeight="1">
      <c r="A958" s="534"/>
    </row>
    <row r="959" ht="15.75" customHeight="1">
      <c r="A959" s="534"/>
    </row>
    <row r="960" ht="15.75" customHeight="1">
      <c r="A960" s="534"/>
    </row>
    <row r="961" ht="15.75" customHeight="1">
      <c r="A961" s="534"/>
    </row>
    <row r="962" ht="15.75" customHeight="1">
      <c r="A962" s="534"/>
    </row>
    <row r="963" ht="15.75" customHeight="1">
      <c r="A963" s="534"/>
    </row>
    <row r="964" ht="15.75" customHeight="1">
      <c r="A964" s="534"/>
    </row>
    <row r="965" ht="15.75" customHeight="1">
      <c r="A965" s="534"/>
    </row>
    <row r="966" ht="15.75" customHeight="1">
      <c r="A966" s="534"/>
    </row>
    <row r="967" ht="15.75" customHeight="1">
      <c r="A967" s="534"/>
    </row>
    <row r="968" ht="15.75" customHeight="1">
      <c r="A968" s="534"/>
    </row>
    <row r="969" ht="15.75" customHeight="1">
      <c r="A969" s="534"/>
    </row>
    <row r="970" ht="15.75" customHeight="1">
      <c r="A970" s="534"/>
    </row>
    <row r="971" ht="15.75" customHeight="1">
      <c r="A971" s="534"/>
    </row>
    <row r="972" ht="15.75" customHeight="1">
      <c r="A972" s="534"/>
    </row>
    <row r="973" ht="15.75" customHeight="1">
      <c r="A973" s="534"/>
    </row>
    <row r="974" ht="15.75" customHeight="1">
      <c r="A974" s="534"/>
    </row>
    <row r="975" ht="15.75" customHeight="1">
      <c r="A975" s="534"/>
    </row>
    <row r="976" ht="15.75" customHeight="1">
      <c r="A976" s="534"/>
    </row>
    <row r="977" ht="15.75" customHeight="1">
      <c r="A977" s="534"/>
    </row>
    <row r="978" ht="15.75" customHeight="1">
      <c r="A978" s="534"/>
    </row>
    <row r="979" ht="15.75" customHeight="1">
      <c r="A979" s="534"/>
    </row>
    <row r="980" ht="15.75" customHeight="1">
      <c r="A980" s="534"/>
    </row>
    <row r="981" ht="15.75" customHeight="1">
      <c r="A981" s="534"/>
    </row>
    <row r="982" ht="15.75" customHeight="1">
      <c r="A982" s="534"/>
    </row>
    <row r="983" ht="15.75" customHeight="1">
      <c r="A983" s="534"/>
    </row>
    <row r="984" ht="15.75" customHeight="1">
      <c r="A984" s="534"/>
    </row>
    <row r="985" ht="15.75" customHeight="1">
      <c r="A985" s="534"/>
    </row>
    <row r="986" ht="15.75" customHeight="1">
      <c r="A986" s="534"/>
    </row>
    <row r="987" ht="15.75" customHeight="1">
      <c r="A987" s="534"/>
    </row>
    <row r="988" ht="15.75" customHeight="1">
      <c r="A988" s="534"/>
    </row>
    <row r="989" ht="15.75" customHeight="1">
      <c r="A989" s="534"/>
    </row>
    <row r="990" ht="15.75" customHeight="1">
      <c r="A990" s="534"/>
    </row>
    <row r="991" ht="15.75" customHeight="1">
      <c r="A991" s="534"/>
    </row>
    <row r="992" ht="15.75" customHeight="1">
      <c r="A992" s="534"/>
    </row>
    <row r="993" ht="15.75" customHeight="1">
      <c r="A993" s="534"/>
    </row>
    <row r="994" ht="15.75" customHeight="1">
      <c r="A994" s="534"/>
    </row>
    <row r="995" ht="15.75" customHeight="1">
      <c r="A995" s="534"/>
    </row>
    <row r="996" ht="15.75" customHeight="1">
      <c r="A996" s="534"/>
    </row>
    <row r="997" ht="15.75" customHeight="1">
      <c r="A997" s="534"/>
    </row>
    <row r="998" ht="15.75" customHeight="1">
      <c r="A998" s="534"/>
    </row>
    <row r="999" ht="15.75" customHeight="1">
      <c r="A999" s="534"/>
    </row>
    <row r="1000" ht="15.75" customHeight="1">
      <c r="A1000" s="534"/>
    </row>
    <row r="1001" ht="15.75" customHeight="1">
      <c r="A1001" s="534"/>
    </row>
    <row r="1002" ht="15.75" customHeight="1">
      <c r="A1002" s="534"/>
    </row>
    <row r="1003" ht="15.75" customHeight="1">
      <c r="A1003" s="534"/>
    </row>
    <row r="1004" ht="15.75" customHeight="1">
      <c r="A1004" s="534"/>
    </row>
    <row r="1005" ht="15.75" customHeight="1">
      <c r="A1005" s="534"/>
    </row>
    <row r="1006" ht="15.75" customHeight="1">
      <c r="A1006" s="534"/>
    </row>
    <row r="1007" ht="15.75" customHeight="1">
      <c r="A1007" s="534"/>
    </row>
    <row r="1008" ht="15.75" customHeight="1">
      <c r="A1008" s="534"/>
    </row>
    <row r="1009" ht="15.75" customHeight="1">
      <c r="A1009" s="534"/>
    </row>
    <row r="1010" ht="15.75" customHeight="1">
      <c r="A1010" s="534"/>
    </row>
    <row r="1011" ht="15.75" customHeight="1">
      <c r="A1011" s="534"/>
    </row>
    <row r="1012" ht="15.75" customHeight="1">
      <c r="A1012" s="534"/>
    </row>
    <row r="1013" ht="15.75" customHeight="1">
      <c r="A1013" s="534"/>
    </row>
    <row r="1014" ht="15.75" customHeight="1">
      <c r="A1014" s="534"/>
    </row>
  </sheetData>
  <mergeCells count="54">
    <mergeCell ref="H52:H53"/>
    <mergeCell ref="H54:H55"/>
    <mergeCell ref="H38:H39"/>
    <mergeCell ref="H40:H41"/>
    <mergeCell ref="H42:H43"/>
    <mergeCell ref="H44:H45"/>
    <mergeCell ref="H46:H47"/>
    <mergeCell ref="H48:H49"/>
    <mergeCell ref="H50:H51"/>
    <mergeCell ref="A1:H1"/>
    <mergeCell ref="A2:H2"/>
    <mergeCell ref="A3:H3"/>
    <mergeCell ref="G5:H5"/>
    <mergeCell ref="G6:G7"/>
    <mergeCell ref="H6:H7"/>
    <mergeCell ref="H8:H9"/>
    <mergeCell ref="G8:G9"/>
    <mergeCell ref="G10:G11"/>
    <mergeCell ref="H10:H11"/>
    <mergeCell ref="G12:G13"/>
    <mergeCell ref="H12:H13"/>
    <mergeCell ref="G14:G15"/>
    <mergeCell ref="H14:H15"/>
    <mergeCell ref="G16:G17"/>
    <mergeCell ref="H16:H17"/>
    <mergeCell ref="G18:G19"/>
    <mergeCell ref="H18:H19"/>
    <mergeCell ref="G20:G21"/>
    <mergeCell ref="H20:H21"/>
    <mergeCell ref="H22:H23"/>
    <mergeCell ref="G22:G23"/>
    <mergeCell ref="G24:G25"/>
    <mergeCell ref="G26:G27"/>
    <mergeCell ref="G28:G29"/>
    <mergeCell ref="G30:G31"/>
    <mergeCell ref="G32:G33"/>
    <mergeCell ref="G34:G35"/>
    <mergeCell ref="H24:H25"/>
    <mergeCell ref="H26:H27"/>
    <mergeCell ref="H28:H29"/>
    <mergeCell ref="H30:H31"/>
    <mergeCell ref="H32:H33"/>
    <mergeCell ref="H34:H35"/>
    <mergeCell ref="H36:H37"/>
    <mergeCell ref="G50:G51"/>
    <mergeCell ref="G52:G53"/>
    <mergeCell ref="G54:G55"/>
    <mergeCell ref="G36:G37"/>
    <mergeCell ref="G38:G39"/>
    <mergeCell ref="G40:G41"/>
    <mergeCell ref="G42:G43"/>
    <mergeCell ref="G44:G45"/>
    <mergeCell ref="G46:G47"/>
    <mergeCell ref="G48:G49"/>
  </mergeCells>
  <conditionalFormatting sqref="A6:F55">
    <cfRule type="cellIs" dxfId="2" priority="1" operator="equal">
      <formula>0</formula>
    </cfRule>
  </conditionalFormatting>
  <conditionalFormatting sqref="G6:H6 G8:H8 G10:H10 G12:H12 G14:H14 G16:H16 G18:H18 G20:H20 G22:H22 G24:H24 G26:H26 G28:H28 G30:H30 G32:H32 G34:H34 G36:H36 G38:H38 G40:H40 G42:H42 G44:H44 G46:H46 G48:H48 G50:H50 G52:H52 G54:H55">
    <cfRule type="cellIs" dxfId="3" priority="2" operator="equal">
      <formula>0</formula>
    </cfRule>
  </conditionalFormatting>
  <printOptions horizontalCentered="1"/>
  <pageMargins bottom="0.0" footer="0.0" header="0.0" left="0.1968503937007874" right="0.1968503937007874" top="0.6299212598425197"/>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4.43" defaultRowHeight="15.0"/>
  <cols>
    <col customWidth="1" min="1" max="1" width="5.29"/>
    <col customWidth="1" min="2" max="2" width="30.29"/>
    <col customWidth="1" min="3" max="3" width="2.86"/>
    <col customWidth="1" min="4" max="4" width="9.71"/>
    <col customWidth="1" min="5" max="5" width="22.71"/>
    <col customWidth="1" min="6" max="6" width="20.57"/>
    <col customWidth="1" min="7" max="7" width="2.43"/>
    <col customWidth="1" min="8" max="8" width="28.0"/>
    <col customWidth="1" min="9" max="10" width="8.71"/>
  </cols>
  <sheetData>
    <row r="1" ht="21.75" customHeight="1">
      <c r="A1" s="554" t="s">
        <v>391</v>
      </c>
      <c r="I1" s="15"/>
      <c r="J1" s="555">
        <v>1.0</v>
      </c>
      <c r="K1" s="15"/>
      <c r="L1" s="15"/>
      <c r="M1" s="15"/>
      <c r="N1" s="15"/>
      <c r="O1" s="15"/>
      <c r="P1" s="15"/>
      <c r="Q1" s="15"/>
      <c r="R1" s="15"/>
      <c r="S1" s="15"/>
      <c r="T1" s="15"/>
      <c r="U1" s="15"/>
      <c r="V1" s="15"/>
      <c r="W1" s="15"/>
      <c r="X1" s="15"/>
      <c r="Y1" s="15"/>
      <c r="Z1" s="15"/>
    </row>
    <row r="2">
      <c r="A2" s="556"/>
      <c r="B2" s="556"/>
      <c r="C2" s="556"/>
      <c r="D2" s="556"/>
      <c r="E2" s="556"/>
      <c r="F2" s="556"/>
      <c r="G2" s="556"/>
      <c r="H2" s="556"/>
      <c r="I2" s="15"/>
      <c r="J2" s="15"/>
      <c r="K2" s="15"/>
      <c r="L2" s="15"/>
      <c r="M2" s="15"/>
      <c r="N2" s="15"/>
      <c r="O2" s="15"/>
      <c r="P2" s="15"/>
      <c r="Q2" s="15"/>
      <c r="R2" s="15"/>
      <c r="S2" s="15"/>
      <c r="T2" s="15"/>
      <c r="U2" s="15"/>
      <c r="V2" s="15"/>
      <c r="W2" s="15"/>
      <c r="X2" s="15"/>
      <c r="Y2" s="15"/>
      <c r="Z2" s="15"/>
    </row>
    <row r="3">
      <c r="A3" s="447" t="s">
        <v>393</v>
      </c>
      <c r="C3" s="557" t="s">
        <v>336</v>
      </c>
      <c r="D3" s="559" t="str">
        <f>VLOOKUP($J$1,'OLAH RAPORT P5'!$A$5:$AH$42,2)</f>
        <v>#N/A</v>
      </c>
      <c r="E3" s="558"/>
      <c r="F3" s="15" t="s">
        <v>339</v>
      </c>
      <c r="G3" s="15" t="s">
        <v>336</v>
      </c>
      <c r="H3" s="15" t="s">
        <v>394</v>
      </c>
      <c r="I3" s="15"/>
      <c r="J3" s="15">
        <v>1.0</v>
      </c>
      <c r="K3" s="15"/>
      <c r="L3" s="15"/>
      <c r="M3" s="15"/>
      <c r="N3" s="15"/>
      <c r="O3" s="15"/>
      <c r="P3" s="15"/>
      <c r="Q3" s="15"/>
      <c r="R3" s="15"/>
      <c r="S3" s="15"/>
      <c r="T3" s="15"/>
      <c r="U3" s="15"/>
      <c r="V3" s="15"/>
      <c r="W3" s="15"/>
      <c r="X3" s="15"/>
      <c r="Y3" s="15"/>
      <c r="Z3" s="15"/>
    </row>
    <row r="4">
      <c r="A4" s="447" t="s">
        <v>395</v>
      </c>
      <c r="C4" s="557" t="s">
        <v>336</v>
      </c>
      <c r="D4" s="560" t="str">
        <f>VLOOKUP($J$1,'OLAH RAPORT P5'!$A$5:$AH$42,3)</f>
        <v>#N/A</v>
      </c>
      <c r="F4" s="15" t="s">
        <v>397</v>
      </c>
      <c r="G4" s="557" t="s">
        <v>336</v>
      </c>
      <c r="H4" s="560" t="s">
        <v>398</v>
      </c>
      <c r="I4" s="15"/>
      <c r="J4" s="15"/>
      <c r="K4" s="15"/>
      <c r="L4" s="15"/>
      <c r="M4" s="15"/>
      <c r="N4" s="15"/>
      <c r="O4" s="15"/>
      <c r="P4" s="15"/>
      <c r="Q4" s="15"/>
      <c r="R4" s="15"/>
      <c r="S4" s="15"/>
      <c r="T4" s="15"/>
      <c r="U4" s="15"/>
      <c r="V4" s="15"/>
      <c r="W4" s="15"/>
      <c r="X4" s="15"/>
      <c r="Y4" s="15"/>
      <c r="Z4" s="15"/>
    </row>
    <row r="5">
      <c r="A5" s="447" t="s">
        <v>399</v>
      </c>
      <c r="C5" s="557" t="s">
        <v>336</v>
      </c>
      <c r="D5" s="560" t="str">
        <f>VLOOKUP($J$1,'OLAH RAPORT P5'!$A$5:$AH$42,4)</f>
        <v>#N/A</v>
      </c>
      <c r="E5" s="558"/>
      <c r="F5" s="15" t="s">
        <v>400</v>
      </c>
      <c r="G5" s="557" t="s">
        <v>336</v>
      </c>
      <c r="H5" s="560" t="s">
        <v>401</v>
      </c>
      <c r="I5" s="15"/>
      <c r="J5" s="15"/>
      <c r="K5" s="15"/>
      <c r="L5" s="15"/>
      <c r="M5" s="15"/>
      <c r="N5" s="15"/>
      <c r="O5" s="15"/>
      <c r="P5" s="15"/>
      <c r="Q5" s="15"/>
      <c r="R5" s="15"/>
      <c r="S5" s="15"/>
      <c r="T5" s="15"/>
      <c r="U5" s="15"/>
      <c r="V5" s="15"/>
      <c r="W5" s="15"/>
      <c r="X5" s="15"/>
      <c r="Y5" s="15"/>
      <c r="Z5" s="15"/>
    </row>
    <row r="6">
      <c r="A6" s="447" t="s">
        <v>403</v>
      </c>
      <c r="C6" s="557" t="s">
        <v>336</v>
      </c>
      <c r="D6" s="560" t="str">
        <f>SETTING!$C$3</f>
        <v>Ganjil</v>
      </c>
      <c r="E6" s="558"/>
      <c r="F6" s="15" t="s">
        <v>376</v>
      </c>
      <c r="G6" s="557" t="s">
        <v>336</v>
      </c>
      <c r="H6" s="560" t="s">
        <v>404</v>
      </c>
      <c r="I6" s="15"/>
      <c r="J6" s="15"/>
      <c r="K6" s="15"/>
      <c r="L6" s="15"/>
      <c r="M6" s="15"/>
      <c r="N6" s="15"/>
      <c r="O6" s="15"/>
      <c r="P6" s="15"/>
      <c r="Q6" s="15"/>
      <c r="R6" s="15"/>
      <c r="S6" s="15"/>
      <c r="T6" s="15"/>
      <c r="U6" s="15"/>
      <c r="V6" s="15"/>
      <c r="W6" s="15"/>
      <c r="X6" s="15"/>
      <c r="Y6" s="15"/>
      <c r="Z6" s="15"/>
    </row>
    <row r="7">
      <c r="A7" s="448"/>
      <c r="B7" s="15"/>
      <c r="C7" s="15"/>
      <c r="D7" s="15"/>
      <c r="E7" s="15"/>
      <c r="F7" s="15"/>
      <c r="G7" s="448"/>
      <c r="H7" s="15"/>
      <c r="I7" s="15"/>
      <c r="J7" s="15"/>
      <c r="K7" s="15"/>
      <c r="L7" s="15"/>
      <c r="M7" s="15"/>
      <c r="N7" s="15"/>
      <c r="O7" s="15"/>
      <c r="P7" s="15"/>
      <c r="Q7" s="15"/>
      <c r="R7" s="15"/>
      <c r="S7" s="15"/>
      <c r="T7" s="15"/>
      <c r="U7" s="15"/>
      <c r="V7" s="15"/>
      <c r="W7" s="15"/>
      <c r="X7" s="15"/>
      <c r="Y7" s="15"/>
      <c r="Z7" s="15"/>
    </row>
    <row r="8" ht="15.0" customHeight="1">
      <c r="A8" s="562" t="s">
        <v>405</v>
      </c>
      <c r="C8" s="563" t="s">
        <v>336</v>
      </c>
      <c r="D8" s="562" t="s">
        <v>406</v>
      </c>
      <c r="G8" s="523"/>
      <c r="H8" s="523"/>
      <c r="I8" s="523"/>
      <c r="J8" s="523"/>
      <c r="K8" s="15"/>
      <c r="L8" s="15"/>
      <c r="M8" s="15"/>
      <c r="N8" s="15"/>
      <c r="O8" s="15"/>
      <c r="P8" s="15"/>
      <c r="Q8" s="15"/>
      <c r="R8" s="15"/>
      <c r="S8" s="15"/>
      <c r="T8" s="15"/>
      <c r="U8" s="15"/>
      <c r="V8" s="15"/>
      <c r="W8" s="15"/>
      <c r="X8" s="15"/>
      <c r="Y8" s="15"/>
      <c r="Z8" s="15"/>
    </row>
    <row r="9" ht="15.0" customHeight="1">
      <c r="A9" s="562" t="s">
        <v>407</v>
      </c>
      <c r="C9" s="563" t="s">
        <v>336</v>
      </c>
      <c r="D9" s="565" t="s">
        <v>408</v>
      </c>
      <c r="E9" s="565"/>
      <c r="F9" s="523"/>
      <c r="G9" s="523"/>
      <c r="H9" s="523"/>
      <c r="I9" s="523"/>
      <c r="J9" s="523"/>
      <c r="K9" s="15"/>
      <c r="L9" s="15"/>
      <c r="M9" s="15"/>
      <c r="N9" s="15"/>
      <c r="O9" s="15"/>
      <c r="P9" s="15"/>
      <c r="Q9" s="15"/>
      <c r="R9" s="15"/>
      <c r="S9" s="15"/>
      <c r="T9" s="15"/>
      <c r="U9" s="15"/>
      <c r="V9" s="15"/>
      <c r="W9" s="15"/>
      <c r="X9" s="15"/>
      <c r="Y9" s="15"/>
      <c r="Z9" s="15"/>
    </row>
    <row r="10" ht="6.75" customHeight="1">
      <c r="A10" s="567"/>
      <c r="B10" s="545"/>
      <c r="C10" s="545"/>
      <c r="D10" s="545"/>
      <c r="E10" s="545"/>
      <c r="F10" s="545"/>
      <c r="G10" s="545"/>
      <c r="H10" s="545"/>
      <c r="I10" s="523"/>
      <c r="J10" s="523"/>
      <c r="K10" s="15"/>
      <c r="L10" s="15"/>
      <c r="M10" s="15"/>
      <c r="N10" s="15"/>
      <c r="O10" s="15"/>
      <c r="P10" s="15"/>
      <c r="Q10" s="15"/>
      <c r="R10" s="15"/>
      <c r="S10" s="15"/>
      <c r="T10" s="15"/>
      <c r="U10" s="15"/>
      <c r="V10" s="15"/>
      <c r="W10" s="15"/>
      <c r="X10" s="15"/>
      <c r="Y10" s="15"/>
      <c r="Z10" s="15"/>
    </row>
    <row r="11" ht="29.25" customHeight="1">
      <c r="A11" s="568" t="s">
        <v>410</v>
      </c>
      <c r="B11" s="466"/>
      <c r="C11" s="467"/>
      <c r="D11" s="572" t="s">
        <v>201</v>
      </c>
      <c r="E11" s="466"/>
      <c r="F11" s="466"/>
      <c r="G11" s="466"/>
      <c r="H11" s="467"/>
      <c r="I11" s="523"/>
      <c r="J11" s="523"/>
      <c r="K11" s="15"/>
      <c r="L11" s="15"/>
      <c r="M11" s="15"/>
      <c r="N11" s="15"/>
      <c r="O11" s="15"/>
      <c r="P11" s="15"/>
      <c r="Q11" s="15"/>
      <c r="R11" s="15"/>
      <c r="S11" s="15"/>
      <c r="T11" s="15"/>
      <c r="U11" s="15"/>
      <c r="V11" s="15"/>
      <c r="W11" s="15"/>
      <c r="X11" s="15"/>
      <c r="Y11" s="15"/>
      <c r="Z11" s="15"/>
    </row>
    <row r="12" ht="18.75" customHeight="1">
      <c r="A12" s="574" t="s">
        <v>195</v>
      </c>
      <c r="B12" s="466"/>
      <c r="C12" s="466"/>
      <c r="D12" s="466"/>
      <c r="E12" s="466"/>
      <c r="F12" s="466"/>
      <c r="G12" s="466"/>
      <c r="H12" s="467"/>
      <c r="I12" s="523"/>
      <c r="J12" s="523"/>
      <c r="K12" s="15"/>
      <c r="L12" s="15"/>
      <c r="M12" s="15"/>
      <c r="N12" s="15"/>
      <c r="O12" s="15"/>
      <c r="P12" s="15"/>
      <c r="Q12" s="15"/>
      <c r="R12" s="15"/>
      <c r="S12" s="15"/>
      <c r="T12" s="15"/>
      <c r="U12" s="15"/>
      <c r="V12" s="15"/>
      <c r="W12" s="15"/>
      <c r="X12" s="15"/>
      <c r="Y12" s="15"/>
      <c r="Z12" s="15"/>
    </row>
    <row r="13" ht="60.0" customHeight="1">
      <c r="A13" s="575" t="s">
        <v>412</v>
      </c>
      <c r="B13" s="576" t="s">
        <v>413</v>
      </c>
      <c r="C13" s="29"/>
      <c r="D13" s="577" t="str">
        <f>VLOOKUP($J$1,'OLAH RAPORT P5'!$A$5:$M$40,5)</f>
        <v>#N/A</v>
      </c>
      <c r="E13" s="577" t="str">
        <f>VLOOKUP($J$1,'OLAH RAPORT P5'!$A$5:$M$40,6)</f>
        <v>#N/A</v>
      </c>
      <c r="F13" s="578" t="str">
        <f>VLOOKUP($J$1,'OLAH RAPORT P5'!$A$5:$M$40,7)</f>
        <v>#N/A</v>
      </c>
      <c r="G13" s="466"/>
      <c r="H13" s="467"/>
      <c r="I13" s="523"/>
      <c r="J13" s="523"/>
      <c r="K13" s="15"/>
      <c r="L13" s="15"/>
      <c r="M13" s="15"/>
      <c r="N13" s="15"/>
      <c r="O13" s="15"/>
      <c r="P13" s="15"/>
      <c r="Q13" s="15"/>
      <c r="R13" s="15"/>
      <c r="S13" s="15"/>
      <c r="T13" s="15"/>
      <c r="U13" s="15"/>
      <c r="V13" s="15"/>
      <c r="W13" s="15"/>
      <c r="X13" s="15"/>
      <c r="Y13" s="15"/>
      <c r="Z13" s="15"/>
    </row>
    <row r="14" ht="18.75" customHeight="1">
      <c r="A14" s="579" t="s">
        <v>414</v>
      </c>
      <c r="B14" s="466"/>
      <c r="C14" s="466"/>
      <c r="D14" s="466"/>
      <c r="E14" s="466"/>
      <c r="F14" s="466"/>
      <c r="G14" s="466"/>
      <c r="H14" s="467"/>
      <c r="I14" s="523"/>
      <c r="J14" s="523"/>
      <c r="K14" s="15"/>
      <c r="L14" s="15"/>
      <c r="M14" s="15"/>
      <c r="N14" s="15"/>
      <c r="O14" s="15"/>
      <c r="P14" s="15"/>
      <c r="Q14" s="15"/>
      <c r="R14" s="15"/>
      <c r="S14" s="15"/>
      <c r="T14" s="15"/>
      <c r="U14" s="15"/>
      <c r="V14" s="15"/>
      <c r="W14" s="15"/>
      <c r="X14" s="15"/>
      <c r="Y14" s="15"/>
      <c r="Z14" s="15"/>
    </row>
    <row r="15" ht="60.0" customHeight="1">
      <c r="A15" s="580" t="s">
        <v>412</v>
      </c>
      <c r="B15" s="581" t="s">
        <v>415</v>
      </c>
      <c r="C15" s="582"/>
      <c r="D15" s="583" t="str">
        <f>VLOOKUP($J$1,'OLAH RAPORT P5'!$A$5:$M$40,8)</f>
        <v>#N/A</v>
      </c>
      <c r="E15" s="583" t="str">
        <f>VLOOKUP($J$1,'OLAH RAPORT P5'!$A$5:$M$40,9)</f>
        <v>#N/A</v>
      </c>
      <c r="F15" s="584" t="str">
        <f>VLOOKUP($J$1,'OLAH RAPORT P5'!$A$5:$M$40,10)</f>
        <v>#N/A</v>
      </c>
      <c r="G15" s="27"/>
      <c r="H15" s="29"/>
      <c r="I15" s="523"/>
      <c r="J15" s="523"/>
      <c r="K15" s="15"/>
      <c r="L15" s="15"/>
      <c r="M15" s="15"/>
      <c r="N15" s="15"/>
      <c r="O15" s="15"/>
      <c r="P15" s="15"/>
      <c r="Q15" s="15"/>
      <c r="R15" s="15"/>
      <c r="S15" s="15"/>
      <c r="T15" s="15"/>
      <c r="U15" s="15"/>
      <c r="V15" s="15"/>
      <c r="W15" s="15"/>
      <c r="X15" s="15"/>
      <c r="Y15" s="15"/>
      <c r="Z15" s="15"/>
    </row>
    <row r="16" ht="60.0" customHeight="1">
      <c r="A16" s="586" t="s">
        <v>417</v>
      </c>
      <c r="B16" s="587" t="s">
        <v>418</v>
      </c>
      <c r="C16" s="588"/>
      <c r="D16" s="63"/>
      <c r="E16" s="63"/>
      <c r="F16" s="541"/>
      <c r="G16" s="542"/>
      <c r="H16" s="313"/>
      <c r="I16" s="523"/>
      <c r="J16" s="523"/>
      <c r="K16" s="15"/>
      <c r="L16" s="15"/>
      <c r="M16" s="15"/>
      <c r="N16" s="15"/>
      <c r="O16" s="15"/>
      <c r="P16" s="15"/>
      <c r="Q16" s="15"/>
      <c r="R16" s="15"/>
      <c r="S16" s="15"/>
      <c r="T16" s="15"/>
      <c r="U16" s="15"/>
      <c r="V16" s="15"/>
      <c r="W16" s="15"/>
      <c r="X16" s="15"/>
      <c r="Y16" s="15"/>
      <c r="Z16" s="15"/>
    </row>
    <row r="17">
      <c r="A17" s="579" t="s">
        <v>198</v>
      </c>
      <c r="B17" s="466"/>
      <c r="C17" s="466"/>
      <c r="D17" s="466"/>
      <c r="E17" s="466"/>
      <c r="F17" s="466"/>
      <c r="G17" s="466"/>
      <c r="H17" s="467"/>
      <c r="I17" s="523"/>
      <c r="J17" s="523"/>
      <c r="K17" s="15"/>
      <c r="L17" s="15"/>
      <c r="M17" s="15"/>
      <c r="N17" s="15"/>
      <c r="O17" s="15"/>
      <c r="P17" s="15"/>
      <c r="Q17" s="15"/>
      <c r="R17" s="15"/>
      <c r="S17" s="15"/>
      <c r="T17" s="15"/>
      <c r="U17" s="15"/>
      <c r="V17" s="15"/>
      <c r="W17" s="15"/>
      <c r="X17" s="15"/>
      <c r="Y17" s="15"/>
      <c r="Z17" s="15"/>
    </row>
    <row r="18" ht="60.0" customHeight="1">
      <c r="A18" s="589" t="s">
        <v>412</v>
      </c>
      <c r="B18" s="590" t="s">
        <v>419</v>
      </c>
      <c r="C18" s="467"/>
      <c r="D18" s="591" t="str">
        <f>VLOOKUP($J$1,'OLAH RAPORT P5'!$A$5:$M$40,11)</f>
        <v>#N/A</v>
      </c>
      <c r="E18" s="591" t="str">
        <f>VLOOKUP($J$1,'OLAH RAPORT P5'!$A$5:$M$40,12)</f>
        <v>#N/A</v>
      </c>
      <c r="F18" s="592" t="str">
        <f>VLOOKUP($J$1,'OLAH RAPORT P5'!$A$5:$M$40,13)</f>
        <v>#N/A</v>
      </c>
      <c r="G18" s="466"/>
      <c r="H18" s="467"/>
      <c r="I18" s="15"/>
      <c r="J18" s="15"/>
      <c r="K18" s="15"/>
      <c r="L18" s="15"/>
      <c r="M18" s="15"/>
      <c r="N18" s="15"/>
      <c r="O18" s="15"/>
      <c r="P18" s="15"/>
      <c r="Q18" s="15"/>
      <c r="R18" s="15"/>
      <c r="S18" s="15"/>
      <c r="T18" s="15"/>
      <c r="U18" s="15"/>
      <c r="V18" s="15"/>
      <c r="W18" s="15"/>
      <c r="X18" s="15"/>
      <c r="Y18" s="15"/>
      <c r="Z18" s="15"/>
    </row>
    <row r="19">
      <c r="A19" s="448"/>
      <c r="B19" s="523"/>
      <c r="C19" s="523"/>
      <c r="D19" s="523"/>
      <c r="E19" s="523"/>
      <c r="F19" s="523"/>
      <c r="G19" s="523"/>
      <c r="H19" s="523"/>
      <c r="I19" s="15"/>
      <c r="J19" s="15"/>
      <c r="K19" s="15"/>
      <c r="L19" s="15"/>
      <c r="M19" s="15"/>
      <c r="N19" s="15"/>
      <c r="O19" s="15"/>
      <c r="P19" s="15"/>
      <c r="Q19" s="15"/>
      <c r="R19" s="15"/>
      <c r="S19" s="15"/>
      <c r="T19" s="15"/>
      <c r="U19" s="15"/>
      <c r="V19" s="15"/>
      <c r="W19" s="15"/>
      <c r="X19" s="15"/>
      <c r="Y19" s="15"/>
      <c r="Z19" s="15"/>
    </row>
    <row r="20">
      <c r="A20" s="560"/>
      <c r="B20" s="543"/>
      <c r="C20" s="546"/>
      <c r="D20" s="544"/>
      <c r="E20" s="448"/>
      <c r="F20" s="15"/>
      <c r="G20" s="15" t="str">
        <f>SETTING!$C$34</f>
        <v>Purwakarta, 22 Desember 2025</v>
      </c>
      <c r="H20" s="15"/>
      <c r="I20" s="15"/>
      <c r="J20" s="15"/>
      <c r="K20" s="15"/>
      <c r="L20" s="15"/>
      <c r="M20" s="15"/>
      <c r="N20" s="15"/>
      <c r="O20" s="15"/>
      <c r="P20" s="15"/>
      <c r="Q20" s="15"/>
      <c r="R20" s="15"/>
      <c r="S20" s="15"/>
      <c r="T20" s="15"/>
      <c r="U20" s="15"/>
      <c r="V20" s="15"/>
      <c r="W20" s="15"/>
      <c r="X20" s="15"/>
      <c r="Y20" s="15"/>
      <c r="Z20" s="15"/>
    </row>
    <row r="21" ht="15.75" customHeight="1">
      <c r="A21" s="448"/>
      <c r="B21" s="449"/>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448"/>
      <c r="B22" s="449" t="s">
        <v>387</v>
      </c>
      <c r="D22" s="15"/>
      <c r="E22" s="448"/>
      <c r="F22" s="15"/>
      <c r="G22" s="15" t="s">
        <v>368</v>
      </c>
      <c r="H22" s="15"/>
      <c r="I22" s="15"/>
      <c r="J22" s="15"/>
      <c r="K22" s="15"/>
      <c r="L22" s="15"/>
      <c r="M22" s="15"/>
      <c r="N22" s="15"/>
      <c r="O22" s="15"/>
      <c r="P22" s="15"/>
      <c r="Q22" s="15"/>
      <c r="R22" s="15"/>
      <c r="S22" s="15"/>
      <c r="T22" s="15"/>
      <c r="U22" s="15"/>
      <c r="V22" s="15"/>
      <c r="W22" s="15"/>
      <c r="X22" s="15"/>
      <c r="Y22" s="15"/>
      <c r="Z22" s="15"/>
    </row>
    <row r="23" ht="15.75" customHeight="1">
      <c r="A23" s="448"/>
      <c r="B23" s="548"/>
      <c r="C23" s="15"/>
      <c r="D23" s="15"/>
      <c r="E23" s="448"/>
      <c r="F23" s="15"/>
      <c r="G23" s="15"/>
      <c r="H23" s="15"/>
      <c r="I23" s="15"/>
      <c r="J23" s="15"/>
      <c r="K23" s="15"/>
      <c r="L23" s="15"/>
      <c r="M23" s="15"/>
      <c r="N23" s="15"/>
      <c r="O23" s="15"/>
      <c r="P23" s="15"/>
      <c r="Q23" s="15"/>
      <c r="R23" s="15"/>
      <c r="S23" s="15"/>
      <c r="T23" s="15"/>
      <c r="U23" s="15"/>
      <c r="V23" s="15"/>
      <c r="W23" s="15"/>
      <c r="X23" s="15"/>
      <c r="Y23" s="15"/>
      <c r="Z23" s="15"/>
    </row>
    <row r="24" ht="15.75" customHeight="1">
      <c r="A24" s="448"/>
      <c r="B24" s="548"/>
      <c r="C24" s="15"/>
      <c r="D24" s="15"/>
      <c r="E24" s="448"/>
      <c r="F24" s="15"/>
      <c r="G24" s="15"/>
      <c r="H24" s="15"/>
      <c r="I24" s="15"/>
      <c r="J24" s="15"/>
      <c r="K24" s="15"/>
      <c r="L24" s="15"/>
      <c r="M24" s="15"/>
      <c r="N24" s="15"/>
      <c r="O24" s="15"/>
      <c r="P24" s="15"/>
      <c r="Q24" s="15"/>
      <c r="R24" s="15"/>
      <c r="S24" s="15"/>
      <c r="T24" s="15"/>
      <c r="U24" s="15"/>
      <c r="V24" s="15"/>
      <c r="W24" s="15"/>
      <c r="X24" s="15"/>
      <c r="Y24" s="15"/>
      <c r="Z24" s="15"/>
    </row>
    <row r="25" ht="15.75" customHeight="1">
      <c r="A25" s="448"/>
      <c r="B25" s="548"/>
      <c r="C25" s="15"/>
      <c r="D25" s="15"/>
      <c r="E25" s="448"/>
      <c r="F25" s="15"/>
      <c r="G25" s="15"/>
      <c r="H25" s="15"/>
      <c r="I25" s="15"/>
      <c r="J25" s="15"/>
      <c r="K25" s="15"/>
      <c r="L25" s="15"/>
      <c r="M25" s="15"/>
      <c r="N25" s="15"/>
      <c r="O25" s="15"/>
      <c r="P25" s="15"/>
      <c r="Q25" s="15"/>
      <c r="R25" s="15"/>
      <c r="S25" s="15"/>
      <c r="T25" s="15"/>
      <c r="U25" s="15"/>
      <c r="V25" s="15"/>
      <c r="W25" s="15"/>
      <c r="X25" s="15"/>
      <c r="Y25" s="15"/>
      <c r="Z25" s="15"/>
    </row>
    <row r="26" ht="15.75" customHeight="1">
      <c r="A26" s="448"/>
      <c r="B26" s="528" t="s">
        <v>388</v>
      </c>
      <c r="C26" s="15"/>
      <c r="D26" s="15"/>
      <c r="E26" s="448"/>
      <c r="F26" s="15"/>
      <c r="G26" s="549" t="str">
        <f>SETTING!$C$9</f>
        <v>ASEP SANDIANA AZHAR, S.T.</v>
      </c>
      <c r="H26" s="15"/>
      <c r="I26" s="15"/>
      <c r="J26" s="15"/>
      <c r="K26" s="15"/>
      <c r="L26" s="15"/>
      <c r="M26" s="15"/>
      <c r="N26" s="15"/>
      <c r="O26" s="15"/>
      <c r="P26" s="15"/>
      <c r="Q26" s="15"/>
      <c r="R26" s="15"/>
      <c r="S26" s="15"/>
      <c r="T26" s="15"/>
      <c r="U26" s="15"/>
      <c r="V26" s="15"/>
      <c r="W26" s="15"/>
      <c r="X26" s="15"/>
      <c r="Y26" s="15"/>
      <c r="Z26" s="15"/>
    </row>
    <row r="27" ht="15.75" customHeight="1">
      <c r="A27" s="448"/>
      <c r="B27" s="548"/>
      <c r="C27" s="15"/>
      <c r="D27" s="15"/>
      <c r="E27" s="448"/>
      <c r="F27" s="15"/>
      <c r="G27" s="15" t="str">
        <f>"NIP "&amp;SETTING!$C$10</f>
        <v>NIP NIP. 199203032025211186</v>
      </c>
      <c r="H27" s="15"/>
      <c r="I27" s="15"/>
      <c r="J27" s="15"/>
      <c r="K27" s="15"/>
      <c r="L27" s="15"/>
      <c r="M27" s="15"/>
      <c r="N27" s="15"/>
      <c r="O27" s="15"/>
      <c r="P27" s="15"/>
      <c r="Q27" s="15"/>
      <c r="R27" s="15"/>
      <c r="S27" s="15"/>
      <c r="T27" s="15"/>
      <c r="U27" s="15"/>
      <c r="V27" s="15"/>
      <c r="W27" s="15"/>
      <c r="X27" s="15"/>
      <c r="Y27" s="15"/>
      <c r="Z27" s="15"/>
    </row>
    <row r="28" ht="15.0" hidden="1" customHeight="1">
      <c r="A28" s="448"/>
      <c r="B28" s="603"/>
      <c r="C28" s="15"/>
      <c r="D28" s="15"/>
      <c r="E28" s="448" t="s">
        <v>389</v>
      </c>
      <c r="F28" s="15"/>
      <c r="G28" s="15"/>
      <c r="H28" s="15"/>
      <c r="I28" s="15"/>
      <c r="J28" s="15"/>
      <c r="K28" s="15"/>
      <c r="L28" s="15"/>
      <c r="M28" s="15"/>
      <c r="N28" s="15"/>
      <c r="O28" s="15"/>
      <c r="P28" s="15"/>
      <c r="Q28" s="15"/>
      <c r="R28" s="15"/>
      <c r="S28" s="15"/>
      <c r="T28" s="15"/>
      <c r="U28" s="15"/>
      <c r="V28" s="15"/>
      <c r="W28" s="15"/>
      <c r="X28" s="15"/>
      <c r="Y28" s="15"/>
      <c r="Z28" s="15"/>
    </row>
    <row r="29" ht="15.75" customHeight="1">
      <c r="A29" s="448"/>
      <c r="B29" s="550"/>
      <c r="C29" s="15"/>
      <c r="D29" s="15"/>
      <c r="E29" s="448" t="s">
        <v>390</v>
      </c>
      <c r="F29" s="15"/>
      <c r="G29" s="15"/>
      <c r="H29" s="15"/>
      <c r="I29" s="15"/>
      <c r="J29" s="15"/>
      <c r="K29" s="15"/>
      <c r="L29" s="15"/>
      <c r="M29" s="15"/>
      <c r="N29" s="15"/>
      <c r="O29" s="15"/>
      <c r="P29" s="15"/>
      <c r="Q29" s="15"/>
      <c r="R29" s="15"/>
      <c r="S29" s="15"/>
      <c r="T29" s="15"/>
      <c r="U29" s="15"/>
      <c r="V29" s="15"/>
      <c r="W29" s="15"/>
      <c r="X29" s="15"/>
      <c r="Y29" s="15"/>
      <c r="Z29" s="15"/>
    </row>
    <row r="30" ht="15.75" customHeight="1">
      <c r="A30" s="448"/>
      <c r="B30" s="550"/>
      <c r="C30" s="15"/>
      <c r="D30" s="15"/>
      <c r="E30" s="605"/>
      <c r="F30" s="15"/>
      <c r="G30" s="15"/>
      <c r="H30" s="448"/>
      <c r="I30" s="15"/>
      <c r="J30" s="15"/>
      <c r="K30" s="15"/>
      <c r="L30" s="15"/>
      <c r="M30" s="15"/>
      <c r="N30" s="15"/>
      <c r="O30" s="15"/>
      <c r="P30" s="15"/>
      <c r="Q30" s="15"/>
      <c r="R30" s="15"/>
      <c r="S30" s="15"/>
      <c r="T30" s="15"/>
      <c r="U30" s="15"/>
      <c r="V30" s="15"/>
      <c r="W30" s="15"/>
      <c r="X30" s="15"/>
      <c r="Y30" s="15"/>
      <c r="Z30" s="15"/>
    </row>
    <row r="31" ht="15.75" customHeight="1">
      <c r="A31" s="552"/>
      <c r="B31" s="550"/>
      <c r="C31" s="15"/>
      <c r="D31" s="15"/>
      <c r="E31" s="605"/>
      <c r="F31" s="15"/>
      <c r="G31" s="15"/>
      <c r="H31" s="448"/>
      <c r="I31" s="15"/>
      <c r="J31" s="15"/>
      <c r="K31" s="15"/>
      <c r="L31" s="15"/>
      <c r="M31" s="15"/>
      <c r="N31" s="15"/>
      <c r="O31" s="15"/>
      <c r="P31" s="15"/>
      <c r="Q31" s="15"/>
      <c r="R31" s="15"/>
      <c r="S31" s="15"/>
      <c r="T31" s="15"/>
      <c r="U31" s="15"/>
      <c r="V31" s="15"/>
      <c r="W31" s="15"/>
      <c r="X31" s="15"/>
      <c r="Y31" s="15"/>
      <c r="Z31" s="15"/>
    </row>
    <row r="32" ht="15.75" customHeight="1">
      <c r="A32" s="448"/>
      <c r="B32" s="550"/>
      <c r="C32" s="15"/>
      <c r="D32" s="15"/>
      <c r="E32" s="605"/>
      <c r="F32" s="15"/>
      <c r="G32" s="15"/>
      <c r="H32" s="448"/>
      <c r="I32" s="15"/>
      <c r="J32" s="15"/>
      <c r="K32" s="15"/>
      <c r="L32" s="15"/>
      <c r="M32" s="15"/>
      <c r="N32" s="15"/>
      <c r="O32" s="15"/>
      <c r="P32" s="15"/>
      <c r="Q32" s="15"/>
      <c r="R32" s="15"/>
      <c r="S32" s="15"/>
      <c r="T32" s="15"/>
      <c r="U32" s="15"/>
      <c r="V32" s="15"/>
      <c r="W32" s="15"/>
      <c r="X32" s="15"/>
      <c r="Y32" s="15"/>
      <c r="Z32" s="15"/>
    </row>
    <row r="33" ht="15.75" customHeight="1">
      <c r="A33" s="606"/>
      <c r="B33" s="550"/>
      <c r="C33" s="15"/>
      <c r="D33" s="15"/>
      <c r="E33" s="553" t="str">
        <f>SETTING!$C$32</f>
        <v>WAHYU TAMIMBARKAH, S,Pd.</v>
      </c>
      <c r="F33" s="608"/>
      <c r="G33" s="608"/>
      <c r="H33" s="608"/>
      <c r="I33" s="15"/>
      <c r="J33" s="15"/>
      <c r="K33" s="15"/>
      <c r="L33" s="15"/>
      <c r="M33" s="15"/>
      <c r="N33" s="15"/>
      <c r="O33" s="15"/>
      <c r="P33" s="15"/>
      <c r="Q33" s="15"/>
      <c r="R33" s="15"/>
      <c r="S33" s="15"/>
      <c r="T33" s="15"/>
      <c r="U33" s="15"/>
      <c r="V33" s="15"/>
      <c r="W33" s="15"/>
      <c r="X33" s="15"/>
      <c r="Y33" s="15"/>
      <c r="Z33" s="15"/>
    </row>
    <row r="34" ht="15.75" customHeight="1">
      <c r="A34" s="448"/>
      <c r="B34" s="550"/>
      <c r="C34" s="15"/>
      <c r="D34" s="15"/>
      <c r="E34" s="448" t="str">
        <f>"NIP "&amp;SETTING!$C$33</f>
        <v>NIP NIP. 197111022008011001</v>
      </c>
      <c r="F34" s="15"/>
      <c r="G34" s="15"/>
      <c r="H34" s="15"/>
      <c r="I34" s="15"/>
      <c r="J34" s="15"/>
      <c r="K34" s="15"/>
      <c r="L34" s="15"/>
      <c r="M34" s="15"/>
      <c r="N34" s="15"/>
      <c r="O34" s="15"/>
      <c r="P34" s="15"/>
      <c r="Q34" s="15"/>
      <c r="R34" s="15"/>
      <c r="S34" s="15"/>
      <c r="T34" s="15"/>
      <c r="U34" s="15"/>
      <c r="V34" s="15"/>
      <c r="W34" s="15"/>
      <c r="X34" s="15"/>
      <c r="Y34" s="15"/>
      <c r="Z34" s="15"/>
    </row>
    <row r="35" ht="15.75" customHeight="1">
      <c r="A35" s="448"/>
      <c r="B35" s="550"/>
      <c r="C35" s="15"/>
      <c r="D35" s="15"/>
      <c r="E35" s="448"/>
      <c r="F35" s="15"/>
      <c r="G35" s="15"/>
      <c r="H35" s="15"/>
      <c r="I35" s="15"/>
      <c r="J35" s="15"/>
      <c r="K35" s="15"/>
      <c r="L35" s="15"/>
      <c r="M35" s="15"/>
      <c r="N35" s="15"/>
      <c r="O35" s="15"/>
      <c r="P35" s="15"/>
      <c r="Q35" s="15"/>
      <c r="R35" s="15"/>
      <c r="S35" s="15"/>
      <c r="T35" s="15"/>
      <c r="U35" s="15"/>
      <c r="V35" s="15"/>
      <c r="W35" s="15"/>
      <c r="X35" s="15"/>
      <c r="Y35" s="15"/>
      <c r="Z35" s="15"/>
    </row>
    <row r="36" ht="14.25" customHeight="1">
      <c r="A36" s="448"/>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4.25" customHeight="1">
      <c r="A37" s="448"/>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4.25" customHeight="1">
      <c r="A38" s="448"/>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4.25" customHeight="1">
      <c r="A39" s="448"/>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4.25" customHeight="1">
      <c r="A40" s="448"/>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4.25" customHeight="1">
      <c r="A41" s="448"/>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4.25" customHeight="1">
      <c r="A42" s="448"/>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4.25" customHeight="1">
      <c r="A43" s="448"/>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4.25" customHeight="1">
      <c r="A44" s="448"/>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4.25" customHeight="1">
      <c r="A45" s="448"/>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4.25" customHeight="1">
      <c r="A46" s="448"/>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4.25" customHeight="1">
      <c r="A47" s="448"/>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4.25" customHeight="1">
      <c r="A48" s="448"/>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4.25" customHeight="1">
      <c r="A49" s="448"/>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4.25" customHeight="1">
      <c r="A50" s="448"/>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4.25" customHeight="1">
      <c r="A51" s="448"/>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4.25" customHeight="1">
      <c r="A52" s="448"/>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4.25" customHeight="1">
      <c r="A53" s="448"/>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4.25" customHeight="1">
      <c r="A54" s="448"/>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4.25" customHeight="1">
      <c r="A55" s="448"/>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4.25" customHeight="1">
      <c r="A56" s="448"/>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4.25" customHeight="1">
      <c r="A57" s="448"/>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4.25" customHeight="1">
      <c r="A58" s="448"/>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4.25" customHeight="1">
      <c r="A59" s="448"/>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4.25" customHeight="1">
      <c r="A60" s="448"/>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4.25" customHeight="1">
      <c r="A61" s="448"/>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4.25" customHeight="1">
      <c r="A62" s="448"/>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4.25" customHeight="1">
      <c r="A63" s="448"/>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4.25" customHeight="1">
      <c r="A64" s="448"/>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4.25" customHeight="1">
      <c r="A65" s="448"/>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4.25" customHeight="1">
      <c r="A66" s="448"/>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4.25" customHeight="1">
      <c r="A67" s="448"/>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4.25" customHeight="1">
      <c r="A68" s="448"/>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4.25" customHeight="1">
      <c r="A69" s="448"/>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4.25" customHeight="1">
      <c r="A70" s="448"/>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4.25" customHeight="1">
      <c r="A71" s="448"/>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4.25" customHeight="1">
      <c r="A72" s="448"/>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4.25" customHeight="1">
      <c r="A73" s="448"/>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4.25" customHeight="1">
      <c r="A74" s="448"/>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4.25" customHeight="1">
      <c r="A75" s="448"/>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4.25" customHeight="1">
      <c r="A76" s="448"/>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4.25" customHeight="1">
      <c r="A77" s="448"/>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4.25" customHeight="1">
      <c r="A78" s="448"/>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4.25" customHeight="1">
      <c r="A79" s="448"/>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4.25" customHeight="1">
      <c r="A80" s="448"/>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4.25" customHeight="1">
      <c r="A81" s="448"/>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4.25" customHeight="1">
      <c r="A82" s="448"/>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4.25" customHeight="1">
      <c r="A83" s="448"/>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4.25" customHeight="1">
      <c r="A84" s="448"/>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4.25" customHeight="1">
      <c r="A85" s="448"/>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4.25" customHeight="1">
      <c r="A86" s="448"/>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4.25" customHeight="1">
      <c r="A87" s="448"/>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4.25" customHeight="1">
      <c r="A88" s="448"/>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4.25" customHeight="1">
      <c r="A89" s="448"/>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4.25" customHeight="1">
      <c r="A90" s="448"/>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4.25" customHeight="1">
      <c r="A91" s="448"/>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4.25" customHeight="1">
      <c r="A92" s="448"/>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448"/>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448"/>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448"/>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448"/>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448"/>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4.25" customHeight="1">
      <c r="A98" s="448"/>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4.25" customHeight="1">
      <c r="A99" s="448"/>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4.25" customHeight="1">
      <c r="A100" s="448"/>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4.25" customHeight="1">
      <c r="A101" s="448"/>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4.25" customHeight="1">
      <c r="A102" s="448"/>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4.25" customHeight="1">
      <c r="A103" s="448"/>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4.25" customHeight="1">
      <c r="A104" s="448"/>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4.25" customHeight="1">
      <c r="A105" s="448"/>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4.25" customHeight="1">
      <c r="A106" s="448"/>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4.25" customHeight="1">
      <c r="A107" s="448"/>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4.25" customHeight="1">
      <c r="A108" s="448"/>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4.25" customHeight="1">
      <c r="A109" s="448"/>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4.25" customHeight="1">
      <c r="A110" s="448"/>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4.25" customHeight="1">
      <c r="A111" s="448"/>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4.25" customHeight="1">
      <c r="A112" s="448"/>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4.25" customHeight="1">
      <c r="A113" s="448"/>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4.25" customHeight="1">
      <c r="A114" s="448"/>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4.25" customHeight="1">
      <c r="A115" s="448"/>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4.25" customHeight="1">
      <c r="A116" s="448"/>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4.25" customHeight="1">
      <c r="A117" s="448"/>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4.25" customHeight="1">
      <c r="A118" s="448"/>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4.25" customHeight="1">
      <c r="A119" s="448"/>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4.25" customHeight="1">
      <c r="A120" s="448"/>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4.25" customHeight="1">
      <c r="A121" s="448"/>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4.25" customHeight="1">
      <c r="A122" s="448"/>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4.25" customHeight="1">
      <c r="A123" s="448"/>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4.25" customHeight="1">
      <c r="A124" s="448"/>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4.25" customHeight="1">
      <c r="A125" s="448"/>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4.25" customHeight="1">
      <c r="A126" s="448"/>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4.25" customHeight="1">
      <c r="A127" s="448"/>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4.25" customHeight="1">
      <c r="A128" s="448"/>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4.25" customHeight="1">
      <c r="A129" s="448"/>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4.25" customHeight="1">
      <c r="A130" s="448"/>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4.25" customHeight="1">
      <c r="A131" s="448"/>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4.25" customHeight="1">
      <c r="A132" s="448"/>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4.25" customHeight="1">
      <c r="A133" s="448"/>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4.25" customHeight="1">
      <c r="A134" s="448"/>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4.25" customHeight="1">
      <c r="A135" s="448"/>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4.25" customHeight="1">
      <c r="A136" s="448"/>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4.25" customHeight="1">
      <c r="A137" s="448"/>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4.25" customHeight="1">
      <c r="A138" s="448"/>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4.25" customHeight="1">
      <c r="A139" s="448"/>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4.25" customHeight="1">
      <c r="A140" s="448"/>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4.25" customHeight="1">
      <c r="A141" s="448"/>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4.25" customHeight="1">
      <c r="A142" s="448"/>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4.25" customHeight="1">
      <c r="A143" s="448"/>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4.25" customHeight="1">
      <c r="A144" s="448"/>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4.25" customHeight="1">
      <c r="A145" s="448"/>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4.25" customHeight="1">
      <c r="A146" s="448"/>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4.25" customHeight="1">
      <c r="A147" s="448"/>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4.25" customHeight="1">
      <c r="A148" s="448"/>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4.25" customHeight="1">
      <c r="A149" s="448"/>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4.25" customHeight="1">
      <c r="A150" s="448"/>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4.25" customHeight="1">
      <c r="A151" s="448"/>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4.25" customHeight="1">
      <c r="A152" s="448"/>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4.25" customHeight="1">
      <c r="A153" s="448"/>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4.25" customHeight="1">
      <c r="A154" s="448"/>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4.25" customHeight="1">
      <c r="A155" s="448"/>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4.25" customHeight="1">
      <c r="A156" s="448"/>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4.25" customHeight="1">
      <c r="A157" s="448"/>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4.25" customHeight="1">
      <c r="A158" s="448"/>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4.25" customHeight="1">
      <c r="A159" s="448"/>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4.25" customHeight="1">
      <c r="A160" s="448"/>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4.25" customHeight="1">
      <c r="A161" s="448"/>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4.25" customHeight="1">
      <c r="A162" s="448"/>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4.25" customHeight="1">
      <c r="A163" s="448"/>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4.25" customHeight="1">
      <c r="A164" s="448"/>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4.25" customHeight="1">
      <c r="A165" s="448"/>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4.25" customHeight="1">
      <c r="A166" s="448"/>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4.25" customHeight="1">
      <c r="A167" s="448"/>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4.25" customHeight="1">
      <c r="A168" s="448"/>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4.25" customHeight="1">
      <c r="A169" s="448"/>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4.25" customHeight="1">
      <c r="A170" s="448"/>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4.25" customHeight="1">
      <c r="A171" s="448"/>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4.25" customHeight="1">
      <c r="A172" s="448"/>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4.25" customHeight="1">
      <c r="A173" s="448"/>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4.25" customHeight="1">
      <c r="A174" s="448"/>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4.25" customHeight="1">
      <c r="A175" s="448"/>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4.25" customHeight="1">
      <c r="A176" s="448"/>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4.25" customHeight="1">
      <c r="A177" s="448"/>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4.25" customHeight="1">
      <c r="A178" s="448"/>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4.25" customHeight="1">
      <c r="A179" s="448"/>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4.25" customHeight="1">
      <c r="A180" s="448"/>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4.25" customHeight="1">
      <c r="A181" s="448"/>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4.25" customHeight="1">
      <c r="A182" s="448"/>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4.25" customHeight="1">
      <c r="A183" s="448"/>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4.25" customHeight="1">
      <c r="A184" s="448"/>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4.25" customHeight="1">
      <c r="A185" s="448"/>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4.25" customHeight="1">
      <c r="A186" s="448"/>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4.25" customHeight="1">
      <c r="A187" s="448"/>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4.25" customHeight="1">
      <c r="A188" s="448"/>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4.25" customHeight="1">
      <c r="A189" s="448"/>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4.25" customHeight="1">
      <c r="A190" s="448"/>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4.25" customHeight="1">
      <c r="A191" s="448"/>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4.25" customHeight="1">
      <c r="A192" s="448"/>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4.25" customHeight="1">
      <c r="A193" s="448"/>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4.25" customHeight="1">
      <c r="A194" s="448"/>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4.25" customHeight="1">
      <c r="A195" s="448"/>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4.25" customHeight="1">
      <c r="A196" s="448"/>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4.25" customHeight="1">
      <c r="A197" s="448"/>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4.25" customHeight="1">
      <c r="A198" s="448"/>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4.25" customHeight="1">
      <c r="A199" s="448"/>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4.25" customHeight="1">
      <c r="A200" s="448"/>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4.25" customHeight="1">
      <c r="A201" s="448"/>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4.25" customHeight="1">
      <c r="A202" s="448"/>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4.25" customHeight="1">
      <c r="A203" s="448"/>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4.25" customHeight="1">
      <c r="A204" s="448"/>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4.25" customHeight="1">
      <c r="A205" s="448"/>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4.25" customHeight="1">
      <c r="A206" s="448"/>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4.25" customHeight="1">
      <c r="A207" s="448"/>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4.25" customHeight="1">
      <c r="A208" s="448"/>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4.25" customHeight="1">
      <c r="A209" s="448"/>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4.25" customHeight="1">
      <c r="A210" s="448"/>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4.25" customHeight="1">
      <c r="A211" s="448"/>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4.25" customHeight="1">
      <c r="A212" s="448"/>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4.25" customHeight="1">
      <c r="A213" s="448"/>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4.25" customHeight="1">
      <c r="A214" s="448"/>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4.25" customHeight="1">
      <c r="A215" s="448"/>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4.25" customHeight="1">
      <c r="A216" s="448"/>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4.25" customHeight="1">
      <c r="A217" s="448"/>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4.25" customHeight="1">
      <c r="A218" s="448"/>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4.25" customHeight="1">
      <c r="A219" s="448"/>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4.25" customHeight="1">
      <c r="A220" s="448"/>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4.25" customHeight="1">
      <c r="A221" s="448"/>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4.25" customHeight="1">
      <c r="A222" s="448"/>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4.25" customHeight="1">
      <c r="A223" s="448"/>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4.25" customHeight="1">
      <c r="A224" s="448"/>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4.25" customHeight="1">
      <c r="A225" s="448"/>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4.25" customHeight="1">
      <c r="A226" s="448"/>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4.25" customHeight="1">
      <c r="A227" s="448"/>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4.25" customHeight="1">
      <c r="A228" s="448"/>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4.25" customHeight="1">
      <c r="A229" s="448"/>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4.25" customHeight="1">
      <c r="A230" s="448"/>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4.25" customHeight="1">
      <c r="A231" s="448"/>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4.25" customHeight="1">
      <c r="A232" s="448"/>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4.25" customHeight="1">
      <c r="A233" s="448"/>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4.25" customHeight="1">
      <c r="A234" s="448"/>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H1"/>
    <mergeCell ref="A3:B3"/>
    <mergeCell ref="A4:B4"/>
    <mergeCell ref="D4:E4"/>
    <mergeCell ref="A5:B5"/>
    <mergeCell ref="A6:B6"/>
    <mergeCell ref="D8:F8"/>
    <mergeCell ref="A8:B8"/>
    <mergeCell ref="A9:B9"/>
    <mergeCell ref="A11:C11"/>
    <mergeCell ref="D11:H11"/>
    <mergeCell ref="A12:H12"/>
    <mergeCell ref="F13:H13"/>
    <mergeCell ref="A14:H14"/>
    <mergeCell ref="B18:C18"/>
    <mergeCell ref="F18:H18"/>
    <mergeCell ref="B21:C21"/>
    <mergeCell ref="B22:C22"/>
    <mergeCell ref="B13:C13"/>
    <mergeCell ref="B15:C15"/>
    <mergeCell ref="D15:D16"/>
    <mergeCell ref="E15:E16"/>
    <mergeCell ref="F15:H16"/>
    <mergeCell ref="B16:C16"/>
    <mergeCell ref="A17:H17"/>
  </mergeCells>
  <printOptions horizontalCentered="1"/>
  <pageMargins bottom="0.15748031496062992" footer="0.0" header="0.0" left="0.1968503937007874" right="0.1968503937007874" top="0.2755905511811024"/>
  <pageSetup fitToHeight="0"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xSplit="4.0" ySplit="10.0" topLeftCell="E11" activePane="bottomRight" state="frozen"/>
      <selection activeCell="E1" sqref="E1" pane="topRight"/>
      <selection activeCell="A11" sqref="A11" pane="bottomLeft"/>
      <selection activeCell="E11" sqref="E11" pane="bottomRight"/>
    </sheetView>
  </sheetViews>
  <sheetFormatPr customHeight="1" defaultColWidth="14.43" defaultRowHeight="15.0"/>
  <cols>
    <col customWidth="1" min="1" max="1" width="4.43"/>
    <col customWidth="1" min="2" max="2" width="28.57"/>
    <col customWidth="1" min="3" max="3" width="21.86"/>
    <col customWidth="1" min="4" max="4" width="7.86"/>
    <col customWidth="1" min="5" max="5" width="5.14"/>
    <col customWidth="1" min="6" max="6" width="23.86"/>
    <col customWidth="1" min="7" max="7" width="65.0"/>
    <col customWidth="1" min="8" max="8" width="5.29"/>
    <col customWidth="1" min="9" max="9" width="23.86"/>
    <col customWidth="1" min="10" max="10" width="65.0"/>
    <col customWidth="1" min="11" max="11" width="5.57"/>
    <col customWidth="1" min="12" max="12" width="23.86"/>
    <col customWidth="1" min="13" max="13" width="65.0"/>
    <col customWidth="1" hidden="1" min="14" max="14" width="4.0"/>
    <col customWidth="1" hidden="1" min="15" max="15" width="5.0"/>
    <col customWidth="1" hidden="1" min="16" max="16" width="55.43"/>
    <col customWidth="1" hidden="1" min="17" max="17" width="14.43"/>
    <col customWidth="1" hidden="1" min="18" max="18" width="21.43"/>
  </cols>
  <sheetData>
    <row r="1" ht="12.75" customHeight="1">
      <c r="A1" s="12">
        <v>1.0</v>
      </c>
      <c r="B1" s="12">
        <v>2.0</v>
      </c>
      <c r="C1" s="12">
        <v>3.0</v>
      </c>
      <c r="D1" s="12">
        <v>4.0</v>
      </c>
      <c r="E1" s="12">
        <v>5.0</v>
      </c>
      <c r="F1" s="12">
        <v>6.0</v>
      </c>
      <c r="G1" s="12">
        <v>7.0</v>
      </c>
      <c r="H1" s="12">
        <v>8.0</v>
      </c>
      <c r="I1" s="12">
        <v>9.0</v>
      </c>
      <c r="J1" s="12">
        <v>10.0</v>
      </c>
      <c r="K1" s="12">
        <v>11.0</v>
      </c>
      <c r="L1" s="12">
        <v>12.0</v>
      </c>
      <c r="M1" s="12">
        <v>13.0</v>
      </c>
      <c r="N1" s="15"/>
      <c r="O1" s="15"/>
      <c r="P1" s="15"/>
      <c r="Q1" s="15"/>
      <c r="R1" s="15"/>
      <c r="S1" s="15"/>
      <c r="T1" s="15"/>
      <c r="U1" s="15"/>
      <c r="V1" s="15"/>
      <c r="W1" s="15"/>
      <c r="X1" s="15"/>
      <c r="Y1" s="15"/>
      <c r="Z1" s="15"/>
    </row>
    <row r="2" ht="15.0" customHeight="1">
      <c r="A2" s="623" t="s">
        <v>0</v>
      </c>
      <c r="B2" s="624" t="s">
        <v>3</v>
      </c>
      <c r="C2" s="624" t="s">
        <v>338</v>
      </c>
      <c r="D2" s="624" t="s">
        <v>4</v>
      </c>
      <c r="E2" s="625" t="s">
        <v>194</v>
      </c>
      <c r="F2" s="466"/>
      <c r="G2" s="466"/>
      <c r="H2" s="466"/>
      <c r="I2" s="466"/>
      <c r="J2" s="466"/>
      <c r="K2" s="466"/>
      <c r="L2" s="466"/>
      <c r="M2" s="467"/>
      <c r="N2" s="15"/>
      <c r="O2" s="15"/>
      <c r="P2" s="15"/>
      <c r="Q2" s="15"/>
      <c r="R2" s="15"/>
      <c r="S2" s="15"/>
      <c r="T2" s="15"/>
      <c r="U2" s="15"/>
      <c r="V2" s="15"/>
      <c r="W2" s="15"/>
      <c r="X2" s="15"/>
      <c r="Y2" s="15"/>
      <c r="Z2" s="15"/>
    </row>
    <row r="3" ht="21.0" customHeight="1">
      <c r="A3" s="31"/>
      <c r="B3" s="31"/>
      <c r="C3" s="31"/>
      <c r="D3" s="31"/>
      <c r="E3" s="625" t="s">
        <v>195</v>
      </c>
      <c r="F3" s="466"/>
      <c r="G3" s="467"/>
      <c r="H3" s="625" t="s">
        <v>414</v>
      </c>
      <c r="I3" s="466"/>
      <c r="J3" s="467"/>
      <c r="K3" s="625" t="s">
        <v>198</v>
      </c>
      <c r="L3" s="466"/>
      <c r="M3" s="467"/>
      <c r="N3" s="15"/>
      <c r="O3" s="15"/>
      <c r="P3" s="15"/>
      <c r="Q3" s="15"/>
      <c r="R3" s="15"/>
      <c r="S3" s="15"/>
      <c r="T3" s="15"/>
      <c r="U3" s="15"/>
      <c r="V3" s="15"/>
      <c r="W3" s="15"/>
      <c r="X3" s="15"/>
      <c r="Y3" s="15"/>
      <c r="Z3" s="15"/>
    </row>
    <row r="4" ht="17.25" customHeight="1">
      <c r="A4" s="63"/>
      <c r="B4" s="63"/>
      <c r="C4" s="63"/>
      <c r="D4" s="63"/>
      <c r="E4" s="626" t="s">
        <v>199</v>
      </c>
      <c r="F4" s="626" t="s">
        <v>200</v>
      </c>
      <c r="G4" s="626" t="s">
        <v>201</v>
      </c>
      <c r="H4" s="626" t="s">
        <v>199</v>
      </c>
      <c r="I4" s="626" t="s">
        <v>200</v>
      </c>
      <c r="J4" s="626" t="s">
        <v>201</v>
      </c>
      <c r="K4" s="626" t="s">
        <v>199</v>
      </c>
      <c r="L4" s="626" t="s">
        <v>200</v>
      </c>
      <c r="M4" s="626" t="s">
        <v>202</v>
      </c>
      <c r="N4" s="627" t="s">
        <v>203</v>
      </c>
      <c r="O4" s="627" t="s">
        <v>199</v>
      </c>
      <c r="P4" s="627" t="s">
        <v>204</v>
      </c>
      <c r="Q4" s="627" t="s">
        <v>199</v>
      </c>
      <c r="R4" s="628" t="s">
        <v>204</v>
      </c>
      <c r="S4" s="15"/>
      <c r="T4" s="15"/>
      <c r="U4" s="15"/>
      <c r="V4" s="15"/>
      <c r="W4" s="15"/>
      <c r="X4" s="15"/>
      <c r="Y4" s="15"/>
      <c r="Z4" s="15"/>
    </row>
    <row r="5" ht="15.75" customHeight="1">
      <c r="A5" s="629" t="str">
        <f>SETTING!E2</f>
        <v>No</v>
      </c>
      <c r="B5" s="629" t="str">
        <f>SETTING!F2</f>
        <v>NIS</v>
      </c>
      <c r="C5" s="629" t="str">
        <f>SETTING!G2</f>
        <v>NISN</v>
      </c>
      <c r="D5" s="629" t="str">
        <f>SETTING!H2</f>
        <v>NAMA</v>
      </c>
      <c r="E5" s="630"/>
      <c r="F5" s="631" t="b">
        <f t="shared" ref="F5:F41" si="2">IF(E5="BB",VLOOKUP(E5,$Q$5:$R$8,2,3),IF(E5="MB",VLOOKUP(E5,$Q$5:$R$8,2,3),IF(E5="BSH",VLOOKUP(E5,$Q$5:$R$8,2,0),IF(E5="SB",VLOOKUP(E5,$Q$5:$R$8,2,3)))))</f>
        <v>0</v>
      </c>
      <c r="G5" s="632" t="b">
        <f t="shared" ref="G5:G41" si="3">IF(E5="BB",VLOOKUP(E5,$O$5:$P$8,2,3),IF(E5="MB",VLOOKUP(E5,$O$5:$P$8,2,3),IF(E5="BSH",VLOOKUP(E5,$O$5:$P$8,2,0),IF(E5="SB",VLOOKUP(E5,$O$5:$P$8,2,3)))))</f>
        <v>0</v>
      </c>
      <c r="H5" s="630"/>
      <c r="I5" s="631" t="b">
        <f t="shared" ref="I5:I41" si="4">IF(H5="BB",VLOOKUP(H5,$Q$5:$R$8,2,3),IF(H5="MB",VLOOKUP(H5,$Q$5:$R$8,2,3),IF(H5="BSH",VLOOKUP(H5,$Q$5:$R$8,2,0),IF(H5="SB",VLOOKUP(H5,$Q$5:$R$8,2,3)))))</f>
        <v>0</v>
      </c>
      <c r="J5" s="632" t="b">
        <f t="shared" ref="J5:J41" si="5">IF(H5="BB",VLOOKUP(H5,$O$5:$P$8,2,3),IF(H5="MB",VLOOKUP(H5,$O$5:$P$8,2,3),IF(H5="BSH",VLOOKUP(H5,$O$5:$P$8,2,0),IF(H5="SB",VLOOKUP(H5,$O$5:$P$8,2,3)))))</f>
        <v>0</v>
      </c>
      <c r="K5" s="633"/>
      <c r="L5" s="631" t="b">
        <f t="shared" ref="L5:L41" si="6">IF(K5="BB",VLOOKUP(K5,$Q$5:$R$8,2,3),IF(K5="MB",VLOOKUP(K5,$Q$5:$R$8,2,3),IF(K5="BSH",VLOOKUP(K5,$Q$5:$R$8,2,0),IF(K5="SB",VLOOKUP(K5,$Q$5:$R$8,2,3)))))</f>
        <v>0</v>
      </c>
      <c r="M5" s="632" t="b">
        <f t="shared" ref="M5:M41" si="7">IF(K5="BB",VLOOKUP(K5,$O$5:$P$8,2,3),IF(K5="MB",VLOOKUP(K5,$O$5:$P$8,2,3),IF(K5="BSH",VLOOKUP(K5,$O$5:$P$8,2,0),IF(K5="SB",VLOOKUP(K5,$O$5:$P$8,2,3)))))</f>
        <v>0</v>
      </c>
      <c r="N5" s="634">
        <v>1.0</v>
      </c>
      <c r="O5" s="634" t="s">
        <v>214</v>
      </c>
      <c r="P5" s="635" t="s">
        <v>216</v>
      </c>
      <c r="Q5" s="634" t="s">
        <v>214</v>
      </c>
      <c r="R5" s="636" t="s">
        <v>217</v>
      </c>
      <c r="S5" s="15"/>
      <c r="T5" s="15"/>
      <c r="U5" s="15"/>
      <c r="V5" s="15"/>
      <c r="W5" s="15"/>
      <c r="X5" s="15"/>
      <c r="Y5" s="15"/>
      <c r="Z5" s="15"/>
    </row>
    <row r="6" ht="15.75" customHeight="1">
      <c r="A6" s="637" t="str">
        <f t="shared" ref="A6:D6" si="1">#REF!</f>
        <v>#REF!</v>
      </c>
      <c r="B6" s="637" t="str">
        <f t="shared" si="1"/>
        <v>#REF!</v>
      </c>
      <c r="C6" s="637" t="str">
        <f t="shared" si="1"/>
        <v>#REF!</v>
      </c>
      <c r="D6" s="637" t="str">
        <f t="shared" si="1"/>
        <v>#REF!</v>
      </c>
      <c r="E6" s="630"/>
      <c r="F6" s="631" t="b">
        <f t="shared" si="2"/>
        <v>0</v>
      </c>
      <c r="G6" s="632" t="b">
        <f t="shared" si="3"/>
        <v>0</v>
      </c>
      <c r="H6" s="630"/>
      <c r="I6" s="631" t="b">
        <f t="shared" si="4"/>
        <v>0</v>
      </c>
      <c r="J6" s="632" t="b">
        <f t="shared" si="5"/>
        <v>0</v>
      </c>
      <c r="K6" s="633"/>
      <c r="L6" s="631" t="b">
        <f t="shared" si="6"/>
        <v>0</v>
      </c>
      <c r="M6" s="632" t="b">
        <f t="shared" si="7"/>
        <v>0</v>
      </c>
      <c r="N6" s="634">
        <v>2.0</v>
      </c>
      <c r="O6" s="634" t="s">
        <v>223</v>
      </c>
      <c r="P6" s="635" t="s">
        <v>224</v>
      </c>
      <c r="Q6" s="634" t="s">
        <v>223</v>
      </c>
      <c r="R6" s="636" t="s">
        <v>225</v>
      </c>
      <c r="S6" s="15"/>
      <c r="T6" s="15"/>
      <c r="U6" s="15"/>
      <c r="V6" s="15"/>
      <c r="W6" s="15"/>
      <c r="X6" s="15"/>
      <c r="Y6" s="15"/>
      <c r="Z6" s="15"/>
    </row>
    <row r="7" ht="15.75" customHeight="1">
      <c r="A7" s="637" t="str">
        <f t="shared" ref="A7:D7" si="8">#REF!</f>
        <v>#REF!</v>
      </c>
      <c r="B7" s="637" t="str">
        <f t="shared" si="8"/>
        <v>#REF!</v>
      </c>
      <c r="C7" s="637" t="str">
        <f t="shared" si="8"/>
        <v>#REF!</v>
      </c>
      <c r="D7" s="637" t="str">
        <f t="shared" si="8"/>
        <v>#REF!</v>
      </c>
      <c r="E7" s="630"/>
      <c r="F7" s="631" t="b">
        <f t="shared" si="2"/>
        <v>0</v>
      </c>
      <c r="G7" s="632" t="b">
        <f t="shared" si="3"/>
        <v>0</v>
      </c>
      <c r="H7" s="630"/>
      <c r="I7" s="631" t="b">
        <f t="shared" si="4"/>
        <v>0</v>
      </c>
      <c r="J7" s="632" t="b">
        <f t="shared" si="5"/>
        <v>0</v>
      </c>
      <c r="K7" s="633"/>
      <c r="L7" s="631" t="b">
        <f t="shared" si="6"/>
        <v>0</v>
      </c>
      <c r="M7" s="632" t="b">
        <f t="shared" si="7"/>
        <v>0</v>
      </c>
      <c r="N7" s="634">
        <v>3.0</v>
      </c>
      <c r="O7" s="634" t="s">
        <v>226</v>
      </c>
      <c r="P7" s="635" t="s">
        <v>227</v>
      </c>
      <c r="Q7" s="634" t="s">
        <v>226</v>
      </c>
      <c r="R7" s="636" t="s">
        <v>228</v>
      </c>
      <c r="S7" s="15"/>
      <c r="T7" s="15"/>
      <c r="U7" s="15"/>
      <c r="V7" s="15"/>
      <c r="W7" s="15"/>
      <c r="X7" s="15"/>
      <c r="Y7" s="15"/>
      <c r="Z7" s="15"/>
    </row>
    <row r="8" ht="15.75" customHeight="1">
      <c r="A8" s="637" t="str">
        <f t="shared" ref="A8:D8" si="9">#REF!</f>
        <v>#REF!</v>
      </c>
      <c r="B8" s="637" t="str">
        <f t="shared" si="9"/>
        <v>#REF!</v>
      </c>
      <c r="C8" s="637" t="str">
        <f t="shared" si="9"/>
        <v>#REF!</v>
      </c>
      <c r="D8" s="637" t="str">
        <f t="shared" si="9"/>
        <v>#REF!</v>
      </c>
      <c r="E8" s="630"/>
      <c r="F8" s="631" t="b">
        <f t="shared" si="2"/>
        <v>0</v>
      </c>
      <c r="G8" s="632" t="b">
        <f t="shared" si="3"/>
        <v>0</v>
      </c>
      <c r="H8" s="630"/>
      <c r="I8" s="631" t="b">
        <f t="shared" si="4"/>
        <v>0</v>
      </c>
      <c r="J8" s="632" t="b">
        <f t="shared" si="5"/>
        <v>0</v>
      </c>
      <c r="K8" s="633"/>
      <c r="L8" s="631" t="b">
        <f t="shared" si="6"/>
        <v>0</v>
      </c>
      <c r="M8" s="632" t="b">
        <f t="shared" si="7"/>
        <v>0</v>
      </c>
      <c r="N8" s="634">
        <v>4.0</v>
      </c>
      <c r="O8" s="634" t="s">
        <v>230</v>
      </c>
      <c r="P8" s="635" t="s">
        <v>231</v>
      </c>
      <c r="Q8" s="634" t="s">
        <v>230</v>
      </c>
      <c r="R8" s="636" t="s">
        <v>232</v>
      </c>
      <c r="S8" s="15"/>
      <c r="T8" s="15"/>
      <c r="U8" s="15"/>
      <c r="V8" s="15"/>
      <c r="W8" s="15"/>
      <c r="X8" s="15"/>
      <c r="Y8" s="15"/>
      <c r="Z8" s="15"/>
    </row>
    <row r="9" ht="15.75" customHeight="1">
      <c r="A9" s="637" t="str">
        <f t="shared" ref="A9:D9" si="10">#REF!</f>
        <v>#REF!</v>
      </c>
      <c r="B9" s="637" t="str">
        <f t="shared" si="10"/>
        <v>#REF!</v>
      </c>
      <c r="C9" s="637" t="str">
        <f t="shared" si="10"/>
        <v>#REF!</v>
      </c>
      <c r="D9" s="637" t="str">
        <f t="shared" si="10"/>
        <v>#REF!</v>
      </c>
      <c r="E9" s="630"/>
      <c r="F9" s="631" t="b">
        <f t="shared" si="2"/>
        <v>0</v>
      </c>
      <c r="G9" s="632" t="b">
        <f t="shared" si="3"/>
        <v>0</v>
      </c>
      <c r="H9" s="630"/>
      <c r="I9" s="631" t="b">
        <f t="shared" si="4"/>
        <v>0</v>
      </c>
      <c r="J9" s="632" t="b">
        <f t="shared" si="5"/>
        <v>0</v>
      </c>
      <c r="K9" s="633"/>
      <c r="L9" s="631" t="b">
        <f t="shared" si="6"/>
        <v>0</v>
      </c>
      <c r="M9" s="632" t="b">
        <f t="shared" si="7"/>
        <v>0</v>
      </c>
      <c r="N9" s="634"/>
      <c r="O9" s="635"/>
      <c r="P9" s="635"/>
      <c r="Q9" s="634"/>
      <c r="R9" s="636"/>
      <c r="S9" s="15"/>
      <c r="T9" s="15"/>
      <c r="U9" s="15"/>
      <c r="V9" s="15"/>
      <c r="W9" s="15"/>
      <c r="X9" s="15"/>
      <c r="Y9" s="15"/>
      <c r="Z9" s="15"/>
    </row>
    <row r="10" ht="15.75" customHeight="1">
      <c r="A10" s="637" t="str">
        <f t="shared" ref="A10:D10" si="11">#REF!</f>
        <v>#REF!</v>
      </c>
      <c r="B10" s="637" t="str">
        <f t="shared" si="11"/>
        <v>#REF!</v>
      </c>
      <c r="C10" s="637" t="str">
        <f t="shared" si="11"/>
        <v>#REF!</v>
      </c>
      <c r="D10" s="637" t="str">
        <f t="shared" si="11"/>
        <v>#REF!</v>
      </c>
      <c r="E10" s="630"/>
      <c r="F10" s="631" t="b">
        <f t="shared" si="2"/>
        <v>0</v>
      </c>
      <c r="G10" s="632" t="b">
        <f t="shared" si="3"/>
        <v>0</v>
      </c>
      <c r="H10" s="630"/>
      <c r="I10" s="631" t="b">
        <f t="shared" si="4"/>
        <v>0</v>
      </c>
      <c r="J10" s="632" t="b">
        <f t="shared" si="5"/>
        <v>0</v>
      </c>
      <c r="K10" s="633"/>
      <c r="L10" s="631" t="b">
        <f t="shared" si="6"/>
        <v>0</v>
      </c>
      <c r="M10" s="632" t="b">
        <f t="shared" si="7"/>
        <v>0</v>
      </c>
      <c r="N10" s="15"/>
      <c r="O10" s="15"/>
      <c r="P10" s="15"/>
      <c r="Q10" s="15"/>
      <c r="R10" s="15"/>
      <c r="S10" s="15"/>
      <c r="T10" s="15"/>
      <c r="U10" s="15"/>
      <c r="V10" s="15"/>
      <c r="W10" s="15"/>
      <c r="X10" s="15"/>
      <c r="Y10" s="15"/>
      <c r="Z10" s="15"/>
    </row>
    <row r="11" ht="15.75" customHeight="1">
      <c r="A11" s="637" t="str">
        <f t="shared" ref="A11:D11" si="12">#REF!</f>
        <v>#REF!</v>
      </c>
      <c r="B11" s="637" t="str">
        <f t="shared" si="12"/>
        <v>#REF!</v>
      </c>
      <c r="C11" s="637" t="str">
        <f t="shared" si="12"/>
        <v>#REF!</v>
      </c>
      <c r="D11" s="637" t="str">
        <f t="shared" si="12"/>
        <v>#REF!</v>
      </c>
      <c r="E11" s="630"/>
      <c r="F11" s="631" t="b">
        <f t="shared" si="2"/>
        <v>0</v>
      </c>
      <c r="G11" s="632" t="b">
        <f t="shared" si="3"/>
        <v>0</v>
      </c>
      <c r="H11" s="630"/>
      <c r="I11" s="631" t="b">
        <f t="shared" si="4"/>
        <v>0</v>
      </c>
      <c r="J11" s="632" t="b">
        <f t="shared" si="5"/>
        <v>0</v>
      </c>
      <c r="K11" s="633"/>
      <c r="L11" s="631" t="b">
        <f t="shared" si="6"/>
        <v>0</v>
      </c>
      <c r="M11" s="632" t="b">
        <f t="shared" si="7"/>
        <v>0</v>
      </c>
      <c r="N11" s="15"/>
      <c r="O11" s="15"/>
      <c r="P11" s="15"/>
      <c r="Q11" s="15"/>
      <c r="R11" s="15"/>
      <c r="S11" s="15"/>
      <c r="T11" s="15"/>
      <c r="U11" s="15"/>
      <c r="V11" s="15"/>
      <c r="W11" s="15"/>
      <c r="X11" s="15"/>
      <c r="Y11" s="15"/>
      <c r="Z11" s="15"/>
    </row>
    <row r="12" ht="15.75" customHeight="1">
      <c r="A12" s="637" t="str">
        <f t="shared" ref="A12:D12" si="13">#REF!</f>
        <v>#REF!</v>
      </c>
      <c r="B12" s="637" t="str">
        <f t="shared" si="13"/>
        <v>#REF!</v>
      </c>
      <c r="C12" s="637" t="str">
        <f t="shared" si="13"/>
        <v>#REF!</v>
      </c>
      <c r="D12" s="637" t="str">
        <f t="shared" si="13"/>
        <v>#REF!</v>
      </c>
      <c r="E12" s="630"/>
      <c r="F12" s="631" t="b">
        <f t="shared" si="2"/>
        <v>0</v>
      </c>
      <c r="G12" s="632" t="b">
        <f t="shared" si="3"/>
        <v>0</v>
      </c>
      <c r="H12" s="630"/>
      <c r="I12" s="631" t="b">
        <f t="shared" si="4"/>
        <v>0</v>
      </c>
      <c r="J12" s="632" t="b">
        <f t="shared" si="5"/>
        <v>0</v>
      </c>
      <c r="K12" s="633"/>
      <c r="L12" s="631" t="b">
        <f t="shared" si="6"/>
        <v>0</v>
      </c>
      <c r="M12" s="632" t="b">
        <f t="shared" si="7"/>
        <v>0</v>
      </c>
      <c r="N12" s="15"/>
      <c r="O12" s="15"/>
      <c r="P12" s="15"/>
      <c r="Q12" s="15"/>
      <c r="R12" s="15"/>
      <c r="S12" s="15"/>
      <c r="T12" s="15"/>
      <c r="U12" s="15"/>
      <c r="V12" s="15"/>
      <c r="W12" s="15"/>
      <c r="X12" s="15"/>
      <c r="Y12" s="15"/>
      <c r="Z12" s="15"/>
    </row>
    <row r="13" ht="15.75" customHeight="1">
      <c r="A13" s="637" t="str">
        <f t="shared" ref="A13:D13" si="14">#REF!</f>
        <v>#REF!</v>
      </c>
      <c r="B13" s="637" t="str">
        <f t="shared" si="14"/>
        <v>#REF!</v>
      </c>
      <c r="C13" s="637" t="str">
        <f t="shared" si="14"/>
        <v>#REF!</v>
      </c>
      <c r="D13" s="637" t="str">
        <f t="shared" si="14"/>
        <v>#REF!</v>
      </c>
      <c r="E13" s="630"/>
      <c r="F13" s="631" t="b">
        <f t="shared" si="2"/>
        <v>0</v>
      </c>
      <c r="G13" s="632" t="b">
        <f t="shared" si="3"/>
        <v>0</v>
      </c>
      <c r="H13" s="630"/>
      <c r="I13" s="631" t="b">
        <f t="shared" si="4"/>
        <v>0</v>
      </c>
      <c r="J13" s="632" t="b">
        <f t="shared" si="5"/>
        <v>0</v>
      </c>
      <c r="K13" s="633"/>
      <c r="L13" s="631" t="b">
        <f t="shared" si="6"/>
        <v>0</v>
      </c>
      <c r="M13" s="632" t="b">
        <f t="shared" si="7"/>
        <v>0</v>
      </c>
      <c r="N13" s="15"/>
      <c r="O13" s="15"/>
      <c r="P13" s="15"/>
      <c r="Q13" s="15"/>
      <c r="R13" s="15"/>
      <c r="S13" s="15"/>
      <c r="T13" s="15"/>
      <c r="U13" s="15"/>
      <c r="V13" s="15"/>
      <c r="W13" s="15"/>
      <c r="X13" s="15"/>
      <c r="Y13" s="15"/>
      <c r="Z13" s="15"/>
    </row>
    <row r="14" ht="15.75" customHeight="1">
      <c r="A14" s="637" t="str">
        <f t="shared" ref="A14:D14" si="15">#REF!</f>
        <v>#REF!</v>
      </c>
      <c r="B14" s="637" t="str">
        <f t="shared" si="15"/>
        <v>#REF!</v>
      </c>
      <c r="C14" s="637" t="str">
        <f t="shared" si="15"/>
        <v>#REF!</v>
      </c>
      <c r="D14" s="637" t="str">
        <f t="shared" si="15"/>
        <v>#REF!</v>
      </c>
      <c r="E14" s="630"/>
      <c r="F14" s="631" t="b">
        <f t="shared" si="2"/>
        <v>0</v>
      </c>
      <c r="G14" s="632" t="b">
        <f t="shared" si="3"/>
        <v>0</v>
      </c>
      <c r="H14" s="630"/>
      <c r="I14" s="631" t="b">
        <f t="shared" si="4"/>
        <v>0</v>
      </c>
      <c r="J14" s="632" t="b">
        <f t="shared" si="5"/>
        <v>0</v>
      </c>
      <c r="K14" s="633"/>
      <c r="L14" s="631" t="b">
        <f t="shared" si="6"/>
        <v>0</v>
      </c>
      <c r="M14" s="632" t="b">
        <f t="shared" si="7"/>
        <v>0</v>
      </c>
      <c r="N14" s="15"/>
      <c r="O14" s="15"/>
      <c r="P14" s="15"/>
      <c r="Q14" s="15"/>
      <c r="R14" s="15"/>
      <c r="S14" s="15"/>
      <c r="T14" s="15"/>
      <c r="U14" s="15"/>
      <c r="V14" s="15"/>
      <c r="W14" s="15"/>
      <c r="X14" s="15"/>
      <c r="Y14" s="15"/>
      <c r="Z14" s="15"/>
    </row>
    <row r="15" ht="15.75" customHeight="1">
      <c r="A15" s="637" t="str">
        <f t="shared" ref="A15:D15" si="16">#REF!</f>
        <v>#REF!</v>
      </c>
      <c r="B15" s="637" t="str">
        <f t="shared" si="16"/>
        <v>#REF!</v>
      </c>
      <c r="C15" s="637" t="str">
        <f t="shared" si="16"/>
        <v>#REF!</v>
      </c>
      <c r="D15" s="637" t="str">
        <f t="shared" si="16"/>
        <v>#REF!</v>
      </c>
      <c r="E15" s="630"/>
      <c r="F15" s="631" t="b">
        <f t="shared" si="2"/>
        <v>0</v>
      </c>
      <c r="G15" s="632" t="b">
        <f t="shared" si="3"/>
        <v>0</v>
      </c>
      <c r="H15" s="630"/>
      <c r="I15" s="631" t="b">
        <f t="shared" si="4"/>
        <v>0</v>
      </c>
      <c r="J15" s="632" t="b">
        <f t="shared" si="5"/>
        <v>0</v>
      </c>
      <c r="K15" s="633"/>
      <c r="L15" s="631" t="b">
        <f t="shared" si="6"/>
        <v>0</v>
      </c>
      <c r="M15" s="632" t="b">
        <f t="shared" si="7"/>
        <v>0</v>
      </c>
      <c r="N15" s="15"/>
      <c r="O15" s="15"/>
      <c r="P15" s="15"/>
      <c r="Q15" s="15"/>
      <c r="R15" s="15"/>
      <c r="S15" s="15"/>
      <c r="T15" s="15"/>
      <c r="U15" s="15"/>
      <c r="V15" s="15"/>
      <c r="W15" s="15"/>
      <c r="X15" s="15"/>
      <c r="Y15" s="15"/>
      <c r="Z15" s="15"/>
    </row>
    <row r="16" ht="15.75" customHeight="1">
      <c r="A16" s="637" t="str">
        <f t="shared" ref="A16:D16" si="17">#REF!</f>
        <v>#REF!</v>
      </c>
      <c r="B16" s="637" t="str">
        <f t="shared" si="17"/>
        <v>#REF!</v>
      </c>
      <c r="C16" s="637" t="str">
        <f t="shared" si="17"/>
        <v>#REF!</v>
      </c>
      <c r="D16" s="637" t="str">
        <f t="shared" si="17"/>
        <v>#REF!</v>
      </c>
      <c r="E16" s="630"/>
      <c r="F16" s="631" t="b">
        <f t="shared" si="2"/>
        <v>0</v>
      </c>
      <c r="G16" s="632" t="b">
        <f t="shared" si="3"/>
        <v>0</v>
      </c>
      <c r="H16" s="630"/>
      <c r="I16" s="631" t="b">
        <f t="shared" si="4"/>
        <v>0</v>
      </c>
      <c r="J16" s="632" t="b">
        <f t="shared" si="5"/>
        <v>0</v>
      </c>
      <c r="K16" s="633"/>
      <c r="L16" s="631" t="b">
        <f t="shared" si="6"/>
        <v>0</v>
      </c>
      <c r="M16" s="632" t="b">
        <f t="shared" si="7"/>
        <v>0</v>
      </c>
      <c r="N16" s="15"/>
      <c r="O16" s="15"/>
      <c r="P16" s="15"/>
      <c r="Q16" s="15"/>
      <c r="R16" s="15"/>
      <c r="S16" s="15"/>
      <c r="T16" s="15"/>
      <c r="U16" s="15"/>
      <c r="V16" s="15"/>
      <c r="W16" s="15"/>
      <c r="X16" s="15"/>
      <c r="Y16" s="15"/>
      <c r="Z16" s="15"/>
    </row>
    <row r="17" ht="15.75" customHeight="1">
      <c r="A17" s="637" t="str">
        <f t="shared" ref="A17:D17" si="18">#REF!</f>
        <v>#REF!</v>
      </c>
      <c r="B17" s="637" t="str">
        <f t="shared" si="18"/>
        <v>#REF!</v>
      </c>
      <c r="C17" s="637" t="str">
        <f t="shared" si="18"/>
        <v>#REF!</v>
      </c>
      <c r="D17" s="637" t="str">
        <f t="shared" si="18"/>
        <v>#REF!</v>
      </c>
      <c r="E17" s="630"/>
      <c r="F17" s="631" t="b">
        <f t="shared" si="2"/>
        <v>0</v>
      </c>
      <c r="G17" s="632" t="b">
        <f t="shared" si="3"/>
        <v>0</v>
      </c>
      <c r="H17" s="630"/>
      <c r="I17" s="631" t="b">
        <f t="shared" si="4"/>
        <v>0</v>
      </c>
      <c r="J17" s="632" t="b">
        <f t="shared" si="5"/>
        <v>0</v>
      </c>
      <c r="K17" s="633"/>
      <c r="L17" s="631" t="b">
        <f t="shared" si="6"/>
        <v>0</v>
      </c>
      <c r="M17" s="632" t="b">
        <f t="shared" si="7"/>
        <v>0</v>
      </c>
      <c r="N17" s="15"/>
      <c r="O17" s="15"/>
      <c r="P17" s="15"/>
      <c r="Q17" s="15"/>
      <c r="R17" s="15"/>
      <c r="S17" s="15"/>
      <c r="T17" s="15"/>
      <c r="U17" s="15"/>
      <c r="V17" s="15"/>
      <c r="W17" s="15"/>
      <c r="X17" s="15"/>
      <c r="Y17" s="15"/>
      <c r="Z17" s="15"/>
    </row>
    <row r="18" ht="15.75" customHeight="1">
      <c r="A18" s="637" t="str">
        <f t="shared" ref="A18:D18" si="19">#REF!</f>
        <v>#REF!</v>
      </c>
      <c r="B18" s="637" t="str">
        <f t="shared" si="19"/>
        <v>#REF!</v>
      </c>
      <c r="C18" s="637" t="str">
        <f t="shared" si="19"/>
        <v>#REF!</v>
      </c>
      <c r="D18" s="637" t="str">
        <f t="shared" si="19"/>
        <v>#REF!</v>
      </c>
      <c r="E18" s="630"/>
      <c r="F18" s="631" t="b">
        <f t="shared" si="2"/>
        <v>0</v>
      </c>
      <c r="G18" s="632" t="b">
        <f t="shared" si="3"/>
        <v>0</v>
      </c>
      <c r="H18" s="630"/>
      <c r="I18" s="631" t="b">
        <f t="shared" si="4"/>
        <v>0</v>
      </c>
      <c r="J18" s="632" t="b">
        <f t="shared" si="5"/>
        <v>0</v>
      </c>
      <c r="K18" s="633"/>
      <c r="L18" s="631" t="b">
        <f t="shared" si="6"/>
        <v>0</v>
      </c>
      <c r="M18" s="632" t="b">
        <f t="shared" si="7"/>
        <v>0</v>
      </c>
      <c r="N18" s="15"/>
      <c r="O18" s="15"/>
      <c r="P18" s="15"/>
      <c r="Q18" s="15"/>
      <c r="R18" s="15"/>
      <c r="S18" s="15"/>
      <c r="T18" s="15"/>
      <c r="U18" s="15"/>
      <c r="V18" s="15"/>
      <c r="W18" s="15"/>
      <c r="X18" s="15"/>
      <c r="Y18" s="15"/>
      <c r="Z18" s="15"/>
    </row>
    <row r="19" ht="15.75" customHeight="1">
      <c r="A19" s="637" t="str">
        <f t="shared" ref="A19:D19" si="20">#REF!</f>
        <v>#REF!</v>
      </c>
      <c r="B19" s="637" t="str">
        <f t="shared" si="20"/>
        <v>#REF!</v>
      </c>
      <c r="C19" s="637" t="str">
        <f t="shared" si="20"/>
        <v>#REF!</v>
      </c>
      <c r="D19" s="637" t="str">
        <f t="shared" si="20"/>
        <v>#REF!</v>
      </c>
      <c r="E19" s="630"/>
      <c r="F19" s="631" t="b">
        <f t="shared" si="2"/>
        <v>0</v>
      </c>
      <c r="G19" s="632" t="b">
        <f t="shared" si="3"/>
        <v>0</v>
      </c>
      <c r="H19" s="630"/>
      <c r="I19" s="631" t="b">
        <f t="shared" si="4"/>
        <v>0</v>
      </c>
      <c r="J19" s="632" t="b">
        <f t="shared" si="5"/>
        <v>0</v>
      </c>
      <c r="K19" s="633"/>
      <c r="L19" s="631" t="b">
        <f t="shared" si="6"/>
        <v>0</v>
      </c>
      <c r="M19" s="632" t="b">
        <f t="shared" si="7"/>
        <v>0</v>
      </c>
      <c r="N19" s="15"/>
      <c r="O19" s="15"/>
      <c r="P19" s="15"/>
      <c r="Q19" s="15"/>
      <c r="R19" s="15"/>
      <c r="S19" s="15"/>
      <c r="T19" s="15"/>
      <c r="U19" s="15"/>
      <c r="V19" s="15"/>
      <c r="W19" s="15"/>
      <c r="X19" s="15"/>
      <c r="Y19" s="15"/>
      <c r="Z19" s="15"/>
    </row>
    <row r="20" ht="15.75" customHeight="1">
      <c r="A20" s="637" t="str">
        <f t="shared" ref="A20:D20" si="21">#REF!</f>
        <v>#REF!</v>
      </c>
      <c r="B20" s="637" t="str">
        <f t="shared" si="21"/>
        <v>#REF!</v>
      </c>
      <c r="C20" s="637" t="str">
        <f t="shared" si="21"/>
        <v>#REF!</v>
      </c>
      <c r="D20" s="637" t="str">
        <f t="shared" si="21"/>
        <v>#REF!</v>
      </c>
      <c r="E20" s="630"/>
      <c r="F20" s="631" t="b">
        <f t="shared" si="2"/>
        <v>0</v>
      </c>
      <c r="G20" s="632" t="b">
        <f t="shared" si="3"/>
        <v>0</v>
      </c>
      <c r="H20" s="630"/>
      <c r="I20" s="631" t="b">
        <f t="shared" si="4"/>
        <v>0</v>
      </c>
      <c r="J20" s="632" t="b">
        <f t="shared" si="5"/>
        <v>0</v>
      </c>
      <c r="K20" s="633"/>
      <c r="L20" s="631" t="b">
        <f t="shared" si="6"/>
        <v>0</v>
      </c>
      <c r="M20" s="632" t="b">
        <f t="shared" si="7"/>
        <v>0</v>
      </c>
      <c r="N20" s="15"/>
      <c r="O20" s="15"/>
      <c r="P20" s="15"/>
      <c r="Q20" s="15"/>
      <c r="R20" s="15"/>
      <c r="S20" s="15"/>
      <c r="T20" s="15"/>
      <c r="U20" s="15"/>
      <c r="V20" s="15"/>
      <c r="W20" s="15"/>
      <c r="X20" s="15"/>
      <c r="Y20" s="15"/>
      <c r="Z20" s="15"/>
    </row>
    <row r="21" ht="15.75" customHeight="1">
      <c r="A21" s="637" t="str">
        <f t="shared" ref="A21:D21" si="22">#REF!</f>
        <v>#REF!</v>
      </c>
      <c r="B21" s="637" t="str">
        <f t="shared" si="22"/>
        <v>#REF!</v>
      </c>
      <c r="C21" s="637" t="str">
        <f t="shared" si="22"/>
        <v>#REF!</v>
      </c>
      <c r="D21" s="637" t="str">
        <f t="shared" si="22"/>
        <v>#REF!</v>
      </c>
      <c r="E21" s="630"/>
      <c r="F21" s="631" t="b">
        <f t="shared" si="2"/>
        <v>0</v>
      </c>
      <c r="G21" s="632" t="b">
        <f t="shared" si="3"/>
        <v>0</v>
      </c>
      <c r="H21" s="630"/>
      <c r="I21" s="631" t="b">
        <f t="shared" si="4"/>
        <v>0</v>
      </c>
      <c r="J21" s="632" t="b">
        <f t="shared" si="5"/>
        <v>0</v>
      </c>
      <c r="K21" s="633"/>
      <c r="L21" s="631" t="b">
        <f t="shared" si="6"/>
        <v>0</v>
      </c>
      <c r="M21" s="632" t="b">
        <f t="shared" si="7"/>
        <v>0</v>
      </c>
      <c r="N21" s="15"/>
      <c r="O21" s="15"/>
      <c r="P21" s="15"/>
      <c r="Q21" s="15"/>
      <c r="R21" s="15"/>
      <c r="S21" s="15"/>
      <c r="T21" s="15"/>
      <c r="U21" s="15"/>
      <c r="V21" s="15"/>
      <c r="W21" s="15"/>
      <c r="X21" s="15"/>
      <c r="Y21" s="15"/>
      <c r="Z21" s="15"/>
    </row>
    <row r="22" ht="15.75" customHeight="1">
      <c r="A22" s="637" t="str">
        <f t="shared" ref="A22:D22" si="23">#REF!</f>
        <v>#REF!</v>
      </c>
      <c r="B22" s="637" t="str">
        <f t="shared" si="23"/>
        <v>#REF!</v>
      </c>
      <c r="C22" s="637" t="str">
        <f t="shared" si="23"/>
        <v>#REF!</v>
      </c>
      <c r="D22" s="637" t="str">
        <f t="shared" si="23"/>
        <v>#REF!</v>
      </c>
      <c r="E22" s="630"/>
      <c r="F22" s="631" t="b">
        <f t="shared" si="2"/>
        <v>0</v>
      </c>
      <c r="G22" s="632" t="b">
        <f t="shared" si="3"/>
        <v>0</v>
      </c>
      <c r="H22" s="630"/>
      <c r="I22" s="631" t="b">
        <f t="shared" si="4"/>
        <v>0</v>
      </c>
      <c r="J22" s="632" t="b">
        <f t="shared" si="5"/>
        <v>0</v>
      </c>
      <c r="K22" s="633"/>
      <c r="L22" s="631" t="b">
        <f t="shared" si="6"/>
        <v>0</v>
      </c>
      <c r="M22" s="632" t="b">
        <f t="shared" si="7"/>
        <v>0</v>
      </c>
      <c r="N22" s="15"/>
      <c r="O22" s="15"/>
      <c r="P22" s="15"/>
      <c r="Q22" s="15"/>
      <c r="R22" s="15"/>
      <c r="S22" s="15"/>
      <c r="T22" s="15"/>
      <c r="U22" s="15"/>
      <c r="V22" s="15"/>
      <c r="W22" s="15"/>
      <c r="X22" s="15"/>
      <c r="Y22" s="15"/>
      <c r="Z22" s="15"/>
    </row>
    <row r="23" ht="15.75" customHeight="1">
      <c r="A23" s="637" t="str">
        <f t="shared" ref="A23:D23" si="24">#REF!</f>
        <v>#REF!</v>
      </c>
      <c r="B23" s="637" t="str">
        <f t="shared" si="24"/>
        <v>#REF!</v>
      </c>
      <c r="C23" s="637" t="str">
        <f t="shared" si="24"/>
        <v>#REF!</v>
      </c>
      <c r="D23" s="637" t="str">
        <f t="shared" si="24"/>
        <v>#REF!</v>
      </c>
      <c r="E23" s="630"/>
      <c r="F23" s="631" t="b">
        <f t="shared" si="2"/>
        <v>0</v>
      </c>
      <c r="G23" s="632" t="b">
        <f t="shared" si="3"/>
        <v>0</v>
      </c>
      <c r="H23" s="630"/>
      <c r="I23" s="631" t="b">
        <f t="shared" si="4"/>
        <v>0</v>
      </c>
      <c r="J23" s="632" t="b">
        <f t="shared" si="5"/>
        <v>0</v>
      </c>
      <c r="K23" s="633"/>
      <c r="L23" s="631" t="b">
        <f t="shared" si="6"/>
        <v>0</v>
      </c>
      <c r="M23" s="632" t="b">
        <f t="shared" si="7"/>
        <v>0</v>
      </c>
      <c r="N23" s="15"/>
      <c r="O23" s="15"/>
      <c r="P23" s="15"/>
      <c r="Q23" s="15"/>
      <c r="R23" s="15"/>
      <c r="S23" s="15"/>
      <c r="T23" s="15"/>
      <c r="U23" s="15"/>
      <c r="V23" s="15"/>
      <c r="W23" s="15"/>
      <c r="X23" s="15"/>
      <c r="Y23" s="15"/>
      <c r="Z23" s="15"/>
    </row>
    <row r="24" ht="15.75" customHeight="1">
      <c r="A24" s="637" t="str">
        <f t="shared" ref="A24:D24" si="25">#REF!</f>
        <v>#REF!</v>
      </c>
      <c r="B24" s="637" t="str">
        <f t="shared" si="25"/>
        <v>#REF!</v>
      </c>
      <c r="C24" s="637" t="str">
        <f t="shared" si="25"/>
        <v>#REF!</v>
      </c>
      <c r="D24" s="637" t="str">
        <f t="shared" si="25"/>
        <v>#REF!</v>
      </c>
      <c r="E24" s="630"/>
      <c r="F24" s="631" t="b">
        <f t="shared" si="2"/>
        <v>0</v>
      </c>
      <c r="G24" s="632" t="b">
        <f t="shared" si="3"/>
        <v>0</v>
      </c>
      <c r="H24" s="630"/>
      <c r="I24" s="631" t="b">
        <f t="shared" si="4"/>
        <v>0</v>
      </c>
      <c r="J24" s="632" t="b">
        <f t="shared" si="5"/>
        <v>0</v>
      </c>
      <c r="K24" s="633"/>
      <c r="L24" s="631" t="b">
        <f t="shared" si="6"/>
        <v>0</v>
      </c>
      <c r="M24" s="632" t="b">
        <f t="shared" si="7"/>
        <v>0</v>
      </c>
      <c r="N24" s="15"/>
      <c r="O24" s="15"/>
      <c r="P24" s="15"/>
      <c r="Q24" s="15"/>
      <c r="R24" s="15"/>
      <c r="S24" s="15"/>
      <c r="T24" s="15"/>
      <c r="U24" s="15"/>
      <c r="V24" s="15"/>
      <c r="W24" s="15"/>
      <c r="X24" s="15"/>
      <c r="Y24" s="15"/>
      <c r="Z24" s="15"/>
    </row>
    <row r="25" ht="15.75" customHeight="1">
      <c r="A25" s="637" t="str">
        <f t="shared" ref="A25:D25" si="26">#REF!</f>
        <v>#REF!</v>
      </c>
      <c r="B25" s="637" t="str">
        <f t="shared" si="26"/>
        <v>#REF!</v>
      </c>
      <c r="C25" s="637" t="str">
        <f t="shared" si="26"/>
        <v>#REF!</v>
      </c>
      <c r="D25" s="637" t="str">
        <f t="shared" si="26"/>
        <v>#REF!</v>
      </c>
      <c r="E25" s="630"/>
      <c r="F25" s="631" t="b">
        <f t="shared" si="2"/>
        <v>0</v>
      </c>
      <c r="G25" s="632" t="b">
        <f t="shared" si="3"/>
        <v>0</v>
      </c>
      <c r="H25" s="630"/>
      <c r="I25" s="631" t="b">
        <f t="shared" si="4"/>
        <v>0</v>
      </c>
      <c r="J25" s="632" t="b">
        <f t="shared" si="5"/>
        <v>0</v>
      </c>
      <c r="K25" s="633"/>
      <c r="L25" s="631" t="b">
        <f t="shared" si="6"/>
        <v>0</v>
      </c>
      <c r="M25" s="632" t="b">
        <f t="shared" si="7"/>
        <v>0</v>
      </c>
      <c r="N25" s="15"/>
      <c r="O25" s="15"/>
      <c r="P25" s="15"/>
      <c r="Q25" s="15"/>
      <c r="R25" s="15"/>
      <c r="S25" s="15"/>
      <c r="T25" s="15"/>
      <c r="U25" s="15"/>
      <c r="V25" s="15"/>
      <c r="W25" s="15"/>
      <c r="X25" s="15"/>
      <c r="Y25" s="15"/>
      <c r="Z25" s="15"/>
    </row>
    <row r="26" ht="15.75" customHeight="1">
      <c r="A26" s="637" t="str">
        <f t="shared" ref="A26:D26" si="27">#REF!</f>
        <v>#REF!</v>
      </c>
      <c r="B26" s="637" t="str">
        <f t="shared" si="27"/>
        <v>#REF!</v>
      </c>
      <c r="C26" s="637" t="str">
        <f t="shared" si="27"/>
        <v>#REF!</v>
      </c>
      <c r="D26" s="637" t="str">
        <f t="shared" si="27"/>
        <v>#REF!</v>
      </c>
      <c r="E26" s="630"/>
      <c r="F26" s="631" t="b">
        <f t="shared" si="2"/>
        <v>0</v>
      </c>
      <c r="G26" s="632" t="b">
        <f t="shared" si="3"/>
        <v>0</v>
      </c>
      <c r="H26" s="630"/>
      <c r="I26" s="631" t="b">
        <f t="shared" si="4"/>
        <v>0</v>
      </c>
      <c r="J26" s="632" t="b">
        <f t="shared" si="5"/>
        <v>0</v>
      </c>
      <c r="K26" s="633"/>
      <c r="L26" s="631" t="b">
        <f t="shared" si="6"/>
        <v>0</v>
      </c>
      <c r="M26" s="632" t="b">
        <f t="shared" si="7"/>
        <v>0</v>
      </c>
      <c r="N26" s="15"/>
      <c r="O26" s="15"/>
      <c r="P26" s="15"/>
      <c r="Q26" s="15"/>
      <c r="R26" s="15"/>
      <c r="S26" s="15"/>
      <c r="T26" s="15"/>
      <c r="U26" s="15"/>
      <c r="V26" s="15"/>
      <c r="W26" s="15"/>
      <c r="X26" s="15"/>
      <c r="Y26" s="15"/>
      <c r="Z26" s="15"/>
    </row>
    <row r="27" ht="15.75" customHeight="1">
      <c r="A27" s="637" t="str">
        <f t="shared" ref="A27:D27" si="28">#REF!</f>
        <v>#REF!</v>
      </c>
      <c r="B27" s="637" t="str">
        <f t="shared" si="28"/>
        <v>#REF!</v>
      </c>
      <c r="C27" s="637" t="str">
        <f t="shared" si="28"/>
        <v>#REF!</v>
      </c>
      <c r="D27" s="637" t="str">
        <f t="shared" si="28"/>
        <v>#REF!</v>
      </c>
      <c r="E27" s="630"/>
      <c r="F27" s="631" t="b">
        <f t="shared" si="2"/>
        <v>0</v>
      </c>
      <c r="G27" s="632" t="b">
        <f t="shared" si="3"/>
        <v>0</v>
      </c>
      <c r="H27" s="630"/>
      <c r="I27" s="631" t="b">
        <f t="shared" si="4"/>
        <v>0</v>
      </c>
      <c r="J27" s="632" t="b">
        <f t="shared" si="5"/>
        <v>0</v>
      </c>
      <c r="K27" s="633"/>
      <c r="L27" s="631" t="b">
        <f t="shared" si="6"/>
        <v>0</v>
      </c>
      <c r="M27" s="632" t="b">
        <f t="shared" si="7"/>
        <v>0</v>
      </c>
      <c r="N27" s="15"/>
      <c r="O27" s="15"/>
      <c r="P27" s="15"/>
      <c r="Q27" s="15"/>
      <c r="R27" s="15"/>
      <c r="S27" s="15"/>
      <c r="T27" s="15"/>
      <c r="U27" s="15"/>
      <c r="V27" s="15"/>
      <c r="W27" s="15"/>
      <c r="X27" s="15"/>
      <c r="Y27" s="15"/>
      <c r="Z27" s="15"/>
    </row>
    <row r="28" ht="15.75" customHeight="1">
      <c r="A28" s="637" t="str">
        <f t="shared" ref="A28:D28" si="29">#REF!</f>
        <v>#REF!</v>
      </c>
      <c r="B28" s="637" t="str">
        <f t="shared" si="29"/>
        <v>#REF!</v>
      </c>
      <c r="C28" s="637" t="str">
        <f t="shared" si="29"/>
        <v>#REF!</v>
      </c>
      <c r="D28" s="637" t="str">
        <f t="shared" si="29"/>
        <v>#REF!</v>
      </c>
      <c r="E28" s="630"/>
      <c r="F28" s="631" t="b">
        <f t="shared" si="2"/>
        <v>0</v>
      </c>
      <c r="G28" s="632" t="b">
        <f t="shared" si="3"/>
        <v>0</v>
      </c>
      <c r="H28" s="630"/>
      <c r="I28" s="631" t="b">
        <f t="shared" si="4"/>
        <v>0</v>
      </c>
      <c r="J28" s="632" t="b">
        <f t="shared" si="5"/>
        <v>0</v>
      </c>
      <c r="K28" s="633"/>
      <c r="L28" s="631" t="b">
        <f t="shared" si="6"/>
        <v>0</v>
      </c>
      <c r="M28" s="632" t="b">
        <f t="shared" si="7"/>
        <v>0</v>
      </c>
      <c r="N28" s="15"/>
      <c r="O28" s="15"/>
      <c r="P28" s="15"/>
      <c r="Q28" s="15"/>
      <c r="R28" s="15"/>
      <c r="S28" s="15"/>
      <c r="T28" s="15"/>
      <c r="U28" s="15"/>
      <c r="V28" s="15"/>
      <c r="W28" s="15"/>
      <c r="X28" s="15"/>
      <c r="Y28" s="15"/>
      <c r="Z28" s="15"/>
    </row>
    <row r="29" ht="15.75" customHeight="1">
      <c r="A29" s="637" t="str">
        <f t="shared" ref="A29:D29" si="30">#REF!</f>
        <v>#REF!</v>
      </c>
      <c r="B29" s="637" t="str">
        <f t="shared" si="30"/>
        <v>#REF!</v>
      </c>
      <c r="C29" s="637" t="str">
        <f t="shared" si="30"/>
        <v>#REF!</v>
      </c>
      <c r="D29" s="637" t="str">
        <f t="shared" si="30"/>
        <v>#REF!</v>
      </c>
      <c r="E29" s="630"/>
      <c r="F29" s="631" t="b">
        <f t="shared" si="2"/>
        <v>0</v>
      </c>
      <c r="G29" s="632" t="b">
        <f t="shared" si="3"/>
        <v>0</v>
      </c>
      <c r="H29" s="630"/>
      <c r="I29" s="631" t="b">
        <f t="shared" si="4"/>
        <v>0</v>
      </c>
      <c r="J29" s="632" t="b">
        <f t="shared" si="5"/>
        <v>0</v>
      </c>
      <c r="K29" s="633"/>
      <c r="L29" s="631" t="b">
        <f t="shared" si="6"/>
        <v>0</v>
      </c>
      <c r="M29" s="632" t="b">
        <f t="shared" si="7"/>
        <v>0</v>
      </c>
      <c r="N29" s="15"/>
      <c r="O29" s="15"/>
      <c r="P29" s="15"/>
      <c r="Q29" s="15"/>
      <c r="R29" s="15"/>
      <c r="S29" s="15"/>
      <c r="T29" s="15"/>
      <c r="U29" s="15"/>
      <c r="V29" s="15"/>
      <c r="W29" s="15"/>
      <c r="X29" s="15"/>
      <c r="Y29" s="15"/>
      <c r="Z29" s="15"/>
    </row>
    <row r="30" ht="15.75" customHeight="1">
      <c r="A30" s="637" t="str">
        <f t="shared" ref="A30:D30" si="31">#REF!</f>
        <v>#REF!</v>
      </c>
      <c r="B30" s="637" t="str">
        <f t="shared" si="31"/>
        <v>#REF!</v>
      </c>
      <c r="C30" s="637" t="str">
        <f t="shared" si="31"/>
        <v>#REF!</v>
      </c>
      <c r="D30" s="637" t="str">
        <f t="shared" si="31"/>
        <v>#REF!</v>
      </c>
      <c r="E30" s="630"/>
      <c r="F30" s="631" t="b">
        <f t="shared" si="2"/>
        <v>0</v>
      </c>
      <c r="G30" s="632" t="b">
        <f t="shared" si="3"/>
        <v>0</v>
      </c>
      <c r="H30" s="630"/>
      <c r="I30" s="631" t="b">
        <f t="shared" si="4"/>
        <v>0</v>
      </c>
      <c r="J30" s="632" t="b">
        <f t="shared" si="5"/>
        <v>0</v>
      </c>
      <c r="K30" s="633"/>
      <c r="L30" s="631" t="b">
        <f t="shared" si="6"/>
        <v>0</v>
      </c>
      <c r="M30" s="632" t="b">
        <f t="shared" si="7"/>
        <v>0</v>
      </c>
      <c r="N30" s="15"/>
      <c r="O30" s="15"/>
      <c r="P30" s="15"/>
      <c r="Q30" s="15"/>
      <c r="R30" s="15"/>
      <c r="S30" s="15"/>
      <c r="T30" s="15"/>
      <c r="U30" s="15"/>
      <c r="V30" s="15"/>
      <c r="W30" s="15"/>
      <c r="X30" s="15"/>
      <c r="Y30" s="15"/>
      <c r="Z30" s="15"/>
    </row>
    <row r="31" ht="15.75" customHeight="1">
      <c r="A31" s="637" t="str">
        <f t="shared" ref="A31:D31" si="32">#REF!</f>
        <v>#REF!</v>
      </c>
      <c r="B31" s="637" t="str">
        <f t="shared" si="32"/>
        <v>#REF!</v>
      </c>
      <c r="C31" s="637" t="str">
        <f t="shared" si="32"/>
        <v>#REF!</v>
      </c>
      <c r="D31" s="637" t="str">
        <f t="shared" si="32"/>
        <v>#REF!</v>
      </c>
      <c r="E31" s="630"/>
      <c r="F31" s="631" t="b">
        <f t="shared" si="2"/>
        <v>0</v>
      </c>
      <c r="G31" s="632" t="b">
        <f t="shared" si="3"/>
        <v>0</v>
      </c>
      <c r="H31" s="630"/>
      <c r="I31" s="631" t="b">
        <f t="shared" si="4"/>
        <v>0</v>
      </c>
      <c r="J31" s="632" t="b">
        <f t="shared" si="5"/>
        <v>0</v>
      </c>
      <c r="K31" s="633"/>
      <c r="L31" s="631" t="b">
        <f t="shared" si="6"/>
        <v>0</v>
      </c>
      <c r="M31" s="632" t="b">
        <f t="shared" si="7"/>
        <v>0</v>
      </c>
      <c r="N31" s="15"/>
      <c r="O31" s="15"/>
      <c r="P31" s="15"/>
      <c r="Q31" s="15"/>
      <c r="R31" s="15"/>
      <c r="S31" s="15"/>
      <c r="T31" s="15"/>
      <c r="U31" s="15"/>
      <c r="V31" s="15"/>
      <c r="W31" s="15"/>
      <c r="X31" s="15"/>
      <c r="Y31" s="15"/>
      <c r="Z31" s="15"/>
    </row>
    <row r="32" ht="15.75" customHeight="1">
      <c r="A32" s="637" t="str">
        <f t="shared" ref="A32:D32" si="33">#REF!</f>
        <v>#REF!</v>
      </c>
      <c r="B32" s="637" t="str">
        <f t="shared" si="33"/>
        <v>#REF!</v>
      </c>
      <c r="C32" s="637" t="str">
        <f t="shared" si="33"/>
        <v>#REF!</v>
      </c>
      <c r="D32" s="637" t="str">
        <f t="shared" si="33"/>
        <v>#REF!</v>
      </c>
      <c r="E32" s="633"/>
      <c r="F32" s="631" t="b">
        <f t="shared" si="2"/>
        <v>0</v>
      </c>
      <c r="G32" s="632" t="b">
        <f t="shared" si="3"/>
        <v>0</v>
      </c>
      <c r="H32" s="633"/>
      <c r="I32" s="631" t="b">
        <f t="shared" si="4"/>
        <v>0</v>
      </c>
      <c r="J32" s="632" t="b">
        <f t="shared" si="5"/>
        <v>0</v>
      </c>
      <c r="K32" s="633"/>
      <c r="L32" s="631" t="b">
        <f t="shared" si="6"/>
        <v>0</v>
      </c>
      <c r="M32" s="632" t="b">
        <f t="shared" si="7"/>
        <v>0</v>
      </c>
      <c r="N32" s="15"/>
      <c r="O32" s="15"/>
      <c r="P32" s="15"/>
      <c r="Q32" s="15"/>
      <c r="R32" s="15"/>
      <c r="S32" s="15"/>
      <c r="T32" s="15"/>
      <c r="U32" s="15"/>
      <c r="V32" s="15"/>
      <c r="W32" s="15"/>
      <c r="X32" s="15"/>
      <c r="Y32" s="15"/>
      <c r="Z32" s="15"/>
    </row>
    <row r="33" ht="15.75" customHeight="1">
      <c r="A33" s="637" t="str">
        <f t="shared" ref="A33:D33" si="34">#REF!</f>
        <v>#REF!</v>
      </c>
      <c r="B33" s="637" t="str">
        <f t="shared" si="34"/>
        <v>#REF!</v>
      </c>
      <c r="C33" s="637" t="str">
        <f t="shared" si="34"/>
        <v>#REF!</v>
      </c>
      <c r="D33" s="637" t="str">
        <f t="shared" si="34"/>
        <v>#REF!</v>
      </c>
      <c r="E33" s="633"/>
      <c r="F33" s="631" t="b">
        <f t="shared" si="2"/>
        <v>0</v>
      </c>
      <c r="G33" s="632" t="b">
        <f t="shared" si="3"/>
        <v>0</v>
      </c>
      <c r="H33" s="633"/>
      <c r="I33" s="631" t="b">
        <f t="shared" si="4"/>
        <v>0</v>
      </c>
      <c r="J33" s="632" t="b">
        <f t="shared" si="5"/>
        <v>0</v>
      </c>
      <c r="K33" s="633"/>
      <c r="L33" s="631" t="b">
        <f t="shared" si="6"/>
        <v>0</v>
      </c>
      <c r="M33" s="632" t="b">
        <f t="shared" si="7"/>
        <v>0</v>
      </c>
      <c r="N33" s="15"/>
      <c r="O33" s="15"/>
      <c r="P33" s="15"/>
      <c r="Q33" s="15"/>
      <c r="R33" s="15"/>
      <c r="S33" s="15"/>
      <c r="T33" s="15"/>
      <c r="U33" s="15"/>
      <c r="V33" s="15"/>
      <c r="W33" s="15"/>
      <c r="X33" s="15"/>
      <c r="Y33" s="15"/>
      <c r="Z33" s="15"/>
    </row>
    <row r="34" ht="15.75" customHeight="1">
      <c r="A34" s="637" t="str">
        <f t="shared" ref="A34:D34" si="35">#REF!</f>
        <v>#REF!</v>
      </c>
      <c r="B34" s="637" t="str">
        <f t="shared" si="35"/>
        <v>#REF!</v>
      </c>
      <c r="C34" s="637" t="str">
        <f t="shared" si="35"/>
        <v>#REF!</v>
      </c>
      <c r="D34" s="637" t="str">
        <f t="shared" si="35"/>
        <v>#REF!</v>
      </c>
      <c r="E34" s="633"/>
      <c r="F34" s="631" t="b">
        <f t="shared" si="2"/>
        <v>0</v>
      </c>
      <c r="G34" s="632" t="b">
        <f t="shared" si="3"/>
        <v>0</v>
      </c>
      <c r="H34" s="633"/>
      <c r="I34" s="631" t="b">
        <f t="shared" si="4"/>
        <v>0</v>
      </c>
      <c r="J34" s="632" t="b">
        <f t="shared" si="5"/>
        <v>0</v>
      </c>
      <c r="K34" s="633"/>
      <c r="L34" s="631" t="b">
        <f t="shared" si="6"/>
        <v>0</v>
      </c>
      <c r="M34" s="632" t="b">
        <f t="shared" si="7"/>
        <v>0</v>
      </c>
      <c r="N34" s="15"/>
      <c r="O34" s="15"/>
      <c r="P34" s="15"/>
      <c r="Q34" s="15"/>
      <c r="R34" s="15"/>
      <c r="S34" s="15"/>
      <c r="T34" s="15"/>
      <c r="U34" s="15"/>
      <c r="V34" s="15"/>
      <c r="W34" s="15"/>
      <c r="X34" s="15"/>
      <c r="Y34" s="15"/>
      <c r="Z34" s="15"/>
    </row>
    <row r="35" ht="15.75" customHeight="1">
      <c r="A35" s="637" t="str">
        <f t="shared" ref="A35:D35" si="36">#REF!</f>
        <v>#REF!</v>
      </c>
      <c r="B35" s="637" t="str">
        <f t="shared" si="36"/>
        <v>#REF!</v>
      </c>
      <c r="C35" s="637" t="str">
        <f t="shared" si="36"/>
        <v>#REF!</v>
      </c>
      <c r="D35" s="637" t="str">
        <f t="shared" si="36"/>
        <v>#REF!</v>
      </c>
      <c r="E35" s="633"/>
      <c r="F35" s="631" t="b">
        <f t="shared" si="2"/>
        <v>0</v>
      </c>
      <c r="G35" s="632" t="b">
        <f t="shared" si="3"/>
        <v>0</v>
      </c>
      <c r="H35" s="633"/>
      <c r="I35" s="631" t="b">
        <f t="shared" si="4"/>
        <v>0</v>
      </c>
      <c r="J35" s="632" t="b">
        <f t="shared" si="5"/>
        <v>0</v>
      </c>
      <c r="K35" s="633"/>
      <c r="L35" s="631" t="b">
        <f t="shared" si="6"/>
        <v>0</v>
      </c>
      <c r="M35" s="632" t="b">
        <f t="shared" si="7"/>
        <v>0</v>
      </c>
      <c r="N35" s="15"/>
      <c r="O35" s="15"/>
      <c r="P35" s="15"/>
      <c r="Q35" s="15"/>
      <c r="R35" s="15"/>
      <c r="S35" s="15"/>
      <c r="T35" s="15"/>
      <c r="U35" s="15"/>
      <c r="V35" s="15"/>
      <c r="W35" s="15"/>
      <c r="X35" s="15"/>
      <c r="Y35" s="15"/>
      <c r="Z35" s="15"/>
    </row>
    <row r="36" ht="15.75" customHeight="1">
      <c r="A36" s="637" t="str">
        <f t="shared" ref="A36:D36" si="37">#REF!</f>
        <v>#REF!</v>
      </c>
      <c r="B36" s="637" t="str">
        <f t="shared" si="37"/>
        <v>#REF!</v>
      </c>
      <c r="C36" s="637" t="str">
        <f t="shared" si="37"/>
        <v>#REF!</v>
      </c>
      <c r="D36" s="637" t="str">
        <f t="shared" si="37"/>
        <v>#REF!</v>
      </c>
      <c r="E36" s="633"/>
      <c r="F36" s="631" t="b">
        <f t="shared" si="2"/>
        <v>0</v>
      </c>
      <c r="G36" s="632" t="b">
        <f t="shared" si="3"/>
        <v>0</v>
      </c>
      <c r="H36" s="633"/>
      <c r="I36" s="631" t="b">
        <f t="shared" si="4"/>
        <v>0</v>
      </c>
      <c r="J36" s="632" t="b">
        <f t="shared" si="5"/>
        <v>0</v>
      </c>
      <c r="K36" s="633"/>
      <c r="L36" s="631" t="b">
        <f t="shared" si="6"/>
        <v>0</v>
      </c>
      <c r="M36" s="632" t="b">
        <f t="shared" si="7"/>
        <v>0</v>
      </c>
      <c r="N36" s="15"/>
      <c r="O36" s="15"/>
      <c r="P36" s="15"/>
      <c r="Q36" s="15"/>
      <c r="R36" s="15"/>
      <c r="S36" s="15"/>
      <c r="T36" s="15"/>
      <c r="U36" s="15"/>
      <c r="V36" s="15"/>
      <c r="W36" s="15"/>
      <c r="X36" s="15"/>
      <c r="Y36" s="15"/>
      <c r="Z36" s="15"/>
    </row>
    <row r="37" ht="15.75" customHeight="1">
      <c r="A37" s="637" t="str">
        <f t="shared" ref="A37:D37" si="38">#REF!</f>
        <v>#REF!</v>
      </c>
      <c r="B37" s="637" t="str">
        <f t="shared" si="38"/>
        <v>#REF!</v>
      </c>
      <c r="C37" s="637" t="str">
        <f t="shared" si="38"/>
        <v>#REF!</v>
      </c>
      <c r="D37" s="637" t="str">
        <f t="shared" si="38"/>
        <v>#REF!</v>
      </c>
      <c r="E37" s="633"/>
      <c r="F37" s="631" t="b">
        <f t="shared" si="2"/>
        <v>0</v>
      </c>
      <c r="G37" s="632" t="b">
        <f t="shared" si="3"/>
        <v>0</v>
      </c>
      <c r="H37" s="633"/>
      <c r="I37" s="631" t="b">
        <f t="shared" si="4"/>
        <v>0</v>
      </c>
      <c r="J37" s="632" t="b">
        <f t="shared" si="5"/>
        <v>0</v>
      </c>
      <c r="K37" s="633"/>
      <c r="L37" s="631" t="b">
        <f t="shared" si="6"/>
        <v>0</v>
      </c>
      <c r="M37" s="632" t="b">
        <f t="shared" si="7"/>
        <v>0</v>
      </c>
      <c r="N37" s="15"/>
      <c r="O37" s="15"/>
      <c r="P37" s="15"/>
      <c r="Q37" s="15"/>
      <c r="R37" s="15"/>
      <c r="S37" s="15"/>
      <c r="T37" s="15"/>
      <c r="U37" s="15"/>
      <c r="V37" s="15"/>
      <c r="W37" s="15"/>
      <c r="X37" s="15"/>
      <c r="Y37" s="15"/>
      <c r="Z37" s="15"/>
    </row>
    <row r="38" ht="15.75" customHeight="1">
      <c r="A38" s="637" t="str">
        <f t="shared" ref="A38:D38" si="39">#REF!</f>
        <v>#REF!</v>
      </c>
      <c r="B38" s="637" t="str">
        <f t="shared" si="39"/>
        <v>#REF!</v>
      </c>
      <c r="C38" s="637" t="str">
        <f t="shared" si="39"/>
        <v>#REF!</v>
      </c>
      <c r="D38" s="637" t="str">
        <f t="shared" si="39"/>
        <v>#REF!</v>
      </c>
      <c r="E38" s="633"/>
      <c r="F38" s="631" t="b">
        <f t="shared" si="2"/>
        <v>0</v>
      </c>
      <c r="G38" s="632" t="b">
        <f t="shared" si="3"/>
        <v>0</v>
      </c>
      <c r="H38" s="633"/>
      <c r="I38" s="631" t="b">
        <f t="shared" si="4"/>
        <v>0</v>
      </c>
      <c r="J38" s="632" t="b">
        <f t="shared" si="5"/>
        <v>0</v>
      </c>
      <c r="K38" s="633"/>
      <c r="L38" s="631" t="b">
        <f t="shared" si="6"/>
        <v>0</v>
      </c>
      <c r="M38" s="632" t="b">
        <f t="shared" si="7"/>
        <v>0</v>
      </c>
      <c r="N38" s="15"/>
      <c r="O38" s="15"/>
      <c r="P38" s="15"/>
      <c r="Q38" s="15"/>
      <c r="R38" s="15"/>
      <c r="S38" s="15"/>
      <c r="T38" s="15"/>
      <c r="U38" s="15"/>
      <c r="V38" s="15"/>
      <c r="W38" s="15"/>
      <c r="X38" s="15"/>
      <c r="Y38" s="15"/>
      <c r="Z38" s="15"/>
    </row>
    <row r="39" ht="15.75" customHeight="1">
      <c r="A39" s="637" t="str">
        <f t="shared" ref="A39:D39" si="40">#REF!</f>
        <v>#REF!</v>
      </c>
      <c r="B39" s="637" t="str">
        <f t="shared" si="40"/>
        <v>#REF!</v>
      </c>
      <c r="C39" s="637" t="str">
        <f t="shared" si="40"/>
        <v>#REF!</v>
      </c>
      <c r="D39" s="637" t="str">
        <f t="shared" si="40"/>
        <v>#REF!</v>
      </c>
      <c r="E39" s="633"/>
      <c r="F39" s="631" t="b">
        <f t="shared" si="2"/>
        <v>0</v>
      </c>
      <c r="G39" s="632" t="b">
        <f t="shared" si="3"/>
        <v>0</v>
      </c>
      <c r="H39" s="633"/>
      <c r="I39" s="631" t="b">
        <f t="shared" si="4"/>
        <v>0</v>
      </c>
      <c r="J39" s="632" t="b">
        <f t="shared" si="5"/>
        <v>0</v>
      </c>
      <c r="K39" s="633"/>
      <c r="L39" s="631" t="b">
        <f t="shared" si="6"/>
        <v>0</v>
      </c>
      <c r="M39" s="632" t="b">
        <f t="shared" si="7"/>
        <v>0</v>
      </c>
      <c r="N39" s="15"/>
      <c r="O39" s="15"/>
      <c r="P39" s="15"/>
      <c r="Q39" s="15"/>
      <c r="R39" s="15"/>
      <c r="S39" s="15"/>
      <c r="T39" s="15"/>
      <c r="U39" s="15"/>
      <c r="V39" s="15"/>
      <c r="W39" s="15"/>
      <c r="X39" s="15"/>
      <c r="Y39" s="15"/>
      <c r="Z39" s="15"/>
    </row>
    <row r="40" ht="15.75" customHeight="1">
      <c r="A40" s="637" t="str">
        <f t="shared" ref="A40:D40" si="41">#REF!</f>
        <v>#REF!</v>
      </c>
      <c r="B40" s="637" t="str">
        <f t="shared" si="41"/>
        <v>#REF!</v>
      </c>
      <c r="C40" s="637" t="str">
        <f t="shared" si="41"/>
        <v>#REF!</v>
      </c>
      <c r="D40" s="637" t="str">
        <f t="shared" si="41"/>
        <v>#REF!</v>
      </c>
      <c r="E40" s="633"/>
      <c r="F40" s="631" t="b">
        <f t="shared" si="2"/>
        <v>0</v>
      </c>
      <c r="G40" s="632" t="b">
        <f t="shared" si="3"/>
        <v>0</v>
      </c>
      <c r="H40" s="633"/>
      <c r="I40" s="631" t="b">
        <f t="shared" si="4"/>
        <v>0</v>
      </c>
      <c r="J40" s="632" t="b">
        <f t="shared" si="5"/>
        <v>0</v>
      </c>
      <c r="K40" s="633"/>
      <c r="L40" s="631" t="b">
        <f t="shared" si="6"/>
        <v>0</v>
      </c>
      <c r="M40" s="632" t="b">
        <f t="shared" si="7"/>
        <v>0</v>
      </c>
      <c r="N40" s="15"/>
      <c r="O40" s="15"/>
      <c r="P40" s="15"/>
      <c r="Q40" s="15"/>
      <c r="R40" s="15"/>
      <c r="S40" s="15"/>
      <c r="T40" s="15"/>
      <c r="U40" s="15"/>
      <c r="V40" s="15"/>
      <c r="W40" s="15"/>
      <c r="X40" s="15"/>
      <c r="Y40" s="15"/>
      <c r="Z40" s="15"/>
    </row>
    <row r="41" ht="15.75" customHeight="1">
      <c r="A41" s="637" t="str">
        <f t="shared" ref="A41:D41" si="42">#REF!</f>
        <v>#REF!</v>
      </c>
      <c r="B41" s="637" t="str">
        <f t="shared" si="42"/>
        <v>#REF!</v>
      </c>
      <c r="C41" s="637" t="str">
        <f t="shared" si="42"/>
        <v>#REF!</v>
      </c>
      <c r="D41" s="637" t="str">
        <f t="shared" si="42"/>
        <v>#REF!</v>
      </c>
      <c r="E41" s="633"/>
      <c r="F41" s="631" t="b">
        <f t="shared" si="2"/>
        <v>0</v>
      </c>
      <c r="G41" s="632" t="b">
        <f t="shared" si="3"/>
        <v>0</v>
      </c>
      <c r="H41" s="633"/>
      <c r="I41" s="631" t="b">
        <f t="shared" si="4"/>
        <v>0</v>
      </c>
      <c r="J41" s="632" t="b">
        <f t="shared" si="5"/>
        <v>0</v>
      </c>
      <c r="K41" s="633"/>
      <c r="L41" s="631" t="b">
        <f t="shared" si="6"/>
        <v>0</v>
      </c>
      <c r="M41" s="632" t="b">
        <f t="shared" si="7"/>
        <v>0</v>
      </c>
      <c r="N41" s="15"/>
      <c r="O41" s="15"/>
      <c r="P41" s="15"/>
      <c r="Q41" s="15"/>
      <c r="R41" s="15"/>
      <c r="S41" s="15"/>
      <c r="T41" s="15"/>
      <c r="U41" s="15"/>
      <c r="V41" s="15"/>
      <c r="W41" s="15"/>
      <c r="X41" s="15"/>
      <c r="Y41" s="15"/>
      <c r="Z41" s="15"/>
    </row>
    <row r="42" ht="9.0" customHeight="1">
      <c r="A42" s="649"/>
      <c r="B42" s="503"/>
      <c r="C42" s="503"/>
      <c r="D42" s="503"/>
      <c r="E42" s="496"/>
      <c r="F42" s="496"/>
      <c r="G42" s="503"/>
      <c r="H42" s="496"/>
      <c r="I42" s="496"/>
      <c r="J42" s="503"/>
      <c r="K42" s="496"/>
      <c r="L42" s="496"/>
      <c r="M42" s="503"/>
      <c r="N42" s="15"/>
      <c r="O42" s="15"/>
      <c r="P42" s="15"/>
      <c r="Q42" s="15"/>
      <c r="R42" s="15"/>
      <c r="S42" s="15"/>
      <c r="T42" s="15"/>
      <c r="U42" s="15"/>
      <c r="V42" s="15"/>
      <c r="W42" s="15"/>
      <c r="X42" s="15"/>
      <c r="Y42" s="15"/>
      <c r="Z42" s="15"/>
    </row>
    <row r="43" ht="12.75" customHeight="1">
      <c r="A43" s="503"/>
      <c r="B43" s="503"/>
      <c r="C43" s="503"/>
      <c r="D43" s="503"/>
      <c r="E43" s="496"/>
      <c r="F43" s="496"/>
      <c r="G43" s="503"/>
      <c r="H43" s="496"/>
      <c r="I43" s="496"/>
      <c r="J43" s="503"/>
      <c r="K43" s="496"/>
      <c r="L43" s="496"/>
      <c r="M43" s="503"/>
      <c r="N43" s="15"/>
      <c r="O43" s="15"/>
      <c r="P43" s="15"/>
      <c r="Q43" s="15"/>
      <c r="R43" s="15"/>
      <c r="S43" s="15"/>
      <c r="T43" s="15"/>
      <c r="U43" s="15"/>
      <c r="V43" s="15"/>
      <c r="W43" s="15"/>
      <c r="X43" s="15"/>
      <c r="Y43" s="15"/>
      <c r="Z43" s="15"/>
    </row>
    <row r="44" ht="12.75" customHeight="1">
      <c r="A44" s="503"/>
      <c r="B44" s="503"/>
      <c r="C44" s="503"/>
      <c r="D44" s="503"/>
      <c r="E44" s="496"/>
      <c r="F44" s="496"/>
      <c r="G44" s="503"/>
      <c r="H44" s="496"/>
      <c r="I44" s="496"/>
      <c r="J44" s="503"/>
      <c r="K44" s="496"/>
      <c r="L44" s="496"/>
      <c r="M44" s="503"/>
      <c r="N44" s="15"/>
      <c r="O44" s="15"/>
      <c r="P44" s="15"/>
      <c r="Q44" s="15"/>
      <c r="R44" s="15"/>
      <c r="S44" s="15"/>
      <c r="T44" s="15"/>
      <c r="U44" s="15"/>
      <c r="V44" s="15"/>
      <c r="W44" s="15"/>
      <c r="X44" s="15"/>
      <c r="Y44" s="15"/>
      <c r="Z44" s="15"/>
    </row>
    <row r="45" ht="12.75" customHeight="1">
      <c r="A45" s="503"/>
      <c r="B45" s="503"/>
      <c r="C45" s="503"/>
      <c r="D45" s="503"/>
      <c r="E45" s="496"/>
      <c r="F45" s="496"/>
      <c r="G45" s="503"/>
      <c r="H45" s="496"/>
      <c r="I45" s="496"/>
      <c r="J45" s="503"/>
      <c r="K45" s="496"/>
      <c r="L45" s="496"/>
      <c r="M45" s="503"/>
      <c r="N45" s="15"/>
      <c r="O45" s="15"/>
      <c r="P45" s="15"/>
      <c r="Q45" s="15"/>
      <c r="R45" s="15"/>
      <c r="S45" s="15"/>
      <c r="T45" s="15"/>
      <c r="U45" s="15"/>
      <c r="V45" s="15"/>
      <c r="W45" s="15"/>
      <c r="X45" s="15"/>
      <c r="Y45" s="15"/>
      <c r="Z45" s="15"/>
    </row>
    <row r="46" ht="12.75" customHeight="1">
      <c r="A46" s="503"/>
      <c r="B46" s="503"/>
      <c r="C46" s="503"/>
      <c r="D46" s="503"/>
      <c r="E46" s="496"/>
      <c r="F46" s="496"/>
      <c r="G46" s="503"/>
      <c r="H46" s="496"/>
      <c r="I46" s="496"/>
      <c r="J46" s="503"/>
      <c r="K46" s="496"/>
      <c r="L46" s="496"/>
      <c r="M46" s="503"/>
      <c r="N46" s="15"/>
      <c r="O46" s="15"/>
      <c r="P46" s="15"/>
      <c r="Q46" s="15"/>
      <c r="R46" s="15"/>
      <c r="S46" s="15"/>
      <c r="T46" s="15"/>
      <c r="U46" s="15"/>
      <c r="V46" s="15"/>
      <c r="W46" s="15"/>
      <c r="X46" s="15"/>
      <c r="Y46" s="15"/>
      <c r="Z46" s="15"/>
    </row>
    <row r="47" ht="12.75" customHeight="1">
      <c r="A47" s="503"/>
      <c r="B47" s="503"/>
      <c r="C47" s="503"/>
      <c r="D47" s="503"/>
      <c r="E47" s="496"/>
      <c r="F47" s="496"/>
      <c r="G47" s="503"/>
      <c r="H47" s="496"/>
      <c r="I47" s="496"/>
      <c r="J47" s="503"/>
      <c r="K47" s="496"/>
      <c r="L47" s="496"/>
      <c r="M47" s="503"/>
      <c r="N47" s="15"/>
      <c r="O47" s="15"/>
      <c r="P47" s="15"/>
      <c r="Q47" s="15"/>
      <c r="R47" s="15"/>
      <c r="S47" s="15"/>
      <c r="T47" s="15"/>
      <c r="U47" s="15"/>
      <c r="V47" s="15"/>
      <c r="W47" s="15"/>
      <c r="X47" s="15"/>
      <c r="Y47" s="15"/>
      <c r="Z47" s="15"/>
    </row>
    <row r="48" ht="12.75" customHeight="1">
      <c r="A48" s="503"/>
      <c r="B48" s="503"/>
      <c r="C48" s="503"/>
      <c r="D48" s="503"/>
      <c r="E48" s="496"/>
      <c r="F48" s="496"/>
      <c r="G48" s="503"/>
      <c r="H48" s="496"/>
      <c r="I48" s="496"/>
      <c r="J48" s="503"/>
      <c r="K48" s="496"/>
      <c r="L48" s="496"/>
      <c r="M48" s="503"/>
      <c r="N48" s="15"/>
      <c r="O48" s="15"/>
      <c r="P48" s="15"/>
      <c r="Q48" s="15"/>
      <c r="R48" s="15"/>
      <c r="S48" s="15"/>
      <c r="T48" s="15"/>
      <c r="U48" s="15"/>
      <c r="V48" s="15"/>
      <c r="W48" s="15"/>
      <c r="X48" s="15"/>
      <c r="Y48" s="15"/>
      <c r="Z48" s="15"/>
    </row>
    <row r="49" ht="12.75" customHeight="1">
      <c r="A49" s="503"/>
      <c r="B49" s="503"/>
      <c r="C49" s="503"/>
      <c r="D49" s="503"/>
      <c r="E49" s="496"/>
      <c r="F49" s="496"/>
      <c r="G49" s="503"/>
      <c r="H49" s="496"/>
      <c r="I49" s="496"/>
      <c r="J49" s="503"/>
      <c r="K49" s="496"/>
      <c r="L49" s="496"/>
      <c r="M49" s="503"/>
      <c r="N49" s="15"/>
      <c r="O49" s="15"/>
      <c r="P49" s="15"/>
      <c r="Q49" s="15"/>
      <c r="R49" s="15"/>
      <c r="S49" s="15"/>
      <c r="T49" s="15"/>
      <c r="U49" s="15"/>
      <c r="V49" s="15"/>
      <c r="W49" s="15"/>
      <c r="X49" s="15"/>
      <c r="Y49" s="15"/>
      <c r="Z49" s="15"/>
    </row>
    <row r="50" ht="12.75" customHeight="1">
      <c r="A50" s="503"/>
      <c r="B50" s="503"/>
      <c r="C50" s="503"/>
      <c r="D50" s="503"/>
      <c r="E50" s="496"/>
      <c r="F50" s="496"/>
      <c r="G50" s="503"/>
      <c r="H50" s="496"/>
      <c r="I50" s="496"/>
      <c r="J50" s="503"/>
      <c r="K50" s="496"/>
      <c r="L50" s="496"/>
      <c r="M50" s="503"/>
      <c r="N50" s="15"/>
      <c r="O50" s="15"/>
      <c r="P50" s="15"/>
      <c r="Q50" s="15"/>
      <c r="R50" s="15"/>
      <c r="S50" s="15"/>
      <c r="T50" s="15"/>
      <c r="U50" s="15"/>
      <c r="V50" s="15"/>
      <c r="W50" s="15"/>
      <c r="X50" s="15"/>
      <c r="Y50" s="15"/>
      <c r="Z50" s="15"/>
    </row>
    <row r="51" ht="12.75" customHeight="1">
      <c r="A51" s="503"/>
      <c r="B51" s="503"/>
      <c r="C51" s="503"/>
      <c r="D51" s="503"/>
      <c r="E51" s="496"/>
      <c r="F51" s="496"/>
      <c r="G51" s="503"/>
      <c r="H51" s="496"/>
      <c r="I51" s="496"/>
      <c r="J51" s="503"/>
      <c r="K51" s="496"/>
      <c r="L51" s="496"/>
      <c r="M51" s="503"/>
      <c r="N51" s="15"/>
      <c r="O51" s="15"/>
      <c r="P51" s="15"/>
      <c r="Q51" s="15"/>
      <c r="R51" s="15"/>
      <c r="S51" s="15"/>
      <c r="T51" s="15"/>
      <c r="U51" s="15"/>
      <c r="V51" s="15"/>
      <c r="W51" s="15"/>
      <c r="X51" s="15"/>
      <c r="Y51" s="15"/>
      <c r="Z51" s="15"/>
    </row>
    <row r="52" ht="12.75" customHeight="1">
      <c r="A52" s="503"/>
      <c r="B52" s="503"/>
      <c r="C52" s="503"/>
      <c r="D52" s="503"/>
      <c r="E52" s="496"/>
      <c r="F52" s="496"/>
      <c r="G52" s="503"/>
      <c r="H52" s="496"/>
      <c r="I52" s="496"/>
      <c r="J52" s="503"/>
      <c r="K52" s="496"/>
      <c r="L52" s="496"/>
      <c r="M52" s="503"/>
      <c r="N52" s="15"/>
      <c r="O52" s="15"/>
      <c r="P52" s="15"/>
      <c r="Q52" s="15"/>
      <c r="R52" s="15"/>
      <c r="S52" s="15"/>
      <c r="T52" s="15"/>
      <c r="U52" s="15"/>
      <c r="V52" s="15"/>
      <c r="W52" s="15"/>
      <c r="X52" s="15"/>
      <c r="Y52" s="15"/>
      <c r="Z52" s="15"/>
    </row>
    <row r="53" ht="12.75" customHeight="1">
      <c r="A53" s="503"/>
      <c r="B53" s="503"/>
      <c r="C53" s="503"/>
      <c r="D53" s="503"/>
      <c r="E53" s="496"/>
      <c r="F53" s="496"/>
      <c r="G53" s="503"/>
      <c r="H53" s="496"/>
      <c r="I53" s="496"/>
      <c r="J53" s="503"/>
      <c r="K53" s="496"/>
      <c r="L53" s="496"/>
      <c r="M53" s="503"/>
      <c r="N53" s="15"/>
      <c r="O53" s="15"/>
      <c r="P53" s="15"/>
      <c r="Q53" s="15"/>
      <c r="R53" s="15"/>
      <c r="S53" s="15"/>
      <c r="T53" s="15"/>
      <c r="U53" s="15"/>
      <c r="V53" s="15"/>
      <c r="W53" s="15"/>
      <c r="X53" s="15"/>
      <c r="Y53" s="15"/>
      <c r="Z53" s="15"/>
    </row>
    <row r="54" ht="12.75" customHeight="1">
      <c r="A54" s="503"/>
      <c r="B54" s="503"/>
      <c r="C54" s="503"/>
      <c r="D54" s="503"/>
      <c r="E54" s="496"/>
      <c r="F54" s="496"/>
      <c r="G54" s="503"/>
      <c r="H54" s="496"/>
      <c r="I54" s="496"/>
      <c r="J54" s="503"/>
      <c r="K54" s="496"/>
      <c r="L54" s="496"/>
      <c r="M54" s="503"/>
      <c r="N54" s="15"/>
      <c r="O54" s="15"/>
      <c r="P54" s="15"/>
      <c r="Q54" s="15"/>
      <c r="R54" s="15"/>
      <c r="S54" s="15"/>
      <c r="T54" s="15"/>
      <c r="U54" s="15"/>
      <c r="V54" s="15"/>
      <c r="W54" s="15"/>
      <c r="X54" s="15"/>
      <c r="Y54" s="15"/>
      <c r="Z54" s="15"/>
    </row>
    <row r="55" ht="12.75" customHeight="1">
      <c r="A55" s="503"/>
      <c r="B55" s="503"/>
      <c r="C55" s="503"/>
      <c r="D55" s="503"/>
      <c r="E55" s="496"/>
      <c r="F55" s="496"/>
      <c r="G55" s="503"/>
      <c r="H55" s="496"/>
      <c r="I55" s="496"/>
      <c r="J55" s="503"/>
      <c r="K55" s="496"/>
      <c r="L55" s="496"/>
      <c r="M55" s="503"/>
      <c r="N55" s="15"/>
      <c r="O55" s="15"/>
      <c r="P55" s="15"/>
      <c r="Q55" s="15"/>
      <c r="R55" s="15"/>
      <c r="S55" s="15"/>
      <c r="T55" s="15"/>
      <c r="U55" s="15"/>
      <c r="V55" s="15"/>
      <c r="W55" s="15"/>
      <c r="X55" s="15"/>
      <c r="Y55" s="15"/>
      <c r="Z55" s="15"/>
    </row>
    <row r="56" ht="12.75" customHeight="1">
      <c r="A56" s="503"/>
      <c r="B56" s="503"/>
      <c r="C56" s="503"/>
      <c r="D56" s="503"/>
      <c r="E56" s="496"/>
      <c r="F56" s="496"/>
      <c r="G56" s="503"/>
      <c r="H56" s="496"/>
      <c r="I56" s="496"/>
      <c r="J56" s="503"/>
      <c r="K56" s="496"/>
      <c r="L56" s="496"/>
      <c r="M56" s="503"/>
      <c r="N56" s="15"/>
      <c r="O56" s="15"/>
      <c r="P56" s="15"/>
      <c r="Q56" s="15"/>
      <c r="R56" s="15"/>
      <c r="S56" s="15"/>
      <c r="T56" s="15"/>
      <c r="U56" s="15"/>
      <c r="V56" s="15"/>
      <c r="W56" s="15"/>
      <c r="X56" s="15"/>
      <c r="Y56" s="15"/>
      <c r="Z56" s="15"/>
    </row>
    <row r="57" ht="12.75" customHeight="1">
      <c r="A57" s="503"/>
      <c r="B57" s="503"/>
      <c r="C57" s="503"/>
      <c r="D57" s="503"/>
      <c r="E57" s="496"/>
      <c r="F57" s="496"/>
      <c r="G57" s="503"/>
      <c r="H57" s="496"/>
      <c r="I57" s="496"/>
      <c r="J57" s="503"/>
      <c r="K57" s="496"/>
      <c r="L57" s="496"/>
      <c r="M57" s="503"/>
      <c r="N57" s="15"/>
      <c r="O57" s="15"/>
      <c r="P57" s="15"/>
      <c r="Q57" s="15"/>
      <c r="R57" s="15"/>
      <c r="S57" s="15"/>
      <c r="T57" s="15"/>
      <c r="U57" s="15"/>
      <c r="V57" s="15"/>
      <c r="W57" s="15"/>
      <c r="X57" s="15"/>
      <c r="Y57" s="15"/>
      <c r="Z57" s="15"/>
    </row>
    <row r="58" ht="12.75" customHeight="1">
      <c r="A58" s="503"/>
      <c r="B58" s="503"/>
      <c r="C58" s="503"/>
      <c r="D58" s="503"/>
      <c r="E58" s="496"/>
      <c r="F58" s="496"/>
      <c r="G58" s="503"/>
      <c r="H58" s="496"/>
      <c r="I58" s="496"/>
      <c r="J58" s="503"/>
      <c r="K58" s="496"/>
      <c r="L58" s="496"/>
      <c r="M58" s="503"/>
      <c r="N58" s="15"/>
      <c r="O58" s="15"/>
      <c r="P58" s="15"/>
      <c r="Q58" s="15"/>
      <c r="R58" s="15"/>
      <c r="S58" s="15"/>
      <c r="T58" s="15"/>
      <c r="U58" s="15"/>
      <c r="V58" s="15"/>
      <c r="W58" s="15"/>
      <c r="X58" s="15"/>
      <c r="Y58" s="15"/>
      <c r="Z58" s="15"/>
    </row>
    <row r="59" ht="12.75" customHeight="1">
      <c r="A59" s="503"/>
      <c r="B59" s="503"/>
      <c r="C59" s="503"/>
      <c r="D59" s="503"/>
      <c r="E59" s="496"/>
      <c r="F59" s="496"/>
      <c r="G59" s="503"/>
      <c r="H59" s="496"/>
      <c r="I59" s="496"/>
      <c r="J59" s="503"/>
      <c r="K59" s="496"/>
      <c r="L59" s="496"/>
      <c r="M59" s="503"/>
      <c r="N59" s="15"/>
      <c r="O59" s="15"/>
      <c r="P59" s="15"/>
      <c r="Q59" s="15"/>
      <c r="R59" s="15"/>
      <c r="S59" s="15"/>
      <c r="T59" s="15"/>
      <c r="U59" s="15"/>
      <c r="V59" s="15"/>
      <c r="W59" s="15"/>
      <c r="X59" s="15"/>
      <c r="Y59" s="15"/>
      <c r="Z59" s="15"/>
    </row>
    <row r="60" ht="12.75" customHeight="1">
      <c r="A60" s="503"/>
      <c r="B60" s="503"/>
      <c r="C60" s="503"/>
      <c r="D60" s="503"/>
      <c r="E60" s="496"/>
      <c r="F60" s="496"/>
      <c r="G60" s="503"/>
      <c r="H60" s="496"/>
      <c r="I60" s="496"/>
      <c r="J60" s="503"/>
      <c r="K60" s="496"/>
      <c r="L60" s="496"/>
      <c r="M60" s="503"/>
      <c r="N60" s="15"/>
      <c r="O60" s="15"/>
      <c r="P60" s="15"/>
      <c r="Q60" s="15"/>
      <c r="R60" s="15"/>
      <c r="S60" s="15"/>
      <c r="T60" s="15"/>
      <c r="U60" s="15"/>
      <c r="V60" s="15"/>
      <c r="W60" s="15"/>
      <c r="X60" s="15"/>
      <c r="Y60" s="15"/>
      <c r="Z60" s="15"/>
    </row>
    <row r="61" ht="12.75" customHeight="1">
      <c r="A61" s="503"/>
      <c r="B61" s="503"/>
      <c r="C61" s="503"/>
      <c r="D61" s="503"/>
      <c r="E61" s="496"/>
      <c r="F61" s="496"/>
      <c r="G61" s="503"/>
      <c r="H61" s="496"/>
      <c r="I61" s="496"/>
      <c r="J61" s="503"/>
      <c r="K61" s="496"/>
      <c r="L61" s="496"/>
      <c r="M61" s="503"/>
      <c r="N61" s="15"/>
      <c r="O61" s="15"/>
      <c r="P61" s="15"/>
      <c r="Q61" s="15"/>
      <c r="R61" s="15"/>
      <c r="S61" s="15"/>
      <c r="T61" s="15"/>
      <c r="U61" s="15"/>
      <c r="V61" s="15"/>
      <c r="W61" s="15"/>
      <c r="X61" s="15"/>
      <c r="Y61" s="15"/>
      <c r="Z61" s="15"/>
    </row>
    <row r="62" ht="12.75" customHeight="1">
      <c r="A62" s="503"/>
      <c r="B62" s="503"/>
      <c r="C62" s="503"/>
      <c r="D62" s="503"/>
      <c r="E62" s="496"/>
      <c r="F62" s="496"/>
      <c r="G62" s="503"/>
      <c r="H62" s="496"/>
      <c r="I62" s="496"/>
      <c r="J62" s="503"/>
      <c r="K62" s="496"/>
      <c r="L62" s="496"/>
      <c r="M62" s="503"/>
      <c r="N62" s="15"/>
      <c r="O62" s="15"/>
      <c r="P62" s="15"/>
      <c r="Q62" s="15"/>
      <c r="R62" s="15"/>
      <c r="S62" s="15"/>
      <c r="T62" s="15"/>
      <c r="U62" s="15"/>
      <c r="V62" s="15"/>
      <c r="W62" s="15"/>
      <c r="X62" s="15"/>
      <c r="Y62" s="15"/>
      <c r="Z62" s="15"/>
    </row>
    <row r="63" ht="12.75" customHeight="1">
      <c r="A63" s="503"/>
      <c r="B63" s="503"/>
      <c r="C63" s="503"/>
      <c r="D63" s="503"/>
      <c r="E63" s="496"/>
      <c r="F63" s="496"/>
      <c r="G63" s="503"/>
      <c r="H63" s="496"/>
      <c r="I63" s="496"/>
      <c r="J63" s="503"/>
      <c r="K63" s="496"/>
      <c r="L63" s="496"/>
      <c r="M63" s="503"/>
      <c r="N63" s="15"/>
      <c r="O63" s="15"/>
      <c r="P63" s="15"/>
      <c r="Q63" s="15"/>
      <c r="R63" s="15"/>
      <c r="S63" s="15"/>
      <c r="T63" s="15"/>
      <c r="U63" s="15"/>
      <c r="V63" s="15"/>
      <c r="W63" s="15"/>
      <c r="X63" s="15"/>
      <c r="Y63" s="15"/>
      <c r="Z63" s="15"/>
    </row>
    <row r="64" ht="12.75" customHeight="1">
      <c r="A64" s="503"/>
      <c r="B64" s="503"/>
      <c r="C64" s="503"/>
      <c r="D64" s="503"/>
      <c r="E64" s="496"/>
      <c r="F64" s="496"/>
      <c r="G64" s="503"/>
      <c r="H64" s="496"/>
      <c r="I64" s="496"/>
      <c r="J64" s="503"/>
      <c r="K64" s="496"/>
      <c r="L64" s="496"/>
      <c r="M64" s="503"/>
      <c r="N64" s="15"/>
      <c r="O64" s="15"/>
      <c r="P64" s="15"/>
      <c r="Q64" s="15"/>
      <c r="R64" s="15"/>
      <c r="S64" s="15"/>
      <c r="T64" s="15"/>
      <c r="U64" s="15"/>
      <c r="V64" s="15"/>
      <c r="W64" s="15"/>
      <c r="X64" s="15"/>
      <c r="Y64" s="15"/>
      <c r="Z64" s="15"/>
    </row>
    <row r="65" ht="12.75" customHeight="1">
      <c r="A65" s="503"/>
      <c r="B65" s="503"/>
      <c r="C65" s="503"/>
      <c r="D65" s="503"/>
      <c r="E65" s="496"/>
      <c r="F65" s="496"/>
      <c r="G65" s="503"/>
      <c r="H65" s="496"/>
      <c r="I65" s="496"/>
      <c r="J65" s="503"/>
      <c r="K65" s="496"/>
      <c r="L65" s="496"/>
      <c r="M65" s="503"/>
      <c r="N65" s="15"/>
      <c r="O65" s="15"/>
      <c r="P65" s="15"/>
      <c r="Q65" s="15"/>
      <c r="R65" s="15"/>
      <c r="S65" s="15"/>
      <c r="T65" s="15"/>
      <c r="U65" s="15"/>
      <c r="V65" s="15"/>
      <c r="W65" s="15"/>
      <c r="X65" s="15"/>
      <c r="Y65" s="15"/>
      <c r="Z65" s="15"/>
    </row>
    <row r="66" ht="12.75" customHeight="1">
      <c r="A66" s="503"/>
      <c r="B66" s="503"/>
      <c r="C66" s="503"/>
      <c r="D66" s="503"/>
      <c r="E66" s="496"/>
      <c r="F66" s="496"/>
      <c r="G66" s="503"/>
      <c r="H66" s="496"/>
      <c r="I66" s="496"/>
      <c r="J66" s="503"/>
      <c r="K66" s="496"/>
      <c r="L66" s="496"/>
      <c r="M66" s="503"/>
      <c r="N66" s="15"/>
      <c r="O66" s="15"/>
      <c r="P66" s="15"/>
      <c r="Q66" s="15"/>
      <c r="R66" s="15"/>
      <c r="S66" s="15"/>
      <c r="T66" s="15"/>
      <c r="U66" s="15"/>
      <c r="V66" s="15"/>
      <c r="W66" s="15"/>
      <c r="X66" s="15"/>
      <c r="Y66" s="15"/>
      <c r="Z66" s="15"/>
    </row>
    <row r="67" ht="12.75" customHeight="1">
      <c r="A67" s="503"/>
      <c r="B67" s="503"/>
      <c r="C67" s="503"/>
      <c r="D67" s="503"/>
      <c r="E67" s="496"/>
      <c r="F67" s="496"/>
      <c r="G67" s="503"/>
      <c r="H67" s="496"/>
      <c r="I67" s="496"/>
      <c r="J67" s="503"/>
      <c r="K67" s="496"/>
      <c r="L67" s="496"/>
      <c r="M67" s="503"/>
      <c r="N67" s="15"/>
      <c r="O67" s="15"/>
      <c r="P67" s="15"/>
      <c r="Q67" s="15"/>
      <c r="R67" s="15"/>
      <c r="S67" s="15"/>
      <c r="T67" s="15"/>
      <c r="U67" s="15"/>
      <c r="V67" s="15"/>
      <c r="W67" s="15"/>
      <c r="X67" s="15"/>
      <c r="Y67" s="15"/>
      <c r="Z67" s="15"/>
    </row>
    <row r="68" ht="12.75" customHeight="1">
      <c r="A68" s="503"/>
      <c r="B68" s="503"/>
      <c r="C68" s="503"/>
      <c r="D68" s="503"/>
      <c r="E68" s="496"/>
      <c r="F68" s="496"/>
      <c r="G68" s="503"/>
      <c r="H68" s="496"/>
      <c r="I68" s="496"/>
      <c r="J68" s="503"/>
      <c r="K68" s="496"/>
      <c r="L68" s="496"/>
      <c r="M68" s="503"/>
      <c r="N68" s="15"/>
      <c r="O68" s="15"/>
      <c r="P68" s="15"/>
      <c r="Q68" s="15"/>
      <c r="R68" s="15"/>
      <c r="S68" s="15"/>
      <c r="T68" s="15"/>
      <c r="U68" s="15"/>
      <c r="V68" s="15"/>
      <c r="W68" s="15"/>
      <c r="X68" s="15"/>
      <c r="Y68" s="15"/>
      <c r="Z68" s="15"/>
    </row>
    <row r="69" ht="12.75" customHeight="1">
      <c r="A69" s="503"/>
      <c r="B69" s="503"/>
      <c r="C69" s="503"/>
      <c r="D69" s="503"/>
      <c r="E69" s="496"/>
      <c r="F69" s="496"/>
      <c r="G69" s="503"/>
      <c r="H69" s="496"/>
      <c r="I69" s="496"/>
      <c r="J69" s="503"/>
      <c r="K69" s="496"/>
      <c r="L69" s="496"/>
      <c r="M69" s="503"/>
      <c r="N69" s="15"/>
      <c r="O69" s="15"/>
      <c r="P69" s="15"/>
      <c r="Q69" s="15"/>
      <c r="R69" s="15"/>
      <c r="S69" s="15"/>
      <c r="T69" s="15"/>
      <c r="U69" s="15"/>
      <c r="V69" s="15"/>
      <c r="W69" s="15"/>
      <c r="X69" s="15"/>
      <c r="Y69" s="15"/>
      <c r="Z69" s="15"/>
    </row>
    <row r="70" ht="12.75" customHeight="1">
      <c r="A70" s="503"/>
      <c r="B70" s="503"/>
      <c r="C70" s="503"/>
      <c r="D70" s="503"/>
      <c r="E70" s="496"/>
      <c r="F70" s="496"/>
      <c r="G70" s="503"/>
      <c r="H70" s="496"/>
      <c r="I70" s="496"/>
      <c r="J70" s="503"/>
      <c r="K70" s="496"/>
      <c r="L70" s="496"/>
      <c r="M70" s="503"/>
      <c r="N70" s="15"/>
      <c r="O70" s="15"/>
      <c r="P70" s="15"/>
      <c r="Q70" s="15"/>
      <c r="R70" s="15"/>
      <c r="S70" s="15"/>
      <c r="T70" s="15"/>
      <c r="U70" s="15"/>
      <c r="V70" s="15"/>
      <c r="W70" s="15"/>
      <c r="X70" s="15"/>
      <c r="Y70" s="15"/>
      <c r="Z70" s="15"/>
    </row>
    <row r="71" ht="12.75" customHeight="1">
      <c r="A71" s="503"/>
      <c r="B71" s="503"/>
      <c r="C71" s="503"/>
      <c r="D71" s="503"/>
      <c r="E71" s="496"/>
      <c r="F71" s="496"/>
      <c r="G71" s="503"/>
      <c r="H71" s="496"/>
      <c r="I71" s="496"/>
      <c r="J71" s="503"/>
      <c r="K71" s="496"/>
      <c r="L71" s="496"/>
      <c r="M71" s="503"/>
      <c r="N71" s="15"/>
      <c r="O71" s="15"/>
      <c r="P71" s="15"/>
      <c r="Q71" s="15"/>
      <c r="R71" s="15"/>
      <c r="S71" s="15"/>
      <c r="T71" s="15"/>
      <c r="U71" s="15"/>
      <c r="V71" s="15"/>
      <c r="W71" s="15"/>
      <c r="X71" s="15"/>
      <c r="Y71" s="15"/>
      <c r="Z71" s="15"/>
    </row>
    <row r="72" ht="12.75" customHeight="1">
      <c r="A72" s="503"/>
      <c r="B72" s="503"/>
      <c r="C72" s="503"/>
      <c r="D72" s="503"/>
      <c r="E72" s="496"/>
      <c r="F72" s="496"/>
      <c r="G72" s="503"/>
      <c r="H72" s="496"/>
      <c r="I72" s="496"/>
      <c r="J72" s="503"/>
      <c r="K72" s="496"/>
      <c r="L72" s="496"/>
      <c r="M72" s="503"/>
      <c r="N72" s="15"/>
      <c r="O72" s="15"/>
      <c r="P72" s="15"/>
      <c r="Q72" s="15"/>
      <c r="R72" s="15"/>
      <c r="S72" s="15"/>
      <c r="T72" s="15"/>
      <c r="U72" s="15"/>
      <c r="V72" s="15"/>
      <c r="W72" s="15"/>
      <c r="X72" s="15"/>
      <c r="Y72" s="15"/>
      <c r="Z72" s="15"/>
    </row>
    <row r="73" ht="12.75" customHeight="1">
      <c r="A73" s="503"/>
      <c r="B73" s="503"/>
      <c r="C73" s="503"/>
      <c r="D73" s="503"/>
      <c r="E73" s="496"/>
      <c r="F73" s="496"/>
      <c r="G73" s="503"/>
      <c r="H73" s="496"/>
      <c r="I73" s="496"/>
      <c r="J73" s="503"/>
      <c r="K73" s="496"/>
      <c r="L73" s="496"/>
      <c r="M73" s="503"/>
      <c r="N73" s="15"/>
      <c r="O73" s="15"/>
      <c r="P73" s="15"/>
      <c r="Q73" s="15"/>
      <c r="R73" s="15"/>
      <c r="S73" s="15"/>
      <c r="T73" s="15"/>
      <c r="U73" s="15"/>
      <c r="V73" s="15"/>
      <c r="W73" s="15"/>
      <c r="X73" s="15"/>
      <c r="Y73" s="15"/>
      <c r="Z73" s="15"/>
    </row>
    <row r="74" ht="12.75" customHeight="1">
      <c r="A74" s="503"/>
      <c r="B74" s="503"/>
      <c r="C74" s="503"/>
      <c r="D74" s="503"/>
      <c r="E74" s="496"/>
      <c r="F74" s="496"/>
      <c r="G74" s="503"/>
      <c r="H74" s="496"/>
      <c r="I74" s="496"/>
      <c r="J74" s="503"/>
      <c r="K74" s="496"/>
      <c r="L74" s="496"/>
      <c r="M74" s="503"/>
      <c r="N74" s="15"/>
      <c r="O74" s="15"/>
      <c r="P74" s="15"/>
      <c r="Q74" s="15"/>
      <c r="R74" s="15"/>
      <c r="S74" s="15"/>
      <c r="T74" s="15"/>
      <c r="U74" s="15"/>
      <c r="V74" s="15"/>
      <c r="W74" s="15"/>
      <c r="X74" s="15"/>
      <c r="Y74" s="15"/>
      <c r="Z74" s="15"/>
    </row>
    <row r="75" ht="12.75" customHeight="1">
      <c r="A75" s="503"/>
      <c r="B75" s="503"/>
      <c r="C75" s="503"/>
      <c r="D75" s="503"/>
      <c r="E75" s="496"/>
      <c r="F75" s="496"/>
      <c r="G75" s="503"/>
      <c r="H75" s="496"/>
      <c r="I75" s="496"/>
      <c r="J75" s="503"/>
      <c r="K75" s="496"/>
      <c r="L75" s="496"/>
      <c r="M75" s="503"/>
      <c r="N75" s="15"/>
      <c r="O75" s="15"/>
      <c r="P75" s="15"/>
      <c r="Q75" s="15"/>
      <c r="R75" s="15"/>
      <c r="S75" s="15"/>
      <c r="T75" s="15"/>
      <c r="U75" s="15"/>
      <c r="V75" s="15"/>
      <c r="W75" s="15"/>
      <c r="X75" s="15"/>
      <c r="Y75" s="15"/>
      <c r="Z75" s="15"/>
    </row>
    <row r="76" ht="12.75" customHeight="1">
      <c r="A76" s="503"/>
      <c r="B76" s="503"/>
      <c r="C76" s="503"/>
      <c r="D76" s="503"/>
      <c r="E76" s="496"/>
      <c r="F76" s="496"/>
      <c r="G76" s="503"/>
      <c r="H76" s="496"/>
      <c r="I76" s="496"/>
      <c r="J76" s="503"/>
      <c r="K76" s="496"/>
      <c r="L76" s="496"/>
      <c r="M76" s="503"/>
      <c r="N76" s="15"/>
      <c r="O76" s="15"/>
      <c r="P76" s="15"/>
      <c r="Q76" s="15"/>
      <c r="R76" s="15"/>
      <c r="S76" s="15"/>
      <c r="T76" s="15"/>
      <c r="U76" s="15"/>
      <c r="V76" s="15"/>
      <c r="W76" s="15"/>
      <c r="X76" s="15"/>
      <c r="Y76" s="15"/>
      <c r="Z76" s="15"/>
    </row>
    <row r="77" ht="12.75" customHeight="1">
      <c r="A77" s="503"/>
      <c r="B77" s="503"/>
      <c r="C77" s="503"/>
      <c r="D77" s="503"/>
      <c r="E77" s="496"/>
      <c r="F77" s="496"/>
      <c r="G77" s="503"/>
      <c r="H77" s="496"/>
      <c r="I77" s="496"/>
      <c r="J77" s="503"/>
      <c r="K77" s="496"/>
      <c r="L77" s="496"/>
      <c r="M77" s="503"/>
      <c r="N77" s="15"/>
      <c r="O77" s="15"/>
      <c r="P77" s="15"/>
      <c r="Q77" s="15"/>
      <c r="R77" s="15"/>
      <c r="S77" s="15"/>
      <c r="T77" s="15"/>
      <c r="U77" s="15"/>
      <c r="V77" s="15"/>
      <c r="W77" s="15"/>
      <c r="X77" s="15"/>
      <c r="Y77" s="15"/>
      <c r="Z77" s="15"/>
    </row>
    <row r="78" ht="12.75" customHeight="1">
      <c r="A78" s="503"/>
      <c r="B78" s="503"/>
      <c r="C78" s="503"/>
      <c r="D78" s="503"/>
      <c r="E78" s="496"/>
      <c r="F78" s="496"/>
      <c r="G78" s="503"/>
      <c r="H78" s="496"/>
      <c r="I78" s="496"/>
      <c r="J78" s="503"/>
      <c r="K78" s="496"/>
      <c r="L78" s="496"/>
      <c r="M78" s="503"/>
      <c r="N78" s="15"/>
      <c r="O78" s="15"/>
      <c r="P78" s="15"/>
      <c r="Q78" s="15"/>
      <c r="R78" s="15"/>
      <c r="S78" s="15"/>
      <c r="T78" s="15"/>
      <c r="U78" s="15"/>
      <c r="V78" s="15"/>
      <c r="W78" s="15"/>
      <c r="X78" s="15"/>
      <c r="Y78" s="15"/>
      <c r="Z78" s="15"/>
    </row>
    <row r="79" ht="12.75" customHeight="1">
      <c r="A79" s="503"/>
      <c r="B79" s="503"/>
      <c r="C79" s="503"/>
      <c r="D79" s="503"/>
      <c r="E79" s="496"/>
      <c r="F79" s="496"/>
      <c r="G79" s="503"/>
      <c r="H79" s="496"/>
      <c r="I79" s="496"/>
      <c r="J79" s="503"/>
      <c r="K79" s="496"/>
      <c r="L79" s="496"/>
      <c r="M79" s="503"/>
      <c r="N79" s="15"/>
      <c r="O79" s="15"/>
      <c r="P79" s="15"/>
      <c r="Q79" s="15"/>
      <c r="R79" s="15"/>
      <c r="S79" s="15"/>
      <c r="T79" s="15"/>
      <c r="U79" s="15"/>
      <c r="V79" s="15"/>
      <c r="W79" s="15"/>
      <c r="X79" s="15"/>
      <c r="Y79" s="15"/>
      <c r="Z79" s="15"/>
    </row>
    <row r="80" ht="12.75" customHeight="1">
      <c r="A80" s="503"/>
      <c r="B80" s="503"/>
      <c r="C80" s="503"/>
      <c r="D80" s="503"/>
      <c r="E80" s="496"/>
      <c r="F80" s="496"/>
      <c r="G80" s="503"/>
      <c r="H80" s="496"/>
      <c r="I80" s="496"/>
      <c r="J80" s="503"/>
      <c r="K80" s="496"/>
      <c r="L80" s="496"/>
      <c r="M80" s="503"/>
      <c r="N80" s="15"/>
      <c r="O80" s="15"/>
      <c r="P80" s="15"/>
      <c r="Q80" s="15"/>
      <c r="R80" s="15"/>
      <c r="S80" s="15"/>
      <c r="T80" s="15"/>
      <c r="U80" s="15"/>
      <c r="V80" s="15"/>
      <c r="W80" s="15"/>
      <c r="X80" s="15"/>
      <c r="Y80" s="15"/>
      <c r="Z80" s="15"/>
    </row>
    <row r="81" ht="12.75" customHeight="1">
      <c r="A81" s="503"/>
      <c r="B81" s="503"/>
      <c r="C81" s="503"/>
      <c r="D81" s="503"/>
      <c r="E81" s="496"/>
      <c r="F81" s="496"/>
      <c r="G81" s="503"/>
      <c r="H81" s="496"/>
      <c r="I81" s="496"/>
      <c r="J81" s="503"/>
      <c r="K81" s="496"/>
      <c r="L81" s="496"/>
      <c r="M81" s="503"/>
      <c r="N81" s="15"/>
      <c r="O81" s="15"/>
      <c r="P81" s="15"/>
      <c r="Q81" s="15"/>
      <c r="R81" s="15"/>
      <c r="S81" s="15"/>
      <c r="T81" s="15"/>
      <c r="U81" s="15"/>
      <c r="V81" s="15"/>
      <c r="W81" s="15"/>
      <c r="X81" s="15"/>
      <c r="Y81" s="15"/>
      <c r="Z81" s="15"/>
    </row>
    <row r="82" ht="12.75" customHeight="1">
      <c r="A82" s="503"/>
      <c r="B82" s="503"/>
      <c r="C82" s="503"/>
      <c r="D82" s="503"/>
      <c r="E82" s="496"/>
      <c r="F82" s="496"/>
      <c r="G82" s="503"/>
      <c r="H82" s="496"/>
      <c r="I82" s="496"/>
      <c r="J82" s="503"/>
      <c r="K82" s="496"/>
      <c r="L82" s="496"/>
      <c r="M82" s="503"/>
      <c r="N82" s="15"/>
      <c r="O82" s="15"/>
      <c r="P82" s="15"/>
      <c r="Q82" s="15"/>
      <c r="R82" s="15"/>
      <c r="S82" s="15"/>
      <c r="T82" s="15"/>
      <c r="U82" s="15"/>
      <c r="V82" s="15"/>
      <c r="W82" s="15"/>
      <c r="X82" s="15"/>
      <c r="Y82" s="15"/>
      <c r="Z82" s="15"/>
    </row>
    <row r="83" ht="12.75" customHeight="1">
      <c r="A83" s="503"/>
      <c r="B83" s="503"/>
      <c r="C83" s="503"/>
      <c r="D83" s="503"/>
      <c r="E83" s="496"/>
      <c r="F83" s="496"/>
      <c r="G83" s="503"/>
      <c r="H83" s="496"/>
      <c r="I83" s="496"/>
      <c r="J83" s="503"/>
      <c r="K83" s="496"/>
      <c r="L83" s="496"/>
      <c r="M83" s="503"/>
      <c r="N83" s="15"/>
      <c r="O83" s="15"/>
      <c r="P83" s="15"/>
      <c r="Q83" s="15"/>
      <c r="R83" s="15"/>
      <c r="S83" s="15"/>
      <c r="T83" s="15"/>
      <c r="U83" s="15"/>
      <c r="V83" s="15"/>
      <c r="W83" s="15"/>
      <c r="X83" s="15"/>
      <c r="Y83" s="15"/>
      <c r="Z83" s="15"/>
    </row>
    <row r="84" ht="12.75" customHeight="1">
      <c r="A84" s="503"/>
      <c r="B84" s="503"/>
      <c r="C84" s="503"/>
      <c r="D84" s="503"/>
      <c r="E84" s="496"/>
      <c r="F84" s="496"/>
      <c r="G84" s="503"/>
      <c r="H84" s="496"/>
      <c r="I84" s="496"/>
      <c r="J84" s="503"/>
      <c r="K84" s="496"/>
      <c r="L84" s="496"/>
      <c r="M84" s="503"/>
      <c r="N84" s="15"/>
      <c r="O84" s="15"/>
      <c r="P84" s="15"/>
      <c r="Q84" s="15"/>
      <c r="R84" s="15"/>
      <c r="S84" s="15"/>
      <c r="T84" s="15"/>
      <c r="U84" s="15"/>
      <c r="V84" s="15"/>
      <c r="W84" s="15"/>
      <c r="X84" s="15"/>
      <c r="Y84" s="15"/>
      <c r="Z84" s="15"/>
    </row>
    <row r="85" ht="12.75" customHeight="1">
      <c r="A85" s="503"/>
      <c r="B85" s="503"/>
      <c r="C85" s="503"/>
      <c r="D85" s="503"/>
      <c r="E85" s="496"/>
      <c r="F85" s="496"/>
      <c r="G85" s="503"/>
      <c r="H85" s="496"/>
      <c r="I85" s="496"/>
      <c r="J85" s="503"/>
      <c r="K85" s="496"/>
      <c r="L85" s="496"/>
      <c r="M85" s="503"/>
      <c r="N85" s="15"/>
      <c r="O85" s="15"/>
      <c r="P85" s="15"/>
      <c r="Q85" s="15"/>
      <c r="R85" s="15"/>
      <c r="S85" s="15"/>
      <c r="T85" s="15"/>
      <c r="U85" s="15"/>
      <c r="V85" s="15"/>
      <c r="W85" s="15"/>
      <c r="X85" s="15"/>
      <c r="Y85" s="15"/>
      <c r="Z85" s="15"/>
    </row>
    <row r="86" ht="12.75" customHeight="1">
      <c r="A86" s="503"/>
      <c r="B86" s="503"/>
      <c r="C86" s="503"/>
      <c r="D86" s="503"/>
      <c r="E86" s="496"/>
      <c r="F86" s="496"/>
      <c r="G86" s="503"/>
      <c r="H86" s="496"/>
      <c r="I86" s="496"/>
      <c r="J86" s="503"/>
      <c r="K86" s="496"/>
      <c r="L86" s="496"/>
      <c r="M86" s="503"/>
      <c r="N86" s="15"/>
      <c r="O86" s="15"/>
      <c r="P86" s="15"/>
      <c r="Q86" s="15"/>
      <c r="R86" s="15"/>
      <c r="S86" s="15"/>
      <c r="T86" s="15"/>
      <c r="U86" s="15"/>
      <c r="V86" s="15"/>
      <c r="W86" s="15"/>
      <c r="X86" s="15"/>
      <c r="Y86" s="15"/>
      <c r="Z86" s="15"/>
    </row>
    <row r="87" ht="12.75" customHeight="1">
      <c r="A87" s="503"/>
      <c r="B87" s="503"/>
      <c r="C87" s="503"/>
      <c r="D87" s="503"/>
      <c r="E87" s="496"/>
      <c r="F87" s="496"/>
      <c r="G87" s="503"/>
      <c r="H87" s="496"/>
      <c r="I87" s="496"/>
      <c r="J87" s="503"/>
      <c r="K87" s="496"/>
      <c r="L87" s="496"/>
      <c r="M87" s="503"/>
      <c r="N87" s="15"/>
      <c r="O87" s="15"/>
      <c r="P87" s="15"/>
      <c r="Q87" s="15"/>
      <c r="R87" s="15"/>
      <c r="S87" s="15"/>
      <c r="T87" s="15"/>
      <c r="U87" s="15"/>
      <c r="V87" s="15"/>
      <c r="W87" s="15"/>
      <c r="X87" s="15"/>
      <c r="Y87" s="15"/>
      <c r="Z87" s="15"/>
    </row>
    <row r="88" ht="12.75" customHeight="1">
      <c r="A88" s="503"/>
      <c r="B88" s="503"/>
      <c r="C88" s="503"/>
      <c r="D88" s="503"/>
      <c r="E88" s="496"/>
      <c r="F88" s="496"/>
      <c r="G88" s="503"/>
      <c r="H88" s="496"/>
      <c r="I88" s="496"/>
      <c r="J88" s="503"/>
      <c r="K88" s="496"/>
      <c r="L88" s="496"/>
      <c r="M88" s="503"/>
      <c r="N88" s="15"/>
      <c r="O88" s="15"/>
      <c r="P88" s="15"/>
      <c r="Q88" s="15"/>
      <c r="R88" s="15"/>
      <c r="S88" s="15"/>
      <c r="T88" s="15"/>
      <c r="U88" s="15"/>
      <c r="V88" s="15"/>
      <c r="W88" s="15"/>
      <c r="X88" s="15"/>
      <c r="Y88" s="15"/>
      <c r="Z88" s="15"/>
    </row>
    <row r="89" ht="12.75" customHeight="1">
      <c r="A89" s="503"/>
      <c r="B89" s="503"/>
      <c r="C89" s="503"/>
      <c r="D89" s="503"/>
      <c r="E89" s="496"/>
      <c r="F89" s="496"/>
      <c r="G89" s="503"/>
      <c r="H89" s="496"/>
      <c r="I89" s="496"/>
      <c r="J89" s="503"/>
      <c r="K89" s="496"/>
      <c r="L89" s="496"/>
      <c r="M89" s="503"/>
      <c r="N89" s="15"/>
      <c r="O89" s="15"/>
      <c r="P89" s="15"/>
      <c r="Q89" s="15"/>
      <c r="R89" s="15"/>
      <c r="S89" s="15"/>
      <c r="T89" s="15"/>
      <c r="U89" s="15"/>
      <c r="V89" s="15"/>
      <c r="W89" s="15"/>
      <c r="X89" s="15"/>
      <c r="Y89" s="15"/>
      <c r="Z89" s="15"/>
    </row>
    <row r="90" ht="12.75" customHeight="1">
      <c r="A90" s="503"/>
      <c r="B90" s="503"/>
      <c r="C90" s="503"/>
      <c r="D90" s="503"/>
      <c r="E90" s="496"/>
      <c r="F90" s="496"/>
      <c r="G90" s="503"/>
      <c r="H90" s="496"/>
      <c r="I90" s="496"/>
      <c r="J90" s="503"/>
      <c r="K90" s="496"/>
      <c r="L90" s="496"/>
      <c r="M90" s="503"/>
      <c r="N90" s="15"/>
      <c r="O90" s="15"/>
      <c r="P90" s="15"/>
      <c r="Q90" s="15"/>
      <c r="R90" s="15"/>
      <c r="S90" s="15"/>
      <c r="T90" s="15"/>
      <c r="U90" s="15"/>
      <c r="V90" s="15"/>
      <c r="W90" s="15"/>
      <c r="X90" s="15"/>
      <c r="Y90" s="15"/>
      <c r="Z90" s="15"/>
    </row>
    <row r="91" ht="12.75" customHeight="1">
      <c r="A91" s="503"/>
      <c r="B91" s="503"/>
      <c r="C91" s="503"/>
      <c r="D91" s="503"/>
      <c r="E91" s="496"/>
      <c r="F91" s="496"/>
      <c r="G91" s="503"/>
      <c r="H91" s="496"/>
      <c r="I91" s="496"/>
      <c r="J91" s="503"/>
      <c r="K91" s="496"/>
      <c r="L91" s="496"/>
      <c r="M91" s="503"/>
      <c r="N91" s="15"/>
      <c r="O91" s="15"/>
      <c r="P91" s="15"/>
      <c r="Q91" s="15"/>
      <c r="R91" s="15"/>
      <c r="S91" s="15"/>
      <c r="T91" s="15"/>
      <c r="U91" s="15"/>
      <c r="V91" s="15"/>
      <c r="W91" s="15"/>
      <c r="X91" s="15"/>
      <c r="Y91" s="15"/>
      <c r="Z91" s="15"/>
    </row>
    <row r="92" ht="12.75" customHeight="1">
      <c r="A92" s="503"/>
      <c r="B92" s="503"/>
      <c r="C92" s="503"/>
      <c r="D92" s="503"/>
      <c r="E92" s="496"/>
      <c r="F92" s="496"/>
      <c r="G92" s="503"/>
      <c r="H92" s="496"/>
      <c r="I92" s="496"/>
      <c r="J92" s="503"/>
      <c r="K92" s="496"/>
      <c r="L92" s="496"/>
      <c r="M92" s="503"/>
      <c r="N92" s="15"/>
      <c r="O92" s="15"/>
      <c r="P92" s="15"/>
      <c r="Q92" s="15"/>
      <c r="R92" s="15"/>
      <c r="S92" s="15"/>
      <c r="T92" s="15"/>
      <c r="U92" s="15"/>
      <c r="V92" s="15"/>
      <c r="W92" s="15"/>
      <c r="X92" s="15"/>
      <c r="Y92" s="15"/>
      <c r="Z92" s="15"/>
    </row>
    <row r="93" ht="12.75" customHeight="1">
      <c r="A93" s="503"/>
      <c r="B93" s="503"/>
      <c r="C93" s="503"/>
      <c r="D93" s="503"/>
      <c r="E93" s="496"/>
      <c r="F93" s="496"/>
      <c r="G93" s="503"/>
      <c r="H93" s="496"/>
      <c r="I93" s="496"/>
      <c r="J93" s="503"/>
      <c r="K93" s="496"/>
      <c r="L93" s="496"/>
      <c r="M93" s="503"/>
      <c r="N93" s="15"/>
      <c r="O93" s="15"/>
      <c r="P93" s="15"/>
      <c r="Q93" s="15"/>
      <c r="R93" s="15"/>
      <c r="S93" s="15"/>
      <c r="T93" s="15"/>
      <c r="U93" s="15"/>
      <c r="V93" s="15"/>
      <c r="W93" s="15"/>
      <c r="X93" s="15"/>
      <c r="Y93" s="15"/>
      <c r="Z93" s="15"/>
    </row>
    <row r="94" ht="12.75" customHeight="1">
      <c r="A94" s="503"/>
      <c r="B94" s="503"/>
      <c r="C94" s="503"/>
      <c r="D94" s="503"/>
      <c r="E94" s="496"/>
      <c r="F94" s="496"/>
      <c r="G94" s="503"/>
      <c r="H94" s="496"/>
      <c r="I94" s="496"/>
      <c r="J94" s="503"/>
      <c r="K94" s="496"/>
      <c r="L94" s="496"/>
      <c r="M94" s="503"/>
      <c r="N94" s="15"/>
      <c r="O94" s="15"/>
      <c r="P94" s="15"/>
      <c r="Q94" s="15"/>
      <c r="R94" s="15"/>
      <c r="S94" s="15"/>
      <c r="T94" s="15"/>
      <c r="U94" s="15"/>
      <c r="V94" s="15"/>
      <c r="W94" s="15"/>
      <c r="X94" s="15"/>
      <c r="Y94" s="15"/>
      <c r="Z94" s="15"/>
    </row>
    <row r="95" ht="12.75" customHeight="1">
      <c r="A95" s="503"/>
      <c r="B95" s="503"/>
      <c r="C95" s="503"/>
      <c r="D95" s="503"/>
      <c r="E95" s="496"/>
      <c r="F95" s="496"/>
      <c r="G95" s="503"/>
      <c r="H95" s="496"/>
      <c r="I95" s="496"/>
      <c r="J95" s="503"/>
      <c r="K95" s="496"/>
      <c r="L95" s="496"/>
      <c r="M95" s="503"/>
      <c r="N95" s="15"/>
      <c r="O95" s="15"/>
      <c r="P95" s="15"/>
      <c r="Q95" s="15"/>
      <c r="R95" s="15"/>
      <c r="S95" s="15"/>
      <c r="T95" s="15"/>
      <c r="U95" s="15"/>
      <c r="V95" s="15"/>
      <c r="W95" s="15"/>
      <c r="X95" s="15"/>
      <c r="Y95" s="15"/>
      <c r="Z95" s="15"/>
    </row>
    <row r="96" ht="12.75" customHeight="1">
      <c r="A96" s="503"/>
      <c r="B96" s="503"/>
      <c r="C96" s="503"/>
      <c r="D96" s="503"/>
      <c r="E96" s="496"/>
      <c r="F96" s="496"/>
      <c r="G96" s="503"/>
      <c r="H96" s="496"/>
      <c r="I96" s="496"/>
      <c r="J96" s="503"/>
      <c r="K96" s="496"/>
      <c r="L96" s="496"/>
      <c r="M96" s="503"/>
      <c r="N96" s="15"/>
      <c r="O96" s="15"/>
      <c r="P96" s="15"/>
      <c r="Q96" s="15"/>
      <c r="R96" s="15"/>
      <c r="S96" s="15"/>
      <c r="T96" s="15"/>
      <c r="U96" s="15"/>
      <c r="V96" s="15"/>
      <c r="W96" s="15"/>
      <c r="X96" s="15"/>
      <c r="Y96" s="15"/>
      <c r="Z96" s="15"/>
    </row>
    <row r="97" ht="12.75" customHeight="1">
      <c r="A97" s="503"/>
      <c r="B97" s="503"/>
      <c r="C97" s="503"/>
      <c r="D97" s="503"/>
      <c r="E97" s="496"/>
      <c r="F97" s="496"/>
      <c r="G97" s="503"/>
      <c r="H97" s="496"/>
      <c r="I97" s="496"/>
      <c r="J97" s="503"/>
      <c r="K97" s="496"/>
      <c r="L97" s="496"/>
      <c r="M97" s="503"/>
      <c r="N97" s="15"/>
      <c r="O97" s="15"/>
      <c r="P97" s="15"/>
      <c r="Q97" s="15"/>
      <c r="R97" s="15"/>
      <c r="S97" s="15"/>
      <c r="T97" s="15"/>
      <c r="U97" s="15"/>
      <c r="V97" s="15"/>
      <c r="W97" s="15"/>
      <c r="X97" s="15"/>
      <c r="Y97" s="15"/>
      <c r="Z97" s="15"/>
    </row>
    <row r="98" ht="12.75" customHeight="1">
      <c r="A98" s="503"/>
      <c r="B98" s="503"/>
      <c r="C98" s="503"/>
      <c r="D98" s="503"/>
      <c r="E98" s="496"/>
      <c r="F98" s="496"/>
      <c r="G98" s="503"/>
      <c r="H98" s="496"/>
      <c r="I98" s="496"/>
      <c r="J98" s="503"/>
      <c r="K98" s="496"/>
      <c r="L98" s="496"/>
      <c r="M98" s="503"/>
      <c r="N98" s="15"/>
      <c r="O98" s="15"/>
      <c r="P98" s="15"/>
      <c r="Q98" s="15"/>
      <c r="R98" s="15"/>
      <c r="S98" s="15"/>
      <c r="T98" s="15"/>
      <c r="U98" s="15"/>
      <c r="V98" s="15"/>
      <c r="W98" s="15"/>
      <c r="X98" s="15"/>
      <c r="Y98" s="15"/>
      <c r="Z98" s="15"/>
    </row>
    <row r="99" ht="12.75" customHeight="1">
      <c r="A99" s="503"/>
      <c r="B99" s="503"/>
      <c r="C99" s="503"/>
      <c r="D99" s="503"/>
      <c r="E99" s="496"/>
      <c r="F99" s="496"/>
      <c r="G99" s="503"/>
      <c r="H99" s="496"/>
      <c r="I99" s="496"/>
      <c r="J99" s="503"/>
      <c r="K99" s="496"/>
      <c r="L99" s="496"/>
      <c r="M99" s="503"/>
      <c r="N99" s="15"/>
      <c r="O99" s="15"/>
      <c r="P99" s="15"/>
      <c r="Q99" s="15"/>
      <c r="R99" s="15"/>
      <c r="S99" s="15"/>
      <c r="T99" s="15"/>
      <c r="U99" s="15"/>
      <c r="V99" s="15"/>
      <c r="W99" s="15"/>
      <c r="X99" s="15"/>
      <c r="Y99" s="15"/>
      <c r="Z99" s="15"/>
    </row>
    <row r="100" ht="12.75" customHeight="1">
      <c r="A100" s="503"/>
      <c r="B100" s="503"/>
      <c r="C100" s="503"/>
      <c r="D100" s="503"/>
      <c r="E100" s="496"/>
      <c r="F100" s="496"/>
      <c r="G100" s="503"/>
      <c r="H100" s="496"/>
      <c r="I100" s="496"/>
      <c r="J100" s="503"/>
      <c r="K100" s="496"/>
      <c r="L100" s="496"/>
      <c r="M100" s="503"/>
      <c r="N100" s="15"/>
      <c r="O100" s="15"/>
      <c r="P100" s="15"/>
      <c r="Q100" s="15"/>
      <c r="R100" s="15"/>
      <c r="S100" s="15"/>
      <c r="T100" s="15"/>
      <c r="U100" s="15"/>
      <c r="V100" s="15"/>
      <c r="W100" s="15"/>
      <c r="X100" s="15"/>
      <c r="Y100" s="15"/>
      <c r="Z100" s="15"/>
    </row>
    <row r="101" ht="12.75" customHeight="1">
      <c r="A101" s="503"/>
      <c r="B101" s="503"/>
      <c r="C101" s="503"/>
      <c r="D101" s="503"/>
      <c r="E101" s="496"/>
      <c r="F101" s="496"/>
      <c r="G101" s="503"/>
      <c r="H101" s="496"/>
      <c r="I101" s="496"/>
      <c r="J101" s="503"/>
      <c r="K101" s="496"/>
      <c r="L101" s="496"/>
      <c r="M101" s="503"/>
      <c r="N101" s="15"/>
      <c r="O101" s="15"/>
      <c r="P101" s="15"/>
      <c r="Q101" s="15"/>
      <c r="R101" s="15"/>
      <c r="S101" s="15"/>
      <c r="T101" s="15"/>
      <c r="U101" s="15"/>
      <c r="V101" s="15"/>
      <c r="W101" s="15"/>
      <c r="X101" s="15"/>
      <c r="Y101" s="15"/>
      <c r="Z101" s="15"/>
    </row>
    <row r="102" ht="12.75" customHeight="1">
      <c r="A102" s="503"/>
      <c r="B102" s="503"/>
      <c r="C102" s="503"/>
      <c r="D102" s="503"/>
      <c r="E102" s="496"/>
      <c r="F102" s="496"/>
      <c r="G102" s="503"/>
      <c r="H102" s="496"/>
      <c r="I102" s="496"/>
      <c r="J102" s="503"/>
      <c r="K102" s="496"/>
      <c r="L102" s="496"/>
      <c r="M102" s="503"/>
      <c r="N102" s="15"/>
      <c r="O102" s="15"/>
      <c r="P102" s="15"/>
      <c r="Q102" s="15"/>
      <c r="R102" s="15"/>
      <c r="S102" s="15"/>
      <c r="T102" s="15"/>
      <c r="U102" s="15"/>
      <c r="V102" s="15"/>
      <c r="W102" s="15"/>
      <c r="X102" s="15"/>
      <c r="Y102" s="15"/>
      <c r="Z102" s="15"/>
    </row>
    <row r="103" ht="12.75" customHeight="1">
      <c r="A103" s="503"/>
      <c r="B103" s="503"/>
      <c r="C103" s="503"/>
      <c r="D103" s="503"/>
      <c r="E103" s="496"/>
      <c r="F103" s="496"/>
      <c r="G103" s="503"/>
      <c r="H103" s="496"/>
      <c r="I103" s="496"/>
      <c r="J103" s="503"/>
      <c r="K103" s="496"/>
      <c r="L103" s="496"/>
      <c r="M103" s="503"/>
      <c r="N103" s="15"/>
      <c r="O103" s="15"/>
      <c r="P103" s="15"/>
      <c r="Q103" s="15"/>
      <c r="R103" s="15"/>
      <c r="S103" s="15"/>
      <c r="T103" s="15"/>
      <c r="U103" s="15"/>
      <c r="V103" s="15"/>
      <c r="W103" s="15"/>
      <c r="X103" s="15"/>
      <c r="Y103" s="15"/>
      <c r="Z103" s="15"/>
    </row>
    <row r="104" ht="12.75" customHeight="1">
      <c r="A104" s="503"/>
      <c r="B104" s="503"/>
      <c r="C104" s="503"/>
      <c r="D104" s="503"/>
      <c r="E104" s="496"/>
      <c r="F104" s="496"/>
      <c r="G104" s="503"/>
      <c r="H104" s="496"/>
      <c r="I104" s="496"/>
      <c r="J104" s="503"/>
      <c r="K104" s="496"/>
      <c r="L104" s="496"/>
      <c r="M104" s="503"/>
      <c r="N104" s="15"/>
      <c r="O104" s="15"/>
      <c r="P104" s="15"/>
      <c r="Q104" s="15"/>
      <c r="R104" s="15"/>
      <c r="S104" s="15"/>
      <c r="T104" s="15"/>
      <c r="U104" s="15"/>
      <c r="V104" s="15"/>
      <c r="W104" s="15"/>
      <c r="X104" s="15"/>
      <c r="Y104" s="15"/>
      <c r="Z104" s="15"/>
    </row>
    <row r="105" ht="12.75" customHeight="1">
      <c r="A105" s="503"/>
      <c r="B105" s="503"/>
      <c r="C105" s="503"/>
      <c r="D105" s="503"/>
      <c r="E105" s="496"/>
      <c r="F105" s="496"/>
      <c r="G105" s="503"/>
      <c r="H105" s="496"/>
      <c r="I105" s="496"/>
      <c r="J105" s="503"/>
      <c r="K105" s="496"/>
      <c r="L105" s="496"/>
      <c r="M105" s="503"/>
      <c r="N105" s="15"/>
      <c r="O105" s="15"/>
      <c r="P105" s="15"/>
      <c r="Q105" s="15"/>
      <c r="R105" s="15"/>
      <c r="S105" s="15"/>
      <c r="T105" s="15"/>
      <c r="U105" s="15"/>
      <c r="V105" s="15"/>
      <c r="W105" s="15"/>
      <c r="X105" s="15"/>
      <c r="Y105" s="15"/>
      <c r="Z105" s="15"/>
    </row>
    <row r="106" ht="12.75" customHeight="1">
      <c r="A106" s="503"/>
      <c r="B106" s="503"/>
      <c r="C106" s="503"/>
      <c r="D106" s="503"/>
      <c r="E106" s="496"/>
      <c r="F106" s="496"/>
      <c r="G106" s="503"/>
      <c r="H106" s="496"/>
      <c r="I106" s="496"/>
      <c r="J106" s="503"/>
      <c r="K106" s="496"/>
      <c r="L106" s="496"/>
      <c r="M106" s="503"/>
      <c r="N106" s="15"/>
      <c r="O106" s="15"/>
      <c r="P106" s="15"/>
      <c r="Q106" s="15"/>
      <c r="R106" s="15"/>
      <c r="S106" s="15"/>
      <c r="T106" s="15"/>
      <c r="U106" s="15"/>
      <c r="V106" s="15"/>
      <c r="W106" s="15"/>
      <c r="X106" s="15"/>
      <c r="Y106" s="15"/>
      <c r="Z106" s="15"/>
    </row>
    <row r="107" ht="12.75" customHeight="1">
      <c r="A107" s="503"/>
      <c r="B107" s="503"/>
      <c r="C107" s="503"/>
      <c r="D107" s="503"/>
      <c r="E107" s="496"/>
      <c r="F107" s="496"/>
      <c r="G107" s="503"/>
      <c r="H107" s="496"/>
      <c r="I107" s="496"/>
      <c r="J107" s="503"/>
      <c r="K107" s="496"/>
      <c r="L107" s="496"/>
      <c r="M107" s="503"/>
      <c r="N107" s="15"/>
      <c r="O107" s="15"/>
      <c r="P107" s="15"/>
      <c r="Q107" s="15"/>
      <c r="R107" s="15"/>
      <c r="S107" s="15"/>
      <c r="T107" s="15"/>
      <c r="U107" s="15"/>
      <c r="V107" s="15"/>
      <c r="W107" s="15"/>
      <c r="X107" s="15"/>
      <c r="Y107" s="15"/>
      <c r="Z107" s="15"/>
    </row>
    <row r="108" ht="12.75" customHeight="1">
      <c r="A108" s="503"/>
      <c r="B108" s="503"/>
      <c r="C108" s="503"/>
      <c r="D108" s="503"/>
      <c r="E108" s="496"/>
      <c r="F108" s="496"/>
      <c r="G108" s="503"/>
      <c r="H108" s="496"/>
      <c r="I108" s="496"/>
      <c r="J108" s="503"/>
      <c r="K108" s="496"/>
      <c r="L108" s="496"/>
      <c r="M108" s="503"/>
      <c r="N108" s="15"/>
      <c r="O108" s="15"/>
      <c r="P108" s="15"/>
      <c r="Q108" s="15"/>
      <c r="R108" s="15"/>
      <c r="S108" s="15"/>
      <c r="T108" s="15"/>
      <c r="U108" s="15"/>
      <c r="V108" s="15"/>
      <c r="W108" s="15"/>
      <c r="X108" s="15"/>
      <c r="Y108" s="15"/>
      <c r="Z108" s="15"/>
    </row>
    <row r="109" ht="12.75" customHeight="1">
      <c r="A109" s="503"/>
      <c r="B109" s="503"/>
      <c r="C109" s="503"/>
      <c r="D109" s="503"/>
      <c r="E109" s="496"/>
      <c r="F109" s="496"/>
      <c r="G109" s="503"/>
      <c r="H109" s="496"/>
      <c r="I109" s="496"/>
      <c r="J109" s="503"/>
      <c r="K109" s="496"/>
      <c r="L109" s="496"/>
      <c r="M109" s="503"/>
      <c r="N109" s="15"/>
      <c r="O109" s="15"/>
      <c r="P109" s="15"/>
      <c r="Q109" s="15"/>
      <c r="R109" s="15"/>
      <c r="S109" s="15"/>
      <c r="T109" s="15"/>
      <c r="U109" s="15"/>
      <c r="V109" s="15"/>
      <c r="W109" s="15"/>
      <c r="X109" s="15"/>
      <c r="Y109" s="15"/>
      <c r="Z109" s="15"/>
    </row>
    <row r="110" ht="12.75" customHeight="1">
      <c r="A110" s="503"/>
      <c r="B110" s="503"/>
      <c r="C110" s="503"/>
      <c r="D110" s="503"/>
      <c r="E110" s="496"/>
      <c r="F110" s="496"/>
      <c r="G110" s="503"/>
      <c r="H110" s="496"/>
      <c r="I110" s="496"/>
      <c r="J110" s="503"/>
      <c r="K110" s="496"/>
      <c r="L110" s="496"/>
      <c r="M110" s="503"/>
      <c r="N110" s="15"/>
      <c r="O110" s="15"/>
      <c r="P110" s="15"/>
      <c r="Q110" s="15"/>
      <c r="R110" s="15"/>
      <c r="S110" s="15"/>
      <c r="T110" s="15"/>
      <c r="U110" s="15"/>
      <c r="V110" s="15"/>
      <c r="W110" s="15"/>
      <c r="X110" s="15"/>
      <c r="Y110" s="15"/>
      <c r="Z110" s="15"/>
    </row>
    <row r="111" ht="12.75" customHeight="1">
      <c r="A111" s="503"/>
      <c r="B111" s="503"/>
      <c r="C111" s="503"/>
      <c r="D111" s="503"/>
      <c r="E111" s="496"/>
      <c r="F111" s="496"/>
      <c r="G111" s="503"/>
      <c r="H111" s="496"/>
      <c r="I111" s="496"/>
      <c r="J111" s="503"/>
      <c r="K111" s="496"/>
      <c r="L111" s="496"/>
      <c r="M111" s="503"/>
      <c r="N111" s="15"/>
      <c r="O111" s="15"/>
      <c r="P111" s="15"/>
      <c r="Q111" s="15"/>
      <c r="R111" s="15"/>
      <c r="S111" s="15"/>
      <c r="T111" s="15"/>
      <c r="U111" s="15"/>
      <c r="V111" s="15"/>
      <c r="W111" s="15"/>
      <c r="X111" s="15"/>
      <c r="Y111" s="15"/>
      <c r="Z111" s="15"/>
    </row>
    <row r="112" ht="12.75" customHeight="1">
      <c r="A112" s="503"/>
      <c r="B112" s="503"/>
      <c r="C112" s="503"/>
      <c r="D112" s="503"/>
      <c r="E112" s="496"/>
      <c r="F112" s="496"/>
      <c r="G112" s="503"/>
      <c r="H112" s="496"/>
      <c r="I112" s="496"/>
      <c r="J112" s="503"/>
      <c r="K112" s="496"/>
      <c r="L112" s="496"/>
      <c r="M112" s="503"/>
      <c r="N112" s="15"/>
      <c r="O112" s="15"/>
      <c r="P112" s="15"/>
      <c r="Q112" s="15"/>
      <c r="R112" s="15"/>
      <c r="S112" s="15"/>
      <c r="T112" s="15"/>
      <c r="U112" s="15"/>
      <c r="V112" s="15"/>
      <c r="W112" s="15"/>
      <c r="X112" s="15"/>
      <c r="Y112" s="15"/>
      <c r="Z112" s="15"/>
    </row>
    <row r="113" ht="12.75" customHeight="1">
      <c r="A113" s="503"/>
      <c r="B113" s="503"/>
      <c r="C113" s="503"/>
      <c r="D113" s="503"/>
      <c r="E113" s="496"/>
      <c r="F113" s="496"/>
      <c r="G113" s="503"/>
      <c r="H113" s="496"/>
      <c r="I113" s="496"/>
      <c r="J113" s="503"/>
      <c r="K113" s="496"/>
      <c r="L113" s="496"/>
      <c r="M113" s="503"/>
      <c r="N113" s="15"/>
      <c r="O113" s="15"/>
      <c r="P113" s="15"/>
      <c r="Q113" s="15"/>
      <c r="R113" s="15"/>
      <c r="S113" s="15"/>
      <c r="T113" s="15"/>
      <c r="U113" s="15"/>
      <c r="V113" s="15"/>
      <c r="W113" s="15"/>
      <c r="X113" s="15"/>
      <c r="Y113" s="15"/>
      <c r="Z113" s="15"/>
    </row>
    <row r="114" ht="12.75" customHeight="1">
      <c r="A114" s="503"/>
      <c r="B114" s="503"/>
      <c r="C114" s="503"/>
      <c r="D114" s="503"/>
      <c r="E114" s="496"/>
      <c r="F114" s="496"/>
      <c r="G114" s="503"/>
      <c r="H114" s="496"/>
      <c r="I114" s="496"/>
      <c r="J114" s="503"/>
      <c r="K114" s="496"/>
      <c r="L114" s="496"/>
      <c r="M114" s="503"/>
      <c r="N114" s="15"/>
      <c r="O114" s="15"/>
      <c r="P114" s="15"/>
      <c r="Q114" s="15"/>
      <c r="R114" s="15"/>
      <c r="S114" s="15"/>
      <c r="T114" s="15"/>
      <c r="U114" s="15"/>
      <c r="V114" s="15"/>
      <c r="W114" s="15"/>
      <c r="X114" s="15"/>
      <c r="Y114" s="15"/>
      <c r="Z114" s="15"/>
    </row>
    <row r="115" ht="12.75" customHeight="1">
      <c r="A115" s="503"/>
      <c r="B115" s="503"/>
      <c r="C115" s="503"/>
      <c r="D115" s="503"/>
      <c r="E115" s="496"/>
      <c r="F115" s="496"/>
      <c r="G115" s="503"/>
      <c r="H115" s="496"/>
      <c r="I115" s="496"/>
      <c r="J115" s="503"/>
      <c r="K115" s="496"/>
      <c r="L115" s="496"/>
      <c r="M115" s="503"/>
      <c r="N115" s="15"/>
      <c r="O115" s="15"/>
      <c r="P115" s="15"/>
      <c r="Q115" s="15"/>
      <c r="R115" s="15"/>
      <c r="S115" s="15"/>
      <c r="T115" s="15"/>
      <c r="U115" s="15"/>
      <c r="V115" s="15"/>
      <c r="W115" s="15"/>
      <c r="X115" s="15"/>
      <c r="Y115" s="15"/>
      <c r="Z115" s="15"/>
    </row>
    <row r="116" ht="12.75" customHeight="1">
      <c r="A116" s="503"/>
      <c r="B116" s="503"/>
      <c r="C116" s="503"/>
      <c r="D116" s="503"/>
      <c r="E116" s="496"/>
      <c r="F116" s="496"/>
      <c r="G116" s="503"/>
      <c r="H116" s="496"/>
      <c r="I116" s="496"/>
      <c r="J116" s="503"/>
      <c r="K116" s="496"/>
      <c r="L116" s="496"/>
      <c r="M116" s="503"/>
      <c r="N116" s="15"/>
      <c r="O116" s="15"/>
      <c r="P116" s="15"/>
      <c r="Q116" s="15"/>
      <c r="R116" s="15"/>
      <c r="S116" s="15"/>
      <c r="T116" s="15"/>
      <c r="U116" s="15"/>
      <c r="V116" s="15"/>
      <c r="W116" s="15"/>
      <c r="X116" s="15"/>
      <c r="Y116" s="15"/>
      <c r="Z116" s="15"/>
    </row>
    <row r="117" ht="12.75" customHeight="1">
      <c r="A117" s="503"/>
      <c r="B117" s="503"/>
      <c r="C117" s="503"/>
      <c r="D117" s="503"/>
      <c r="E117" s="496"/>
      <c r="F117" s="496"/>
      <c r="G117" s="503"/>
      <c r="H117" s="496"/>
      <c r="I117" s="496"/>
      <c r="J117" s="503"/>
      <c r="K117" s="496"/>
      <c r="L117" s="496"/>
      <c r="M117" s="503"/>
      <c r="N117" s="15"/>
      <c r="O117" s="15"/>
      <c r="P117" s="15"/>
      <c r="Q117" s="15"/>
      <c r="R117" s="15"/>
      <c r="S117" s="15"/>
      <c r="T117" s="15"/>
      <c r="U117" s="15"/>
      <c r="V117" s="15"/>
      <c r="W117" s="15"/>
      <c r="X117" s="15"/>
      <c r="Y117" s="15"/>
      <c r="Z117" s="15"/>
    </row>
    <row r="118" ht="12.75" customHeight="1">
      <c r="A118" s="503"/>
      <c r="B118" s="503"/>
      <c r="C118" s="503"/>
      <c r="D118" s="503"/>
      <c r="E118" s="496"/>
      <c r="F118" s="496"/>
      <c r="G118" s="503"/>
      <c r="H118" s="496"/>
      <c r="I118" s="496"/>
      <c r="J118" s="503"/>
      <c r="K118" s="496"/>
      <c r="L118" s="496"/>
      <c r="M118" s="503"/>
      <c r="N118" s="15"/>
      <c r="O118" s="15"/>
      <c r="P118" s="15"/>
      <c r="Q118" s="15"/>
      <c r="R118" s="15"/>
      <c r="S118" s="15"/>
      <c r="T118" s="15"/>
      <c r="U118" s="15"/>
      <c r="V118" s="15"/>
      <c r="W118" s="15"/>
      <c r="X118" s="15"/>
      <c r="Y118" s="15"/>
      <c r="Z118" s="15"/>
    </row>
    <row r="119" ht="12.75" customHeight="1">
      <c r="A119" s="503"/>
      <c r="B119" s="503"/>
      <c r="C119" s="503"/>
      <c r="D119" s="503"/>
      <c r="E119" s="496"/>
      <c r="F119" s="496"/>
      <c r="G119" s="503"/>
      <c r="H119" s="496"/>
      <c r="I119" s="496"/>
      <c r="J119" s="503"/>
      <c r="K119" s="496"/>
      <c r="L119" s="496"/>
      <c r="M119" s="503"/>
      <c r="N119" s="15"/>
      <c r="O119" s="15"/>
      <c r="P119" s="15"/>
      <c r="Q119" s="15"/>
      <c r="R119" s="15"/>
      <c r="S119" s="15"/>
      <c r="T119" s="15"/>
      <c r="U119" s="15"/>
      <c r="V119" s="15"/>
      <c r="W119" s="15"/>
      <c r="X119" s="15"/>
      <c r="Y119" s="15"/>
      <c r="Z119" s="15"/>
    </row>
    <row r="120" ht="12.75" customHeight="1">
      <c r="A120" s="503"/>
      <c r="B120" s="503"/>
      <c r="C120" s="503"/>
      <c r="D120" s="503"/>
      <c r="E120" s="496"/>
      <c r="F120" s="496"/>
      <c r="G120" s="503"/>
      <c r="H120" s="496"/>
      <c r="I120" s="496"/>
      <c r="J120" s="503"/>
      <c r="K120" s="496"/>
      <c r="L120" s="496"/>
      <c r="M120" s="503"/>
      <c r="N120" s="15"/>
      <c r="O120" s="15"/>
      <c r="P120" s="15"/>
      <c r="Q120" s="15"/>
      <c r="R120" s="15"/>
      <c r="S120" s="15"/>
      <c r="T120" s="15"/>
      <c r="U120" s="15"/>
      <c r="V120" s="15"/>
      <c r="W120" s="15"/>
      <c r="X120" s="15"/>
      <c r="Y120" s="15"/>
      <c r="Z120" s="15"/>
    </row>
    <row r="121" ht="12.75" customHeight="1">
      <c r="A121" s="503"/>
      <c r="B121" s="503"/>
      <c r="C121" s="503"/>
      <c r="D121" s="503"/>
      <c r="E121" s="496"/>
      <c r="F121" s="496"/>
      <c r="G121" s="503"/>
      <c r="H121" s="496"/>
      <c r="I121" s="496"/>
      <c r="J121" s="503"/>
      <c r="K121" s="496"/>
      <c r="L121" s="496"/>
      <c r="M121" s="503"/>
      <c r="N121" s="15"/>
      <c r="O121" s="15"/>
      <c r="P121" s="15"/>
      <c r="Q121" s="15"/>
      <c r="R121" s="15"/>
      <c r="S121" s="15"/>
      <c r="T121" s="15"/>
      <c r="U121" s="15"/>
      <c r="V121" s="15"/>
      <c r="W121" s="15"/>
      <c r="X121" s="15"/>
      <c r="Y121" s="15"/>
      <c r="Z121" s="15"/>
    </row>
    <row r="122" ht="12.75" customHeight="1">
      <c r="A122" s="503"/>
      <c r="B122" s="503"/>
      <c r="C122" s="503"/>
      <c r="D122" s="503"/>
      <c r="E122" s="496"/>
      <c r="F122" s="496"/>
      <c r="G122" s="503"/>
      <c r="H122" s="496"/>
      <c r="I122" s="496"/>
      <c r="J122" s="503"/>
      <c r="K122" s="496"/>
      <c r="L122" s="496"/>
      <c r="M122" s="503"/>
      <c r="N122" s="15"/>
      <c r="O122" s="15"/>
      <c r="P122" s="15"/>
      <c r="Q122" s="15"/>
      <c r="R122" s="15"/>
      <c r="S122" s="15"/>
      <c r="T122" s="15"/>
      <c r="U122" s="15"/>
      <c r="V122" s="15"/>
      <c r="W122" s="15"/>
      <c r="X122" s="15"/>
      <c r="Y122" s="15"/>
      <c r="Z122" s="15"/>
    </row>
    <row r="123" ht="12.75" customHeight="1">
      <c r="A123" s="503"/>
      <c r="B123" s="503"/>
      <c r="C123" s="503"/>
      <c r="D123" s="503"/>
      <c r="E123" s="496"/>
      <c r="F123" s="496"/>
      <c r="G123" s="503"/>
      <c r="H123" s="496"/>
      <c r="I123" s="496"/>
      <c r="J123" s="503"/>
      <c r="K123" s="496"/>
      <c r="L123" s="496"/>
      <c r="M123" s="503"/>
      <c r="N123" s="15"/>
      <c r="O123" s="15"/>
      <c r="P123" s="15"/>
      <c r="Q123" s="15"/>
      <c r="R123" s="15"/>
      <c r="S123" s="15"/>
      <c r="T123" s="15"/>
      <c r="U123" s="15"/>
      <c r="V123" s="15"/>
      <c r="W123" s="15"/>
      <c r="X123" s="15"/>
      <c r="Y123" s="15"/>
      <c r="Z123" s="15"/>
    </row>
    <row r="124" ht="12.75" customHeight="1">
      <c r="A124" s="503"/>
      <c r="B124" s="503"/>
      <c r="C124" s="503"/>
      <c r="D124" s="503"/>
      <c r="E124" s="496"/>
      <c r="F124" s="496"/>
      <c r="G124" s="503"/>
      <c r="H124" s="496"/>
      <c r="I124" s="496"/>
      <c r="J124" s="503"/>
      <c r="K124" s="496"/>
      <c r="L124" s="496"/>
      <c r="M124" s="503"/>
      <c r="N124" s="15"/>
      <c r="O124" s="15"/>
      <c r="P124" s="15"/>
      <c r="Q124" s="15"/>
      <c r="R124" s="15"/>
      <c r="S124" s="15"/>
      <c r="T124" s="15"/>
      <c r="U124" s="15"/>
      <c r="V124" s="15"/>
      <c r="W124" s="15"/>
      <c r="X124" s="15"/>
      <c r="Y124" s="15"/>
      <c r="Z124" s="15"/>
    </row>
    <row r="125" ht="12.75" customHeight="1">
      <c r="A125" s="503"/>
      <c r="B125" s="503"/>
      <c r="C125" s="503"/>
      <c r="D125" s="503"/>
      <c r="E125" s="496"/>
      <c r="F125" s="496"/>
      <c r="G125" s="503"/>
      <c r="H125" s="496"/>
      <c r="I125" s="496"/>
      <c r="J125" s="503"/>
      <c r="K125" s="496"/>
      <c r="L125" s="496"/>
      <c r="M125" s="503"/>
      <c r="N125" s="15"/>
      <c r="O125" s="15"/>
      <c r="P125" s="15"/>
      <c r="Q125" s="15"/>
      <c r="R125" s="15"/>
      <c r="S125" s="15"/>
      <c r="T125" s="15"/>
      <c r="U125" s="15"/>
      <c r="V125" s="15"/>
      <c r="W125" s="15"/>
      <c r="X125" s="15"/>
      <c r="Y125" s="15"/>
      <c r="Z125" s="15"/>
    </row>
    <row r="126" ht="12.75" customHeight="1">
      <c r="A126" s="503"/>
      <c r="B126" s="503"/>
      <c r="C126" s="503"/>
      <c r="D126" s="503"/>
      <c r="E126" s="496"/>
      <c r="F126" s="496"/>
      <c r="G126" s="503"/>
      <c r="H126" s="496"/>
      <c r="I126" s="496"/>
      <c r="J126" s="503"/>
      <c r="K126" s="496"/>
      <c r="L126" s="496"/>
      <c r="M126" s="503"/>
      <c r="N126" s="15"/>
      <c r="O126" s="15"/>
      <c r="P126" s="15"/>
      <c r="Q126" s="15"/>
      <c r="R126" s="15"/>
      <c r="S126" s="15"/>
      <c r="T126" s="15"/>
      <c r="U126" s="15"/>
      <c r="V126" s="15"/>
      <c r="W126" s="15"/>
      <c r="X126" s="15"/>
      <c r="Y126" s="15"/>
      <c r="Z126" s="15"/>
    </row>
    <row r="127" ht="12.75" customHeight="1">
      <c r="A127" s="503"/>
      <c r="B127" s="503"/>
      <c r="C127" s="503"/>
      <c r="D127" s="503"/>
      <c r="E127" s="496"/>
      <c r="F127" s="496"/>
      <c r="G127" s="503"/>
      <c r="H127" s="496"/>
      <c r="I127" s="496"/>
      <c r="J127" s="503"/>
      <c r="K127" s="496"/>
      <c r="L127" s="496"/>
      <c r="M127" s="503"/>
      <c r="N127" s="15"/>
      <c r="O127" s="15"/>
      <c r="P127" s="15"/>
      <c r="Q127" s="15"/>
      <c r="R127" s="15"/>
      <c r="S127" s="15"/>
      <c r="T127" s="15"/>
      <c r="U127" s="15"/>
      <c r="V127" s="15"/>
      <c r="W127" s="15"/>
      <c r="X127" s="15"/>
      <c r="Y127" s="15"/>
      <c r="Z127" s="15"/>
    </row>
    <row r="128" ht="12.75" customHeight="1">
      <c r="A128" s="503"/>
      <c r="B128" s="503"/>
      <c r="C128" s="503"/>
      <c r="D128" s="503"/>
      <c r="E128" s="496"/>
      <c r="F128" s="496"/>
      <c r="G128" s="503"/>
      <c r="H128" s="496"/>
      <c r="I128" s="496"/>
      <c r="J128" s="503"/>
      <c r="K128" s="496"/>
      <c r="L128" s="496"/>
      <c r="M128" s="503"/>
      <c r="N128" s="15"/>
      <c r="O128" s="15"/>
      <c r="P128" s="15"/>
      <c r="Q128" s="15"/>
      <c r="R128" s="15"/>
      <c r="S128" s="15"/>
      <c r="T128" s="15"/>
      <c r="U128" s="15"/>
      <c r="V128" s="15"/>
      <c r="W128" s="15"/>
      <c r="X128" s="15"/>
      <c r="Y128" s="15"/>
      <c r="Z128" s="15"/>
    </row>
    <row r="129" ht="12.75" customHeight="1">
      <c r="A129" s="503"/>
      <c r="B129" s="503"/>
      <c r="C129" s="503"/>
      <c r="D129" s="503"/>
      <c r="E129" s="496"/>
      <c r="F129" s="496"/>
      <c r="G129" s="503"/>
      <c r="H129" s="496"/>
      <c r="I129" s="496"/>
      <c r="J129" s="503"/>
      <c r="K129" s="496"/>
      <c r="L129" s="496"/>
      <c r="M129" s="503"/>
      <c r="N129" s="15"/>
      <c r="O129" s="15"/>
      <c r="P129" s="15"/>
      <c r="Q129" s="15"/>
      <c r="R129" s="15"/>
      <c r="S129" s="15"/>
      <c r="T129" s="15"/>
      <c r="U129" s="15"/>
      <c r="V129" s="15"/>
      <c r="W129" s="15"/>
      <c r="X129" s="15"/>
      <c r="Y129" s="15"/>
      <c r="Z129" s="15"/>
    </row>
    <row r="130" ht="12.75" customHeight="1">
      <c r="A130" s="503"/>
      <c r="B130" s="503"/>
      <c r="C130" s="503"/>
      <c r="D130" s="503"/>
      <c r="E130" s="496"/>
      <c r="F130" s="496"/>
      <c r="G130" s="503"/>
      <c r="H130" s="496"/>
      <c r="I130" s="496"/>
      <c r="J130" s="503"/>
      <c r="K130" s="496"/>
      <c r="L130" s="496"/>
      <c r="M130" s="503"/>
      <c r="N130" s="15"/>
      <c r="O130" s="15"/>
      <c r="P130" s="15"/>
      <c r="Q130" s="15"/>
      <c r="R130" s="15"/>
      <c r="S130" s="15"/>
      <c r="T130" s="15"/>
      <c r="U130" s="15"/>
      <c r="V130" s="15"/>
      <c r="W130" s="15"/>
      <c r="X130" s="15"/>
      <c r="Y130" s="15"/>
      <c r="Z130" s="15"/>
    </row>
    <row r="131" ht="12.75" customHeight="1">
      <c r="A131" s="503"/>
      <c r="B131" s="503"/>
      <c r="C131" s="503"/>
      <c r="D131" s="503"/>
      <c r="E131" s="496"/>
      <c r="F131" s="496"/>
      <c r="G131" s="503"/>
      <c r="H131" s="496"/>
      <c r="I131" s="496"/>
      <c r="J131" s="503"/>
      <c r="K131" s="496"/>
      <c r="L131" s="496"/>
      <c r="M131" s="503"/>
      <c r="N131" s="15"/>
      <c r="O131" s="15"/>
      <c r="P131" s="15"/>
      <c r="Q131" s="15"/>
      <c r="R131" s="15"/>
      <c r="S131" s="15"/>
      <c r="T131" s="15"/>
      <c r="U131" s="15"/>
      <c r="V131" s="15"/>
      <c r="W131" s="15"/>
      <c r="X131" s="15"/>
      <c r="Y131" s="15"/>
      <c r="Z131" s="15"/>
    </row>
    <row r="132" ht="12.75" customHeight="1">
      <c r="A132" s="503"/>
      <c r="B132" s="503"/>
      <c r="C132" s="503"/>
      <c r="D132" s="503"/>
      <c r="E132" s="496"/>
      <c r="F132" s="496"/>
      <c r="G132" s="503"/>
      <c r="H132" s="496"/>
      <c r="I132" s="496"/>
      <c r="J132" s="503"/>
      <c r="K132" s="496"/>
      <c r="L132" s="496"/>
      <c r="M132" s="503"/>
      <c r="N132" s="15"/>
      <c r="O132" s="15"/>
      <c r="P132" s="15"/>
      <c r="Q132" s="15"/>
      <c r="R132" s="15"/>
      <c r="S132" s="15"/>
      <c r="T132" s="15"/>
      <c r="U132" s="15"/>
      <c r="V132" s="15"/>
      <c r="W132" s="15"/>
      <c r="X132" s="15"/>
      <c r="Y132" s="15"/>
      <c r="Z132" s="15"/>
    </row>
    <row r="133" ht="12.75" customHeight="1">
      <c r="A133" s="503"/>
      <c r="B133" s="503"/>
      <c r="C133" s="503"/>
      <c r="D133" s="503"/>
      <c r="E133" s="496"/>
      <c r="F133" s="496"/>
      <c r="G133" s="503"/>
      <c r="H133" s="496"/>
      <c r="I133" s="496"/>
      <c r="J133" s="503"/>
      <c r="K133" s="496"/>
      <c r="L133" s="496"/>
      <c r="M133" s="503"/>
      <c r="N133" s="15"/>
      <c r="O133" s="15"/>
      <c r="P133" s="15"/>
      <c r="Q133" s="15"/>
      <c r="R133" s="15"/>
      <c r="S133" s="15"/>
      <c r="T133" s="15"/>
      <c r="U133" s="15"/>
      <c r="V133" s="15"/>
      <c r="W133" s="15"/>
      <c r="X133" s="15"/>
      <c r="Y133" s="15"/>
      <c r="Z133" s="15"/>
    </row>
    <row r="134" ht="12.75" customHeight="1">
      <c r="A134" s="503"/>
      <c r="B134" s="503"/>
      <c r="C134" s="503"/>
      <c r="D134" s="503"/>
      <c r="E134" s="496"/>
      <c r="F134" s="496"/>
      <c r="G134" s="503"/>
      <c r="H134" s="496"/>
      <c r="I134" s="496"/>
      <c r="J134" s="503"/>
      <c r="K134" s="496"/>
      <c r="L134" s="496"/>
      <c r="M134" s="503"/>
      <c r="N134" s="15"/>
      <c r="O134" s="15"/>
      <c r="P134" s="15"/>
      <c r="Q134" s="15"/>
      <c r="R134" s="15"/>
      <c r="S134" s="15"/>
      <c r="T134" s="15"/>
      <c r="U134" s="15"/>
      <c r="V134" s="15"/>
      <c r="W134" s="15"/>
      <c r="X134" s="15"/>
      <c r="Y134" s="15"/>
      <c r="Z134" s="15"/>
    </row>
    <row r="135" ht="12.75" customHeight="1">
      <c r="A135" s="503"/>
      <c r="B135" s="503"/>
      <c r="C135" s="503"/>
      <c r="D135" s="503"/>
      <c r="E135" s="496"/>
      <c r="F135" s="496"/>
      <c r="G135" s="503"/>
      <c r="H135" s="496"/>
      <c r="I135" s="496"/>
      <c r="J135" s="503"/>
      <c r="K135" s="496"/>
      <c r="L135" s="496"/>
      <c r="M135" s="503"/>
      <c r="N135" s="15"/>
      <c r="O135" s="15"/>
      <c r="P135" s="15"/>
      <c r="Q135" s="15"/>
      <c r="R135" s="15"/>
      <c r="S135" s="15"/>
      <c r="T135" s="15"/>
      <c r="U135" s="15"/>
      <c r="V135" s="15"/>
      <c r="W135" s="15"/>
      <c r="X135" s="15"/>
      <c r="Y135" s="15"/>
      <c r="Z135" s="15"/>
    </row>
    <row r="136" ht="12.75" customHeight="1">
      <c r="A136" s="503"/>
      <c r="B136" s="503"/>
      <c r="C136" s="503"/>
      <c r="D136" s="503"/>
      <c r="E136" s="496"/>
      <c r="F136" s="496"/>
      <c r="G136" s="503"/>
      <c r="H136" s="496"/>
      <c r="I136" s="496"/>
      <c r="J136" s="503"/>
      <c r="K136" s="496"/>
      <c r="L136" s="496"/>
      <c r="M136" s="503"/>
      <c r="N136" s="15"/>
      <c r="O136" s="15"/>
      <c r="P136" s="15"/>
      <c r="Q136" s="15"/>
      <c r="R136" s="15"/>
      <c r="S136" s="15"/>
      <c r="T136" s="15"/>
      <c r="U136" s="15"/>
      <c r="V136" s="15"/>
      <c r="W136" s="15"/>
      <c r="X136" s="15"/>
      <c r="Y136" s="15"/>
      <c r="Z136" s="15"/>
    </row>
    <row r="137" ht="12.75" customHeight="1">
      <c r="A137" s="503"/>
      <c r="B137" s="503"/>
      <c r="C137" s="503"/>
      <c r="D137" s="503"/>
      <c r="E137" s="496"/>
      <c r="F137" s="496"/>
      <c r="G137" s="503"/>
      <c r="H137" s="496"/>
      <c r="I137" s="496"/>
      <c r="J137" s="503"/>
      <c r="K137" s="496"/>
      <c r="L137" s="496"/>
      <c r="M137" s="503"/>
      <c r="N137" s="15"/>
      <c r="O137" s="15"/>
      <c r="P137" s="15"/>
      <c r="Q137" s="15"/>
      <c r="R137" s="15"/>
      <c r="S137" s="15"/>
      <c r="T137" s="15"/>
      <c r="U137" s="15"/>
      <c r="V137" s="15"/>
      <c r="W137" s="15"/>
      <c r="X137" s="15"/>
      <c r="Y137" s="15"/>
      <c r="Z137" s="15"/>
    </row>
    <row r="138" ht="12.75" customHeight="1">
      <c r="A138" s="503"/>
      <c r="B138" s="503"/>
      <c r="C138" s="503"/>
      <c r="D138" s="503"/>
      <c r="E138" s="496"/>
      <c r="F138" s="496"/>
      <c r="G138" s="503"/>
      <c r="H138" s="496"/>
      <c r="I138" s="496"/>
      <c r="J138" s="503"/>
      <c r="K138" s="496"/>
      <c r="L138" s="496"/>
      <c r="M138" s="503"/>
      <c r="N138" s="15"/>
      <c r="O138" s="15"/>
      <c r="P138" s="15"/>
      <c r="Q138" s="15"/>
      <c r="R138" s="15"/>
      <c r="S138" s="15"/>
      <c r="T138" s="15"/>
      <c r="U138" s="15"/>
      <c r="V138" s="15"/>
      <c r="W138" s="15"/>
      <c r="X138" s="15"/>
      <c r="Y138" s="15"/>
      <c r="Z138" s="15"/>
    </row>
    <row r="139" ht="12.75" customHeight="1">
      <c r="A139" s="503"/>
      <c r="B139" s="503"/>
      <c r="C139" s="503"/>
      <c r="D139" s="503"/>
      <c r="E139" s="496"/>
      <c r="F139" s="496"/>
      <c r="G139" s="503"/>
      <c r="H139" s="496"/>
      <c r="I139" s="496"/>
      <c r="J139" s="503"/>
      <c r="K139" s="496"/>
      <c r="L139" s="496"/>
      <c r="M139" s="503"/>
      <c r="N139" s="15"/>
      <c r="O139" s="15"/>
      <c r="P139" s="15"/>
      <c r="Q139" s="15"/>
      <c r="R139" s="15"/>
      <c r="S139" s="15"/>
      <c r="T139" s="15"/>
      <c r="U139" s="15"/>
      <c r="V139" s="15"/>
      <c r="W139" s="15"/>
      <c r="X139" s="15"/>
      <c r="Y139" s="15"/>
      <c r="Z139" s="15"/>
    </row>
    <row r="140" ht="12.75" customHeight="1">
      <c r="A140" s="503"/>
      <c r="B140" s="503"/>
      <c r="C140" s="503"/>
      <c r="D140" s="503"/>
      <c r="E140" s="496"/>
      <c r="F140" s="496"/>
      <c r="G140" s="503"/>
      <c r="H140" s="496"/>
      <c r="I140" s="496"/>
      <c r="J140" s="503"/>
      <c r="K140" s="496"/>
      <c r="L140" s="496"/>
      <c r="M140" s="503"/>
      <c r="N140" s="15"/>
      <c r="O140" s="15"/>
      <c r="P140" s="15"/>
      <c r="Q140" s="15"/>
      <c r="R140" s="15"/>
      <c r="S140" s="15"/>
      <c r="T140" s="15"/>
      <c r="U140" s="15"/>
      <c r="V140" s="15"/>
      <c r="W140" s="15"/>
      <c r="X140" s="15"/>
      <c r="Y140" s="15"/>
      <c r="Z140" s="15"/>
    </row>
    <row r="141" ht="12.75" customHeight="1">
      <c r="A141" s="503"/>
      <c r="B141" s="503"/>
      <c r="C141" s="503"/>
      <c r="D141" s="503"/>
      <c r="E141" s="496"/>
      <c r="F141" s="496"/>
      <c r="G141" s="503"/>
      <c r="H141" s="496"/>
      <c r="I141" s="496"/>
      <c r="J141" s="503"/>
      <c r="K141" s="496"/>
      <c r="L141" s="496"/>
      <c r="M141" s="503"/>
      <c r="N141" s="15"/>
      <c r="O141" s="15"/>
      <c r="P141" s="15"/>
      <c r="Q141" s="15"/>
      <c r="R141" s="15"/>
      <c r="S141" s="15"/>
      <c r="T141" s="15"/>
      <c r="U141" s="15"/>
      <c r="V141" s="15"/>
      <c r="W141" s="15"/>
      <c r="X141" s="15"/>
      <c r="Y141" s="15"/>
      <c r="Z141" s="15"/>
    </row>
    <row r="142" ht="12.75" customHeight="1">
      <c r="A142" s="503"/>
      <c r="B142" s="503"/>
      <c r="C142" s="503"/>
      <c r="D142" s="503"/>
      <c r="E142" s="496"/>
      <c r="F142" s="496"/>
      <c r="G142" s="503"/>
      <c r="H142" s="496"/>
      <c r="I142" s="496"/>
      <c r="J142" s="503"/>
      <c r="K142" s="496"/>
      <c r="L142" s="496"/>
      <c r="M142" s="503"/>
      <c r="N142" s="15"/>
      <c r="O142" s="15"/>
      <c r="P142" s="15"/>
      <c r="Q142" s="15"/>
      <c r="R142" s="15"/>
      <c r="S142" s="15"/>
      <c r="T142" s="15"/>
      <c r="U142" s="15"/>
      <c r="V142" s="15"/>
      <c r="W142" s="15"/>
      <c r="X142" s="15"/>
      <c r="Y142" s="15"/>
      <c r="Z142" s="15"/>
    </row>
    <row r="143" ht="12.75" customHeight="1">
      <c r="A143" s="503"/>
      <c r="B143" s="503"/>
      <c r="C143" s="503"/>
      <c r="D143" s="503"/>
      <c r="E143" s="496"/>
      <c r="F143" s="496"/>
      <c r="G143" s="503"/>
      <c r="H143" s="496"/>
      <c r="I143" s="496"/>
      <c r="J143" s="503"/>
      <c r="K143" s="496"/>
      <c r="L143" s="496"/>
      <c r="M143" s="503"/>
      <c r="N143" s="15"/>
      <c r="O143" s="15"/>
      <c r="P143" s="15"/>
      <c r="Q143" s="15"/>
      <c r="R143" s="15"/>
      <c r="S143" s="15"/>
      <c r="T143" s="15"/>
      <c r="U143" s="15"/>
      <c r="V143" s="15"/>
      <c r="W143" s="15"/>
      <c r="X143" s="15"/>
      <c r="Y143" s="15"/>
      <c r="Z143" s="15"/>
    </row>
    <row r="144" ht="12.75" customHeight="1">
      <c r="A144" s="503"/>
      <c r="B144" s="503"/>
      <c r="C144" s="503"/>
      <c r="D144" s="503"/>
      <c r="E144" s="496"/>
      <c r="F144" s="496"/>
      <c r="G144" s="503"/>
      <c r="H144" s="496"/>
      <c r="I144" s="496"/>
      <c r="J144" s="503"/>
      <c r="K144" s="496"/>
      <c r="L144" s="496"/>
      <c r="M144" s="503"/>
      <c r="N144" s="15"/>
      <c r="O144" s="15"/>
      <c r="P144" s="15"/>
      <c r="Q144" s="15"/>
      <c r="R144" s="15"/>
      <c r="S144" s="15"/>
      <c r="T144" s="15"/>
      <c r="U144" s="15"/>
      <c r="V144" s="15"/>
      <c r="W144" s="15"/>
      <c r="X144" s="15"/>
      <c r="Y144" s="15"/>
      <c r="Z144" s="15"/>
    </row>
    <row r="145" ht="12.75" customHeight="1">
      <c r="A145" s="503"/>
      <c r="B145" s="503"/>
      <c r="C145" s="503"/>
      <c r="D145" s="503"/>
      <c r="E145" s="496"/>
      <c r="F145" s="496"/>
      <c r="G145" s="503"/>
      <c r="H145" s="496"/>
      <c r="I145" s="496"/>
      <c r="J145" s="503"/>
      <c r="K145" s="496"/>
      <c r="L145" s="496"/>
      <c r="M145" s="503"/>
      <c r="N145" s="15"/>
      <c r="O145" s="15"/>
      <c r="P145" s="15"/>
      <c r="Q145" s="15"/>
      <c r="R145" s="15"/>
      <c r="S145" s="15"/>
      <c r="T145" s="15"/>
      <c r="U145" s="15"/>
      <c r="V145" s="15"/>
      <c r="W145" s="15"/>
      <c r="X145" s="15"/>
      <c r="Y145" s="15"/>
      <c r="Z145" s="15"/>
    </row>
    <row r="146" ht="12.75" customHeight="1">
      <c r="A146" s="503"/>
      <c r="B146" s="503"/>
      <c r="C146" s="503"/>
      <c r="D146" s="503"/>
      <c r="E146" s="496"/>
      <c r="F146" s="496"/>
      <c r="G146" s="503"/>
      <c r="H146" s="496"/>
      <c r="I146" s="496"/>
      <c r="J146" s="503"/>
      <c r="K146" s="496"/>
      <c r="L146" s="496"/>
      <c r="M146" s="503"/>
      <c r="N146" s="15"/>
      <c r="O146" s="15"/>
      <c r="P146" s="15"/>
      <c r="Q146" s="15"/>
      <c r="R146" s="15"/>
      <c r="S146" s="15"/>
      <c r="T146" s="15"/>
      <c r="U146" s="15"/>
      <c r="V146" s="15"/>
      <c r="W146" s="15"/>
      <c r="X146" s="15"/>
      <c r="Y146" s="15"/>
      <c r="Z146" s="15"/>
    </row>
    <row r="147" ht="12.75" customHeight="1">
      <c r="A147" s="503"/>
      <c r="B147" s="503"/>
      <c r="C147" s="503"/>
      <c r="D147" s="503"/>
      <c r="E147" s="496"/>
      <c r="F147" s="496"/>
      <c r="G147" s="503"/>
      <c r="H147" s="496"/>
      <c r="I147" s="496"/>
      <c r="J147" s="503"/>
      <c r="K147" s="496"/>
      <c r="L147" s="496"/>
      <c r="M147" s="503"/>
      <c r="N147" s="15"/>
      <c r="O147" s="15"/>
      <c r="P147" s="15"/>
      <c r="Q147" s="15"/>
      <c r="R147" s="15"/>
      <c r="S147" s="15"/>
      <c r="T147" s="15"/>
      <c r="U147" s="15"/>
      <c r="V147" s="15"/>
      <c r="W147" s="15"/>
      <c r="X147" s="15"/>
      <c r="Y147" s="15"/>
      <c r="Z147" s="15"/>
    </row>
    <row r="148" ht="12.75" customHeight="1">
      <c r="A148" s="503"/>
      <c r="B148" s="503"/>
      <c r="C148" s="503"/>
      <c r="D148" s="503"/>
      <c r="E148" s="496"/>
      <c r="F148" s="496"/>
      <c r="G148" s="503"/>
      <c r="H148" s="496"/>
      <c r="I148" s="496"/>
      <c r="J148" s="503"/>
      <c r="K148" s="496"/>
      <c r="L148" s="496"/>
      <c r="M148" s="503"/>
      <c r="N148" s="15"/>
      <c r="O148" s="15"/>
      <c r="P148" s="15"/>
      <c r="Q148" s="15"/>
      <c r="R148" s="15"/>
      <c r="S148" s="15"/>
      <c r="T148" s="15"/>
      <c r="U148" s="15"/>
      <c r="V148" s="15"/>
      <c r="W148" s="15"/>
      <c r="X148" s="15"/>
      <c r="Y148" s="15"/>
      <c r="Z148" s="15"/>
    </row>
    <row r="149" ht="12.75" customHeight="1">
      <c r="A149" s="503"/>
      <c r="B149" s="503"/>
      <c r="C149" s="503"/>
      <c r="D149" s="503"/>
      <c r="E149" s="496"/>
      <c r="F149" s="496"/>
      <c r="G149" s="503"/>
      <c r="H149" s="496"/>
      <c r="I149" s="496"/>
      <c r="J149" s="503"/>
      <c r="K149" s="496"/>
      <c r="L149" s="496"/>
      <c r="M149" s="503"/>
      <c r="N149" s="15"/>
      <c r="O149" s="15"/>
      <c r="P149" s="15"/>
      <c r="Q149" s="15"/>
      <c r="R149" s="15"/>
      <c r="S149" s="15"/>
      <c r="T149" s="15"/>
      <c r="U149" s="15"/>
      <c r="V149" s="15"/>
      <c r="W149" s="15"/>
      <c r="X149" s="15"/>
      <c r="Y149" s="15"/>
      <c r="Z149" s="15"/>
    </row>
    <row r="150" ht="12.75" customHeight="1">
      <c r="A150" s="503"/>
      <c r="B150" s="503"/>
      <c r="C150" s="503"/>
      <c r="D150" s="503"/>
      <c r="E150" s="496"/>
      <c r="F150" s="496"/>
      <c r="G150" s="503"/>
      <c r="H150" s="496"/>
      <c r="I150" s="496"/>
      <c r="J150" s="503"/>
      <c r="K150" s="496"/>
      <c r="L150" s="496"/>
      <c r="M150" s="503"/>
      <c r="N150" s="15"/>
      <c r="O150" s="15"/>
      <c r="P150" s="15"/>
      <c r="Q150" s="15"/>
      <c r="R150" s="15"/>
      <c r="S150" s="15"/>
      <c r="T150" s="15"/>
      <c r="U150" s="15"/>
      <c r="V150" s="15"/>
      <c r="W150" s="15"/>
      <c r="X150" s="15"/>
      <c r="Y150" s="15"/>
      <c r="Z150" s="15"/>
    </row>
    <row r="151" ht="12.75" customHeight="1">
      <c r="A151" s="503"/>
      <c r="B151" s="503"/>
      <c r="C151" s="503"/>
      <c r="D151" s="503"/>
      <c r="E151" s="496"/>
      <c r="F151" s="496"/>
      <c r="G151" s="503"/>
      <c r="H151" s="496"/>
      <c r="I151" s="496"/>
      <c r="J151" s="503"/>
      <c r="K151" s="496"/>
      <c r="L151" s="496"/>
      <c r="M151" s="503"/>
      <c r="N151" s="15"/>
      <c r="O151" s="15"/>
      <c r="P151" s="15"/>
      <c r="Q151" s="15"/>
      <c r="R151" s="15"/>
      <c r="S151" s="15"/>
      <c r="T151" s="15"/>
      <c r="U151" s="15"/>
      <c r="V151" s="15"/>
      <c r="W151" s="15"/>
      <c r="X151" s="15"/>
      <c r="Y151" s="15"/>
      <c r="Z151" s="15"/>
    </row>
    <row r="152" ht="12.75" customHeight="1">
      <c r="A152" s="503"/>
      <c r="B152" s="503"/>
      <c r="C152" s="503"/>
      <c r="D152" s="503"/>
      <c r="E152" s="496"/>
      <c r="F152" s="496"/>
      <c r="G152" s="503"/>
      <c r="H152" s="496"/>
      <c r="I152" s="496"/>
      <c r="J152" s="503"/>
      <c r="K152" s="496"/>
      <c r="L152" s="496"/>
      <c r="M152" s="503"/>
      <c r="N152" s="15"/>
      <c r="O152" s="15"/>
      <c r="P152" s="15"/>
      <c r="Q152" s="15"/>
      <c r="R152" s="15"/>
      <c r="S152" s="15"/>
      <c r="T152" s="15"/>
      <c r="U152" s="15"/>
      <c r="V152" s="15"/>
      <c r="W152" s="15"/>
      <c r="X152" s="15"/>
      <c r="Y152" s="15"/>
      <c r="Z152" s="15"/>
    </row>
    <row r="153" ht="12.75" customHeight="1">
      <c r="A153" s="503"/>
      <c r="B153" s="503"/>
      <c r="C153" s="503"/>
      <c r="D153" s="503"/>
      <c r="E153" s="496"/>
      <c r="F153" s="496"/>
      <c r="G153" s="503"/>
      <c r="H153" s="496"/>
      <c r="I153" s="496"/>
      <c r="J153" s="503"/>
      <c r="K153" s="496"/>
      <c r="L153" s="496"/>
      <c r="M153" s="503"/>
      <c r="N153" s="15"/>
      <c r="O153" s="15"/>
      <c r="P153" s="15"/>
      <c r="Q153" s="15"/>
      <c r="R153" s="15"/>
      <c r="S153" s="15"/>
      <c r="T153" s="15"/>
      <c r="U153" s="15"/>
      <c r="V153" s="15"/>
      <c r="W153" s="15"/>
      <c r="X153" s="15"/>
      <c r="Y153" s="15"/>
      <c r="Z153" s="15"/>
    </row>
    <row r="154" ht="12.75" customHeight="1">
      <c r="A154" s="503"/>
      <c r="B154" s="503"/>
      <c r="C154" s="503"/>
      <c r="D154" s="503"/>
      <c r="E154" s="496"/>
      <c r="F154" s="496"/>
      <c r="G154" s="503"/>
      <c r="H154" s="496"/>
      <c r="I154" s="496"/>
      <c r="J154" s="503"/>
      <c r="K154" s="496"/>
      <c r="L154" s="496"/>
      <c r="M154" s="503"/>
      <c r="N154" s="15"/>
      <c r="O154" s="15"/>
      <c r="P154" s="15"/>
      <c r="Q154" s="15"/>
      <c r="R154" s="15"/>
      <c r="S154" s="15"/>
      <c r="T154" s="15"/>
      <c r="U154" s="15"/>
      <c r="V154" s="15"/>
      <c r="W154" s="15"/>
      <c r="X154" s="15"/>
      <c r="Y154" s="15"/>
      <c r="Z154" s="15"/>
    </row>
    <row r="155" ht="12.75" customHeight="1">
      <c r="A155" s="503"/>
      <c r="B155" s="503"/>
      <c r="C155" s="503"/>
      <c r="D155" s="503"/>
      <c r="E155" s="496"/>
      <c r="F155" s="496"/>
      <c r="G155" s="503"/>
      <c r="H155" s="496"/>
      <c r="I155" s="496"/>
      <c r="J155" s="503"/>
      <c r="K155" s="496"/>
      <c r="L155" s="496"/>
      <c r="M155" s="503"/>
      <c r="N155" s="15"/>
      <c r="O155" s="15"/>
      <c r="P155" s="15"/>
      <c r="Q155" s="15"/>
      <c r="R155" s="15"/>
      <c r="S155" s="15"/>
      <c r="T155" s="15"/>
      <c r="U155" s="15"/>
      <c r="V155" s="15"/>
      <c r="W155" s="15"/>
      <c r="X155" s="15"/>
      <c r="Y155" s="15"/>
      <c r="Z155" s="15"/>
    </row>
    <row r="156" ht="12.75" customHeight="1">
      <c r="A156" s="503"/>
      <c r="B156" s="503"/>
      <c r="C156" s="503"/>
      <c r="D156" s="503"/>
      <c r="E156" s="496"/>
      <c r="F156" s="496"/>
      <c r="G156" s="503"/>
      <c r="H156" s="496"/>
      <c r="I156" s="496"/>
      <c r="J156" s="503"/>
      <c r="K156" s="496"/>
      <c r="L156" s="496"/>
      <c r="M156" s="503"/>
      <c r="N156" s="15"/>
      <c r="O156" s="15"/>
      <c r="P156" s="15"/>
      <c r="Q156" s="15"/>
      <c r="R156" s="15"/>
      <c r="S156" s="15"/>
      <c r="T156" s="15"/>
      <c r="U156" s="15"/>
      <c r="V156" s="15"/>
      <c r="W156" s="15"/>
      <c r="X156" s="15"/>
      <c r="Y156" s="15"/>
      <c r="Z156" s="15"/>
    </row>
    <row r="157" ht="12.75" customHeight="1">
      <c r="A157" s="503"/>
      <c r="B157" s="503"/>
      <c r="C157" s="503"/>
      <c r="D157" s="503"/>
      <c r="E157" s="496"/>
      <c r="F157" s="496"/>
      <c r="G157" s="503"/>
      <c r="H157" s="496"/>
      <c r="I157" s="496"/>
      <c r="J157" s="503"/>
      <c r="K157" s="496"/>
      <c r="L157" s="496"/>
      <c r="M157" s="503"/>
      <c r="N157" s="15"/>
      <c r="O157" s="15"/>
      <c r="P157" s="15"/>
      <c r="Q157" s="15"/>
      <c r="R157" s="15"/>
      <c r="S157" s="15"/>
      <c r="T157" s="15"/>
      <c r="U157" s="15"/>
      <c r="V157" s="15"/>
      <c r="W157" s="15"/>
      <c r="X157" s="15"/>
      <c r="Y157" s="15"/>
      <c r="Z157" s="15"/>
    </row>
    <row r="158" ht="12.75" customHeight="1">
      <c r="A158" s="503"/>
      <c r="B158" s="503"/>
      <c r="C158" s="503"/>
      <c r="D158" s="503"/>
      <c r="E158" s="496"/>
      <c r="F158" s="496"/>
      <c r="G158" s="503"/>
      <c r="H158" s="496"/>
      <c r="I158" s="496"/>
      <c r="J158" s="503"/>
      <c r="K158" s="496"/>
      <c r="L158" s="496"/>
      <c r="M158" s="503"/>
      <c r="N158" s="15"/>
      <c r="O158" s="15"/>
      <c r="P158" s="15"/>
      <c r="Q158" s="15"/>
      <c r="R158" s="15"/>
      <c r="S158" s="15"/>
      <c r="T158" s="15"/>
      <c r="U158" s="15"/>
      <c r="V158" s="15"/>
      <c r="W158" s="15"/>
      <c r="X158" s="15"/>
      <c r="Y158" s="15"/>
      <c r="Z158" s="15"/>
    </row>
    <row r="159" ht="12.75" customHeight="1">
      <c r="A159" s="503"/>
      <c r="B159" s="503"/>
      <c r="C159" s="503"/>
      <c r="D159" s="503"/>
      <c r="E159" s="496"/>
      <c r="F159" s="496"/>
      <c r="G159" s="503"/>
      <c r="H159" s="496"/>
      <c r="I159" s="496"/>
      <c r="J159" s="503"/>
      <c r="K159" s="496"/>
      <c r="L159" s="496"/>
      <c r="M159" s="503"/>
      <c r="N159" s="15"/>
      <c r="O159" s="15"/>
      <c r="P159" s="15"/>
      <c r="Q159" s="15"/>
      <c r="R159" s="15"/>
      <c r="S159" s="15"/>
      <c r="T159" s="15"/>
      <c r="U159" s="15"/>
      <c r="V159" s="15"/>
      <c r="W159" s="15"/>
      <c r="X159" s="15"/>
      <c r="Y159" s="15"/>
      <c r="Z159" s="15"/>
    </row>
    <row r="160" ht="12.75" customHeight="1">
      <c r="A160" s="503"/>
      <c r="B160" s="503"/>
      <c r="C160" s="503"/>
      <c r="D160" s="503"/>
      <c r="E160" s="496"/>
      <c r="F160" s="496"/>
      <c r="G160" s="503"/>
      <c r="H160" s="496"/>
      <c r="I160" s="496"/>
      <c r="J160" s="503"/>
      <c r="K160" s="496"/>
      <c r="L160" s="496"/>
      <c r="M160" s="503"/>
      <c r="N160" s="15"/>
      <c r="O160" s="15"/>
      <c r="P160" s="15"/>
      <c r="Q160" s="15"/>
      <c r="R160" s="15"/>
      <c r="S160" s="15"/>
      <c r="T160" s="15"/>
      <c r="U160" s="15"/>
      <c r="V160" s="15"/>
      <c r="W160" s="15"/>
      <c r="X160" s="15"/>
      <c r="Y160" s="15"/>
      <c r="Z160" s="15"/>
    </row>
    <row r="161" ht="12.75" customHeight="1">
      <c r="A161" s="503"/>
      <c r="B161" s="503"/>
      <c r="C161" s="503"/>
      <c r="D161" s="503"/>
      <c r="E161" s="496"/>
      <c r="F161" s="496"/>
      <c r="G161" s="503"/>
      <c r="H161" s="496"/>
      <c r="I161" s="496"/>
      <c r="J161" s="503"/>
      <c r="K161" s="496"/>
      <c r="L161" s="496"/>
      <c r="M161" s="503"/>
      <c r="N161" s="15"/>
      <c r="O161" s="15"/>
      <c r="P161" s="15"/>
      <c r="Q161" s="15"/>
      <c r="R161" s="15"/>
      <c r="S161" s="15"/>
      <c r="T161" s="15"/>
      <c r="U161" s="15"/>
      <c r="V161" s="15"/>
      <c r="W161" s="15"/>
      <c r="X161" s="15"/>
      <c r="Y161" s="15"/>
      <c r="Z161" s="15"/>
    </row>
    <row r="162" ht="12.75" customHeight="1">
      <c r="A162" s="503"/>
      <c r="B162" s="503"/>
      <c r="C162" s="503"/>
      <c r="D162" s="503"/>
      <c r="E162" s="496"/>
      <c r="F162" s="496"/>
      <c r="G162" s="503"/>
      <c r="H162" s="496"/>
      <c r="I162" s="496"/>
      <c r="J162" s="503"/>
      <c r="K162" s="496"/>
      <c r="L162" s="496"/>
      <c r="M162" s="503"/>
      <c r="N162" s="15"/>
      <c r="O162" s="15"/>
      <c r="P162" s="15"/>
      <c r="Q162" s="15"/>
      <c r="R162" s="15"/>
      <c r="S162" s="15"/>
      <c r="T162" s="15"/>
      <c r="U162" s="15"/>
      <c r="V162" s="15"/>
      <c r="W162" s="15"/>
      <c r="X162" s="15"/>
      <c r="Y162" s="15"/>
      <c r="Z162" s="15"/>
    </row>
    <row r="163" ht="12.75" customHeight="1">
      <c r="A163" s="503"/>
      <c r="B163" s="503"/>
      <c r="C163" s="503"/>
      <c r="D163" s="503"/>
      <c r="E163" s="496"/>
      <c r="F163" s="496"/>
      <c r="G163" s="503"/>
      <c r="H163" s="496"/>
      <c r="I163" s="496"/>
      <c r="J163" s="503"/>
      <c r="K163" s="496"/>
      <c r="L163" s="496"/>
      <c r="M163" s="503"/>
      <c r="N163" s="15"/>
      <c r="O163" s="15"/>
      <c r="P163" s="15"/>
      <c r="Q163" s="15"/>
      <c r="R163" s="15"/>
      <c r="S163" s="15"/>
      <c r="T163" s="15"/>
      <c r="U163" s="15"/>
      <c r="V163" s="15"/>
      <c r="W163" s="15"/>
      <c r="X163" s="15"/>
      <c r="Y163" s="15"/>
      <c r="Z163" s="15"/>
    </row>
    <row r="164" ht="12.75" customHeight="1">
      <c r="A164" s="503"/>
      <c r="B164" s="503"/>
      <c r="C164" s="503"/>
      <c r="D164" s="503"/>
      <c r="E164" s="496"/>
      <c r="F164" s="496"/>
      <c r="G164" s="503"/>
      <c r="H164" s="496"/>
      <c r="I164" s="496"/>
      <c r="J164" s="503"/>
      <c r="K164" s="496"/>
      <c r="L164" s="496"/>
      <c r="M164" s="503"/>
      <c r="N164" s="15"/>
      <c r="O164" s="15"/>
      <c r="P164" s="15"/>
      <c r="Q164" s="15"/>
      <c r="R164" s="15"/>
      <c r="S164" s="15"/>
      <c r="T164" s="15"/>
      <c r="U164" s="15"/>
      <c r="V164" s="15"/>
      <c r="W164" s="15"/>
      <c r="X164" s="15"/>
      <c r="Y164" s="15"/>
      <c r="Z164" s="15"/>
    </row>
    <row r="165" ht="12.75" customHeight="1">
      <c r="A165" s="503"/>
      <c r="B165" s="503"/>
      <c r="C165" s="503"/>
      <c r="D165" s="503"/>
      <c r="E165" s="496"/>
      <c r="F165" s="496"/>
      <c r="G165" s="503"/>
      <c r="H165" s="496"/>
      <c r="I165" s="496"/>
      <c r="J165" s="503"/>
      <c r="K165" s="496"/>
      <c r="L165" s="496"/>
      <c r="M165" s="503"/>
      <c r="N165" s="15"/>
      <c r="O165" s="15"/>
      <c r="P165" s="15"/>
      <c r="Q165" s="15"/>
      <c r="R165" s="15"/>
      <c r="S165" s="15"/>
      <c r="T165" s="15"/>
      <c r="U165" s="15"/>
      <c r="V165" s="15"/>
      <c r="W165" s="15"/>
      <c r="X165" s="15"/>
      <c r="Y165" s="15"/>
      <c r="Z165" s="15"/>
    </row>
    <row r="166" ht="12.75" customHeight="1">
      <c r="A166" s="503"/>
      <c r="B166" s="503"/>
      <c r="C166" s="503"/>
      <c r="D166" s="503"/>
      <c r="E166" s="496"/>
      <c r="F166" s="496"/>
      <c r="G166" s="503"/>
      <c r="H166" s="496"/>
      <c r="I166" s="496"/>
      <c r="J166" s="503"/>
      <c r="K166" s="496"/>
      <c r="L166" s="496"/>
      <c r="M166" s="503"/>
      <c r="N166" s="15"/>
      <c r="O166" s="15"/>
      <c r="P166" s="15"/>
      <c r="Q166" s="15"/>
      <c r="R166" s="15"/>
      <c r="S166" s="15"/>
      <c r="T166" s="15"/>
      <c r="U166" s="15"/>
      <c r="V166" s="15"/>
      <c r="W166" s="15"/>
      <c r="X166" s="15"/>
      <c r="Y166" s="15"/>
      <c r="Z166" s="15"/>
    </row>
    <row r="167" ht="12.75" customHeight="1">
      <c r="A167" s="503"/>
      <c r="B167" s="503"/>
      <c r="C167" s="503"/>
      <c r="D167" s="503"/>
      <c r="E167" s="496"/>
      <c r="F167" s="496"/>
      <c r="G167" s="503"/>
      <c r="H167" s="496"/>
      <c r="I167" s="496"/>
      <c r="J167" s="503"/>
      <c r="K167" s="496"/>
      <c r="L167" s="496"/>
      <c r="M167" s="503"/>
      <c r="N167" s="15"/>
      <c r="O167" s="15"/>
      <c r="P167" s="15"/>
      <c r="Q167" s="15"/>
      <c r="R167" s="15"/>
      <c r="S167" s="15"/>
      <c r="T167" s="15"/>
      <c r="U167" s="15"/>
      <c r="V167" s="15"/>
      <c r="W167" s="15"/>
      <c r="X167" s="15"/>
      <c r="Y167" s="15"/>
      <c r="Z167" s="15"/>
    </row>
    <row r="168" ht="12.75" customHeight="1">
      <c r="A168" s="503"/>
      <c r="B168" s="503"/>
      <c r="C168" s="503"/>
      <c r="D168" s="503"/>
      <c r="E168" s="496"/>
      <c r="F168" s="496"/>
      <c r="G168" s="503"/>
      <c r="H168" s="496"/>
      <c r="I168" s="496"/>
      <c r="J168" s="503"/>
      <c r="K168" s="496"/>
      <c r="L168" s="496"/>
      <c r="M168" s="503"/>
      <c r="N168" s="15"/>
      <c r="O168" s="15"/>
      <c r="P168" s="15"/>
      <c r="Q168" s="15"/>
      <c r="R168" s="15"/>
      <c r="S168" s="15"/>
      <c r="T168" s="15"/>
      <c r="U168" s="15"/>
      <c r="V168" s="15"/>
      <c r="W168" s="15"/>
      <c r="X168" s="15"/>
      <c r="Y168" s="15"/>
      <c r="Z168" s="15"/>
    </row>
    <row r="169" ht="12.75" customHeight="1">
      <c r="A169" s="503"/>
      <c r="B169" s="503"/>
      <c r="C169" s="503"/>
      <c r="D169" s="503"/>
      <c r="E169" s="496"/>
      <c r="F169" s="496"/>
      <c r="G169" s="503"/>
      <c r="H169" s="496"/>
      <c r="I169" s="496"/>
      <c r="J169" s="503"/>
      <c r="K169" s="496"/>
      <c r="L169" s="496"/>
      <c r="M169" s="503"/>
      <c r="N169" s="15"/>
      <c r="O169" s="15"/>
      <c r="P169" s="15"/>
      <c r="Q169" s="15"/>
      <c r="R169" s="15"/>
      <c r="S169" s="15"/>
      <c r="T169" s="15"/>
      <c r="U169" s="15"/>
      <c r="V169" s="15"/>
      <c r="W169" s="15"/>
      <c r="X169" s="15"/>
      <c r="Y169" s="15"/>
      <c r="Z169" s="15"/>
    </row>
    <row r="170" ht="12.75" customHeight="1">
      <c r="A170" s="503"/>
      <c r="B170" s="503"/>
      <c r="C170" s="503"/>
      <c r="D170" s="503"/>
      <c r="E170" s="496"/>
      <c r="F170" s="496"/>
      <c r="G170" s="503"/>
      <c r="H170" s="496"/>
      <c r="I170" s="496"/>
      <c r="J170" s="503"/>
      <c r="K170" s="496"/>
      <c r="L170" s="496"/>
      <c r="M170" s="503"/>
      <c r="N170" s="15"/>
      <c r="O170" s="15"/>
      <c r="P170" s="15"/>
      <c r="Q170" s="15"/>
      <c r="R170" s="15"/>
      <c r="S170" s="15"/>
      <c r="T170" s="15"/>
      <c r="U170" s="15"/>
      <c r="V170" s="15"/>
      <c r="W170" s="15"/>
      <c r="X170" s="15"/>
      <c r="Y170" s="15"/>
      <c r="Z170" s="15"/>
    </row>
    <row r="171" ht="12.75" customHeight="1">
      <c r="A171" s="503"/>
      <c r="B171" s="503"/>
      <c r="C171" s="503"/>
      <c r="D171" s="503"/>
      <c r="E171" s="496"/>
      <c r="F171" s="496"/>
      <c r="G171" s="503"/>
      <c r="H171" s="496"/>
      <c r="I171" s="496"/>
      <c r="J171" s="503"/>
      <c r="K171" s="496"/>
      <c r="L171" s="496"/>
      <c r="M171" s="503"/>
      <c r="N171" s="15"/>
      <c r="O171" s="15"/>
      <c r="P171" s="15"/>
      <c r="Q171" s="15"/>
      <c r="R171" s="15"/>
      <c r="S171" s="15"/>
      <c r="T171" s="15"/>
      <c r="U171" s="15"/>
      <c r="V171" s="15"/>
      <c r="W171" s="15"/>
      <c r="X171" s="15"/>
      <c r="Y171" s="15"/>
      <c r="Z171" s="15"/>
    </row>
    <row r="172" ht="12.75" customHeight="1">
      <c r="A172" s="503"/>
      <c r="B172" s="503"/>
      <c r="C172" s="503"/>
      <c r="D172" s="503"/>
      <c r="E172" s="496"/>
      <c r="F172" s="496"/>
      <c r="G172" s="503"/>
      <c r="H172" s="496"/>
      <c r="I172" s="496"/>
      <c r="J172" s="503"/>
      <c r="K172" s="496"/>
      <c r="L172" s="496"/>
      <c r="M172" s="503"/>
      <c r="N172" s="15"/>
      <c r="O172" s="15"/>
      <c r="P172" s="15"/>
      <c r="Q172" s="15"/>
      <c r="R172" s="15"/>
      <c r="S172" s="15"/>
      <c r="T172" s="15"/>
      <c r="U172" s="15"/>
      <c r="V172" s="15"/>
      <c r="W172" s="15"/>
      <c r="X172" s="15"/>
      <c r="Y172" s="15"/>
      <c r="Z172" s="15"/>
    </row>
    <row r="173" ht="12.75" customHeight="1">
      <c r="A173" s="503"/>
      <c r="B173" s="503"/>
      <c r="C173" s="503"/>
      <c r="D173" s="503"/>
      <c r="E173" s="496"/>
      <c r="F173" s="496"/>
      <c r="G173" s="503"/>
      <c r="H173" s="496"/>
      <c r="I173" s="496"/>
      <c r="J173" s="503"/>
      <c r="K173" s="496"/>
      <c r="L173" s="496"/>
      <c r="M173" s="503"/>
      <c r="N173" s="15"/>
      <c r="O173" s="15"/>
      <c r="P173" s="15"/>
      <c r="Q173" s="15"/>
      <c r="R173" s="15"/>
      <c r="S173" s="15"/>
      <c r="T173" s="15"/>
      <c r="U173" s="15"/>
      <c r="V173" s="15"/>
      <c r="W173" s="15"/>
      <c r="X173" s="15"/>
      <c r="Y173" s="15"/>
      <c r="Z173" s="15"/>
    </row>
    <row r="174" ht="12.75" customHeight="1">
      <c r="A174" s="503"/>
      <c r="B174" s="503"/>
      <c r="C174" s="503"/>
      <c r="D174" s="503"/>
      <c r="E174" s="496"/>
      <c r="F174" s="496"/>
      <c r="G174" s="503"/>
      <c r="H174" s="496"/>
      <c r="I174" s="496"/>
      <c r="J174" s="503"/>
      <c r="K174" s="496"/>
      <c r="L174" s="496"/>
      <c r="M174" s="503"/>
      <c r="N174" s="15"/>
      <c r="O174" s="15"/>
      <c r="P174" s="15"/>
      <c r="Q174" s="15"/>
      <c r="R174" s="15"/>
      <c r="S174" s="15"/>
      <c r="T174" s="15"/>
      <c r="U174" s="15"/>
      <c r="V174" s="15"/>
      <c r="W174" s="15"/>
      <c r="X174" s="15"/>
      <c r="Y174" s="15"/>
      <c r="Z174" s="15"/>
    </row>
    <row r="175" ht="12.75" customHeight="1">
      <c r="A175" s="503"/>
      <c r="B175" s="503"/>
      <c r="C175" s="503"/>
      <c r="D175" s="503"/>
      <c r="E175" s="496"/>
      <c r="F175" s="496"/>
      <c r="G175" s="503"/>
      <c r="H175" s="496"/>
      <c r="I175" s="496"/>
      <c r="J175" s="503"/>
      <c r="K175" s="496"/>
      <c r="L175" s="496"/>
      <c r="M175" s="503"/>
      <c r="N175" s="15"/>
      <c r="O175" s="15"/>
      <c r="P175" s="15"/>
      <c r="Q175" s="15"/>
      <c r="R175" s="15"/>
      <c r="S175" s="15"/>
      <c r="T175" s="15"/>
      <c r="U175" s="15"/>
      <c r="V175" s="15"/>
      <c r="W175" s="15"/>
      <c r="X175" s="15"/>
      <c r="Y175" s="15"/>
      <c r="Z175" s="15"/>
    </row>
    <row r="176" ht="12.75" customHeight="1">
      <c r="A176" s="503"/>
      <c r="B176" s="503"/>
      <c r="C176" s="503"/>
      <c r="D176" s="503"/>
      <c r="E176" s="496"/>
      <c r="F176" s="496"/>
      <c r="G176" s="503"/>
      <c r="H176" s="496"/>
      <c r="I176" s="496"/>
      <c r="J176" s="503"/>
      <c r="K176" s="496"/>
      <c r="L176" s="496"/>
      <c r="M176" s="503"/>
      <c r="N176" s="15"/>
      <c r="O176" s="15"/>
      <c r="P176" s="15"/>
      <c r="Q176" s="15"/>
      <c r="R176" s="15"/>
      <c r="S176" s="15"/>
      <c r="T176" s="15"/>
      <c r="U176" s="15"/>
      <c r="V176" s="15"/>
      <c r="W176" s="15"/>
      <c r="X176" s="15"/>
      <c r="Y176" s="15"/>
      <c r="Z176" s="15"/>
    </row>
    <row r="177" ht="12.75" customHeight="1">
      <c r="A177" s="503"/>
      <c r="B177" s="503"/>
      <c r="C177" s="503"/>
      <c r="D177" s="503"/>
      <c r="E177" s="496"/>
      <c r="F177" s="496"/>
      <c r="G177" s="503"/>
      <c r="H177" s="496"/>
      <c r="I177" s="496"/>
      <c r="J177" s="503"/>
      <c r="K177" s="496"/>
      <c r="L177" s="496"/>
      <c r="M177" s="503"/>
      <c r="N177" s="15"/>
      <c r="O177" s="15"/>
      <c r="P177" s="15"/>
      <c r="Q177" s="15"/>
      <c r="R177" s="15"/>
      <c r="S177" s="15"/>
      <c r="T177" s="15"/>
      <c r="U177" s="15"/>
      <c r="V177" s="15"/>
      <c r="W177" s="15"/>
      <c r="X177" s="15"/>
      <c r="Y177" s="15"/>
      <c r="Z177" s="15"/>
    </row>
    <row r="178" ht="12.75" customHeight="1">
      <c r="A178" s="503"/>
      <c r="B178" s="503"/>
      <c r="C178" s="503"/>
      <c r="D178" s="503"/>
      <c r="E178" s="496"/>
      <c r="F178" s="496"/>
      <c r="G178" s="503"/>
      <c r="H178" s="496"/>
      <c r="I178" s="496"/>
      <c r="J178" s="503"/>
      <c r="K178" s="496"/>
      <c r="L178" s="496"/>
      <c r="M178" s="503"/>
      <c r="N178" s="15"/>
      <c r="O178" s="15"/>
      <c r="P178" s="15"/>
      <c r="Q178" s="15"/>
      <c r="R178" s="15"/>
      <c r="S178" s="15"/>
      <c r="T178" s="15"/>
      <c r="U178" s="15"/>
      <c r="V178" s="15"/>
      <c r="W178" s="15"/>
      <c r="X178" s="15"/>
      <c r="Y178" s="15"/>
      <c r="Z178" s="15"/>
    </row>
    <row r="179" ht="12.75" customHeight="1">
      <c r="A179" s="503"/>
      <c r="B179" s="503"/>
      <c r="C179" s="503"/>
      <c r="D179" s="503"/>
      <c r="E179" s="496"/>
      <c r="F179" s="496"/>
      <c r="G179" s="503"/>
      <c r="H179" s="496"/>
      <c r="I179" s="496"/>
      <c r="J179" s="503"/>
      <c r="K179" s="496"/>
      <c r="L179" s="496"/>
      <c r="M179" s="503"/>
      <c r="N179" s="15"/>
      <c r="O179" s="15"/>
      <c r="P179" s="15"/>
      <c r="Q179" s="15"/>
      <c r="R179" s="15"/>
      <c r="S179" s="15"/>
      <c r="T179" s="15"/>
      <c r="U179" s="15"/>
      <c r="V179" s="15"/>
      <c r="W179" s="15"/>
      <c r="X179" s="15"/>
      <c r="Y179" s="15"/>
      <c r="Z179" s="15"/>
    </row>
    <row r="180" ht="12.75" customHeight="1">
      <c r="A180" s="503"/>
      <c r="B180" s="503"/>
      <c r="C180" s="503"/>
      <c r="D180" s="503"/>
      <c r="E180" s="496"/>
      <c r="F180" s="496"/>
      <c r="G180" s="503"/>
      <c r="H180" s="496"/>
      <c r="I180" s="496"/>
      <c r="J180" s="503"/>
      <c r="K180" s="496"/>
      <c r="L180" s="496"/>
      <c r="M180" s="503"/>
      <c r="N180" s="15"/>
      <c r="O180" s="15"/>
      <c r="P180" s="15"/>
      <c r="Q180" s="15"/>
      <c r="R180" s="15"/>
      <c r="S180" s="15"/>
      <c r="T180" s="15"/>
      <c r="U180" s="15"/>
      <c r="V180" s="15"/>
      <c r="W180" s="15"/>
      <c r="X180" s="15"/>
      <c r="Y180" s="15"/>
      <c r="Z180" s="15"/>
    </row>
    <row r="181" ht="12.75" customHeight="1">
      <c r="A181" s="503"/>
      <c r="B181" s="503"/>
      <c r="C181" s="503"/>
      <c r="D181" s="503"/>
      <c r="E181" s="496"/>
      <c r="F181" s="496"/>
      <c r="G181" s="503"/>
      <c r="H181" s="496"/>
      <c r="I181" s="496"/>
      <c r="J181" s="503"/>
      <c r="K181" s="496"/>
      <c r="L181" s="496"/>
      <c r="M181" s="503"/>
      <c r="N181" s="15"/>
      <c r="O181" s="15"/>
      <c r="P181" s="15"/>
      <c r="Q181" s="15"/>
      <c r="R181" s="15"/>
      <c r="S181" s="15"/>
      <c r="T181" s="15"/>
      <c r="U181" s="15"/>
      <c r="V181" s="15"/>
      <c r="W181" s="15"/>
      <c r="X181" s="15"/>
      <c r="Y181" s="15"/>
      <c r="Z181" s="15"/>
    </row>
    <row r="182" ht="12.75" customHeight="1">
      <c r="A182" s="503"/>
      <c r="B182" s="503"/>
      <c r="C182" s="503"/>
      <c r="D182" s="503"/>
      <c r="E182" s="496"/>
      <c r="F182" s="496"/>
      <c r="G182" s="503"/>
      <c r="H182" s="496"/>
      <c r="I182" s="496"/>
      <c r="J182" s="503"/>
      <c r="K182" s="496"/>
      <c r="L182" s="496"/>
      <c r="M182" s="503"/>
      <c r="N182" s="15"/>
      <c r="O182" s="15"/>
      <c r="P182" s="15"/>
      <c r="Q182" s="15"/>
      <c r="R182" s="15"/>
      <c r="S182" s="15"/>
      <c r="T182" s="15"/>
      <c r="U182" s="15"/>
      <c r="V182" s="15"/>
      <c r="W182" s="15"/>
      <c r="X182" s="15"/>
      <c r="Y182" s="15"/>
      <c r="Z182" s="15"/>
    </row>
    <row r="183" ht="12.75" customHeight="1">
      <c r="A183" s="503"/>
      <c r="B183" s="503"/>
      <c r="C183" s="503"/>
      <c r="D183" s="503"/>
      <c r="E183" s="496"/>
      <c r="F183" s="496"/>
      <c r="G183" s="503"/>
      <c r="H183" s="496"/>
      <c r="I183" s="496"/>
      <c r="J183" s="503"/>
      <c r="K183" s="496"/>
      <c r="L183" s="496"/>
      <c r="M183" s="503"/>
      <c r="N183" s="15"/>
      <c r="O183" s="15"/>
      <c r="P183" s="15"/>
      <c r="Q183" s="15"/>
      <c r="R183" s="15"/>
      <c r="S183" s="15"/>
      <c r="T183" s="15"/>
      <c r="U183" s="15"/>
      <c r="V183" s="15"/>
      <c r="W183" s="15"/>
      <c r="X183" s="15"/>
      <c r="Y183" s="15"/>
      <c r="Z183" s="15"/>
    </row>
    <row r="184" ht="12.75" customHeight="1">
      <c r="A184" s="503"/>
      <c r="B184" s="503"/>
      <c r="C184" s="503"/>
      <c r="D184" s="503"/>
      <c r="E184" s="496"/>
      <c r="F184" s="496"/>
      <c r="G184" s="503"/>
      <c r="H184" s="496"/>
      <c r="I184" s="496"/>
      <c r="J184" s="503"/>
      <c r="K184" s="496"/>
      <c r="L184" s="496"/>
      <c r="M184" s="503"/>
      <c r="N184" s="15"/>
      <c r="O184" s="15"/>
      <c r="P184" s="15"/>
      <c r="Q184" s="15"/>
      <c r="R184" s="15"/>
      <c r="S184" s="15"/>
      <c r="T184" s="15"/>
      <c r="U184" s="15"/>
      <c r="V184" s="15"/>
      <c r="W184" s="15"/>
      <c r="X184" s="15"/>
      <c r="Y184" s="15"/>
      <c r="Z184" s="15"/>
    </row>
    <row r="185" ht="12.75" customHeight="1">
      <c r="A185" s="503"/>
      <c r="B185" s="503"/>
      <c r="C185" s="503"/>
      <c r="D185" s="503"/>
      <c r="E185" s="496"/>
      <c r="F185" s="496"/>
      <c r="G185" s="503"/>
      <c r="H185" s="496"/>
      <c r="I185" s="496"/>
      <c r="J185" s="503"/>
      <c r="K185" s="496"/>
      <c r="L185" s="496"/>
      <c r="M185" s="503"/>
      <c r="N185" s="15"/>
      <c r="O185" s="15"/>
      <c r="P185" s="15"/>
      <c r="Q185" s="15"/>
      <c r="R185" s="15"/>
      <c r="S185" s="15"/>
      <c r="T185" s="15"/>
      <c r="U185" s="15"/>
      <c r="V185" s="15"/>
      <c r="W185" s="15"/>
      <c r="X185" s="15"/>
      <c r="Y185" s="15"/>
      <c r="Z185" s="15"/>
    </row>
    <row r="186" ht="12.75" customHeight="1">
      <c r="A186" s="503"/>
      <c r="B186" s="503"/>
      <c r="C186" s="503"/>
      <c r="D186" s="503"/>
      <c r="E186" s="496"/>
      <c r="F186" s="496"/>
      <c r="G186" s="503"/>
      <c r="H186" s="496"/>
      <c r="I186" s="496"/>
      <c r="J186" s="503"/>
      <c r="K186" s="496"/>
      <c r="L186" s="496"/>
      <c r="M186" s="503"/>
      <c r="N186" s="15"/>
      <c r="O186" s="15"/>
      <c r="P186" s="15"/>
      <c r="Q186" s="15"/>
      <c r="R186" s="15"/>
      <c r="S186" s="15"/>
      <c r="T186" s="15"/>
      <c r="U186" s="15"/>
      <c r="V186" s="15"/>
      <c r="W186" s="15"/>
      <c r="X186" s="15"/>
      <c r="Y186" s="15"/>
      <c r="Z186" s="15"/>
    </row>
    <row r="187" ht="12.75" customHeight="1">
      <c r="A187" s="503"/>
      <c r="B187" s="503"/>
      <c r="C187" s="503"/>
      <c r="D187" s="503"/>
      <c r="E187" s="496"/>
      <c r="F187" s="496"/>
      <c r="G187" s="503"/>
      <c r="H187" s="496"/>
      <c r="I187" s="496"/>
      <c r="J187" s="503"/>
      <c r="K187" s="496"/>
      <c r="L187" s="496"/>
      <c r="M187" s="503"/>
      <c r="N187" s="15"/>
      <c r="O187" s="15"/>
      <c r="P187" s="15"/>
      <c r="Q187" s="15"/>
      <c r="R187" s="15"/>
      <c r="S187" s="15"/>
      <c r="T187" s="15"/>
      <c r="U187" s="15"/>
      <c r="V187" s="15"/>
      <c r="W187" s="15"/>
      <c r="X187" s="15"/>
      <c r="Y187" s="15"/>
      <c r="Z187" s="15"/>
    </row>
    <row r="188" ht="12.75" customHeight="1">
      <c r="A188" s="503"/>
      <c r="B188" s="503"/>
      <c r="C188" s="503"/>
      <c r="D188" s="503"/>
      <c r="E188" s="496"/>
      <c r="F188" s="496"/>
      <c r="G188" s="503"/>
      <c r="H188" s="496"/>
      <c r="I188" s="496"/>
      <c r="J188" s="503"/>
      <c r="K188" s="496"/>
      <c r="L188" s="496"/>
      <c r="M188" s="503"/>
      <c r="N188" s="15"/>
      <c r="O188" s="15"/>
      <c r="P188" s="15"/>
      <c r="Q188" s="15"/>
      <c r="R188" s="15"/>
      <c r="S188" s="15"/>
      <c r="T188" s="15"/>
      <c r="U188" s="15"/>
      <c r="V188" s="15"/>
      <c r="W188" s="15"/>
      <c r="X188" s="15"/>
      <c r="Y188" s="15"/>
      <c r="Z188" s="15"/>
    </row>
    <row r="189" ht="12.75" customHeight="1">
      <c r="A189" s="503"/>
      <c r="B189" s="503"/>
      <c r="C189" s="503"/>
      <c r="D189" s="503"/>
      <c r="E189" s="496"/>
      <c r="F189" s="496"/>
      <c r="G189" s="503"/>
      <c r="H189" s="496"/>
      <c r="I189" s="496"/>
      <c r="J189" s="503"/>
      <c r="K189" s="496"/>
      <c r="L189" s="496"/>
      <c r="M189" s="503"/>
      <c r="N189" s="15"/>
      <c r="O189" s="15"/>
      <c r="P189" s="15"/>
      <c r="Q189" s="15"/>
      <c r="R189" s="15"/>
      <c r="S189" s="15"/>
      <c r="T189" s="15"/>
      <c r="U189" s="15"/>
      <c r="V189" s="15"/>
      <c r="W189" s="15"/>
      <c r="X189" s="15"/>
      <c r="Y189" s="15"/>
      <c r="Z189" s="15"/>
    </row>
    <row r="190" ht="12.75" customHeight="1">
      <c r="A190" s="503"/>
      <c r="B190" s="503"/>
      <c r="C190" s="503"/>
      <c r="D190" s="503"/>
      <c r="E190" s="496"/>
      <c r="F190" s="496"/>
      <c r="G190" s="503"/>
      <c r="H190" s="496"/>
      <c r="I190" s="496"/>
      <c r="J190" s="503"/>
      <c r="K190" s="496"/>
      <c r="L190" s="496"/>
      <c r="M190" s="503"/>
      <c r="N190" s="15"/>
      <c r="O190" s="15"/>
      <c r="P190" s="15"/>
      <c r="Q190" s="15"/>
      <c r="R190" s="15"/>
      <c r="S190" s="15"/>
      <c r="T190" s="15"/>
      <c r="U190" s="15"/>
      <c r="V190" s="15"/>
      <c r="W190" s="15"/>
      <c r="X190" s="15"/>
      <c r="Y190" s="15"/>
      <c r="Z190" s="15"/>
    </row>
    <row r="191" ht="12.75" customHeight="1">
      <c r="A191" s="503"/>
      <c r="B191" s="503"/>
      <c r="C191" s="503"/>
      <c r="D191" s="503"/>
      <c r="E191" s="496"/>
      <c r="F191" s="496"/>
      <c r="G191" s="503"/>
      <c r="H191" s="496"/>
      <c r="I191" s="496"/>
      <c r="J191" s="503"/>
      <c r="K191" s="496"/>
      <c r="L191" s="496"/>
      <c r="M191" s="503"/>
      <c r="N191" s="15"/>
      <c r="O191" s="15"/>
      <c r="P191" s="15"/>
      <c r="Q191" s="15"/>
      <c r="R191" s="15"/>
      <c r="S191" s="15"/>
      <c r="T191" s="15"/>
      <c r="U191" s="15"/>
      <c r="V191" s="15"/>
      <c r="W191" s="15"/>
      <c r="X191" s="15"/>
      <c r="Y191" s="15"/>
      <c r="Z191" s="15"/>
    </row>
    <row r="192" ht="12.75" customHeight="1">
      <c r="A192" s="503"/>
      <c r="B192" s="503"/>
      <c r="C192" s="503"/>
      <c r="D192" s="503"/>
      <c r="E192" s="496"/>
      <c r="F192" s="496"/>
      <c r="G192" s="503"/>
      <c r="H192" s="496"/>
      <c r="I192" s="496"/>
      <c r="J192" s="503"/>
      <c r="K192" s="496"/>
      <c r="L192" s="496"/>
      <c r="M192" s="503"/>
      <c r="N192" s="15"/>
      <c r="O192" s="15"/>
      <c r="P192" s="15"/>
      <c r="Q192" s="15"/>
      <c r="R192" s="15"/>
      <c r="S192" s="15"/>
      <c r="T192" s="15"/>
      <c r="U192" s="15"/>
      <c r="V192" s="15"/>
      <c r="W192" s="15"/>
      <c r="X192" s="15"/>
      <c r="Y192" s="15"/>
      <c r="Z192" s="15"/>
    </row>
    <row r="193" ht="12.75" customHeight="1">
      <c r="A193" s="503"/>
      <c r="B193" s="503"/>
      <c r="C193" s="503"/>
      <c r="D193" s="503"/>
      <c r="E193" s="496"/>
      <c r="F193" s="496"/>
      <c r="G193" s="503"/>
      <c r="H193" s="496"/>
      <c r="I193" s="496"/>
      <c r="J193" s="503"/>
      <c r="K193" s="496"/>
      <c r="L193" s="496"/>
      <c r="M193" s="503"/>
      <c r="N193" s="15"/>
      <c r="O193" s="15"/>
      <c r="P193" s="15"/>
      <c r="Q193" s="15"/>
      <c r="R193" s="15"/>
      <c r="S193" s="15"/>
      <c r="T193" s="15"/>
      <c r="U193" s="15"/>
      <c r="V193" s="15"/>
      <c r="W193" s="15"/>
      <c r="X193" s="15"/>
      <c r="Y193" s="15"/>
      <c r="Z193" s="15"/>
    </row>
    <row r="194" ht="12.75" customHeight="1">
      <c r="A194" s="503"/>
      <c r="B194" s="503"/>
      <c r="C194" s="503"/>
      <c r="D194" s="503"/>
      <c r="E194" s="496"/>
      <c r="F194" s="496"/>
      <c r="G194" s="503"/>
      <c r="H194" s="496"/>
      <c r="I194" s="496"/>
      <c r="J194" s="503"/>
      <c r="K194" s="496"/>
      <c r="L194" s="496"/>
      <c r="M194" s="503"/>
      <c r="N194" s="15"/>
      <c r="O194" s="15"/>
      <c r="P194" s="15"/>
      <c r="Q194" s="15"/>
      <c r="R194" s="15"/>
      <c r="S194" s="15"/>
      <c r="T194" s="15"/>
      <c r="U194" s="15"/>
      <c r="V194" s="15"/>
      <c r="W194" s="15"/>
      <c r="X194" s="15"/>
      <c r="Y194" s="15"/>
      <c r="Z194" s="15"/>
    </row>
    <row r="195" ht="12.75" customHeight="1">
      <c r="A195" s="503"/>
      <c r="B195" s="503"/>
      <c r="C195" s="503"/>
      <c r="D195" s="503"/>
      <c r="E195" s="496"/>
      <c r="F195" s="496"/>
      <c r="G195" s="503"/>
      <c r="H195" s="496"/>
      <c r="I195" s="496"/>
      <c r="J195" s="503"/>
      <c r="K195" s="496"/>
      <c r="L195" s="496"/>
      <c r="M195" s="503"/>
      <c r="N195" s="15"/>
      <c r="O195" s="15"/>
      <c r="P195" s="15"/>
      <c r="Q195" s="15"/>
      <c r="R195" s="15"/>
      <c r="S195" s="15"/>
      <c r="T195" s="15"/>
      <c r="U195" s="15"/>
      <c r="V195" s="15"/>
      <c r="W195" s="15"/>
      <c r="X195" s="15"/>
      <c r="Y195" s="15"/>
      <c r="Z195" s="15"/>
    </row>
    <row r="196" ht="12.75" customHeight="1">
      <c r="A196" s="503"/>
      <c r="B196" s="503"/>
      <c r="C196" s="503"/>
      <c r="D196" s="503"/>
      <c r="E196" s="496"/>
      <c r="F196" s="496"/>
      <c r="G196" s="503"/>
      <c r="H196" s="496"/>
      <c r="I196" s="496"/>
      <c r="J196" s="503"/>
      <c r="K196" s="496"/>
      <c r="L196" s="496"/>
      <c r="M196" s="503"/>
      <c r="N196" s="15"/>
      <c r="O196" s="15"/>
      <c r="P196" s="15"/>
      <c r="Q196" s="15"/>
      <c r="R196" s="15"/>
      <c r="S196" s="15"/>
      <c r="T196" s="15"/>
      <c r="U196" s="15"/>
      <c r="V196" s="15"/>
      <c r="W196" s="15"/>
      <c r="X196" s="15"/>
      <c r="Y196" s="15"/>
      <c r="Z196" s="15"/>
    </row>
    <row r="197" ht="12.75" customHeight="1">
      <c r="A197" s="503"/>
      <c r="B197" s="503"/>
      <c r="C197" s="503"/>
      <c r="D197" s="503"/>
      <c r="E197" s="496"/>
      <c r="F197" s="496"/>
      <c r="G197" s="503"/>
      <c r="H197" s="496"/>
      <c r="I197" s="496"/>
      <c r="J197" s="503"/>
      <c r="K197" s="496"/>
      <c r="L197" s="496"/>
      <c r="M197" s="503"/>
      <c r="N197" s="15"/>
      <c r="O197" s="15"/>
      <c r="P197" s="15"/>
      <c r="Q197" s="15"/>
      <c r="R197" s="15"/>
      <c r="S197" s="15"/>
      <c r="T197" s="15"/>
      <c r="U197" s="15"/>
      <c r="V197" s="15"/>
      <c r="W197" s="15"/>
      <c r="X197" s="15"/>
      <c r="Y197" s="15"/>
      <c r="Z197" s="15"/>
    </row>
    <row r="198" ht="12.75" customHeight="1">
      <c r="A198" s="503"/>
      <c r="B198" s="503"/>
      <c r="C198" s="503"/>
      <c r="D198" s="503"/>
      <c r="E198" s="496"/>
      <c r="F198" s="496"/>
      <c r="G198" s="503"/>
      <c r="H198" s="496"/>
      <c r="I198" s="496"/>
      <c r="J198" s="503"/>
      <c r="K198" s="496"/>
      <c r="L198" s="496"/>
      <c r="M198" s="503"/>
      <c r="N198" s="15"/>
      <c r="O198" s="15"/>
      <c r="P198" s="15"/>
      <c r="Q198" s="15"/>
      <c r="R198" s="15"/>
      <c r="S198" s="15"/>
      <c r="T198" s="15"/>
      <c r="U198" s="15"/>
      <c r="V198" s="15"/>
      <c r="W198" s="15"/>
      <c r="X198" s="15"/>
      <c r="Y198" s="15"/>
      <c r="Z198" s="15"/>
    </row>
    <row r="199" ht="12.75" customHeight="1">
      <c r="A199" s="503"/>
      <c r="B199" s="503"/>
      <c r="C199" s="503"/>
      <c r="D199" s="503"/>
      <c r="E199" s="496"/>
      <c r="F199" s="496"/>
      <c r="G199" s="503"/>
      <c r="H199" s="496"/>
      <c r="I199" s="496"/>
      <c r="J199" s="503"/>
      <c r="K199" s="496"/>
      <c r="L199" s="496"/>
      <c r="M199" s="503"/>
      <c r="N199" s="15"/>
      <c r="O199" s="15"/>
      <c r="P199" s="15"/>
      <c r="Q199" s="15"/>
      <c r="R199" s="15"/>
      <c r="S199" s="15"/>
      <c r="T199" s="15"/>
      <c r="U199" s="15"/>
      <c r="V199" s="15"/>
      <c r="W199" s="15"/>
      <c r="X199" s="15"/>
      <c r="Y199" s="15"/>
      <c r="Z199" s="15"/>
    </row>
    <row r="200" ht="12.75" customHeight="1">
      <c r="A200" s="503"/>
      <c r="B200" s="503"/>
      <c r="C200" s="503"/>
      <c r="D200" s="503"/>
      <c r="E200" s="496"/>
      <c r="F200" s="496"/>
      <c r="G200" s="503"/>
      <c r="H200" s="496"/>
      <c r="I200" s="496"/>
      <c r="J200" s="503"/>
      <c r="K200" s="496"/>
      <c r="L200" s="496"/>
      <c r="M200" s="503"/>
      <c r="N200" s="15"/>
      <c r="O200" s="15"/>
      <c r="P200" s="15"/>
      <c r="Q200" s="15"/>
      <c r="R200" s="15"/>
      <c r="S200" s="15"/>
      <c r="T200" s="15"/>
      <c r="U200" s="15"/>
      <c r="V200" s="15"/>
      <c r="W200" s="15"/>
      <c r="X200" s="15"/>
      <c r="Y200" s="15"/>
      <c r="Z200" s="15"/>
    </row>
    <row r="201" ht="12.75" customHeight="1">
      <c r="A201" s="503"/>
      <c r="B201" s="503"/>
      <c r="C201" s="503"/>
      <c r="D201" s="503"/>
      <c r="E201" s="496"/>
      <c r="F201" s="496"/>
      <c r="G201" s="503"/>
      <c r="H201" s="496"/>
      <c r="I201" s="496"/>
      <c r="J201" s="503"/>
      <c r="K201" s="496"/>
      <c r="L201" s="496"/>
      <c r="M201" s="503"/>
      <c r="N201" s="15"/>
      <c r="O201" s="15"/>
      <c r="P201" s="15"/>
      <c r="Q201" s="15"/>
      <c r="R201" s="15"/>
      <c r="S201" s="15"/>
      <c r="T201" s="15"/>
      <c r="U201" s="15"/>
      <c r="V201" s="15"/>
      <c r="W201" s="15"/>
      <c r="X201" s="15"/>
      <c r="Y201" s="15"/>
      <c r="Z201" s="15"/>
    </row>
    <row r="202" ht="12.75" customHeight="1">
      <c r="A202" s="503"/>
      <c r="B202" s="503"/>
      <c r="C202" s="503"/>
      <c r="D202" s="503"/>
      <c r="E202" s="496"/>
      <c r="F202" s="496"/>
      <c r="G202" s="503"/>
      <c r="H202" s="496"/>
      <c r="I202" s="496"/>
      <c r="J202" s="503"/>
      <c r="K202" s="496"/>
      <c r="L202" s="496"/>
      <c r="M202" s="503"/>
      <c r="N202" s="15"/>
      <c r="O202" s="15"/>
      <c r="P202" s="15"/>
      <c r="Q202" s="15"/>
      <c r="R202" s="15"/>
      <c r="S202" s="15"/>
      <c r="T202" s="15"/>
      <c r="U202" s="15"/>
      <c r="V202" s="15"/>
      <c r="W202" s="15"/>
      <c r="X202" s="15"/>
      <c r="Y202" s="15"/>
      <c r="Z202" s="15"/>
    </row>
    <row r="203" ht="12.75" customHeight="1">
      <c r="A203" s="503"/>
      <c r="B203" s="503"/>
      <c r="C203" s="503"/>
      <c r="D203" s="503"/>
      <c r="E203" s="496"/>
      <c r="F203" s="496"/>
      <c r="G203" s="503"/>
      <c r="H203" s="496"/>
      <c r="I203" s="496"/>
      <c r="J203" s="503"/>
      <c r="K203" s="496"/>
      <c r="L203" s="496"/>
      <c r="M203" s="503"/>
      <c r="N203" s="15"/>
      <c r="O203" s="15"/>
      <c r="P203" s="15"/>
      <c r="Q203" s="15"/>
      <c r="R203" s="15"/>
      <c r="S203" s="15"/>
      <c r="T203" s="15"/>
      <c r="U203" s="15"/>
      <c r="V203" s="15"/>
      <c r="W203" s="15"/>
      <c r="X203" s="15"/>
      <c r="Y203" s="15"/>
      <c r="Z203" s="15"/>
    </row>
    <row r="204" ht="12.75" customHeight="1">
      <c r="A204" s="503"/>
      <c r="B204" s="503"/>
      <c r="C204" s="503"/>
      <c r="D204" s="503"/>
      <c r="E204" s="496"/>
      <c r="F204" s="496"/>
      <c r="G204" s="503"/>
      <c r="H204" s="496"/>
      <c r="I204" s="496"/>
      <c r="J204" s="503"/>
      <c r="K204" s="496"/>
      <c r="L204" s="496"/>
      <c r="M204" s="503"/>
      <c r="N204" s="15"/>
      <c r="O204" s="15"/>
      <c r="P204" s="15"/>
      <c r="Q204" s="15"/>
      <c r="R204" s="15"/>
      <c r="S204" s="15"/>
      <c r="T204" s="15"/>
      <c r="U204" s="15"/>
      <c r="V204" s="15"/>
      <c r="W204" s="15"/>
      <c r="X204" s="15"/>
      <c r="Y204" s="15"/>
      <c r="Z204" s="15"/>
    </row>
    <row r="205" ht="12.75" customHeight="1">
      <c r="A205" s="503"/>
      <c r="B205" s="503"/>
      <c r="C205" s="503"/>
      <c r="D205" s="503"/>
      <c r="E205" s="496"/>
      <c r="F205" s="496"/>
      <c r="G205" s="503"/>
      <c r="H205" s="496"/>
      <c r="I205" s="496"/>
      <c r="J205" s="503"/>
      <c r="K205" s="496"/>
      <c r="L205" s="496"/>
      <c r="M205" s="503"/>
      <c r="N205" s="15"/>
      <c r="O205" s="15"/>
      <c r="P205" s="15"/>
      <c r="Q205" s="15"/>
      <c r="R205" s="15"/>
      <c r="S205" s="15"/>
      <c r="T205" s="15"/>
      <c r="U205" s="15"/>
      <c r="V205" s="15"/>
      <c r="W205" s="15"/>
      <c r="X205" s="15"/>
      <c r="Y205" s="15"/>
      <c r="Z205" s="15"/>
    </row>
    <row r="206" ht="12.75" customHeight="1">
      <c r="A206" s="503"/>
      <c r="B206" s="503"/>
      <c r="C206" s="503"/>
      <c r="D206" s="503"/>
      <c r="E206" s="496"/>
      <c r="F206" s="496"/>
      <c r="G206" s="503"/>
      <c r="H206" s="496"/>
      <c r="I206" s="496"/>
      <c r="J206" s="503"/>
      <c r="K206" s="496"/>
      <c r="L206" s="496"/>
      <c r="M206" s="503"/>
      <c r="N206" s="15"/>
      <c r="O206" s="15"/>
      <c r="P206" s="15"/>
      <c r="Q206" s="15"/>
      <c r="R206" s="15"/>
      <c r="S206" s="15"/>
      <c r="T206" s="15"/>
      <c r="U206" s="15"/>
      <c r="V206" s="15"/>
      <c r="W206" s="15"/>
      <c r="X206" s="15"/>
      <c r="Y206" s="15"/>
      <c r="Z206" s="15"/>
    </row>
    <row r="207" ht="12.75" customHeight="1">
      <c r="A207" s="503"/>
      <c r="B207" s="503"/>
      <c r="C207" s="503"/>
      <c r="D207" s="503"/>
      <c r="E207" s="496"/>
      <c r="F207" s="496"/>
      <c r="G207" s="503"/>
      <c r="H207" s="496"/>
      <c r="I207" s="496"/>
      <c r="J207" s="503"/>
      <c r="K207" s="496"/>
      <c r="L207" s="496"/>
      <c r="M207" s="503"/>
      <c r="N207" s="15"/>
      <c r="O207" s="15"/>
      <c r="P207" s="15"/>
      <c r="Q207" s="15"/>
      <c r="R207" s="15"/>
      <c r="S207" s="15"/>
      <c r="T207" s="15"/>
      <c r="U207" s="15"/>
      <c r="V207" s="15"/>
      <c r="W207" s="15"/>
      <c r="X207" s="15"/>
      <c r="Y207" s="15"/>
      <c r="Z207" s="15"/>
    </row>
    <row r="208" ht="12.75" customHeight="1">
      <c r="A208" s="503"/>
      <c r="B208" s="503"/>
      <c r="C208" s="503"/>
      <c r="D208" s="503"/>
      <c r="E208" s="496"/>
      <c r="F208" s="496"/>
      <c r="G208" s="503"/>
      <c r="H208" s="496"/>
      <c r="I208" s="496"/>
      <c r="J208" s="503"/>
      <c r="K208" s="496"/>
      <c r="L208" s="496"/>
      <c r="M208" s="503"/>
      <c r="N208" s="15"/>
      <c r="O208" s="15"/>
      <c r="P208" s="15"/>
      <c r="Q208" s="15"/>
      <c r="R208" s="15"/>
      <c r="S208" s="15"/>
      <c r="T208" s="15"/>
      <c r="U208" s="15"/>
      <c r="V208" s="15"/>
      <c r="W208" s="15"/>
      <c r="X208" s="15"/>
      <c r="Y208" s="15"/>
      <c r="Z208" s="15"/>
    </row>
    <row r="209" ht="12.75" customHeight="1">
      <c r="A209" s="503"/>
      <c r="B209" s="503"/>
      <c r="C209" s="503"/>
      <c r="D209" s="503"/>
      <c r="E209" s="496"/>
      <c r="F209" s="496"/>
      <c r="G209" s="503"/>
      <c r="H209" s="496"/>
      <c r="I209" s="496"/>
      <c r="J209" s="503"/>
      <c r="K209" s="496"/>
      <c r="L209" s="496"/>
      <c r="M209" s="503"/>
      <c r="N209" s="15"/>
      <c r="O209" s="15"/>
      <c r="P209" s="15"/>
      <c r="Q209" s="15"/>
      <c r="R209" s="15"/>
      <c r="S209" s="15"/>
      <c r="T209" s="15"/>
      <c r="U209" s="15"/>
      <c r="V209" s="15"/>
      <c r="W209" s="15"/>
      <c r="X209" s="15"/>
      <c r="Y209" s="15"/>
      <c r="Z209" s="15"/>
    </row>
    <row r="210" ht="12.75" customHeight="1">
      <c r="A210" s="503"/>
      <c r="B210" s="503"/>
      <c r="C210" s="503"/>
      <c r="D210" s="503"/>
      <c r="E210" s="496"/>
      <c r="F210" s="496"/>
      <c r="G210" s="503"/>
      <c r="H210" s="496"/>
      <c r="I210" s="496"/>
      <c r="J210" s="503"/>
      <c r="K210" s="496"/>
      <c r="L210" s="496"/>
      <c r="M210" s="503"/>
      <c r="N210" s="15"/>
      <c r="O210" s="15"/>
      <c r="P210" s="15"/>
      <c r="Q210" s="15"/>
      <c r="R210" s="15"/>
      <c r="S210" s="15"/>
      <c r="T210" s="15"/>
      <c r="U210" s="15"/>
      <c r="V210" s="15"/>
      <c r="W210" s="15"/>
      <c r="X210" s="15"/>
      <c r="Y210" s="15"/>
      <c r="Z210" s="15"/>
    </row>
    <row r="211" ht="12.75" customHeight="1">
      <c r="A211" s="503"/>
      <c r="B211" s="503"/>
      <c r="C211" s="503"/>
      <c r="D211" s="503"/>
      <c r="E211" s="496"/>
      <c r="F211" s="496"/>
      <c r="G211" s="503"/>
      <c r="H211" s="496"/>
      <c r="I211" s="496"/>
      <c r="J211" s="503"/>
      <c r="K211" s="496"/>
      <c r="L211" s="496"/>
      <c r="M211" s="503"/>
      <c r="N211" s="15"/>
      <c r="O211" s="15"/>
      <c r="P211" s="15"/>
      <c r="Q211" s="15"/>
      <c r="R211" s="15"/>
      <c r="S211" s="15"/>
      <c r="T211" s="15"/>
      <c r="U211" s="15"/>
      <c r="V211" s="15"/>
      <c r="W211" s="15"/>
      <c r="X211" s="15"/>
      <c r="Y211" s="15"/>
      <c r="Z211" s="15"/>
    </row>
    <row r="212" ht="12.75" customHeight="1">
      <c r="A212" s="503"/>
      <c r="B212" s="503"/>
      <c r="C212" s="503"/>
      <c r="D212" s="503"/>
      <c r="E212" s="496"/>
      <c r="F212" s="496"/>
      <c r="G212" s="503"/>
      <c r="H212" s="496"/>
      <c r="I212" s="496"/>
      <c r="J212" s="503"/>
      <c r="K212" s="496"/>
      <c r="L212" s="496"/>
      <c r="M212" s="503"/>
      <c r="N212" s="15"/>
      <c r="O212" s="15"/>
      <c r="P212" s="15"/>
      <c r="Q212" s="15"/>
      <c r="R212" s="15"/>
      <c r="S212" s="15"/>
      <c r="T212" s="15"/>
      <c r="U212" s="15"/>
      <c r="V212" s="15"/>
      <c r="W212" s="15"/>
      <c r="X212" s="15"/>
      <c r="Y212" s="15"/>
      <c r="Z212" s="15"/>
    </row>
    <row r="213" ht="12.75" customHeight="1">
      <c r="A213" s="503"/>
      <c r="B213" s="503"/>
      <c r="C213" s="503"/>
      <c r="D213" s="503"/>
      <c r="E213" s="496"/>
      <c r="F213" s="496"/>
      <c r="G213" s="503"/>
      <c r="H213" s="496"/>
      <c r="I213" s="496"/>
      <c r="J213" s="503"/>
      <c r="K213" s="496"/>
      <c r="L213" s="496"/>
      <c r="M213" s="503"/>
      <c r="N213" s="15"/>
      <c r="O213" s="15"/>
      <c r="P213" s="15"/>
      <c r="Q213" s="15"/>
      <c r="R213" s="15"/>
      <c r="S213" s="15"/>
      <c r="T213" s="15"/>
      <c r="U213" s="15"/>
      <c r="V213" s="15"/>
      <c r="W213" s="15"/>
      <c r="X213" s="15"/>
      <c r="Y213" s="15"/>
      <c r="Z213" s="15"/>
    </row>
    <row r="214" ht="12.75" customHeight="1">
      <c r="A214" s="503"/>
      <c r="B214" s="503"/>
      <c r="C214" s="503"/>
      <c r="D214" s="503"/>
      <c r="E214" s="496"/>
      <c r="F214" s="496"/>
      <c r="G214" s="503"/>
      <c r="H214" s="496"/>
      <c r="I214" s="496"/>
      <c r="J214" s="503"/>
      <c r="K214" s="496"/>
      <c r="L214" s="496"/>
      <c r="M214" s="503"/>
      <c r="N214" s="15"/>
      <c r="O214" s="15"/>
      <c r="P214" s="15"/>
      <c r="Q214" s="15"/>
      <c r="R214" s="15"/>
      <c r="S214" s="15"/>
      <c r="T214" s="15"/>
      <c r="U214" s="15"/>
      <c r="V214" s="15"/>
      <c r="W214" s="15"/>
      <c r="X214" s="15"/>
      <c r="Y214" s="15"/>
      <c r="Z214" s="15"/>
    </row>
    <row r="215" ht="12.75" customHeight="1">
      <c r="A215" s="503"/>
      <c r="B215" s="503"/>
      <c r="C215" s="503"/>
      <c r="D215" s="503"/>
      <c r="E215" s="496"/>
      <c r="F215" s="496"/>
      <c r="G215" s="503"/>
      <c r="H215" s="496"/>
      <c r="I215" s="496"/>
      <c r="J215" s="503"/>
      <c r="K215" s="496"/>
      <c r="L215" s="496"/>
      <c r="M215" s="503"/>
      <c r="N215" s="15"/>
      <c r="O215" s="15"/>
      <c r="P215" s="15"/>
      <c r="Q215" s="15"/>
      <c r="R215" s="15"/>
      <c r="S215" s="15"/>
      <c r="T215" s="15"/>
      <c r="U215" s="15"/>
      <c r="V215" s="15"/>
      <c r="W215" s="15"/>
      <c r="X215" s="15"/>
      <c r="Y215" s="15"/>
      <c r="Z215" s="15"/>
    </row>
    <row r="216" ht="12.75" customHeight="1">
      <c r="A216" s="503"/>
      <c r="B216" s="503"/>
      <c r="C216" s="503"/>
      <c r="D216" s="503"/>
      <c r="E216" s="496"/>
      <c r="F216" s="496"/>
      <c r="G216" s="503"/>
      <c r="H216" s="496"/>
      <c r="I216" s="496"/>
      <c r="J216" s="503"/>
      <c r="K216" s="496"/>
      <c r="L216" s="496"/>
      <c r="M216" s="503"/>
      <c r="N216" s="15"/>
      <c r="O216" s="15"/>
      <c r="P216" s="15"/>
      <c r="Q216" s="15"/>
      <c r="R216" s="15"/>
      <c r="S216" s="15"/>
      <c r="T216" s="15"/>
      <c r="U216" s="15"/>
      <c r="V216" s="15"/>
      <c r="W216" s="15"/>
      <c r="X216" s="15"/>
      <c r="Y216" s="15"/>
      <c r="Z216" s="15"/>
    </row>
    <row r="217" ht="12.75" customHeight="1">
      <c r="A217" s="503"/>
      <c r="B217" s="503"/>
      <c r="C217" s="503"/>
      <c r="D217" s="503"/>
      <c r="E217" s="496"/>
      <c r="F217" s="496"/>
      <c r="G217" s="503"/>
      <c r="H217" s="496"/>
      <c r="I217" s="496"/>
      <c r="J217" s="503"/>
      <c r="K217" s="496"/>
      <c r="L217" s="496"/>
      <c r="M217" s="503"/>
      <c r="N217" s="15"/>
      <c r="O217" s="15"/>
      <c r="P217" s="15"/>
      <c r="Q217" s="15"/>
      <c r="R217" s="15"/>
      <c r="S217" s="15"/>
      <c r="T217" s="15"/>
      <c r="U217" s="15"/>
      <c r="V217" s="15"/>
      <c r="W217" s="15"/>
      <c r="X217" s="15"/>
      <c r="Y217" s="15"/>
      <c r="Z217" s="15"/>
    </row>
    <row r="218" ht="12.75" customHeight="1">
      <c r="A218" s="503"/>
      <c r="B218" s="503"/>
      <c r="C218" s="503"/>
      <c r="D218" s="503"/>
      <c r="E218" s="496"/>
      <c r="F218" s="496"/>
      <c r="G218" s="503"/>
      <c r="H218" s="496"/>
      <c r="I218" s="496"/>
      <c r="J218" s="503"/>
      <c r="K218" s="496"/>
      <c r="L218" s="496"/>
      <c r="M218" s="503"/>
      <c r="N218" s="15"/>
      <c r="O218" s="15"/>
      <c r="P218" s="15"/>
      <c r="Q218" s="15"/>
      <c r="R218" s="15"/>
      <c r="S218" s="15"/>
      <c r="T218" s="15"/>
      <c r="U218" s="15"/>
      <c r="V218" s="15"/>
      <c r="W218" s="15"/>
      <c r="X218" s="15"/>
      <c r="Y218" s="15"/>
      <c r="Z218" s="15"/>
    </row>
    <row r="219" ht="12.75" customHeight="1">
      <c r="A219" s="503"/>
      <c r="B219" s="503"/>
      <c r="C219" s="503"/>
      <c r="D219" s="503"/>
      <c r="E219" s="496"/>
      <c r="F219" s="496"/>
      <c r="G219" s="503"/>
      <c r="H219" s="496"/>
      <c r="I219" s="496"/>
      <c r="J219" s="503"/>
      <c r="K219" s="496"/>
      <c r="L219" s="496"/>
      <c r="M219" s="503"/>
      <c r="N219" s="15"/>
      <c r="O219" s="15"/>
      <c r="P219" s="15"/>
      <c r="Q219" s="15"/>
      <c r="R219" s="15"/>
      <c r="S219" s="15"/>
      <c r="T219" s="15"/>
      <c r="U219" s="15"/>
      <c r="V219" s="15"/>
      <c r="W219" s="15"/>
      <c r="X219" s="15"/>
      <c r="Y219" s="15"/>
      <c r="Z219" s="15"/>
    </row>
    <row r="220" ht="12.75" customHeight="1">
      <c r="A220" s="503"/>
      <c r="B220" s="503"/>
      <c r="C220" s="503"/>
      <c r="D220" s="503"/>
      <c r="E220" s="496"/>
      <c r="F220" s="496"/>
      <c r="G220" s="503"/>
      <c r="H220" s="496"/>
      <c r="I220" s="496"/>
      <c r="J220" s="503"/>
      <c r="K220" s="496"/>
      <c r="L220" s="496"/>
      <c r="M220" s="503"/>
      <c r="N220" s="15"/>
      <c r="O220" s="15"/>
      <c r="P220" s="15"/>
      <c r="Q220" s="15"/>
      <c r="R220" s="15"/>
      <c r="S220" s="15"/>
      <c r="T220" s="15"/>
      <c r="U220" s="15"/>
      <c r="V220" s="15"/>
      <c r="W220" s="15"/>
      <c r="X220" s="15"/>
      <c r="Y220" s="15"/>
      <c r="Z220" s="15"/>
    </row>
    <row r="221" ht="12.75" customHeight="1">
      <c r="A221" s="503"/>
      <c r="B221" s="503"/>
      <c r="C221" s="503"/>
      <c r="D221" s="503"/>
      <c r="E221" s="496"/>
      <c r="F221" s="496"/>
      <c r="G221" s="503"/>
      <c r="H221" s="496"/>
      <c r="I221" s="496"/>
      <c r="J221" s="503"/>
      <c r="K221" s="496"/>
      <c r="L221" s="496"/>
      <c r="M221" s="503"/>
      <c r="N221" s="15"/>
      <c r="O221" s="15"/>
      <c r="P221" s="15"/>
      <c r="Q221" s="15"/>
      <c r="R221" s="15"/>
      <c r="S221" s="15"/>
      <c r="T221" s="15"/>
      <c r="U221" s="15"/>
      <c r="V221" s="15"/>
      <c r="W221" s="15"/>
      <c r="X221" s="15"/>
      <c r="Y221" s="15"/>
      <c r="Z221" s="15"/>
    </row>
    <row r="222" ht="12.75" customHeight="1">
      <c r="A222" s="503"/>
      <c r="B222" s="503"/>
      <c r="C222" s="503"/>
      <c r="D222" s="503"/>
      <c r="E222" s="496"/>
      <c r="F222" s="496"/>
      <c r="G222" s="503"/>
      <c r="H222" s="496"/>
      <c r="I222" s="496"/>
      <c r="J222" s="503"/>
      <c r="K222" s="496"/>
      <c r="L222" s="496"/>
      <c r="M222" s="503"/>
      <c r="N222" s="15"/>
      <c r="O222" s="15"/>
      <c r="P222" s="15"/>
      <c r="Q222" s="15"/>
      <c r="R222" s="15"/>
      <c r="S222" s="15"/>
      <c r="T222" s="15"/>
      <c r="U222" s="15"/>
      <c r="V222" s="15"/>
      <c r="W222" s="15"/>
      <c r="X222" s="15"/>
      <c r="Y222" s="15"/>
      <c r="Z222" s="15"/>
    </row>
    <row r="223" ht="12.75" customHeight="1">
      <c r="A223" s="503"/>
      <c r="B223" s="503"/>
      <c r="C223" s="503"/>
      <c r="D223" s="503"/>
      <c r="E223" s="496"/>
      <c r="F223" s="496"/>
      <c r="G223" s="503"/>
      <c r="H223" s="496"/>
      <c r="I223" s="496"/>
      <c r="J223" s="503"/>
      <c r="K223" s="496"/>
      <c r="L223" s="496"/>
      <c r="M223" s="503"/>
      <c r="N223" s="15"/>
      <c r="O223" s="15"/>
      <c r="P223" s="15"/>
      <c r="Q223" s="15"/>
      <c r="R223" s="15"/>
      <c r="S223" s="15"/>
      <c r="T223" s="15"/>
      <c r="U223" s="15"/>
      <c r="V223" s="15"/>
      <c r="W223" s="15"/>
      <c r="X223" s="15"/>
      <c r="Y223" s="15"/>
      <c r="Z223" s="15"/>
    </row>
    <row r="224" ht="12.75" customHeight="1">
      <c r="A224" s="503"/>
      <c r="B224" s="503"/>
      <c r="C224" s="503"/>
      <c r="D224" s="503"/>
      <c r="E224" s="496"/>
      <c r="F224" s="496"/>
      <c r="G224" s="503"/>
      <c r="H224" s="496"/>
      <c r="I224" s="496"/>
      <c r="J224" s="503"/>
      <c r="K224" s="496"/>
      <c r="L224" s="496"/>
      <c r="M224" s="503"/>
      <c r="N224" s="15"/>
      <c r="O224" s="15"/>
      <c r="P224" s="15"/>
      <c r="Q224" s="15"/>
      <c r="R224" s="15"/>
      <c r="S224" s="15"/>
      <c r="T224" s="15"/>
      <c r="U224" s="15"/>
      <c r="V224" s="15"/>
      <c r="W224" s="15"/>
      <c r="X224" s="15"/>
      <c r="Y224" s="15"/>
      <c r="Z224" s="15"/>
    </row>
    <row r="225" ht="12.75" customHeight="1">
      <c r="A225" s="503"/>
      <c r="B225" s="503"/>
      <c r="C225" s="503"/>
      <c r="D225" s="503"/>
      <c r="E225" s="496"/>
      <c r="F225" s="496"/>
      <c r="G225" s="503"/>
      <c r="H225" s="496"/>
      <c r="I225" s="496"/>
      <c r="J225" s="503"/>
      <c r="K225" s="496"/>
      <c r="L225" s="496"/>
      <c r="M225" s="503"/>
      <c r="N225" s="15"/>
      <c r="O225" s="15"/>
      <c r="P225" s="15"/>
      <c r="Q225" s="15"/>
      <c r="R225" s="15"/>
      <c r="S225" s="15"/>
      <c r="T225" s="15"/>
      <c r="U225" s="15"/>
      <c r="V225" s="15"/>
      <c r="W225" s="15"/>
      <c r="X225" s="15"/>
      <c r="Y225" s="15"/>
      <c r="Z225" s="15"/>
    </row>
    <row r="226" ht="12.75" customHeight="1">
      <c r="A226" s="503"/>
      <c r="B226" s="503"/>
      <c r="C226" s="503"/>
      <c r="D226" s="503"/>
      <c r="E226" s="496"/>
      <c r="F226" s="496"/>
      <c r="G226" s="503"/>
      <c r="H226" s="496"/>
      <c r="I226" s="496"/>
      <c r="J226" s="503"/>
      <c r="K226" s="496"/>
      <c r="L226" s="496"/>
      <c r="M226" s="503"/>
      <c r="N226" s="15"/>
      <c r="O226" s="15"/>
      <c r="P226" s="15"/>
      <c r="Q226" s="15"/>
      <c r="R226" s="15"/>
      <c r="S226" s="15"/>
      <c r="T226" s="15"/>
      <c r="U226" s="15"/>
      <c r="V226" s="15"/>
      <c r="W226" s="15"/>
      <c r="X226" s="15"/>
      <c r="Y226" s="15"/>
      <c r="Z226" s="15"/>
    </row>
    <row r="227" ht="12.75" customHeight="1">
      <c r="A227" s="503"/>
      <c r="B227" s="503"/>
      <c r="C227" s="503"/>
      <c r="D227" s="503"/>
      <c r="E227" s="496"/>
      <c r="F227" s="496"/>
      <c r="G227" s="503"/>
      <c r="H227" s="496"/>
      <c r="I227" s="496"/>
      <c r="J227" s="503"/>
      <c r="K227" s="496"/>
      <c r="L227" s="496"/>
      <c r="M227" s="503"/>
      <c r="N227" s="15"/>
      <c r="O227" s="15"/>
      <c r="P227" s="15"/>
      <c r="Q227" s="15"/>
      <c r="R227" s="15"/>
      <c r="S227" s="15"/>
      <c r="T227" s="15"/>
      <c r="U227" s="15"/>
      <c r="V227" s="15"/>
      <c r="W227" s="15"/>
      <c r="X227" s="15"/>
      <c r="Y227" s="15"/>
      <c r="Z227" s="15"/>
    </row>
    <row r="228" ht="12.75" customHeight="1">
      <c r="A228" s="503"/>
      <c r="B228" s="503"/>
      <c r="C228" s="503"/>
      <c r="D228" s="503"/>
      <c r="E228" s="496"/>
      <c r="F228" s="496"/>
      <c r="G228" s="503"/>
      <c r="H228" s="496"/>
      <c r="I228" s="496"/>
      <c r="J228" s="503"/>
      <c r="K228" s="496"/>
      <c r="L228" s="496"/>
      <c r="M228" s="503"/>
      <c r="N228" s="15"/>
      <c r="O228" s="15"/>
      <c r="P228" s="15"/>
      <c r="Q228" s="15"/>
      <c r="R228" s="15"/>
      <c r="S228" s="15"/>
      <c r="T228" s="15"/>
      <c r="U228" s="15"/>
      <c r="V228" s="15"/>
      <c r="W228" s="15"/>
      <c r="X228" s="15"/>
      <c r="Y228" s="15"/>
      <c r="Z228" s="15"/>
    </row>
    <row r="229" ht="12.75" customHeight="1">
      <c r="A229" s="503"/>
      <c r="B229" s="503"/>
      <c r="C229" s="503"/>
      <c r="D229" s="503"/>
      <c r="E229" s="496"/>
      <c r="F229" s="496"/>
      <c r="G229" s="503"/>
      <c r="H229" s="496"/>
      <c r="I229" s="496"/>
      <c r="J229" s="503"/>
      <c r="K229" s="496"/>
      <c r="L229" s="496"/>
      <c r="M229" s="503"/>
      <c r="N229" s="15"/>
      <c r="O229" s="15"/>
      <c r="P229" s="15"/>
      <c r="Q229" s="15"/>
      <c r="R229" s="15"/>
      <c r="S229" s="15"/>
      <c r="T229" s="15"/>
      <c r="U229" s="15"/>
      <c r="V229" s="15"/>
      <c r="W229" s="15"/>
      <c r="X229" s="15"/>
      <c r="Y229" s="15"/>
      <c r="Z229" s="15"/>
    </row>
    <row r="230" ht="12.75" customHeight="1">
      <c r="A230" s="503"/>
      <c r="B230" s="503"/>
      <c r="C230" s="503"/>
      <c r="D230" s="503"/>
      <c r="E230" s="496"/>
      <c r="F230" s="496"/>
      <c r="G230" s="503"/>
      <c r="H230" s="496"/>
      <c r="I230" s="496"/>
      <c r="J230" s="503"/>
      <c r="K230" s="496"/>
      <c r="L230" s="496"/>
      <c r="M230" s="503"/>
      <c r="N230" s="15"/>
      <c r="O230" s="15"/>
      <c r="P230" s="15"/>
      <c r="Q230" s="15"/>
      <c r="R230" s="15"/>
      <c r="S230" s="15"/>
      <c r="T230" s="15"/>
      <c r="U230" s="15"/>
      <c r="V230" s="15"/>
      <c r="W230" s="15"/>
      <c r="X230" s="15"/>
      <c r="Y230" s="15"/>
      <c r="Z230" s="15"/>
    </row>
    <row r="231" ht="12.75" customHeight="1">
      <c r="A231" s="503"/>
      <c r="B231" s="503"/>
      <c r="C231" s="503"/>
      <c r="D231" s="503"/>
      <c r="E231" s="496"/>
      <c r="F231" s="496"/>
      <c r="G231" s="503"/>
      <c r="H231" s="496"/>
      <c r="I231" s="496"/>
      <c r="J231" s="503"/>
      <c r="K231" s="496"/>
      <c r="L231" s="496"/>
      <c r="M231" s="503"/>
      <c r="N231" s="15"/>
      <c r="O231" s="15"/>
      <c r="P231" s="15"/>
      <c r="Q231" s="15"/>
      <c r="R231" s="15"/>
      <c r="S231" s="15"/>
      <c r="T231" s="15"/>
      <c r="U231" s="15"/>
      <c r="V231" s="15"/>
      <c r="W231" s="15"/>
      <c r="X231" s="15"/>
      <c r="Y231" s="15"/>
      <c r="Z231" s="15"/>
    </row>
    <row r="232" ht="12.75" customHeight="1">
      <c r="A232" s="503"/>
      <c r="B232" s="503"/>
      <c r="C232" s="503"/>
      <c r="D232" s="503"/>
      <c r="E232" s="496"/>
      <c r="F232" s="496"/>
      <c r="G232" s="503"/>
      <c r="H232" s="496"/>
      <c r="I232" s="496"/>
      <c r="J232" s="503"/>
      <c r="K232" s="496"/>
      <c r="L232" s="496"/>
      <c r="M232" s="503"/>
      <c r="N232" s="15"/>
      <c r="O232" s="15"/>
      <c r="P232" s="15"/>
      <c r="Q232" s="15"/>
      <c r="R232" s="15"/>
      <c r="S232" s="15"/>
      <c r="T232" s="15"/>
      <c r="U232" s="15"/>
      <c r="V232" s="15"/>
      <c r="W232" s="15"/>
      <c r="X232" s="15"/>
      <c r="Y232" s="15"/>
      <c r="Z232" s="15"/>
    </row>
    <row r="233" ht="12.75" customHeight="1">
      <c r="A233" s="503"/>
      <c r="B233" s="503"/>
      <c r="C233" s="503"/>
      <c r="D233" s="503"/>
      <c r="E233" s="496"/>
      <c r="F233" s="496"/>
      <c r="G233" s="503"/>
      <c r="H233" s="496"/>
      <c r="I233" s="496"/>
      <c r="J233" s="503"/>
      <c r="K233" s="496"/>
      <c r="L233" s="496"/>
      <c r="M233" s="503"/>
      <c r="N233" s="15"/>
      <c r="O233" s="15"/>
      <c r="P233" s="15"/>
      <c r="Q233" s="15"/>
      <c r="R233" s="15"/>
      <c r="S233" s="15"/>
      <c r="T233" s="15"/>
      <c r="U233" s="15"/>
      <c r="V233" s="15"/>
      <c r="W233" s="15"/>
      <c r="X233" s="15"/>
      <c r="Y233" s="15"/>
      <c r="Z233" s="15"/>
    </row>
    <row r="234" ht="12.75" customHeight="1">
      <c r="A234" s="503"/>
      <c r="B234" s="503"/>
      <c r="C234" s="503"/>
      <c r="D234" s="503"/>
      <c r="E234" s="496"/>
      <c r="F234" s="496"/>
      <c r="G234" s="503"/>
      <c r="H234" s="496"/>
      <c r="I234" s="496"/>
      <c r="J234" s="503"/>
      <c r="K234" s="496"/>
      <c r="L234" s="496"/>
      <c r="M234" s="503"/>
      <c r="N234" s="15"/>
      <c r="O234" s="15"/>
      <c r="P234" s="15"/>
      <c r="Q234" s="15"/>
      <c r="R234" s="15"/>
      <c r="S234" s="15"/>
      <c r="T234" s="15"/>
      <c r="U234" s="15"/>
      <c r="V234" s="15"/>
      <c r="W234" s="15"/>
      <c r="X234" s="15"/>
      <c r="Y234" s="15"/>
      <c r="Z234" s="15"/>
    </row>
    <row r="235" ht="12.75" customHeight="1">
      <c r="A235" s="503"/>
      <c r="B235" s="503"/>
      <c r="C235" s="503"/>
      <c r="D235" s="503"/>
      <c r="E235" s="496"/>
      <c r="F235" s="496"/>
      <c r="G235" s="503"/>
      <c r="H235" s="496"/>
      <c r="I235" s="496"/>
      <c r="J235" s="503"/>
      <c r="K235" s="496"/>
      <c r="L235" s="496"/>
      <c r="M235" s="503"/>
      <c r="N235" s="15"/>
      <c r="O235" s="15"/>
      <c r="P235" s="15"/>
      <c r="Q235" s="15"/>
      <c r="R235" s="15"/>
      <c r="S235" s="15"/>
      <c r="T235" s="15"/>
      <c r="U235" s="15"/>
      <c r="V235" s="15"/>
      <c r="W235" s="15"/>
      <c r="X235" s="15"/>
      <c r="Y235" s="15"/>
      <c r="Z235" s="15"/>
    </row>
    <row r="236" ht="12.75" customHeight="1">
      <c r="A236" s="503"/>
      <c r="B236" s="503"/>
      <c r="C236" s="503"/>
      <c r="D236" s="503"/>
      <c r="E236" s="496"/>
      <c r="F236" s="496"/>
      <c r="G236" s="503"/>
      <c r="H236" s="496"/>
      <c r="I236" s="496"/>
      <c r="J236" s="503"/>
      <c r="K236" s="496"/>
      <c r="L236" s="496"/>
      <c r="M236" s="503"/>
      <c r="N236" s="15"/>
      <c r="O236" s="15"/>
      <c r="P236" s="15"/>
      <c r="Q236" s="15"/>
      <c r="R236" s="15"/>
      <c r="S236" s="15"/>
      <c r="T236" s="15"/>
      <c r="U236" s="15"/>
      <c r="V236" s="15"/>
      <c r="W236" s="15"/>
      <c r="X236" s="15"/>
      <c r="Y236" s="15"/>
      <c r="Z236" s="15"/>
    </row>
    <row r="237" ht="12.75" customHeight="1">
      <c r="A237" s="503"/>
      <c r="B237" s="503"/>
      <c r="C237" s="503"/>
      <c r="D237" s="503"/>
      <c r="E237" s="496"/>
      <c r="F237" s="496"/>
      <c r="G237" s="503"/>
      <c r="H237" s="496"/>
      <c r="I237" s="496"/>
      <c r="J237" s="503"/>
      <c r="K237" s="496"/>
      <c r="L237" s="496"/>
      <c r="M237" s="503"/>
      <c r="N237" s="15"/>
      <c r="O237" s="15"/>
      <c r="P237" s="15"/>
      <c r="Q237" s="15"/>
      <c r="R237" s="15"/>
      <c r="S237" s="15"/>
      <c r="T237" s="15"/>
      <c r="U237" s="15"/>
      <c r="V237" s="15"/>
      <c r="W237" s="15"/>
      <c r="X237" s="15"/>
      <c r="Y237" s="15"/>
      <c r="Z237" s="15"/>
    </row>
    <row r="238" ht="12.75" customHeight="1">
      <c r="A238" s="503"/>
      <c r="B238" s="503"/>
      <c r="C238" s="503"/>
      <c r="D238" s="503"/>
      <c r="E238" s="496"/>
      <c r="F238" s="496"/>
      <c r="G238" s="503"/>
      <c r="H238" s="496"/>
      <c r="I238" s="496"/>
      <c r="J238" s="503"/>
      <c r="K238" s="496"/>
      <c r="L238" s="496"/>
      <c r="M238" s="503"/>
      <c r="N238" s="15"/>
      <c r="O238" s="15"/>
      <c r="P238" s="15"/>
      <c r="Q238" s="15"/>
      <c r="R238" s="15"/>
      <c r="S238" s="15"/>
      <c r="T238" s="15"/>
      <c r="U238" s="15"/>
      <c r="V238" s="15"/>
      <c r="W238" s="15"/>
      <c r="X238" s="15"/>
      <c r="Y238" s="15"/>
      <c r="Z238" s="15"/>
    </row>
    <row r="239" ht="12.75" customHeight="1">
      <c r="A239" s="503"/>
      <c r="B239" s="503"/>
      <c r="C239" s="503"/>
      <c r="D239" s="503"/>
      <c r="E239" s="496"/>
      <c r="F239" s="496"/>
      <c r="G239" s="503"/>
      <c r="H239" s="496"/>
      <c r="I239" s="496"/>
      <c r="J239" s="503"/>
      <c r="K239" s="496"/>
      <c r="L239" s="496"/>
      <c r="M239" s="503"/>
      <c r="N239" s="15"/>
      <c r="O239" s="15"/>
      <c r="P239" s="15"/>
      <c r="Q239" s="15"/>
      <c r="R239" s="15"/>
      <c r="S239" s="15"/>
      <c r="T239" s="15"/>
      <c r="U239" s="15"/>
      <c r="V239" s="15"/>
      <c r="W239" s="15"/>
      <c r="X239" s="15"/>
      <c r="Y239" s="15"/>
      <c r="Z239" s="15"/>
    </row>
    <row r="240" ht="12.75" customHeight="1">
      <c r="A240" s="503"/>
      <c r="B240" s="503"/>
      <c r="C240" s="503"/>
      <c r="D240" s="503"/>
      <c r="E240" s="496"/>
      <c r="F240" s="496"/>
      <c r="G240" s="503"/>
      <c r="H240" s="496"/>
      <c r="I240" s="496"/>
      <c r="J240" s="503"/>
      <c r="K240" s="496"/>
      <c r="L240" s="496"/>
      <c r="M240" s="503"/>
      <c r="N240" s="15"/>
      <c r="O240" s="15"/>
      <c r="P240" s="15"/>
      <c r="Q240" s="15"/>
      <c r="R240" s="15"/>
      <c r="S240" s="15"/>
      <c r="T240" s="15"/>
      <c r="U240" s="15"/>
      <c r="V240" s="15"/>
      <c r="W240" s="15"/>
      <c r="X240" s="15"/>
      <c r="Y240" s="15"/>
      <c r="Z240" s="15"/>
    </row>
    <row r="241" ht="12.75" customHeight="1">
      <c r="A241" s="503"/>
      <c r="B241" s="503"/>
      <c r="C241" s="503"/>
      <c r="D241" s="503"/>
      <c r="E241" s="496"/>
      <c r="F241" s="496"/>
      <c r="G241" s="503"/>
      <c r="H241" s="496"/>
      <c r="I241" s="496"/>
      <c r="J241" s="503"/>
      <c r="K241" s="496"/>
      <c r="L241" s="496"/>
      <c r="M241" s="503"/>
      <c r="N241" s="15"/>
      <c r="O241" s="15"/>
      <c r="P241" s="15"/>
      <c r="Q241" s="15"/>
      <c r="R241" s="15"/>
      <c r="S241" s="15"/>
      <c r="T241" s="15"/>
      <c r="U241" s="15"/>
      <c r="V241" s="15"/>
      <c r="W241" s="15"/>
      <c r="X241" s="15"/>
      <c r="Y241" s="15"/>
      <c r="Z241" s="1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4"/>
    <mergeCell ref="B2:B4"/>
    <mergeCell ref="C2:C4"/>
    <mergeCell ref="D2:D4"/>
    <mergeCell ref="E2:M2"/>
    <mergeCell ref="E3:G3"/>
    <mergeCell ref="H3:J3"/>
    <mergeCell ref="K3:M3"/>
  </mergeCells>
  <printOptions/>
  <pageMargins bottom="0.0" footer="0.0" header="0.0" left="0.5118110236220472" right="0.0" top="0.2362204724409449"/>
  <pageSetup paperSize="5"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hidden="1" min="2" max="2" width="16.86"/>
    <col customWidth="1" hidden="1" min="3" max="3" width="15.14"/>
    <col customWidth="1" min="4" max="4" width="36.57"/>
    <col customWidth="1" min="5" max="5" width="11.29"/>
    <col customWidth="1" hidden="1" min="6" max="6" width="17.43"/>
    <col customWidth="1" min="7" max="11" width="8.71"/>
  </cols>
  <sheetData>
    <row r="1">
      <c r="A1" s="4">
        <v>1.0</v>
      </c>
      <c r="B1" s="5">
        <v>2.0</v>
      </c>
      <c r="C1" s="4">
        <v>3.0</v>
      </c>
      <c r="D1" s="5">
        <v>4.0</v>
      </c>
      <c r="E1" s="4">
        <v>5.0</v>
      </c>
      <c r="F1" s="5">
        <v>6.0</v>
      </c>
      <c r="G1" s="4">
        <v>7.0</v>
      </c>
      <c r="H1" s="5">
        <v>8.0</v>
      </c>
      <c r="I1" s="4">
        <v>9.0</v>
      </c>
      <c r="J1" s="6">
        <v>10.0</v>
      </c>
      <c r="K1" s="4">
        <v>11.0</v>
      </c>
    </row>
    <row r="2">
      <c r="A2" s="9" t="str">
        <f t="shared" ref="A2:F2" si="1">A3</f>
        <v>NO</v>
      </c>
      <c r="B2" s="10" t="str">
        <f t="shared" si="1"/>
        <v>NIS</v>
      </c>
      <c r="C2" s="10" t="str">
        <f t="shared" si="1"/>
        <v>NISN</v>
      </c>
      <c r="D2" s="11" t="str">
        <f t="shared" si="1"/>
        <v>NAMA</v>
      </c>
      <c r="E2" s="10" t="str">
        <f t="shared" si="1"/>
        <v>KELAS</v>
      </c>
      <c r="F2" s="10" t="str">
        <f t="shared" si="1"/>
        <v>SEMESTER</v>
      </c>
      <c r="G2" s="9" t="str">
        <f t="shared" ref="G2:K2" si="2">$H3&amp;" "&amp;G4</f>
        <v>PAI SUMATIF 1</v>
      </c>
      <c r="H2" s="9" t="str">
        <f t="shared" si="2"/>
        <v>PAI SUMATIF 2</v>
      </c>
      <c r="I2" s="9" t="str">
        <f t="shared" si="2"/>
        <v>PAI SUMATIF 3</v>
      </c>
      <c r="J2" s="13" t="str">
        <f t="shared" si="2"/>
        <v>PAI RATA-RATA SUMATIF</v>
      </c>
      <c r="K2" s="9" t="str">
        <f t="shared" si="2"/>
        <v>PAI NILAI SUMATIF AKHIR</v>
      </c>
    </row>
    <row r="3">
      <c r="A3" s="23" t="s">
        <v>0</v>
      </c>
      <c r="B3" s="26" t="s">
        <v>1</v>
      </c>
      <c r="C3" s="26" t="s">
        <v>2</v>
      </c>
      <c r="D3" s="26" t="s">
        <v>3</v>
      </c>
      <c r="E3" s="26" t="s">
        <v>4</v>
      </c>
      <c r="F3" s="26" t="s">
        <v>5</v>
      </c>
      <c r="G3" s="30" t="s">
        <v>128</v>
      </c>
      <c r="H3" s="36" t="s">
        <v>52</v>
      </c>
      <c r="I3" s="40"/>
      <c r="J3" s="40"/>
      <c r="K3" s="45"/>
    </row>
    <row r="4">
      <c r="A4" s="131"/>
      <c r="B4" s="131"/>
      <c r="C4" s="131"/>
      <c r="D4" s="131"/>
      <c r="E4" s="131"/>
      <c r="F4" s="131"/>
      <c r="G4" s="133" t="s">
        <v>148</v>
      </c>
      <c r="H4" s="139" t="s">
        <v>149</v>
      </c>
      <c r="I4" s="139" t="s">
        <v>151</v>
      </c>
      <c r="J4" s="141" t="s">
        <v>152</v>
      </c>
      <c r="K4" s="39" t="s">
        <v>153</v>
      </c>
    </row>
    <row r="5">
      <c r="A5" s="115" t="str">
        <f>IFERROR(__xludf.DUMMYFUNCTION("FILTER(MASTER!$A$4:$E1000,MASTER!$E$4:$E1000=SETTING!$C$2)"),"#N/A")</f>
        <v>#N/A</v>
      </c>
      <c r="B5" s="119"/>
      <c r="C5" s="119"/>
      <c r="D5" s="122"/>
      <c r="E5" s="119"/>
      <c r="F5" s="119" t="str">
        <f t="array" ref="F5:F1000">IF(D5:D1000&lt;&gt;"",SETTING!$C$3,"")</f>
        <v/>
      </c>
      <c r="G5" s="225"/>
      <c r="H5" s="226"/>
      <c r="I5" s="226"/>
      <c r="J5" s="230" t="str">
        <f t="shared" ref="J5:J41" si="3">IFERROR(AVERAGE(G5:I5),"")</f>
        <v/>
      </c>
      <c r="K5" s="232"/>
    </row>
    <row r="6">
      <c r="A6" s="189"/>
      <c r="B6" s="193"/>
      <c r="C6" s="193"/>
      <c r="D6" s="195"/>
      <c r="E6" s="193"/>
      <c r="F6" s="193" t="s">
        <v>244</v>
      </c>
      <c r="G6" s="683"/>
      <c r="H6" s="684"/>
      <c r="I6" s="684"/>
      <c r="J6" s="230" t="str">
        <f t="shared" si="3"/>
        <v/>
      </c>
      <c r="K6" s="276"/>
    </row>
    <row r="7">
      <c r="A7" s="115"/>
      <c r="B7" s="119"/>
      <c r="C7" s="119"/>
      <c r="D7" s="122"/>
      <c r="E7" s="119"/>
      <c r="F7" s="119" t="s">
        <v>244</v>
      </c>
      <c r="G7" s="686"/>
      <c r="H7" s="687"/>
      <c r="I7" s="687"/>
      <c r="J7" s="230" t="str">
        <f t="shared" si="3"/>
        <v/>
      </c>
      <c r="K7" s="232"/>
    </row>
    <row r="8">
      <c r="A8" s="189"/>
      <c r="B8" s="193"/>
      <c r="C8" s="193"/>
      <c r="D8" s="195"/>
      <c r="E8" s="193"/>
      <c r="F8" s="193" t="s">
        <v>244</v>
      </c>
      <c r="G8" s="683"/>
      <c r="H8" s="684"/>
      <c r="I8" s="684"/>
      <c r="J8" s="230" t="str">
        <f t="shared" si="3"/>
        <v/>
      </c>
      <c r="K8" s="276"/>
    </row>
    <row r="9">
      <c r="A9" s="115"/>
      <c r="B9" s="119"/>
      <c r="C9" s="119"/>
      <c r="D9" s="122"/>
      <c r="E9" s="119"/>
      <c r="F9" s="119" t="s">
        <v>244</v>
      </c>
      <c r="G9" s="686"/>
      <c r="H9" s="687"/>
      <c r="I9" s="687"/>
      <c r="J9" s="230" t="str">
        <f t="shared" si="3"/>
        <v/>
      </c>
      <c r="K9" s="232"/>
    </row>
    <row r="10">
      <c r="A10" s="189"/>
      <c r="B10" s="193"/>
      <c r="C10" s="193"/>
      <c r="D10" s="195"/>
      <c r="E10" s="193"/>
      <c r="F10" s="193" t="s">
        <v>244</v>
      </c>
      <c r="G10" s="683"/>
      <c r="H10" s="684"/>
      <c r="I10" s="684"/>
      <c r="J10" s="230" t="str">
        <f t="shared" si="3"/>
        <v/>
      </c>
      <c r="K10" s="276"/>
    </row>
    <row r="11">
      <c r="A11" s="115"/>
      <c r="B11" s="119"/>
      <c r="C11" s="119"/>
      <c r="D11" s="122"/>
      <c r="E11" s="119"/>
      <c r="F11" s="119" t="s">
        <v>244</v>
      </c>
      <c r="G11" s="686"/>
      <c r="H11" s="687"/>
      <c r="I11" s="687"/>
      <c r="J11" s="230" t="str">
        <f t="shared" si="3"/>
        <v/>
      </c>
      <c r="K11" s="232"/>
    </row>
    <row r="12">
      <c r="A12" s="189"/>
      <c r="B12" s="193"/>
      <c r="C12" s="193"/>
      <c r="D12" s="195"/>
      <c r="E12" s="193"/>
      <c r="F12" s="193" t="s">
        <v>244</v>
      </c>
      <c r="G12" s="683"/>
      <c r="H12" s="684"/>
      <c r="I12" s="684"/>
      <c r="J12" s="230" t="str">
        <f t="shared" si="3"/>
        <v/>
      </c>
      <c r="K12" s="276"/>
    </row>
    <row r="13">
      <c r="A13" s="115"/>
      <c r="B13" s="119"/>
      <c r="C13" s="119"/>
      <c r="D13" s="122"/>
      <c r="E13" s="119"/>
      <c r="F13" s="119" t="s">
        <v>244</v>
      </c>
      <c r="G13" s="686"/>
      <c r="H13" s="687"/>
      <c r="I13" s="687"/>
      <c r="J13" s="230" t="str">
        <f t="shared" si="3"/>
        <v/>
      </c>
      <c r="K13" s="232"/>
    </row>
    <row r="14">
      <c r="A14" s="189"/>
      <c r="B14" s="193"/>
      <c r="C14" s="193"/>
      <c r="D14" s="195"/>
      <c r="E14" s="193"/>
      <c r="F14" s="193" t="s">
        <v>244</v>
      </c>
      <c r="G14" s="683"/>
      <c r="H14" s="684"/>
      <c r="I14" s="684"/>
      <c r="J14" s="230" t="str">
        <f t="shared" si="3"/>
        <v/>
      </c>
      <c r="K14" s="276"/>
    </row>
    <row r="15">
      <c r="A15" s="115"/>
      <c r="B15" s="119"/>
      <c r="C15" s="119"/>
      <c r="D15" s="122"/>
      <c r="E15" s="119"/>
      <c r="F15" s="119" t="s">
        <v>244</v>
      </c>
      <c r="G15" s="686"/>
      <c r="H15" s="687"/>
      <c r="I15" s="687"/>
      <c r="J15" s="230" t="str">
        <f t="shared" si="3"/>
        <v/>
      </c>
      <c r="K15" s="232"/>
    </row>
    <row r="16">
      <c r="A16" s="189"/>
      <c r="B16" s="193"/>
      <c r="C16" s="193"/>
      <c r="D16" s="195"/>
      <c r="E16" s="193"/>
      <c r="F16" s="193" t="s">
        <v>244</v>
      </c>
      <c r="G16" s="683"/>
      <c r="H16" s="684"/>
      <c r="I16" s="684"/>
      <c r="J16" s="230" t="str">
        <f t="shared" si="3"/>
        <v/>
      </c>
      <c r="K16" s="276"/>
    </row>
    <row r="17">
      <c r="A17" s="115"/>
      <c r="B17" s="119"/>
      <c r="C17" s="119"/>
      <c r="D17" s="122"/>
      <c r="E17" s="119"/>
      <c r="F17" s="119" t="s">
        <v>244</v>
      </c>
      <c r="G17" s="686"/>
      <c r="H17" s="687"/>
      <c r="I17" s="687"/>
      <c r="J17" s="230" t="str">
        <f t="shared" si="3"/>
        <v/>
      </c>
      <c r="K17" s="232"/>
    </row>
    <row r="18">
      <c r="A18" s="189"/>
      <c r="B18" s="193"/>
      <c r="C18" s="193"/>
      <c r="D18" s="195"/>
      <c r="E18" s="193"/>
      <c r="F18" s="193" t="s">
        <v>244</v>
      </c>
      <c r="G18" s="683"/>
      <c r="H18" s="684"/>
      <c r="I18" s="684"/>
      <c r="J18" s="230" t="str">
        <f t="shared" si="3"/>
        <v/>
      </c>
      <c r="K18" s="276"/>
    </row>
    <row r="19">
      <c r="A19" s="115"/>
      <c r="B19" s="119"/>
      <c r="C19" s="119"/>
      <c r="D19" s="122"/>
      <c r="E19" s="119"/>
      <c r="F19" s="119" t="s">
        <v>244</v>
      </c>
      <c r="G19" s="686"/>
      <c r="H19" s="687"/>
      <c r="I19" s="687"/>
      <c r="J19" s="230" t="str">
        <f t="shared" si="3"/>
        <v/>
      </c>
      <c r="K19" s="232"/>
    </row>
    <row r="20">
      <c r="A20" s="189"/>
      <c r="B20" s="193"/>
      <c r="C20" s="193"/>
      <c r="D20" s="195"/>
      <c r="E20" s="193"/>
      <c r="F20" s="193" t="s">
        <v>244</v>
      </c>
      <c r="G20" s="683"/>
      <c r="H20" s="684"/>
      <c r="I20" s="684"/>
      <c r="J20" s="230" t="str">
        <f t="shared" si="3"/>
        <v/>
      </c>
      <c r="K20" s="276"/>
    </row>
    <row r="21">
      <c r="A21" s="115"/>
      <c r="B21" s="119"/>
      <c r="C21" s="119"/>
      <c r="D21" s="122"/>
      <c r="E21" s="119"/>
      <c r="F21" s="119" t="s">
        <v>244</v>
      </c>
      <c r="G21" s="686"/>
      <c r="H21" s="687"/>
      <c r="I21" s="687"/>
      <c r="J21" s="230" t="str">
        <f t="shared" si="3"/>
        <v/>
      </c>
      <c r="K21" s="232"/>
    </row>
    <row r="22">
      <c r="A22" s="189"/>
      <c r="B22" s="193"/>
      <c r="C22" s="193"/>
      <c r="D22" s="195"/>
      <c r="E22" s="193"/>
      <c r="F22" s="193" t="s">
        <v>244</v>
      </c>
      <c r="G22" s="683"/>
      <c r="H22" s="684"/>
      <c r="I22" s="684"/>
      <c r="J22" s="230" t="str">
        <f t="shared" si="3"/>
        <v/>
      </c>
      <c r="K22" s="276"/>
    </row>
    <row r="23">
      <c r="A23" s="115"/>
      <c r="B23" s="119"/>
      <c r="C23" s="119"/>
      <c r="D23" s="122"/>
      <c r="E23" s="119"/>
      <c r="F23" s="119" t="s">
        <v>244</v>
      </c>
      <c r="G23" s="686"/>
      <c r="H23" s="687"/>
      <c r="I23" s="687"/>
      <c r="J23" s="230" t="str">
        <f t="shared" si="3"/>
        <v/>
      </c>
      <c r="K23" s="232"/>
    </row>
    <row r="24">
      <c r="A24" s="189"/>
      <c r="B24" s="193"/>
      <c r="C24" s="193"/>
      <c r="D24" s="195"/>
      <c r="E24" s="193"/>
      <c r="F24" s="193" t="s">
        <v>244</v>
      </c>
      <c r="G24" s="683"/>
      <c r="H24" s="684"/>
      <c r="I24" s="684"/>
      <c r="J24" s="230" t="str">
        <f t="shared" si="3"/>
        <v/>
      </c>
      <c r="K24" s="276"/>
    </row>
    <row r="25">
      <c r="A25" s="115"/>
      <c r="B25" s="119"/>
      <c r="C25" s="119"/>
      <c r="D25" s="122"/>
      <c r="E25" s="119"/>
      <c r="F25" s="119" t="s">
        <v>244</v>
      </c>
      <c r="G25" s="686"/>
      <c r="H25" s="687"/>
      <c r="I25" s="687"/>
      <c r="J25" s="230" t="str">
        <f t="shared" si="3"/>
        <v/>
      </c>
      <c r="K25" s="232"/>
    </row>
    <row r="26">
      <c r="A26" s="189"/>
      <c r="B26" s="193"/>
      <c r="C26" s="193"/>
      <c r="D26" s="195"/>
      <c r="E26" s="193"/>
      <c r="F26" s="193" t="s">
        <v>244</v>
      </c>
      <c r="G26" s="683"/>
      <c r="H26" s="684"/>
      <c r="I26" s="684"/>
      <c r="J26" s="230" t="str">
        <f t="shared" si="3"/>
        <v/>
      </c>
      <c r="K26" s="276"/>
    </row>
    <row r="27">
      <c r="A27" s="115"/>
      <c r="B27" s="119"/>
      <c r="C27" s="119"/>
      <c r="D27" s="122"/>
      <c r="E27" s="119"/>
      <c r="F27" s="119" t="s">
        <v>244</v>
      </c>
      <c r="G27" s="686"/>
      <c r="H27" s="687"/>
      <c r="I27" s="687"/>
      <c r="J27" s="230" t="str">
        <f t="shared" si="3"/>
        <v/>
      </c>
      <c r="K27" s="232"/>
    </row>
    <row r="28">
      <c r="A28" s="189"/>
      <c r="B28" s="193"/>
      <c r="C28" s="193"/>
      <c r="D28" s="195"/>
      <c r="E28" s="193"/>
      <c r="F28" s="193" t="s">
        <v>244</v>
      </c>
      <c r="G28" s="683"/>
      <c r="H28" s="684"/>
      <c r="I28" s="684"/>
      <c r="J28" s="230" t="str">
        <f t="shared" si="3"/>
        <v/>
      </c>
      <c r="K28" s="276"/>
    </row>
    <row r="29">
      <c r="A29" s="115"/>
      <c r="B29" s="119"/>
      <c r="C29" s="119"/>
      <c r="D29" s="122"/>
      <c r="E29" s="119"/>
      <c r="F29" s="119" t="s">
        <v>244</v>
      </c>
      <c r="G29" s="686"/>
      <c r="H29" s="687"/>
      <c r="I29" s="687"/>
      <c r="J29" s="230" t="str">
        <f t="shared" si="3"/>
        <v/>
      </c>
      <c r="K29" s="232"/>
    </row>
    <row r="30">
      <c r="A30" s="189"/>
      <c r="B30" s="193"/>
      <c r="C30" s="193"/>
      <c r="D30" s="195"/>
      <c r="E30" s="193"/>
      <c r="F30" s="193" t="s">
        <v>244</v>
      </c>
      <c r="G30" s="683"/>
      <c r="H30" s="684"/>
      <c r="I30" s="684"/>
      <c r="J30" s="230" t="str">
        <f t="shared" si="3"/>
        <v/>
      </c>
      <c r="K30" s="276"/>
    </row>
    <row r="31">
      <c r="A31" s="115"/>
      <c r="B31" s="119"/>
      <c r="C31" s="119"/>
      <c r="D31" s="122"/>
      <c r="E31" s="119"/>
      <c r="F31" s="119" t="s">
        <v>244</v>
      </c>
      <c r="G31" s="686"/>
      <c r="H31" s="687"/>
      <c r="I31" s="687"/>
      <c r="J31" s="230" t="str">
        <f t="shared" si="3"/>
        <v/>
      </c>
      <c r="K31" s="232"/>
    </row>
    <row r="32">
      <c r="A32" s="189"/>
      <c r="B32" s="193"/>
      <c r="C32" s="193"/>
      <c r="D32" s="195"/>
      <c r="E32" s="193"/>
      <c r="F32" s="193" t="s">
        <v>244</v>
      </c>
      <c r="G32" s="278"/>
      <c r="H32" s="273"/>
      <c r="I32" s="273"/>
      <c r="J32" s="230" t="str">
        <f t="shared" si="3"/>
        <v/>
      </c>
      <c r="K32" s="276"/>
    </row>
    <row r="33">
      <c r="A33" s="115"/>
      <c r="B33" s="119"/>
      <c r="C33" s="119"/>
      <c r="D33" s="122"/>
      <c r="E33" s="119"/>
      <c r="F33" s="119" t="s">
        <v>244</v>
      </c>
      <c r="G33" s="241"/>
      <c r="H33" s="234"/>
      <c r="I33" s="234"/>
      <c r="J33" s="230" t="str">
        <f t="shared" si="3"/>
        <v/>
      </c>
      <c r="K33" s="232"/>
    </row>
    <row r="34">
      <c r="A34" s="189"/>
      <c r="B34" s="193"/>
      <c r="C34" s="193"/>
      <c r="D34" s="195"/>
      <c r="E34" s="193"/>
      <c r="F34" s="193" t="s">
        <v>244</v>
      </c>
      <c r="G34" s="278"/>
      <c r="H34" s="273"/>
      <c r="I34" s="273"/>
      <c r="J34" s="230" t="str">
        <f t="shared" si="3"/>
        <v/>
      </c>
      <c r="K34" s="276"/>
    </row>
    <row r="35">
      <c r="A35" s="115"/>
      <c r="B35" s="119"/>
      <c r="C35" s="119"/>
      <c r="D35" s="122"/>
      <c r="E35" s="119"/>
      <c r="F35" s="119" t="s">
        <v>244</v>
      </c>
      <c r="G35" s="241"/>
      <c r="H35" s="234"/>
      <c r="I35" s="234"/>
      <c r="J35" s="230" t="str">
        <f t="shared" si="3"/>
        <v/>
      </c>
      <c r="K35" s="232"/>
    </row>
    <row r="36">
      <c r="A36" s="189"/>
      <c r="B36" s="193"/>
      <c r="C36" s="193"/>
      <c r="D36" s="195"/>
      <c r="E36" s="193"/>
      <c r="F36" s="193" t="s">
        <v>244</v>
      </c>
      <c r="G36" s="278"/>
      <c r="H36" s="273"/>
      <c r="I36" s="273"/>
      <c r="J36" s="230" t="str">
        <f t="shared" si="3"/>
        <v/>
      </c>
      <c r="K36" s="276"/>
    </row>
    <row r="37">
      <c r="A37" s="115"/>
      <c r="B37" s="119"/>
      <c r="C37" s="119"/>
      <c r="D37" s="122"/>
      <c r="E37" s="119"/>
      <c r="F37" s="119" t="s">
        <v>244</v>
      </c>
      <c r="G37" s="241"/>
      <c r="H37" s="234"/>
      <c r="I37" s="234"/>
      <c r="J37" s="230" t="str">
        <f t="shared" si="3"/>
        <v/>
      </c>
      <c r="K37" s="232"/>
    </row>
    <row r="38">
      <c r="A38" s="189"/>
      <c r="B38" s="193"/>
      <c r="C38" s="193"/>
      <c r="D38" s="195"/>
      <c r="E38" s="193"/>
      <c r="F38" s="193" t="s">
        <v>244</v>
      </c>
      <c r="G38" s="278"/>
      <c r="H38" s="273"/>
      <c r="I38" s="273"/>
      <c r="J38" s="230" t="str">
        <f t="shared" si="3"/>
        <v/>
      </c>
      <c r="K38" s="276"/>
    </row>
    <row r="39">
      <c r="A39" s="115"/>
      <c r="B39" s="119"/>
      <c r="C39" s="119"/>
      <c r="D39" s="122"/>
      <c r="E39" s="119"/>
      <c r="F39" s="119" t="s">
        <v>244</v>
      </c>
      <c r="G39" s="241"/>
      <c r="H39" s="234"/>
      <c r="I39" s="234"/>
      <c r="J39" s="230" t="str">
        <f t="shared" si="3"/>
        <v/>
      </c>
      <c r="K39" s="232"/>
    </row>
    <row r="40">
      <c r="A40" s="189"/>
      <c r="B40" s="193"/>
      <c r="C40" s="193"/>
      <c r="D40" s="195"/>
      <c r="E40" s="193"/>
      <c r="F40" s="193" t="s">
        <v>244</v>
      </c>
      <c r="G40" s="278"/>
      <c r="H40" s="273"/>
      <c r="I40" s="273"/>
      <c r="J40" s="230" t="str">
        <f t="shared" si="3"/>
        <v/>
      </c>
      <c r="K40" s="276"/>
    </row>
    <row r="41">
      <c r="A41" s="700"/>
      <c r="B41" s="701"/>
      <c r="C41" s="701"/>
      <c r="D41" s="702"/>
      <c r="E41" s="701"/>
      <c r="F41" s="701" t="s">
        <v>244</v>
      </c>
      <c r="G41" s="703"/>
      <c r="H41" s="706"/>
      <c r="I41" s="706"/>
      <c r="J41" s="708" t="str">
        <f t="shared" si="3"/>
        <v/>
      </c>
      <c r="K41" s="709"/>
    </row>
    <row r="42">
      <c r="F42" s="2" t="s">
        <v>244</v>
      </c>
    </row>
    <row r="43">
      <c r="F43" s="2" t="s">
        <v>244</v>
      </c>
    </row>
    <row r="44">
      <c r="F44" s="2" t="s">
        <v>244</v>
      </c>
    </row>
    <row r="45">
      <c r="F45" s="2" t="s">
        <v>244</v>
      </c>
    </row>
    <row r="46">
      <c r="F46" s="2" t="s">
        <v>244</v>
      </c>
    </row>
    <row r="47">
      <c r="F47" s="2" t="s">
        <v>244</v>
      </c>
    </row>
    <row r="48">
      <c r="F48" s="2" t="s">
        <v>244</v>
      </c>
    </row>
    <row r="49">
      <c r="F49" s="2" t="s">
        <v>244</v>
      </c>
    </row>
    <row r="50">
      <c r="F50" s="2" t="s">
        <v>244</v>
      </c>
    </row>
    <row r="51">
      <c r="F51" s="2" t="s">
        <v>244</v>
      </c>
    </row>
    <row r="52">
      <c r="F52" s="2" t="s">
        <v>244</v>
      </c>
    </row>
    <row r="53">
      <c r="F53" s="2" t="s">
        <v>244</v>
      </c>
    </row>
    <row r="54">
      <c r="F54" s="2" t="s">
        <v>244</v>
      </c>
    </row>
    <row r="55">
      <c r="F55" s="2" t="s">
        <v>244</v>
      </c>
    </row>
    <row r="56">
      <c r="F56" s="2" t="s">
        <v>244</v>
      </c>
    </row>
    <row r="57">
      <c r="F57" s="2" t="s">
        <v>244</v>
      </c>
    </row>
    <row r="58">
      <c r="F58" s="2" t="s">
        <v>244</v>
      </c>
    </row>
    <row r="59">
      <c r="F59" s="2" t="s">
        <v>244</v>
      </c>
    </row>
    <row r="60">
      <c r="F60" s="2" t="s">
        <v>244</v>
      </c>
    </row>
    <row r="61">
      <c r="F61" s="2" t="s">
        <v>244</v>
      </c>
    </row>
    <row r="62">
      <c r="F62" s="2" t="s">
        <v>244</v>
      </c>
    </row>
    <row r="63">
      <c r="F63" s="2" t="s">
        <v>244</v>
      </c>
    </row>
    <row r="64">
      <c r="F64" s="2" t="s">
        <v>244</v>
      </c>
    </row>
    <row r="65">
      <c r="F65" s="2" t="s">
        <v>244</v>
      </c>
    </row>
    <row r="66">
      <c r="F66" s="2" t="s">
        <v>244</v>
      </c>
    </row>
    <row r="67">
      <c r="F67" s="2" t="s">
        <v>244</v>
      </c>
    </row>
    <row r="68">
      <c r="F68" s="2" t="s">
        <v>244</v>
      </c>
    </row>
    <row r="69">
      <c r="F69" s="2" t="s">
        <v>244</v>
      </c>
    </row>
    <row r="70">
      <c r="F70" s="2" t="s">
        <v>244</v>
      </c>
    </row>
    <row r="71">
      <c r="F71" s="2" t="s">
        <v>244</v>
      </c>
    </row>
    <row r="72">
      <c r="F72" s="2" t="s">
        <v>244</v>
      </c>
    </row>
    <row r="73">
      <c r="F73" s="2" t="s">
        <v>244</v>
      </c>
    </row>
    <row r="74">
      <c r="F74" s="2" t="s">
        <v>244</v>
      </c>
    </row>
    <row r="75">
      <c r="F75" s="2" t="s">
        <v>244</v>
      </c>
    </row>
    <row r="76">
      <c r="F76" s="2" t="s">
        <v>244</v>
      </c>
    </row>
    <row r="77">
      <c r="F77" s="2" t="s">
        <v>244</v>
      </c>
    </row>
    <row r="78">
      <c r="F78" s="2" t="s">
        <v>244</v>
      </c>
    </row>
    <row r="79">
      <c r="F79" s="2" t="s">
        <v>244</v>
      </c>
    </row>
    <row r="80">
      <c r="F80" s="2" t="s">
        <v>244</v>
      </c>
    </row>
    <row r="81">
      <c r="F81" s="2" t="s">
        <v>244</v>
      </c>
    </row>
    <row r="82">
      <c r="F82" s="2" t="s">
        <v>244</v>
      </c>
    </row>
    <row r="83">
      <c r="F83" s="2" t="s">
        <v>244</v>
      </c>
    </row>
    <row r="84">
      <c r="F84" s="2" t="s">
        <v>244</v>
      </c>
    </row>
    <row r="85">
      <c r="F85" s="2" t="s">
        <v>244</v>
      </c>
    </row>
    <row r="86">
      <c r="F86" s="2" t="s">
        <v>244</v>
      </c>
    </row>
    <row r="87">
      <c r="F87" s="2" t="s">
        <v>244</v>
      </c>
    </row>
    <row r="88">
      <c r="F88" s="2" t="s">
        <v>244</v>
      </c>
    </row>
    <row r="89">
      <c r="F89" s="2" t="s">
        <v>244</v>
      </c>
    </row>
    <row r="90">
      <c r="F90" s="2" t="s">
        <v>244</v>
      </c>
    </row>
    <row r="91">
      <c r="F91" s="2" t="s">
        <v>244</v>
      </c>
    </row>
    <row r="92">
      <c r="F92" s="2" t="s">
        <v>244</v>
      </c>
    </row>
    <row r="93">
      <c r="F93" s="2" t="s">
        <v>244</v>
      </c>
    </row>
    <row r="94">
      <c r="F94" s="2" t="s">
        <v>244</v>
      </c>
    </row>
    <row r="95">
      <c r="F95" s="2" t="s">
        <v>244</v>
      </c>
    </row>
    <row r="96">
      <c r="F96" s="2" t="s">
        <v>244</v>
      </c>
    </row>
    <row r="97">
      <c r="F97" s="2" t="s">
        <v>244</v>
      </c>
    </row>
    <row r="98">
      <c r="F98" s="2" t="s">
        <v>244</v>
      </c>
    </row>
    <row r="99">
      <c r="F99" s="2" t="s">
        <v>244</v>
      </c>
    </row>
    <row r="100">
      <c r="F100" s="2" t="s">
        <v>244</v>
      </c>
    </row>
    <row r="101">
      <c r="F101" s="2" t="s">
        <v>244</v>
      </c>
    </row>
    <row r="102">
      <c r="F102" s="2" t="s">
        <v>244</v>
      </c>
    </row>
    <row r="103">
      <c r="F103" s="2" t="s">
        <v>244</v>
      </c>
    </row>
    <row r="104">
      <c r="F104" s="2" t="s">
        <v>244</v>
      </c>
    </row>
    <row r="105">
      <c r="F105" s="2" t="s">
        <v>244</v>
      </c>
    </row>
    <row r="106">
      <c r="F106" s="2" t="s">
        <v>244</v>
      </c>
    </row>
    <row r="107">
      <c r="F107" s="2" t="s">
        <v>244</v>
      </c>
    </row>
    <row r="108">
      <c r="F108" s="2" t="s">
        <v>244</v>
      </c>
    </row>
    <row r="109">
      <c r="F109" s="2" t="s">
        <v>244</v>
      </c>
    </row>
    <row r="110">
      <c r="F110" s="2" t="s">
        <v>244</v>
      </c>
    </row>
    <row r="111">
      <c r="F111" s="2" t="s">
        <v>244</v>
      </c>
    </row>
    <row r="112">
      <c r="F112" s="2" t="s">
        <v>244</v>
      </c>
    </row>
    <row r="113">
      <c r="F113" s="2" t="s">
        <v>244</v>
      </c>
    </row>
    <row r="114">
      <c r="F114" s="2" t="s">
        <v>244</v>
      </c>
    </row>
    <row r="115">
      <c r="F115" s="2" t="s">
        <v>244</v>
      </c>
    </row>
    <row r="116">
      <c r="F116" s="2" t="s">
        <v>244</v>
      </c>
    </row>
    <row r="117">
      <c r="F117" s="2" t="s">
        <v>244</v>
      </c>
    </row>
    <row r="118">
      <c r="F118" s="2" t="s">
        <v>244</v>
      </c>
    </row>
    <row r="119">
      <c r="F119" s="2" t="s">
        <v>244</v>
      </c>
    </row>
    <row r="120">
      <c r="F120" s="2" t="s">
        <v>244</v>
      </c>
    </row>
    <row r="121">
      <c r="F121" s="2" t="s">
        <v>244</v>
      </c>
    </row>
    <row r="122">
      <c r="F122" s="2" t="s">
        <v>244</v>
      </c>
    </row>
    <row r="123">
      <c r="F123" s="2" t="s">
        <v>244</v>
      </c>
    </row>
    <row r="124">
      <c r="F124" s="2" t="s">
        <v>244</v>
      </c>
    </row>
    <row r="125">
      <c r="F125" s="2" t="s">
        <v>244</v>
      </c>
    </row>
    <row r="126">
      <c r="F126" s="2" t="s">
        <v>244</v>
      </c>
    </row>
    <row r="127">
      <c r="F127" s="2" t="s">
        <v>244</v>
      </c>
    </row>
    <row r="128">
      <c r="F128" s="2" t="s">
        <v>244</v>
      </c>
    </row>
    <row r="129">
      <c r="F129" s="2" t="s">
        <v>244</v>
      </c>
    </row>
    <row r="130">
      <c r="F130" s="2" t="s">
        <v>244</v>
      </c>
    </row>
    <row r="131">
      <c r="F131" s="2" t="s">
        <v>244</v>
      </c>
    </row>
    <row r="132">
      <c r="F132" s="2" t="s">
        <v>244</v>
      </c>
    </row>
    <row r="133">
      <c r="F133" s="2" t="s">
        <v>244</v>
      </c>
    </row>
    <row r="134">
      <c r="F134" s="2" t="s">
        <v>244</v>
      </c>
    </row>
    <row r="135">
      <c r="F135" s="2" t="s">
        <v>244</v>
      </c>
    </row>
    <row r="136">
      <c r="F136" s="2" t="s">
        <v>244</v>
      </c>
    </row>
    <row r="137">
      <c r="F137" s="2" t="s">
        <v>244</v>
      </c>
    </row>
    <row r="138">
      <c r="F138" s="2" t="s">
        <v>244</v>
      </c>
    </row>
    <row r="139">
      <c r="F139" s="2" t="s">
        <v>244</v>
      </c>
    </row>
    <row r="140">
      <c r="F140" s="2" t="s">
        <v>244</v>
      </c>
    </row>
    <row r="141">
      <c r="F141" s="2" t="s">
        <v>244</v>
      </c>
    </row>
    <row r="142">
      <c r="F142" s="2" t="s">
        <v>244</v>
      </c>
    </row>
    <row r="143">
      <c r="F143" s="2" t="s">
        <v>244</v>
      </c>
    </row>
    <row r="144">
      <c r="F144" s="2" t="s">
        <v>244</v>
      </c>
    </row>
    <row r="145">
      <c r="F145" s="2" t="s">
        <v>244</v>
      </c>
    </row>
    <row r="146">
      <c r="F146" s="2" t="s">
        <v>244</v>
      </c>
    </row>
    <row r="147">
      <c r="F147" s="2" t="s">
        <v>244</v>
      </c>
    </row>
    <row r="148">
      <c r="F148" s="2" t="s">
        <v>244</v>
      </c>
    </row>
    <row r="149">
      <c r="F149" s="2" t="s">
        <v>244</v>
      </c>
    </row>
    <row r="150">
      <c r="F150" s="2" t="s">
        <v>244</v>
      </c>
    </row>
    <row r="151">
      <c r="F151" s="2" t="s">
        <v>244</v>
      </c>
    </row>
    <row r="152">
      <c r="F152" s="2" t="s">
        <v>244</v>
      </c>
    </row>
    <row r="153">
      <c r="F153" s="2" t="s">
        <v>244</v>
      </c>
    </row>
    <row r="154">
      <c r="F154" s="2" t="s">
        <v>244</v>
      </c>
    </row>
    <row r="155">
      <c r="F155" s="2" t="s">
        <v>244</v>
      </c>
    </row>
    <row r="156">
      <c r="F156" s="2" t="s">
        <v>244</v>
      </c>
    </row>
    <row r="157">
      <c r="F157" s="2" t="s">
        <v>244</v>
      </c>
    </row>
    <row r="158">
      <c r="F158" s="2" t="s">
        <v>244</v>
      </c>
    </row>
    <row r="159">
      <c r="F159" s="2" t="s">
        <v>244</v>
      </c>
    </row>
    <row r="160">
      <c r="F160" s="2" t="s">
        <v>244</v>
      </c>
    </row>
    <row r="161">
      <c r="F161" s="2" t="s">
        <v>244</v>
      </c>
    </row>
    <row r="162">
      <c r="F162" s="2" t="s">
        <v>244</v>
      </c>
    </row>
    <row r="163">
      <c r="F163" s="2" t="s">
        <v>244</v>
      </c>
    </row>
    <row r="164">
      <c r="F164" s="2" t="s">
        <v>244</v>
      </c>
    </row>
    <row r="165">
      <c r="F165" s="2" t="s">
        <v>244</v>
      </c>
    </row>
    <row r="166">
      <c r="F166" s="2" t="s">
        <v>244</v>
      </c>
    </row>
    <row r="167">
      <c r="F167" s="2" t="s">
        <v>244</v>
      </c>
    </row>
    <row r="168">
      <c r="F168" s="2" t="s">
        <v>244</v>
      </c>
    </row>
    <row r="169">
      <c r="F169" s="2" t="s">
        <v>244</v>
      </c>
    </row>
    <row r="170">
      <c r="F170" s="2" t="s">
        <v>244</v>
      </c>
    </row>
    <row r="171">
      <c r="F171" s="2" t="s">
        <v>244</v>
      </c>
    </row>
    <row r="172">
      <c r="F172" s="2" t="s">
        <v>244</v>
      </c>
    </row>
    <row r="173">
      <c r="F173" s="2" t="s">
        <v>244</v>
      </c>
    </row>
    <row r="174">
      <c r="F174" s="2" t="s">
        <v>244</v>
      </c>
    </row>
    <row r="175">
      <c r="F175" s="2" t="s">
        <v>244</v>
      </c>
    </row>
    <row r="176">
      <c r="F176" s="2" t="s">
        <v>244</v>
      </c>
    </row>
    <row r="177">
      <c r="F177" s="2" t="s">
        <v>244</v>
      </c>
    </row>
    <row r="178">
      <c r="F178" s="2" t="s">
        <v>244</v>
      </c>
    </row>
    <row r="179">
      <c r="F179" s="2" t="s">
        <v>244</v>
      </c>
    </row>
    <row r="180">
      <c r="F180" s="2" t="s">
        <v>244</v>
      </c>
    </row>
    <row r="181">
      <c r="F181" s="2" t="s">
        <v>244</v>
      </c>
    </row>
    <row r="182">
      <c r="F182" s="2" t="s">
        <v>244</v>
      </c>
    </row>
    <row r="183">
      <c r="F183" s="2" t="s">
        <v>244</v>
      </c>
    </row>
    <row r="184">
      <c r="F184" s="2" t="s">
        <v>244</v>
      </c>
    </row>
    <row r="185">
      <c r="F185" s="2" t="s">
        <v>244</v>
      </c>
    </row>
    <row r="186">
      <c r="F186" s="2" t="s">
        <v>244</v>
      </c>
    </row>
    <row r="187">
      <c r="F187" s="2" t="s">
        <v>244</v>
      </c>
    </row>
    <row r="188">
      <c r="F188" s="2" t="s">
        <v>244</v>
      </c>
    </row>
    <row r="189">
      <c r="F189" s="2" t="s">
        <v>244</v>
      </c>
    </row>
    <row r="190">
      <c r="F190" s="2" t="s">
        <v>244</v>
      </c>
    </row>
    <row r="191">
      <c r="F191" s="2" t="s">
        <v>244</v>
      </c>
    </row>
    <row r="192">
      <c r="F192" s="2" t="s">
        <v>244</v>
      </c>
    </row>
    <row r="193">
      <c r="F193" s="2" t="s">
        <v>244</v>
      </c>
    </row>
    <row r="194">
      <c r="F194" s="2" t="s">
        <v>244</v>
      </c>
    </row>
    <row r="195">
      <c r="F195" s="2" t="s">
        <v>244</v>
      </c>
    </row>
    <row r="196">
      <c r="F196" s="2" t="s">
        <v>244</v>
      </c>
    </row>
    <row r="197">
      <c r="F197" s="2" t="s">
        <v>244</v>
      </c>
    </row>
    <row r="198">
      <c r="F198" s="2" t="s">
        <v>244</v>
      </c>
    </row>
    <row r="199">
      <c r="F199" s="2" t="s">
        <v>244</v>
      </c>
    </row>
    <row r="200">
      <c r="F200" s="2" t="s">
        <v>244</v>
      </c>
    </row>
    <row r="201">
      <c r="F201" s="2" t="s">
        <v>244</v>
      </c>
    </row>
    <row r="202">
      <c r="F202" s="2" t="s">
        <v>244</v>
      </c>
    </row>
    <row r="203">
      <c r="F203" s="2" t="s">
        <v>244</v>
      </c>
    </row>
    <row r="204">
      <c r="F204" s="2" t="s">
        <v>244</v>
      </c>
    </row>
    <row r="205">
      <c r="F205" s="2" t="s">
        <v>244</v>
      </c>
    </row>
    <row r="206">
      <c r="F206" s="2" t="s">
        <v>244</v>
      </c>
    </row>
    <row r="207">
      <c r="F207" s="2" t="s">
        <v>244</v>
      </c>
    </row>
    <row r="208">
      <c r="F208" s="2" t="s">
        <v>244</v>
      </c>
    </row>
    <row r="209">
      <c r="F209" s="2" t="s">
        <v>244</v>
      </c>
    </row>
    <row r="210">
      <c r="F210" s="2" t="s">
        <v>244</v>
      </c>
    </row>
    <row r="211">
      <c r="F211" s="2" t="s">
        <v>244</v>
      </c>
    </row>
    <row r="212">
      <c r="F212" s="2" t="s">
        <v>244</v>
      </c>
    </row>
    <row r="213">
      <c r="F213" s="2" t="s">
        <v>244</v>
      </c>
    </row>
    <row r="214">
      <c r="F214" s="2" t="s">
        <v>244</v>
      </c>
    </row>
    <row r="215">
      <c r="F215" s="2" t="s">
        <v>244</v>
      </c>
    </row>
    <row r="216">
      <c r="F216" s="2" t="s">
        <v>244</v>
      </c>
    </row>
    <row r="217">
      <c r="F217" s="2" t="s">
        <v>244</v>
      </c>
    </row>
    <row r="218">
      <c r="F218" s="2" t="s">
        <v>244</v>
      </c>
    </row>
    <row r="219">
      <c r="F219" s="2" t="s">
        <v>244</v>
      </c>
    </row>
    <row r="220">
      <c r="F220" s="2" t="s">
        <v>244</v>
      </c>
    </row>
    <row r="221">
      <c r="F221" s="2" t="s">
        <v>244</v>
      </c>
    </row>
    <row r="222">
      <c r="F222" s="2" t="s">
        <v>244</v>
      </c>
    </row>
    <row r="223">
      <c r="F223" s="2" t="s">
        <v>244</v>
      </c>
    </row>
    <row r="224">
      <c r="F224" s="2" t="s">
        <v>244</v>
      </c>
    </row>
    <row r="225">
      <c r="F225" s="2" t="s">
        <v>244</v>
      </c>
    </row>
    <row r="226">
      <c r="F226" s="2" t="s">
        <v>244</v>
      </c>
    </row>
    <row r="227">
      <c r="F227" s="2" t="s">
        <v>244</v>
      </c>
    </row>
    <row r="228">
      <c r="F228" s="2" t="s">
        <v>244</v>
      </c>
    </row>
    <row r="229">
      <c r="F229" s="2" t="s">
        <v>244</v>
      </c>
    </row>
    <row r="230">
      <c r="F230" s="2" t="s">
        <v>244</v>
      </c>
    </row>
    <row r="231">
      <c r="F231" s="2" t="s">
        <v>244</v>
      </c>
    </row>
    <row r="232">
      <c r="F232" s="2" t="s">
        <v>244</v>
      </c>
    </row>
    <row r="233">
      <c r="F233" s="2" t="s">
        <v>244</v>
      </c>
    </row>
    <row r="234">
      <c r="F234" s="2" t="s">
        <v>244</v>
      </c>
    </row>
    <row r="235">
      <c r="F235" s="2" t="s">
        <v>244</v>
      </c>
    </row>
    <row r="236">
      <c r="F236" s="2" t="s">
        <v>244</v>
      </c>
    </row>
    <row r="237">
      <c r="F237" s="2" t="s">
        <v>244</v>
      </c>
    </row>
    <row r="238">
      <c r="F238" s="2" t="s">
        <v>244</v>
      </c>
    </row>
    <row r="239">
      <c r="F239" s="2" t="s">
        <v>244</v>
      </c>
    </row>
    <row r="240">
      <c r="F240" s="2" t="s">
        <v>244</v>
      </c>
    </row>
    <row r="241">
      <c r="F241" s="2" t="s">
        <v>244</v>
      </c>
    </row>
    <row r="242">
      <c r="F242" s="2" t="s">
        <v>244</v>
      </c>
    </row>
    <row r="243">
      <c r="F243" s="2" t="s">
        <v>244</v>
      </c>
    </row>
    <row r="244">
      <c r="F244" s="2" t="s">
        <v>244</v>
      </c>
    </row>
    <row r="245">
      <c r="F245" s="2" t="s">
        <v>244</v>
      </c>
    </row>
    <row r="246">
      <c r="F246" s="2" t="s">
        <v>244</v>
      </c>
    </row>
    <row r="247">
      <c r="F247" s="2" t="s">
        <v>244</v>
      </c>
    </row>
    <row r="248">
      <c r="F248" s="2" t="s">
        <v>244</v>
      </c>
    </row>
    <row r="249">
      <c r="F249" s="2" t="s">
        <v>244</v>
      </c>
    </row>
    <row r="250">
      <c r="F250" s="2" t="s">
        <v>244</v>
      </c>
    </row>
    <row r="251">
      <c r="F251" s="2" t="s">
        <v>244</v>
      </c>
    </row>
    <row r="252">
      <c r="F252" s="2" t="s">
        <v>244</v>
      </c>
    </row>
    <row r="253">
      <c r="F253" s="2" t="s">
        <v>244</v>
      </c>
    </row>
    <row r="254">
      <c r="F254" s="2" t="s">
        <v>244</v>
      </c>
    </row>
    <row r="255">
      <c r="F255" s="2" t="s">
        <v>244</v>
      </c>
    </row>
    <row r="256">
      <c r="F256" s="2" t="s">
        <v>244</v>
      </c>
    </row>
    <row r="257">
      <c r="F257" s="2" t="s">
        <v>244</v>
      </c>
    </row>
    <row r="258">
      <c r="F258" s="2" t="s">
        <v>244</v>
      </c>
    </row>
    <row r="259">
      <c r="F259" s="2" t="s">
        <v>244</v>
      </c>
    </row>
    <row r="260">
      <c r="F260" s="2" t="s">
        <v>244</v>
      </c>
    </row>
    <row r="261">
      <c r="F261" s="2" t="s">
        <v>244</v>
      </c>
    </row>
    <row r="262">
      <c r="F262" s="2" t="s">
        <v>244</v>
      </c>
    </row>
    <row r="263">
      <c r="F263" s="2" t="s">
        <v>244</v>
      </c>
    </row>
    <row r="264">
      <c r="F264" s="2" t="s">
        <v>244</v>
      </c>
    </row>
    <row r="265">
      <c r="F265" s="2" t="s">
        <v>244</v>
      </c>
    </row>
    <row r="266">
      <c r="F266" s="2" t="s">
        <v>244</v>
      </c>
    </row>
    <row r="267">
      <c r="F267" s="2" t="s">
        <v>244</v>
      </c>
    </row>
    <row r="268">
      <c r="F268" s="2" t="s">
        <v>244</v>
      </c>
    </row>
    <row r="269">
      <c r="F269" s="2" t="s">
        <v>244</v>
      </c>
    </row>
    <row r="270">
      <c r="F270" s="2" t="s">
        <v>244</v>
      </c>
    </row>
    <row r="271">
      <c r="F271" s="2" t="s">
        <v>244</v>
      </c>
    </row>
    <row r="272">
      <c r="F272" s="2" t="s">
        <v>244</v>
      </c>
    </row>
    <row r="273">
      <c r="F273" s="2" t="s">
        <v>244</v>
      </c>
    </row>
    <row r="274">
      <c r="F274" s="2" t="s">
        <v>244</v>
      </c>
    </row>
    <row r="275">
      <c r="F275" s="2" t="s">
        <v>244</v>
      </c>
    </row>
    <row r="276">
      <c r="F276" s="2" t="s">
        <v>244</v>
      </c>
    </row>
    <row r="277">
      <c r="F277" s="2" t="s">
        <v>244</v>
      </c>
    </row>
    <row r="278">
      <c r="F278" s="2" t="s">
        <v>244</v>
      </c>
    </row>
    <row r="279">
      <c r="F279" s="2" t="s">
        <v>244</v>
      </c>
    </row>
    <row r="280">
      <c r="F280" s="2" t="s">
        <v>244</v>
      </c>
    </row>
    <row r="281">
      <c r="F281" s="2" t="s">
        <v>244</v>
      </c>
    </row>
    <row r="282">
      <c r="F282" s="2" t="s">
        <v>244</v>
      </c>
    </row>
    <row r="283">
      <c r="F283" s="2" t="s">
        <v>244</v>
      </c>
    </row>
    <row r="284">
      <c r="F284" s="2" t="s">
        <v>244</v>
      </c>
    </row>
    <row r="285">
      <c r="F285" s="2" t="s">
        <v>244</v>
      </c>
    </row>
    <row r="286">
      <c r="F286" s="2" t="s">
        <v>244</v>
      </c>
    </row>
    <row r="287">
      <c r="F287" s="2" t="s">
        <v>244</v>
      </c>
    </row>
    <row r="288">
      <c r="F288" s="2" t="s">
        <v>244</v>
      </c>
    </row>
    <row r="289">
      <c r="F289" s="2" t="s">
        <v>244</v>
      </c>
    </row>
    <row r="290">
      <c r="F290" s="2" t="s">
        <v>244</v>
      </c>
    </row>
    <row r="291">
      <c r="F291" s="2" t="s">
        <v>244</v>
      </c>
    </row>
    <row r="292">
      <c r="F292" s="2" t="s">
        <v>244</v>
      </c>
    </row>
    <row r="293">
      <c r="F293" s="2" t="s">
        <v>244</v>
      </c>
    </row>
    <row r="294">
      <c r="F294" s="2" t="s">
        <v>244</v>
      </c>
    </row>
    <row r="295">
      <c r="F295" s="2" t="s">
        <v>244</v>
      </c>
    </row>
    <row r="296">
      <c r="F296" s="2" t="s">
        <v>244</v>
      </c>
    </row>
    <row r="297">
      <c r="F297" s="2" t="s">
        <v>244</v>
      </c>
    </row>
    <row r="298">
      <c r="F298" s="2" t="s">
        <v>244</v>
      </c>
    </row>
    <row r="299">
      <c r="F299" s="2" t="s">
        <v>244</v>
      </c>
    </row>
    <row r="300">
      <c r="F300" s="2" t="s">
        <v>244</v>
      </c>
    </row>
    <row r="301">
      <c r="F301" s="2" t="s">
        <v>244</v>
      </c>
    </row>
    <row r="302">
      <c r="F302" s="2" t="s">
        <v>244</v>
      </c>
    </row>
    <row r="303">
      <c r="F303" s="2" t="s">
        <v>244</v>
      </c>
    </row>
    <row r="304">
      <c r="F304" s="2" t="s">
        <v>244</v>
      </c>
    </row>
    <row r="305">
      <c r="F305" s="2" t="s">
        <v>244</v>
      </c>
    </row>
    <row r="306">
      <c r="F306" s="2" t="s">
        <v>244</v>
      </c>
    </row>
    <row r="307">
      <c r="F307" s="2" t="s">
        <v>244</v>
      </c>
    </row>
    <row r="308">
      <c r="F308" s="2" t="s">
        <v>244</v>
      </c>
    </row>
    <row r="309">
      <c r="F309" s="2" t="s">
        <v>244</v>
      </c>
    </row>
    <row r="310">
      <c r="F310" s="2" t="s">
        <v>244</v>
      </c>
    </row>
    <row r="311">
      <c r="F311" s="2" t="s">
        <v>244</v>
      </c>
    </row>
    <row r="312">
      <c r="F312" s="2" t="s">
        <v>244</v>
      </c>
    </row>
    <row r="313">
      <c r="F313" s="2" t="s">
        <v>244</v>
      </c>
    </row>
    <row r="314">
      <c r="F314" s="2" t="s">
        <v>244</v>
      </c>
    </row>
    <row r="315">
      <c r="F315" s="2" t="s">
        <v>244</v>
      </c>
    </row>
    <row r="316">
      <c r="F316" s="2" t="s">
        <v>244</v>
      </c>
    </row>
    <row r="317">
      <c r="F317" s="2" t="s">
        <v>244</v>
      </c>
    </row>
    <row r="318">
      <c r="F318" s="2" t="s">
        <v>244</v>
      </c>
    </row>
    <row r="319">
      <c r="F319" s="2" t="s">
        <v>244</v>
      </c>
    </row>
    <row r="320">
      <c r="F320" s="2" t="s">
        <v>244</v>
      </c>
    </row>
    <row r="321">
      <c r="F321" s="2" t="s">
        <v>244</v>
      </c>
    </row>
    <row r="322">
      <c r="F322" s="2" t="s">
        <v>244</v>
      </c>
    </row>
    <row r="323">
      <c r="F323" s="2" t="s">
        <v>244</v>
      </c>
    </row>
    <row r="324">
      <c r="F324" s="2" t="s">
        <v>244</v>
      </c>
    </row>
    <row r="325">
      <c r="F325" s="2" t="s">
        <v>244</v>
      </c>
    </row>
    <row r="326">
      <c r="F326" s="2" t="s">
        <v>244</v>
      </c>
    </row>
    <row r="327">
      <c r="F327" s="2" t="s">
        <v>244</v>
      </c>
    </row>
    <row r="328">
      <c r="F328" s="2" t="s">
        <v>244</v>
      </c>
    </row>
    <row r="329">
      <c r="F329" s="2" t="s">
        <v>244</v>
      </c>
    </row>
    <row r="330">
      <c r="F330" s="2" t="s">
        <v>244</v>
      </c>
    </row>
    <row r="331">
      <c r="F331" s="2" t="s">
        <v>244</v>
      </c>
    </row>
    <row r="332">
      <c r="F332" s="2" t="s">
        <v>244</v>
      </c>
    </row>
    <row r="333">
      <c r="F333" s="2" t="s">
        <v>244</v>
      </c>
    </row>
    <row r="334">
      <c r="F334" s="2" t="s">
        <v>244</v>
      </c>
    </row>
    <row r="335">
      <c r="F335" s="2" t="s">
        <v>244</v>
      </c>
    </row>
    <row r="336">
      <c r="F336" s="2" t="s">
        <v>244</v>
      </c>
    </row>
    <row r="337">
      <c r="F337" s="2" t="s">
        <v>244</v>
      </c>
    </row>
    <row r="338">
      <c r="F338" s="2" t="s">
        <v>244</v>
      </c>
    </row>
    <row r="339">
      <c r="F339" s="2" t="s">
        <v>244</v>
      </c>
    </row>
    <row r="340">
      <c r="F340" s="2" t="s">
        <v>244</v>
      </c>
    </row>
    <row r="341">
      <c r="F341" s="2" t="s">
        <v>244</v>
      </c>
    </row>
    <row r="342">
      <c r="F342" s="2" t="s">
        <v>244</v>
      </c>
    </row>
    <row r="343">
      <c r="F343" s="2" t="s">
        <v>244</v>
      </c>
    </row>
    <row r="344">
      <c r="F344" s="2" t="s">
        <v>244</v>
      </c>
    </row>
    <row r="345">
      <c r="F345" s="2" t="s">
        <v>244</v>
      </c>
    </row>
    <row r="346">
      <c r="F346" s="2" t="s">
        <v>244</v>
      </c>
    </row>
    <row r="347">
      <c r="F347" s="2" t="s">
        <v>244</v>
      </c>
    </row>
    <row r="348">
      <c r="F348" s="2" t="s">
        <v>244</v>
      </c>
    </row>
    <row r="349">
      <c r="F349" s="2" t="s">
        <v>244</v>
      </c>
    </row>
    <row r="350">
      <c r="F350" s="2" t="s">
        <v>244</v>
      </c>
    </row>
    <row r="351">
      <c r="F351" s="2" t="s">
        <v>244</v>
      </c>
    </row>
    <row r="352">
      <c r="F352" s="2" t="s">
        <v>244</v>
      </c>
    </row>
    <row r="353">
      <c r="F353" s="2" t="s">
        <v>244</v>
      </c>
    </row>
    <row r="354">
      <c r="F354" s="2" t="s">
        <v>244</v>
      </c>
    </row>
    <row r="355">
      <c r="F355" s="2" t="s">
        <v>244</v>
      </c>
    </row>
    <row r="356">
      <c r="F356" s="2" t="s">
        <v>244</v>
      </c>
    </row>
    <row r="357">
      <c r="F357" s="2" t="s">
        <v>244</v>
      </c>
    </row>
    <row r="358">
      <c r="F358" s="2" t="s">
        <v>244</v>
      </c>
    </row>
    <row r="359">
      <c r="F359" s="2" t="s">
        <v>244</v>
      </c>
    </row>
    <row r="360">
      <c r="F360" s="2" t="s">
        <v>244</v>
      </c>
    </row>
    <row r="361">
      <c r="F361" s="2" t="s">
        <v>244</v>
      </c>
    </row>
    <row r="362">
      <c r="F362" s="2" t="s">
        <v>244</v>
      </c>
    </row>
    <row r="363">
      <c r="F363" s="2" t="s">
        <v>244</v>
      </c>
    </row>
    <row r="364">
      <c r="F364" s="2" t="s">
        <v>244</v>
      </c>
    </row>
    <row r="365">
      <c r="F365" s="2" t="s">
        <v>244</v>
      </c>
    </row>
    <row r="366">
      <c r="F366" s="2" t="s">
        <v>244</v>
      </c>
    </row>
    <row r="367">
      <c r="F367" s="2" t="s">
        <v>244</v>
      </c>
    </row>
    <row r="368">
      <c r="F368" s="2" t="s">
        <v>244</v>
      </c>
    </row>
    <row r="369">
      <c r="F369" s="2" t="s">
        <v>244</v>
      </c>
    </row>
    <row r="370">
      <c r="F370" s="2" t="s">
        <v>244</v>
      </c>
    </row>
    <row r="371">
      <c r="F371" s="2" t="s">
        <v>244</v>
      </c>
    </row>
    <row r="372">
      <c r="F372" s="2" t="s">
        <v>244</v>
      </c>
    </row>
    <row r="373">
      <c r="F373" s="2" t="s">
        <v>244</v>
      </c>
    </row>
    <row r="374">
      <c r="F374" s="2" t="s">
        <v>244</v>
      </c>
    </row>
    <row r="375">
      <c r="F375" s="2" t="s">
        <v>244</v>
      </c>
    </row>
    <row r="376">
      <c r="F376" s="2" t="s">
        <v>244</v>
      </c>
    </row>
    <row r="377">
      <c r="F377" s="2" t="s">
        <v>244</v>
      </c>
    </row>
    <row r="378">
      <c r="F378" s="2" t="s">
        <v>244</v>
      </c>
    </row>
    <row r="379">
      <c r="F379" s="2" t="s">
        <v>244</v>
      </c>
    </row>
    <row r="380">
      <c r="F380" s="2" t="s">
        <v>244</v>
      </c>
    </row>
    <row r="381">
      <c r="F381" s="2" t="s">
        <v>244</v>
      </c>
    </row>
    <row r="382">
      <c r="F382" s="2" t="s">
        <v>244</v>
      </c>
    </row>
    <row r="383">
      <c r="F383" s="2" t="s">
        <v>244</v>
      </c>
    </row>
    <row r="384">
      <c r="F384" s="2" t="s">
        <v>244</v>
      </c>
    </row>
    <row r="385">
      <c r="F385" s="2" t="s">
        <v>244</v>
      </c>
    </row>
    <row r="386">
      <c r="F386" s="2" t="s">
        <v>244</v>
      </c>
    </row>
    <row r="387">
      <c r="F387" s="2" t="s">
        <v>244</v>
      </c>
    </row>
    <row r="388">
      <c r="F388" s="2" t="s">
        <v>244</v>
      </c>
    </row>
    <row r="389">
      <c r="F389" s="2" t="s">
        <v>244</v>
      </c>
    </row>
    <row r="390">
      <c r="F390" s="2" t="s">
        <v>244</v>
      </c>
    </row>
    <row r="391">
      <c r="F391" s="2" t="s">
        <v>244</v>
      </c>
    </row>
    <row r="392">
      <c r="F392" s="2" t="s">
        <v>244</v>
      </c>
    </row>
    <row r="393">
      <c r="F393" s="2" t="s">
        <v>244</v>
      </c>
    </row>
    <row r="394">
      <c r="F394" s="2" t="s">
        <v>244</v>
      </c>
    </row>
    <row r="395">
      <c r="F395" s="2" t="s">
        <v>244</v>
      </c>
    </row>
    <row r="396">
      <c r="F396" s="2" t="s">
        <v>244</v>
      </c>
    </row>
    <row r="397">
      <c r="F397" s="2" t="s">
        <v>244</v>
      </c>
    </row>
    <row r="398">
      <c r="F398" s="2" t="s">
        <v>244</v>
      </c>
    </row>
    <row r="399">
      <c r="F399" s="2" t="s">
        <v>244</v>
      </c>
    </row>
    <row r="400">
      <c r="F400" s="2" t="s">
        <v>244</v>
      </c>
    </row>
    <row r="401">
      <c r="F401" s="2" t="s">
        <v>244</v>
      </c>
    </row>
    <row r="402">
      <c r="F402" s="2" t="s">
        <v>244</v>
      </c>
    </row>
    <row r="403">
      <c r="F403" s="2" t="s">
        <v>244</v>
      </c>
    </row>
    <row r="404">
      <c r="F404" s="2" t="s">
        <v>244</v>
      </c>
    </row>
    <row r="405">
      <c r="F405" s="2" t="s">
        <v>244</v>
      </c>
    </row>
    <row r="406">
      <c r="F406" s="2" t="s">
        <v>244</v>
      </c>
    </row>
    <row r="407">
      <c r="F407" s="2" t="s">
        <v>244</v>
      </c>
    </row>
    <row r="408">
      <c r="F408" s="2" t="s">
        <v>244</v>
      </c>
    </row>
    <row r="409">
      <c r="F409" s="2" t="s">
        <v>244</v>
      </c>
    </row>
    <row r="410">
      <c r="F410" s="2" t="s">
        <v>244</v>
      </c>
    </row>
    <row r="411">
      <c r="F411" s="2" t="s">
        <v>244</v>
      </c>
    </row>
    <row r="412">
      <c r="F412" s="2" t="s">
        <v>244</v>
      </c>
    </row>
    <row r="413">
      <c r="F413" s="2" t="s">
        <v>244</v>
      </c>
    </row>
    <row r="414">
      <c r="F414" s="2" t="s">
        <v>244</v>
      </c>
    </row>
    <row r="415">
      <c r="F415" s="2" t="s">
        <v>244</v>
      </c>
    </row>
    <row r="416">
      <c r="F416" s="2" t="s">
        <v>244</v>
      </c>
    </row>
    <row r="417">
      <c r="F417" s="2" t="s">
        <v>244</v>
      </c>
    </row>
    <row r="418">
      <c r="F418" s="2" t="s">
        <v>244</v>
      </c>
    </row>
    <row r="419">
      <c r="F419" s="2" t="s">
        <v>244</v>
      </c>
    </row>
    <row r="420">
      <c r="F420" s="2" t="s">
        <v>244</v>
      </c>
    </row>
    <row r="421">
      <c r="F421" s="2" t="s">
        <v>244</v>
      </c>
    </row>
    <row r="422">
      <c r="F422" s="2" t="s">
        <v>244</v>
      </c>
    </row>
    <row r="423">
      <c r="F423" s="2" t="s">
        <v>244</v>
      </c>
    </row>
    <row r="424">
      <c r="F424" s="2" t="s">
        <v>244</v>
      </c>
    </row>
    <row r="425">
      <c r="F425" s="2" t="s">
        <v>244</v>
      </c>
    </row>
    <row r="426">
      <c r="F426" s="2" t="s">
        <v>244</v>
      </c>
    </row>
    <row r="427">
      <c r="F427" s="2" t="s">
        <v>244</v>
      </c>
    </row>
    <row r="428">
      <c r="F428" s="2" t="s">
        <v>244</v>
      </c>
    </row>
    <row r="429">
      <c r="F429" s="2" t="s">
        <v>244</v>
      </c>
    </row>
    <row r="430">
      <c r="F430" s="2" t="s">
        <v>244</v>
      </c>
    </row>
    <row r="431">
      <c r="F431" s="2" t="s">
        <v>244</v>
      </c>
    </row>
    <row r="432">
      <c r="F432" s="2" t="s">
        <v>244</v>
      </c>
    </row>
    <row r="433">
      <c r="F433" s="2" t="s">
        <v>244</v>
      </c>
    </row>
    <row r="434">
      <c r="F434" s="2" t="s">
        <v>244</v>
      </c>
    </row>
    <row r="435">
      <c r="F435" s="2" t="s">
        <v>244</v>
      </c>
    </row>
    <row r="436">
      <c r="F436" s="2" t="s">
        <v>244</v>
      </c>
    </row>
    <row r="437">
      <c r="F437" s="2" t="s">
        <v>244</v>
      </c>
    </row>
    <row r="438">
      <c r="F438" s="2" t="s">
        <v>244</v>
      </c>
    </row>
    <row r="439">
      <c r="F439" s="2" t="s">
        <v>244</v>
      </c>
    </row>
    <row r="440">
      <c r="F440" s="2" t="s">
        <v>244</v>
      </c>
    </row>
    <row r="441">
      <c r="F441" s="2" t="s">
        <v>244</v>
      </c>
    </row>
    <row r="442">
      <c r="F442" s="2" t="s">
        <v>244</v>
      </c>
    </row>
    <row r="443">
      <c r="F443" s="2" t="s">
        <v>244</v>
      </c>
    </row>
    <row r="444">
      <c r="F444" s="2" t="s">
        <v>244</v>
      </c>
    </row>
    <row r="445">
      <c r="F445" s="2" t="s">
        <v>244</v>
      </c>
    </row>
    <row r="446">
      <c r="F446" s="2" t="s">
        <v>244</v>
      </c>
    </row>
    <row r="447">
      <c r="F447" s="2" t="s">
        <v>244</v>
      </c>
    </row>
    <row r="448">
      <c r="F448" s="2" t="s">
        <v>244</v>
      </c>
    </row>
    <row r="449">
      <c r="F449" s="2" t="s">
        <v>244</v>
      </c>
    </row>
    <row r="450">
      <c r="F450" s="2" t="s">
        <v>244</v>
      </c>
    </row>
    <row r="451">
      <c r="F451" s="2" t="s">
        <v>244</v>
      </c>
    </row>
    <row r="452">
      <c r="F452" s="2" t="s">
        <v>244</v>
      </c>
    </row>
    <row r="453">
      <c r="F453" s="2" t="s">
        <v>244</v>
      </c>
    </row>
    <row r="454">
      <c r="F454" s="2" t="s">
        <v>244</v>
      </c>
    </row>
    <row r="455">
      <c r="F455" s="2" t="s">
        <v>244</v>
      </c>
    </row>
    <row r="456">
      <c r="F456" s="2" t="s">
        <v>244</v>
      </c>
    </row>
    <row r="457">
      <c r="F457" s="2" t="s">
        <v>244</v>
      </c>
    </row>
    <row r="458">
      <c r="F458" s="2" t="s">
        <v>244</v>
      </c>
    </row>
    <row r="459">
      <c r="F459" s="2" t="s">
        <v>244</v>
      </c>
    </row>
    <row r="460">
      <c r="F460" s="2" t="s">
        <v>244</v>
      </c>
    </row>
    <row r="461">
      <c r="F461" s="2" t="s">
        <v>244</v>
      </c>
    </row>
    <row r="462">
      <c r="F462" s="2" t="s">
        <v>244</v>
      </c>
    </row>
    <row r="463">
      <c r="F463" s="2" t="s">
        <v>244</v>
      </c>
    </row>
    <row r="464">
      <c r="F464" s="2" t="s">
        <v>244</v>
      </c>
    </row>
    <row r="465">
      <c r="F465" s="2" t="s">
        <v>244</v>
      </c>
    </row>
    <row r="466">
      <c r="F466" s="2" t="s">
        <v>244</v>
      </c>
    </row>
    <row r="467">
      <c r="F467" s="2" t="s">
        <v>244</v>
      </c>
    </row>
    <row r="468">
      <c r="F468" s="2" t="s">
        <v>244</v>
      </c>
    </row>
    <row r="469">
      <c r="F469" s="2" t="s">
        <v>244</v>
      </c>
    </row>
    <row r="470">
      <c r="F470" s="2" t="s">
        <v>244</v>
      </c>
    </row>
    <row r="471">
      <c r="F471" s="2" t="s">
        <v>244</v>
      </c>
    </row>
    <row r="472">
      <c r="F472" s="2" t="s">
        <v>244</v>
      </c>
    </row>
    <row r="473">
      <c r="F473" s="2" t="s">
        <v>244</v>
      </c>
    </row>
    <row r="474">
      <c r="F474" s="2" t="s">
        <v>244</v>
      </c>
    </row>
    <row r="475">
      <c r="F475" s="2" t="s">
        <v>244</v>
      </c>
    </row>
    <row r="476">
      <c r="F476" s="2" t="s">
        <v>244</v>
      </c>
    </row>
    <row r="477">
      <c r="F477" s="2" t="s">
        <v>244</v>
      </c>
    </row>
    <row r="478">
      <c r="F478" s="2" t="s">
        <v>244</v>
      </c>
    </row>
    <row r="479">
      <c r="F479" s="2" t="s">
        <v>244</v>
      </c>
    </row>
    <row r="480">
      <c r="F480" s="2" t="s">
        <v>244</v>
      </c>
    </row>
    <row r="481">
      <c r="F481" s="2" t="s">
        <v>244</v>
      </c>
    </row>
    <row r="482">
      <c r="F482" s="2" t="s">
        <v>244</v>
      </c>
    </row>
    <row r="483">
      <c r="F483" s="2" t="s">
        <v>244</v>
      </c>
    </row>
    <row r="484">
      <c r="F484" s="2" t="s">
        <v>244</v>
      </c>
    </row>
    <row r="485">
      <c r="F485" s="2" t="s">
        <v>244</v>
      </c>
    </row>
    <row r="486">
      <c r="F486" s="2" t="s">
        <v>244</v>
      </c>
    </row>
    <row r="487">
      <c r="F487" s="2" t="s">
        <v>244</v>
      </c>
    </row>
    <row r="488">
      <c r="F488" s="2" t="s">
        <v>244</v>
      </c>
    </row>
    <row r="489">
      <c r="F489" s="2" t="s">
        <v>244</v>
      </c>
    </row>
    <row r="490">
      <c r="F490" s="2" t="s">
        <v>244</v>
      </c>
    </row>
    <row r="491">
      <c r="F491" s="2" t="s">
        <v>244</v>
      </c>
    </row>
    <row r="492">
      <c r="F492" s="2" t="s">
        <v>244</v>
      </c>
    </row>
    <row r="493">
      <c r="F493" s="2" t="s">
        <v>244</v>
      </c>
    </row>
    <row r="494">
      <c r="F494" s="2" t="s">
        <v>244</v>
      </c>
    </row>
    <row r="495">
      <c r="F495" s="2" t="s">
        <v>244</v>
      </c>
    </row>
    <row r="496">
      <c r="F496" s="2" t="s">
        <v>244</v>
      </c>
    </row>
    <row r="497">
      <c r="F497" s="2" t="s">
        <v>244</v>
      </c>
    </row>
    <row r="498">
      <c r="F498" s="2" t="s">
        <v>244</v>
      </c>
    </row>
    <row r="499">
      <c r="F499" s="2" t="s">
        <v>244</v>
      </c>
    </row>
    <row r="500">
      <c r="F500" s="2" t="s">
        <v>244</v>
      </c>
    </row>
    <row r="501">
      <c r="F501" s="2" t="s">
        <v>244</v>
      </c>
    </row>
    <row r="502">
      <c r="F502" s="2" t="s">
        <v>244</v>
      </c>
    </row>
    <row r="503">
      <c r="F503" s="2" t="s">
        <v>244</v>
      </c>
    </row>
    <row r="504">
      <c r="F504" s="2" t="s">
        <v>244</v>
      </c>
    </row>
    <row r="505">
      <c r="F505" s="2" t="s">
        <v>244</v>
      </c>
    </row>
    <row r="506">
      <c r="F506" s="2" t="s">
        <v>244</v>
      </c>
    </row>
    <row r="507">
      <c r="F507" s="2" t="s">
        <v>244</v>
      </c>
    </row>
    <row r="508">
      <c r="F508" s="2" t="s">
        <v>244</v>
      </c>
    </row>
    <row r="509">
      <c r="F509" s="2" t="s">
        <v>244</v>
      </c>
    </row>
    <row r="510">
      <c r="F510" s="2" t="s">
        <v>244</v>
      </c>
    </row>
    <row r="511">
      <c r="F511" s="2" t="s">
        <v>244</v>
      </c>
    </row>
    <row r="512">
      <c r="F512" s="2" t="s">
        <v>244</v>
      </c>
    </row>
    <row r="513">
      <c r="F513" s="2" t="s">
        <v>244</v>
      </c>
    </row>
    <row r="514">
      <c r="F514" s="2" t="s">
        <v>244</v>
      </c>
    </row>
    <row r="515">
      <c r="F515" s="2" t="s">
        <v>244</v>
      </c>
    </row>
    <row r="516">
      <c r="F516" s="2" t="s">
        <v>244</v>
      </c>
    </row>
    <row r="517">
      <c r="F517" s="2" t="s">
        <v>244</v>
      </c>
    </row>
    <row r="518">
      <c r="F518" s="2" t="s">
        <v>244</v>
      </c>
    </row>
    <row r="519">
      <c r="F519" s="2" t="s">
        <v>244</v>
      </c>
    </row>
    <row r="520">
      <c r="F520" s="2" t="s">
        <v>244</v>
      </c>
    </row>
    <row r="521">
      <c r="F521" s="2" t="s">
        <v>244</v>
      </c>
    </row>
    <row r="522">
      <c r="F522" s="2" t="s">
        <v>244</v>
      </c>
    </row>
    <row r="523">
      <c r="F523" s="2" t="s">
        <v>244</v>
      </c>
    </row>
    <row r="524">
      <c r="F524" s="2" t="s">
        <v>244</v>
      </c>
    </row>
    <row r="525">
      <c r="F525" s="2" t="s">
        <v>244</v>
      </c>
    </row>
    <row r="526">
      <c r="F526" s="2" t="s">
        <v>244</v>
      </c>
    </row>
    <row r="527">
      <c r="F527" s="2" t="s">
        <v>244</v>
      </c>
    </row>
    <row r="528">
      <c r="F528" s="2" t="s">
        <v>244</v>
      </c>
    </row>
    <row r="529">
      <c r="F529" s="2" t="s">
        <v>244</v>
      </c>
    </row>
    <row r="530">
      <c r="F530" s="2" t="s">
        <v>244</v>
      </c>
    </row>
    <row r="531">
      <c r="F531" s="2" t="s">
        <v>244</v>
      </c>
    </row>
    <row r="532">
      <c r="F532" s="2" t="s">
        <v>244</v>
      </c>
    </row>
    <row r="533">
      <c r="F533" s="2" t="s">
        <v>244</v>
      </c>
    </row>
    <row r="534">
      <c r="F534" s="2" t="s">
        <v>244</v>
      </c>
    </row>
    <row r="535">
      <c r="F535" s="2" t="s">
        <v>244</v>
      </c>
    </row>
    <row r="536">
      <c r="F536" s="2" t="s">
        <v>244</v>
      </c>
    </row>
    <row r="537">
      <c r="F537" s="2" t="s">
        <v>244</v>
      </c>
    </row>
    <row r="538">
      <c r="F538" s="2" t="s">
        <v>244</v>
      </c>
    </row>
    <row r="539">
      <c r="F539" s="2" t="s">
        <v>244</v>
      </c>
    </row>
    <row r="540">
      <c r="F540" s="2" t="s">
        <v>244</v>
      </c>
    </row>
    <row r="541">
      <c r="F541" s="2" t="s">
        <v>244</v>
      </c>
    </row>
    <row r="542">
      <c r="F542" s="2" t="s">
        <v>244</v>
      </c>
    </row>
    <row r="543">
      <c r="F543" s="2" t="s">
        <v>244</v>
      </c>
    </row>
    <row r="544">
      <c r="F544" s="2" t="s">
        <v>244</v>
      </c>
    </row>
    <row r="545">
      <c r="F545" s="2" t="s">
        <v>244</v>
      </c>
    </row>
    <row r="546">
      <c r="F546" s="2" t="s">
        <v>244</v>
      </c>
    </row>
    <row r="547">
      <c r="F547" s="2" t="s">
        <v>244</v>
      </c>
    </row>
    <row r="548">
      <c r="F548" s="2" t="s">
        <v>244</v>
      </c>
    </row>
    <row r="549">
      <c r="F549" s="2" t="s">
        <v>244</v>
      </c>
    </row>
    <row r="550">
      <c r="F550" s="2" t="s">
        <v>244</v>
      </c>
    </row>
    <row r="551">
      <c r="F551" s="2" t="s">
        <v>244</v>
      </c>
    </row>
    <row r="552">
      <c r="F552" s="2" t="s">
        <v>244</v>
      </c>
    </row>
    <row r="553">
      <c r="F553" s="2" t="s">
        <v>244</v>
      </c>
    </row>
    <row r="554">
      <c r="F554" s="2" t="s">
        <v>244</v>
      </c>
    </row>
    <row r="555">
      <c r="F555" s="2" t="s">
        <v>244</v>
      </c>
    </row>
    <row r="556">
      <c r="F556" s="2" t="s">
        <v>244</v>
      </c>
    </row>
    <row r="557">
      <c r="F557" s="2" t="s">
        <v>244</v>
      </c>
    </row>
    <row r="558">
      <c r="F558" s="2" t="s">
        <v>244</v>
      </c>
    </row>
    <row r="559">
      <c r="F559" s="2" t="s">
        <v>244</v>
      </c>
    </row>
    <row r="560">
      <c r="F560" s="2" t="s">
        <v>244</v>
      </c>
    </row>
    <row r="561">
      <c r="F561" s="2" t="s">
        <v>244</v>
      </c>
    </row>
    <row r="562">
      <c r="F562" s="2" t="s">
        <v>244</v>
      </c>
    </row>
    <row r="563">
      <c r="F563" s="2" t="s">
        <v>244</v>
      </c>
    </row>
    <row r="564">
      <c r="F564" s="2" t="s">
        <v>244</v>
      </c>
    </row>
    <row r="565">
      <c r="F565" s="2" t="s">
        <v>244</v>
      </c>
    </row>
    <row r="566">
      <c r="F566" s="2" t="s">
        <v>244</v>
      </c>
    </row>
    <row r="567">
      <c r="F567" s="2" t="s">
        <v>244</v>
      </c>
    </row>
    <row r="568">
      <c r="F568" s="2" t="s">
        <v>244</v>
      </c>
    </row>
    <row r="569">
      <c r="F569" s="2" t="s">
        <v>244</v>
      </c>
    </row>
    <row r="570">
      <c r="F570" s="2" t="s">
        <v>244</v>
      </c>
    </row>
    <row r="571">
      <c r="F571" s="2" t="s">
        <v>244</v>
      </c>
    </row>
    <row r="572">
      <c r="F572" s="2" t="s">
        <v>244</v>
      </c>
    </row>
    <row r="573">
      <c r="F573" s="2" t="s">
        <v>244</v>
      </c>
    </row>
    <row r="574">
      <c r="F574" s="2" t="s">
        <v>244</v>
      </c>
    </row>
    <row r="575">
      <c r="F575" s="2" t="s">
        <v>244</v>
      </c>
    </row>
    <row r="576">
      <c r="F576" s="2" t="s">
        <v>244</v>
      </c>
    </row>
    <row r="577">
      <c r="F577" s="2" t="s">
        <v>244</v>
      </c>
    </row>
    <row r="578">
      <c r="F578" s="2" t="s">
        <v>244</v>
      </c>
    </row>
    <row r="579">
      <c r="F579" s="2" t="s">
        <v>244</v>
      </c>
    </row>
    <row r="580">
      <c r="F580" s="2" t="s">
        <v>244</v>
      </c>
    </row>
    <row r="581">
      <c r="F581" s="2" t="s">
        <v>244</v>
      </c>
    </row>
    <row r="582">
      <c r="F582" s="2" t="s">
        <v>244</v>
      </c>
    </row>
    <row r="583">
      <c r="F583" s="2" t="s">
        <v>244</v>
      </c>
    </row>
    <row r="584">
      <c r="F584" s="2" t="s">
        <v>244</v>
      </c>
    </row>
    <row r="585">
      <c r="F585" s="2" t="s">
        <v>244</v>
      </c>
    </row>
    <row r="586">
      <c r="F586" s="2" t="s">
        <v>244</v>
      </c>
    </row>
    <row r="587">
      <c r="F587" s="2" t="s">
        <v>244</v>
      </c>
    </row>
    <row r="588">
      <c r="F588" s="2" t="s">
        <v>244</v>
      </c>
    </row>
    <row r="589">
      <c r="F589" s="2" t="s">
        <v>244</v>
      </c>
    </row>
    <row r="590">
      <c r="F590" s="2" t="s">
        <v>244</v>
      </c>
    </row>
    <row r="591">
      <c r="F591" s="2" t="s">
        <v>244</v>
      </c>
    </row>
    <row r="592">
      <c r="F592" s="2" t="s">
        <v>244</v>
      </c>
    </row>
    <row r="593">
      <c r="F593" s="2" t="s">
        <v>244</v>
      </c>
    </row>
    <row r="594">
      <c r="F594" s="2" t="s">
        <v>244</v>
      </c>
    </row>
    <row r="595">
      <c r="F595" s="2" t="s">
        <v>244</v>
      </c>
    </row>
    <row r="596">
      <c r="F596" s="2" t="s">
        <v>244</v>
      </c>
    </row>
    <row r="597">
      <c r="F597" s="2" t="s">
        <v>244</v>
      </c>
    </row>
    <row r="598">
      <c r="F598" s="2" t="s">
        <v>244</v>
      </c>
    </row>
    <row r="599">
      <c r="F599" s="2" t="s">
        <v>244</v>
      </c>
    </row>
    <row r="600">
      <c r="F600" s="2" t="s">
        <v>244</v>
      </c>
    </row>
    <row r="601">
      <c r="F601" s="2" t="s">
        <v>244</v>
      </c>
    </row>
    <row r="602">
      <c r="F602" s="2" t="s">
        <v>244</v>
      </c>
    </row>
    <row r="603">
      <c r="F603" s="2" t="s">
        <v>244</v>
      </c>
    </row>
    <row r="604">
      <c r="F604" s="2" t="s">
        <v>244</v>
      </c>
    </row>
    <row r="605">
      <c r="F605" s="2" t="s">
        <v>244</v>
      </c>
    </row>
    <row r="606">
      <c r="F606" s="2" t="s">
        <v>244</v>
      </c>
    </row>
    <row r="607">
      <c r="F607" s="2" t="s">
        <v>244</v>
      </c>
    </row>
    <row r="608">
      <c r="F608" s="2" t="s">
        <v>244</v>
      </c>
    </row>
    <row r="609">
      <c r="F609" s="2" t="s">
        <v>244</v>
      </c>
    </row>
    <row r="610">
      <c r="F610" s="2" t="s">
        <v>244</v>
      </c>
    </row>
    <row r="611">
      <c r="F611" s="2" t="s">
        <v>244</v>
      </c>
    </row>
    <row r="612">
      <c r="F612" s="2" t="s">
        <v>244</v>
      </c>
    </row>
    <row r="613">
      <c r="F613" s="2" t="s">
        <v>244</v>
      </c>
    </row>
    <row r="614">
      <c r="F614" s="2" t="s">
        <v>244</v>
      </c>
    </row>
    <row r="615">
      <c r="F615" s="2" t="s">
        <v>244</v>
      </c>
    </row>
    <row r="616">
      <c r="F616" s="2" t="s">
        <v>244</v>
      </c>
    </row>
    <row r="617">
      <c r="F617" s="2" t="s">
        <v>244</v>
      </c>
    </row>
    <row r="618">
      <c r="F618" s="2" t="s">
        <v>244</v>
      </c>
    </row>
    <row r="619">
      <c r="F619" s="2" t="s">
        <v>244</v>
      </c>
    </row>
    <row r="620">
      <c r="F620" s="2" t="s">
        <v>244</v>
      </c>
    </row>
    <row r="621">
      <c r="F621" s="2" t="s">
        <v>244</v>
      </c>
    </row>
    <row r="622">
      <c r="F622" s="2" t="s">
        <v>244</v>
      </c>
    </row>
    <row r="623">
      <c r="F623" s="2" t="s">
        <v>244</v>
      </c>
    </row>
    <row r="624">
      <c r="F624" s="2" t="s">
        <v>244</v>
      </c>
    </row>
    <row r="625">
      <c r="F625" s="2" t="s">
        <v>244</v>
      </c>
    </row>
    <row r="626">
      <c r="F626" s="2" t="s">
        <v>244</v>
      </c>
    </row>
    <row r="627">
      <c r="F627" s="2" t="s">
        <v>244</v>
      </c>
    </row>
    <row r="628">
      <c r="F628" s="2" t="s">
        <v>244</v>
      </c>
    </row>
    <row r="629">
      <c r="F629" s="2" t="s">
        <v>244</v>
      </c>
    </row>
    <row r="630">
      <c r="F630" s="2" t="s">
        <v>244</v>
      </c>
    </row>
    <row r="631">
      <c r="F631" s="2" t="s">
        <v>244</v>
      </c>
    </row>
    <row r="632">
      <c r="F632" s="2" t="s">
        <v>244</v>
      </c>
    </row>
    <row r="633">
      <c r="F633" s="2" t="s">
        <v>244</v>
      </c>
    </row>
    <row r="634">
      <c r="F634" s="2" t="s">
        <v>244</v>
      </c>
    </row>
    <row r="635">
      <c r="F635" s="2" t="s">
        <v>244</v>
      </c>
    </row>
    <row r="636">
      <c r="F636" s="2" t="s">
        <v>244</v>
      </c>
    </row>
    <row r="637">
      <c r="F637" s="2" t="s">
        <v>244</v>
      </c>
    </row>
    <row r="638">
      <c r="F638" s="2" t="s">
        <v>244</v>
      </c>
    </row>
    <row r="639">
      <c r="F639" s="2" t="s">
        <v>244</v>
      </c>
    </row>
    <row r="640">
      <c r="F640" s="2" t="s">
        <v>244</v>
      </c>
    </row>
    <row r="641">
      <c r="F641" s="2" t="s">
        <v>244</v>
      </c>
    </row>
    <row r="642">
      <c r="F642" s="2" t="s">
        <v>244</v>
      </c>
    </row>
    <row r="643">
      <c r="F643" s="2" t="s">
        <v>244</v>
      </c>
    </row>
    <row r="644">
      <c r="F644" s="2" t="s">
        <v>244</v>
      </c>
    </row>
    <row r="645">
      <c r="F645" s="2" t="s">
        <v>244</v>
      </c>
    </row>
    <row r="646">
      <c r="F646" s="2" t="s">
        <v>244</v>
      </c>
    </row>
    <row r="647">
      <c r="F647" s="2" t="s">
        <v>244</v>
      </c>
    </row>
    <row r="648">
      <c r="F648" s="2" t="s">
        <v>244</v>
      </c>
    </row>
    <row r="649">
      <c r="F649" s="2" t="s">
        <v>244</v>
      </c>
    </row>
    <row r="650">
      <c r="F650" s="2" t="s">
        <v>244</v>
      </c>
    </row>
    <row r="651">
      <c r="F651" s="2" t="s">
        <v>244</v>
      </c>
    </row>
    <row r="652">
      <c r="F652" s="2" t="s">
        <v>244</v>
      </c>
    </row>
    <row r="653">
      <c r="F653" s="2" t="s">
        <v>244</v>
      </c>
    </row>
    <row r="654">
      <c r="F654" s="2" t="s">
        <v>244</v>
      </c>
    </row>
    <row r="655">
      <c r="F655" s="2" t="s">
        <v>244</v>
      </c>
    </row>
    <row r="656">
      <c r="F656" s="2" t="s">
        <v>244</v>
      </c>
    </row>
    <row r="657">
      <c r="F657" s="2" t="s">
        <v>244</v>
      </c>
    </row>
    <row r="658">
      <c r="F658" s="2" t="s">
        <v>244</v>
      </c>
    </row>
    <row r="659">
      <c r="F659" s="2" t="s">
        <v>244</v>
      </c>
    </row>
    <row r="660">
      <c r="F660" s="2" t="s">
        <v>244</v>
      </c>
    </row>
    <row r="661">
      <c r="F661" s="2" t="s">
        <v>244</v>
      </c>
    </row>
    <row r="662">
      <c r="F662" s="2" t="s">
        <v>244</v>
      </c>
    </row>
    <row r="663">
      <c r="F663" s="2" t="s">
        <v>244</v>
      </c>
    </row>
    <row r="664">
      <c r="F664" s="2" t="s">
        <v>244</v>
      </c>
    </row>
    <row r="665">
      <c r="F665" s="2" t="s">
        <v>244</v>
      </c>
    </row>
    <row r="666">
      <c r="F666" s="2" t="s">
        <v>244</v>
      </c>
    </row>
    <row r="667">
      <c r="F667" s="2" t="s">
        <v>244</v>
      </c>
    </row>
    <row r="668">
      <c r="F668" s="2" t="s">
        <v>244</v>
      </c>
    </row>
    <row r="669">
      <c r="F669" s="2" t="s">
        <v>244</v>
      </c>
    </row>
    <row r="670">
      <c r="F670" s="2" t="s">
        <v>244</v>
      </c>
    </row>
    <row r="671">
      <c r="F671" s="2" t="s">
        <v>244</v>
      </c>
    </row>
    <row r="672">
      <c r="F672" s="2" t="s">
        <v>244</v>
      </c>
    </row>
    <row r="673">
      <c r="F673" s="2" t="s">
        <v>244</v>
      </c>
    </row>
    <row r="674">
      <c r="F674" s="2" t="s">
        <v>244</v>
      </c>
    </row>
    <row r="675">
      <c r="F675" s="2" t="s">
        <v>244</v>
      </c>
    </row>
    <row r="676">
      <c r="F676" s="2" t="s">
        <v>244</v>
      </c>
    </row>
    <row r="677">
      <c r="F677" s="2" t="s">
        <v>244</v>
      </c>
    </row>
    <row r="678">
      <c r="F678" s="2" t="s">
        <v>244</v>
      </c>
    </row>
    <row r="679">
      <c r="F679" s="2" t="s">
        <v>244</v>
      </c>
    </row>
    <row r="680">
      <c r="F680" s="2" t="s">
        <v>244</v>
      </c>
    </row>
    <row r="681">
      <c r="F681" s="2" t="s">
        <v>244</v>
      </c>
    </row>
    <row r="682">
      <c r="F682" s="2" t="s">
        <v>244</v>
      </c>
    </row>
    <row r="683">
      <c r="F683" s="2" t="s">
        <v>244</v>
      </c>
    </row>
    <row r="684">
      <c r="F684" s="2" t="s">
        <v>244</v>
      </c>
    </row>
    <row r="685">
      <c r="F685" s="2" t="s">
        <v>244</v>
      </c>
    </row>
    <row r="686">
      <c r="F686" s="2" t="s">
        <v>244</v>
      </c>
    </row>
    <row r="687">
      <c r="F687" s="2" t="s">
        <v>244</v>
      </c>
    </row>
    <row r="688">
      <c r="F688" s="2" t="s">
        <v>244</v>
      </c>
    </row>
    <row r="689">
      <c r="F689" s="2" t="s">
        <v>244</v>
      </c>
    </row>
    <row r="690">
      <c r="F690" s="2" t="s">
        <v>244</v>
      </c>
    </row>
    <row r="691">
      <c r="F691" s="2" t="s">
        <v>244</v>
      </c>
    </row>
    <row r="692">
      <c r="F692" s="2" t="s">
        <v>244</v>
      </c>
    </row>
    <row r="693">
      <c r="F693" s="2" t="s">
        <v>244</v>
      </c>
    </row>
    <row r="694">
      <c r="F694" s="2" t="s">
        <v>244</v>
      </c>
    </row>
    <row r="695">
      <c r="F695" s="2" t="s">
        <v>244</v>
      </c>
    </row>
    <row r="696">
      <c r="F696" s="2" t="s">
        <v>244</v>
      </c>
    </row>
    <row r="697">
      <c r="F697" s="2" t="s">
        <v>244</v>
      </c>
    </row>
    <row r="698">
      <c r="F698" s="2" t="s">
        <v>244</v>
      </c>
    </row>
    <row r="699">
      <c r="F699" s="2" t="s">
        <v>244</v>
      </c>
    </row>
    <row r="700">
      <c r="F700" s="2" t="s">
        <v>244</v>
      </c>
    </row>
    <row r="701">
      <c r="F701" s="2" t="s">
        <v>244</v>
      </c>
    </row>
    <row r="702">
      <c r="F702" s="2" t="s">
        <v>244</v>
      </c>
    </row>
    <row r="703">
      <c r="F703" s="2" t="s">
        <v>244</v>
      </c>
    </row>
    <row r="704">
      <c r="F704" s="2" t="s">
        <v>244</v>
      </c>
    </row>
    <row r="705">
      <c r="F705" s="2" t="s">
        <v>244</v>
      </c>
    </row>
    <row r="706">
      <c r="F706" s="2" t="s">
        <v>244</v>
      </c>
    </row>
    <row r="707">
      <c r="F707" s="2" t="s">
        <v>244</v>
      </c>
    </row>
    <row r="708">
      <c r="F708" s="2" t="s">
        <v>244</v>
      </c>
    </row>
    <row r="709">
      <c r="F709" s="2" t="s">
        <v>244</v>
      </c>
    </row>
    <row r="710">
      <c r="F710" s="2" t="s">
        <v>244</v>
      </c>
    </row>
    <row r="711">
      <c r="F711" s="2" t="s">
        <v>244</v>
      </c>
    </row>
    <row r="712">
      <c r="F712" s="2" t="s">
        <v>244</v>
      </c>
    </row>
    <row r="713">
      <c r="F713" s="2" t="s">
        <v>244</v>
      </c>
    </row>
    <row r="714">
      <c r="F714" s="2" t="s">
        <v>244</v>
      </c>
    </row>
    <row r="715">
      <c r="F715" s="2" t="s">
        <v>244</v>
      </c>
    </row>
    <row r="716">
      <c r="F716" s="2" t="s">
        <v>244</v>
      </c>
    </row>
    <row r="717">
      <c r="F717" s="2" t="s">
        <v>244</v>
      </c>
    </row>
    <row r="718">
      <c r="F718" s="2" t="s">
        <v>244</v>
      </c>
    </row>
    <row r="719">
      <c r="F719" s="2" t="s">
        <v>244</v>
      </c>
    </row>
    <row r="720">
      <c r="F720" s="2" t="s">
        <v>244</v>
      </c>
    </row>
    <row r="721">
      <c r="F721" s="2" t="s">
        <v>244</v>
      </c>
    </row>
    <row r="722">
      <c r="F722" s="2" t="s">
        <v>244</v>
      </c>
    </row>
    <row r="723">
      <c r="F723" s="2" t="s">
        <v>244</v>
      </c>
    </row>
    <row r="724">
      <c r="F724" s="2" t="s">
        <v>244</v>
      </c>
    </row>
    <row r="725">
      <c r="F725" s="2" t="s">
        <v>244</v>
      </c>
    </row>
    <row r="726">
      <c r="F726" s="2" t="s">
        <v>244</v>
      </c>
    </row>
    <row r="727">
      <c r="F727" s="2" t="s">
        <v>244</v>
      </c>
    </row>
    <row r="728">
      <c r="F728" s="2" t="s">
        <v>244</v>
      </c>
    </row>
    <row r="729">
      <c r="F729" s="2" t="s">
        <v>244</v>
      </c>
    </row>
    <row r="730">
      <c r="F730" s="2" t="s">
        <v>244</v>
      </c>
    </row>
    <row r="731">
      <c r="F731" s="2" t="s">
        <v>244</v>
      </c>
    </row>
    <row r="732">
      <c r="F732" s="2" t="s">
        <v>244</v>
      </c>
    </row>
    <row r="733">
      <c r="F733" s="2" t="s">
        <v>244</v>
      </c>
    </row>
    <row r="734">
      <c r="F734" s="2" t="s">
        <v>244</v>
      </c>
    </row>
    <row r="735">
      <c r="F735" s="2" t="s">
        <v>244</v>
      </c>
    </row>
    <row r="736">
      <c r="F736" s="2" t="s">
        <v>244</v>
      </c>
    </row>
    <row r="737">
      <c r="F737" s="2" t="s">
        <v>244</v>
      </c>
    </row>
    <row r="738">
      <c r="F738" s="2" t="s">
        <v>244</v>
      </c>
    </row>
    <row r="739">
      <c r="F739" s="2" t="s">
        <v>244</v>
      </c>
    </row>
    <row r="740">
      <c r="F740" s="2" t="s">
        <v>244</v>
      </c>
    </row>
    <row r="741">
      <c r="F741" s="2" t="s">
        <v>244</v>
      </c>
    </row>
    <row r="742">
      <c r="F742" s="2" t="s">
        <v>244</v>
      </c>
    </row>
    <row r="743">
      <c r="F743" s="2" t="s">
        <v>244</v>
      </c>
    </row>
    <row r="744">
      <c r="F744" s="2" t="s">
        <v>244</v>
      </c>
    </row>
    <row r="745">
      <c r="F745" s="2" t="s">
        <v>244</v>
      </c>
    </row>
    <row r="746">
      <c r="F746" s="2" t="s">
        <v>244</v>
      </c>
    </row>
    <row r="747">
      <c r="F747" s="2" t="s">
        <v>244</v>
      </c>
    </row>
    <row r="748">
      <c r="F748" s="2" t="s">
        <v>244</v>
      </c>
    </row>
    <row r="749">
      <c r="F749" s="2" t="s">
        <v>244</v>
      </c>
    </row>
    <row r="750">
      <c r="F750" s="2" t="s">
        <v>244</v>
      </c>
    </row>
    <row r="751">
      <c r="F751" s="2" t="s">
        <v>244</v>
      </c>
    </row>
    <row r="752">
      <c r="F752" s="2" t="s">
        <v>244</v>
      </c>
    </row>
    <row r="753">
      <c r="F753" s="2" t="s">
        <v>244</v>
      </c>
    </row>
    <row r="754">
      <c r="F754" s="2" t="s">
        <v>244</v>
      </c>
    </row>
    <row r="755">
      <c r="F755" s="2" t="s">
        <v>244</v>
      </c>
    </row>
    <row r="756">
      <c r="F756" s="2" t="s">
        <v>244</v>
      </c>
    </row>
    <row r="757">
      <c r="F757" s="2" t="s">
        <v>244</v>
      </c>
    </row>
    <row r="758">
      <c r="F758" s="2" t="s">
        <v>244</v>
      </c>
    </row>
    <row r="759">
      <c r="F759" s="2" t="s">
        <v>244</v>
      </c>
    </row>
    <row r="760">
      <c r="F760" s="2" t="s">
        <v>244</v>
      </c>
    </row>
    <row r="761">
      <c r="F761" s="2" t="s">
        <v>244</v>
      </c>
    </row>
    <row r="762">
      <c r="F762" s="2" t="s">
        <v>244</v>
      </c>
    </row>
    <row r="763">
      <c r="F763" s="2" t="s">
        <v>244</v>
      </c>
    </row>
    <row r="764">
      <c r="F764" s="2" t="s">
        <v>244</v>
      </c>
    </row>
    <row r="765">
      <c r="F765" s="2" t="s">
        <v>244</v>
      </c>
    </row>
    <row r="766">
      <c r="F766" s="2" t="s">
        <v>244</v>
      </c>
    </row>
    <row r="767">
      <c r="F767" s="2" t="s">
        <v>244</v>
      </c>
    </row>
    <row r="768">
      <c r="F768" s="2" t="s">
        <v>244</v>
      </c>
    </row>
    <row r="769">
      <c r="F769" s="2" t="s">
        <v>244</v>
      </c>
    </row>
    <row r="770">
      <c r="F770" s="2" t="s">
        <v>244</v>
      </c>
    </row>
    <row r="771">
      <c r="F771" s="2" t="s">
        <v>244</v>
      </c>
    </row>
    <row r="772">
      <c r="F772" s="2" t="s">
        <v>244</v>
      </c>
    </row>
    <row r="773">
      <c r="F773" s="2" t="s">
        <v>244</v>
      </c>
    </row>
    <row r="774">
      <c r="F774" s="2" t="s">
        <v>244</v>
      </c>
    </row>
    <row r="775">
      <c r="F775" s="2" t="s">
        <v>244</v>
      </c>
    </row>
    <row r="776">
      <c r="F776" s="2" t="s">
        <v>244</v>
      </c>
    </row>
    <row r="777">
      <c r="F777" s="2" t="s">
        <v>244</v>
      </c>
    </row>
    <row r="778">
      <c r="F778" s="2" t="s">
        <v>244</v>
      </c>
    </row>
    <row r="779">
      <c r="F779" s="2" t="s">
        <v>244</v>
      </c>
    </row>
    <row r="780">
      <c r="F780" s="2" t="s">
        <v>244</v>
      </c>
    </row>
    <row r="781">
      <c r="F781" s="2" t="s">
        <v>244</v>
      </c>
    </row>
    <row r="782">
      <c r="F782" s="2" t="s">
        <v>244</v>
      </c>
    </row>
    <row r="783">
      <c r="F783" s="2" t="s">
        <v>244</v>
      </c>
    </row>
    <row r="784">
      <c r="F784" s="2" t="s">
        <v>244</v>
      </c>
    </row>
    <row r="785">
      <c r="F785" s="2" t="s">
        <v>244</v>
      </c>
    </row>
    <row r="786">
      <c r="F786" s="2" t="s">
        <v>244</v>
      </c>
    </row>
    <row r="787">
      <c r="F787" s="2" t="s">
        <v>244</v>
      </c>
    </row>
    <row r="788">
      <c r="F788" s="2" t="s">
        <v>244</v>
      </c>
    </row>
    <row r="789">
      <c r="F789" s="2" t="s">
        <v>244</v>
      </c>
    </row>
    <row r="790">
      <c r="F790" s="2" t="s">
        <v>244</v>
      </c>
    </row>
    <row r="791">
      <c r="F791" s="2" t="s">
        <v>244</v>
      </c>
    </row>
    <row r="792">
      <c r="F792" s="2" t="s">
        <v>244</v>
      </c>
    </row>
    <row r="793">
      <c r="F793" s="2" t="s">
        <v>244</v>
      </c>
    </row>
    <row r="794">
      <c r="F794" s="2" t="s">
        <v>244</v>
      </c>
    </row>
    <row r="795">
      <c r="F795" s="2" t="s">
        <v>244</v>
      </c>
    </row>
    <row r="796">
      <c r="F796" s="2" t="s">
        <v>244</v>
      </c>
    </row>
    <row r="797">
      <c r="F797" s="2" t="s">
        <v>244</v>
      </c>
    </row>
    <row r="798">
      <c r="F798" s="2" t="s">
        <v>244</v>
      </c>
    </row>
    <row r="799">
      <c r="F799" s="2" t="s">
        <v>244</v>
      </c>
    </row>
    <row r="800">
      <c r="F800" s="2" t="s">
        <v>244</v>
      </c>
    </row>
    <row r="801">
      <c r="F801" s="2" t="s">
        <v>244</v>
      </c>
    </row>
    <row r="802">
      <c r="F802" s="2" t="s">
        <v>244</v>
      </c>
    </row>
    <row r="803">
      <c r="F803" s="2" t="s">
        <v>244</v>
      </c>
    </row>
    <row r="804">
      <c r="F804" s="2" t="s">
        <v>244</v>
      </c>
    </row>
    <row r="805">
      <c r="F805" s="2" t="s">
        <v>244</v>
      </c>
    </row>
    <row r="806">
      <c r="F806" s="2" t="s">
        <v>244</v>
      </c>
    </row>
    <row r="807">
      <c r="F807" s="2" t="s">
        <v>244</v>
      </c>
    </row>
    <row r="808">
      <c r="F808" s="2" t="s">
        <v>244</v>
      </c>
    </row>
    <row r="809">
      <c r="F809" s="2" t="s">
        <v>244</v>
      </c>
    </row>
    <row r="810">
      <c r="F810" s="2" t="s">
        <v>244</v>
      </c>
    </row>
    <row r="811">
      <c r="F811" s="2" t="s">
        <v>244</v>
      </c>
    </row>
    <row r="812">
      <c r="F812" s="2" t="s">
        <v>244</v>
      </c>
    </row>
    <row r="813">
      <c r="F813" s="2" t="s">
        <v>244</v>
      </c>
    </row>
    <row r="814">
      <c r="F814" s="2" t="s">
        <v>244</v>
      </c>
    </row>
    <row r="815">
      <c r="F815" s="2" t="s">
        <v>244</v>
      </c>
    </row>
    <row r="816">
      <c r="F816" s="2" t="s">
        <v>244</v>
      </c>
    </row>
    <row r="817">
      <c r="F817" s="2" t="s">
        <v>244</v>
      </c>
    </row>
    <row r="818">
      <c r="F818" s="2" t="s">
        <v>244</v>
      </c>
    </row>
    <row r="819">
      <c r="F819" s="2" t="s">
        <v>244</v>
      </c>
    </row>
    <row r="820">
      <c r="F820" s="2" t="s">
        <v>244</v>
      </c>
    </row>
    <row r="821">
      <c r="F821" s="2" t="s">
        <v>244</v>
      </c>
    </row>
    <row r="822">
      <c r="F822" s="2" t="s">
        <v>244</v>
      </c>
    </row>
    <row r="823">
      <c r="F823" s="2" t="s">
        <v>244</v>
      </c>
    </row>
    <row r="824">
      <c r="F824" s="2" t="s">
        <v>244</v>
      </c>
    </row>
    <row r="825">
      <c r="F825" s="2" t="s">
        <v>244</v>
      </c>
    </row>
    <row r="826">
      <c r="F826" s="2" t="s">
        <v>244</v>
      </c>
    </row>
    <row r="827">
      <c r="F827" s="2" t="s">
        <v>244</v>
      </c>
    </row>
    <row r="828">
      <c r="F828" s="2" t="s">
        <v>244</v>
      </c>
    </row>
    <row r="829">
      <c r="F829" s="2" t="s">
        <v>244</v>
      </c>
    </row>
    <row r="830">
      <c r="F830" s="2" t="s">
        <v>244</v>
      </c>
    </row>
    <row r="831">
      <c r="F831" s="2" t="s">
        <v>244</v>
      </c>
    </row>
    <row r="832">
      <c r="F832" s="2" t="s">
        <v>244</v>
      </c>
    </row>
    <row r="833">
      <c r="F833" s="2" t="s">
        <v>244</v>
      </c>
    </row>
    <row r="834">
      <c r="F834" s="2" t="s">
        <v>244</v>
      </c>
    </row>
    <row r="835">
      <c r="F835" s="2" t="s">
        <v>244</v>
      </c>
    </row>
    <row r="836">
      <c r="F836" s="2" t="s">
        <v>244</v>
      </c>
    </row>
    <row r="837">
      <c r="F837" s="2" t="s">
        <v>244</v>
      </c>
    </row>
    <row r="838">
      <c r="F838" s="2" t="s">
        <v>244</v>
      </c>
    </row>
    <row r="839">
      <c r="F839" s="2" t="s">
        <v>244</v>
      </c>
    </row>
    <row r="840">
      <c r="F840" s="2" t="s">
        <v>244</v>
      </c>
    </row>
    <row r="841">
      <c r="F841" s="2" t="s">
        <v>244</v>
      </c>
    </row>
    <row r="842">
      <c r="F842" s="2" t="s">
        <v>244</v>
      </c>
    </row>
    <row r="843">
      <c r="F843" s="2" t="s">
        <v>244</v>
      </c>
    </row>
    <row r="844">
      <c r="F844" s="2" t="s">
        <v>244</v>
      </c>
    </row>
    <row r="845">
      <c r="F845" s="2" t="s">
        <v>244</v>
      </c>
    </row>
    <row r="846">
      <c r="F846" s="2" t="s">
        <v>244</v>
      </c>
    </row>
    <row r="847">
      <c r="F847" s="2" t="s">
        <v>244</v>
      </c>
    </row>
    <row r="848">
      <c r="F848" s="2" t="s">
        <v>244</v>
      </c>
    </row>
    <row r="849">
      <c r="F849" s="2" t="s">
        <v>244</v>
      </c>
    </row>
    <row r="850">
      <c r="F850" s="2" t="s">
        <v>244</v>
      </c>
    </row>
    <row r="851">
      <c r="F851" s="2" t="s">
        <v>244</v>
      </c>
    </row>
    <row r="852">
      <c r="F852" s="2" t="s">
        <v>244</v>
      </c>
    </row>
    <row r="853">
      <c r="F853" s="2" t="s">
        <v>244</v>
      </c>
    </row>
    <row r="854">
      <c r="F854" s="2" t="s">
        <v>244</v>
      </c>
    </row>
    <row r="855">
      <c r="F855" s="2" t="s">
        <v>244</v>
      </c>
    </row>
    <row r="856">
      <c r="F856" s="2" t="s">
        <v>244</v>
      </c>
    </row>
    <row r="857">
      <c r="F857" s="2" t="s">
        <v>244</v>
      </c>
    </row>
    <row r="858">
      <c r="F858" s="2" t="s">
        <v>244</v>
      </c>
    </row>
    <row r="859">
      <c r="F859" s="2" t="s">
        <v>244</v>
      </c>
    </row>
    <row r="860">
      <c r="F860" s="2" t="s">
        <v>244</v>
      </c>
    </row>
    <row r="861">
      <c r="F861" s="2" t="s">
        <v>244</v>
      </c>
    </row>
    <row r="862">
      <c r="F862" s="2" t="s">
        <v>244</v>
      </c>
    </row>
    <row r="863">
      <c r="F863" s="2" t="s">
        <v>244</v>
      </c>
    </row>
    <row r="864">
      <c r="F864" s="2" t="s">
        <v>244</v>
      </c>
    </row>
    <row r="865">
      <c r="F865" s="2" t="s">
        <v>244</v>
      </c>
    </row>
    <row r="866">
      <c r="F866" s="2" t="s">
        <v>244</v>
      </c>
    </row>
    <row r="867">
      <c r="F867" s="2" t="s">
        <v>244</v>
      </c>
    </row>
    <row r="868">
      <c r="F868" s="2" t="s">
        <v>244</v>
      </c>
    </row>
    <row r="869">
      <c r="F869" s="2" t="s">
        <v>244</v>
      </c>
    </row>
    <row r="870">
      <c r="F870" s="2" t="s">
        <v>244</v>
      </c>
    </row>
    <row r="871">
      <c r="F871" s="2" t="s">
        <v>244</v>
      </c>
    </row>
    <row r="872">
      <c r="F872" s="2" t="s">
        <v>244</v>
      </c>
    </row>
    <row r="873">
      <c r="F873" s="2" t="s">
        <v>244</v>
      </c>
    </row>
    <row r="874">
      <c r="F874" s="2" t="s">
        <v>244</v>
      </c>
    </row>
    <row r="875">
      <c r="F875" s="2" t="s">
        <v>244</v>
      </c>
    </row>
    <row r="876">
      <c r="F876" s="2" t="s">
        <v>244</v>
      </c>
    </row>
    <row r="877">
      <c r="F877" s="2" t="s">
        <v>244</v>
      </c>
    </row>
    <row r="878">
      <c r="F878" s="2" t="s">
        <v>244</v>
      </c>
    </row>
    <row r="879">
      <c r="F879" s="2" t="s">
        <v>244</v>
      </c>
    </row>
    <row r="880">
      <c r="F880" s="2" t="s">
        <v>244</v>
      </c>
    </row>
    <row r="881">
      <c r="F881" s="2" t="s">
        <v>244</v>
      </c>
    </row>
    <row r="882">
      <c r="F882" s="2" t="s">
        <v>244</v>
      </c>
    </row>
    <row r="883">
      <c r="F883" s="2" t="s">
        <v>244</v>
      </c>
    </row>
    <row r="884">
      <c r="F884" s="2" t="s">
        <v>244</v>
      </c>
    </row>
    <row r="885">
      <c r="F885" s="2" t="s">
        <v>244</v>
      </c>
    </row>
    <row r="886">
      <c r="F886" s="2" t="s">
        <v>244</v>
      </c>
    </row>
    <row r="887">
      <c r="F887" s="2" t="s">
        <v>244</v>
      </c>
    </row>
    <row r="888">
      <c r="F888" s="2" t="s">
        <v>244</v>
      </c>
    </row>
    <row r="889">
      <c r="F889" s="2" t="s">
        <v>244</v>
      </c>
    </row>
    <row r="890">
      <c r="F890" s="2" t="s">
        <v>244</v>
      </c>
    </row>
    <row r="891">
      <c r="F891" s="2" t="s">
        <v>244</v>
      </c>
    </row>
    <row r="892">
      <c r="F892" s="2" t="s">
        <v>244</v>
      </c>
    </row>
    <row r="893">
      <c r="F893" s="2" t="s">
        <v>244</v>
      </c>
    </row>
    <row r="894">
      <c r="F894" s="2" t="s">
        <v>244</v>
      </c>
    </row>
    <row r="895">
      <c r="F895" s="2" t="s">
        <v>244</v>
      </c>
    </row>
    <row r="896">
      <c r="F896" s="2" t="s">
        <v>244</v>
      </c>
    </row>
    <row r="897">
      <c r="F897" s="2" t="s">
        <v>244</v>
      </c>
    </row>
    <row r="898">
      <c r="F898" s="2" t="s">
        <v>244</v>
      </c>
    </row>
    <row r="899">
      <c r="F899" s="2" t="s">
        <v>244</v>
      </c>
    </row>
    <row r="900">
      <c r="F900" s="2" t="s">
        <v>244</v>
      </c>
    </row>
    <row r="901">
      <c r="F901" s="2" t="s">
        <v>244</v>
      </c>
    </row>
    <row r="902">
      <c r="F902" s="2" t="s">
        <v>244</v>
      </c>
    </row>
    <row r="903">
      <c r="F903" s="2" t="s">
        <v>244</v>
      </c>
    </row>
    <row r="904">
      <c r="F904" s="2" t="s">
        <v>244</v>
      </c>
    </row>
    <row r="905">
      <c r="F905" s="2" t="s">
        <v>244</v>
      </c>
    </row>
    <row r="906">
      <c r="F906" s="2" t="s">
        <v>244</v>
      </c>
    </row>
    <row r="907">
      <c r="F907" s="2" t="s">
        <v>244</v>
      </c>
    </row>
    <row r="908">
      <c r="F908" s="2" t="s">
        <v>244</v>
      </c>
    </row>
    <row r="909">
      <c r="F909" s="2" t="s">
        <v>244</v>
      </c>
    </row>
    <row r="910">
      <c r="F910" s="2" t="s">
        <v>244</v>
      </c>
    </row>
    <row r="911">
      <c r="F911" s="2" t="s">
        <v>244</v>
      </c>
    </row>
    <row r="912">
      <c r="F912" s="2" t="s">
        <v>244</v>
      </c>
    </row>
    <row r="913">
      <c r="F913" s="2" t="s">
        <v>244</v>
      </c>
    </row>
    <row r="914">
      <c r="F914" s="2" t="s">
        <v>244</v>
      </c>
    </row>
    <row r="915">
      <c r="F915" s="2" t="s">
        <v>244</v>
      </c>
    </row>
    <row r="916">
      <c r="F916" s="2" t="s">
        <v>244</v>
      </c>
    </row>
    <row r="917">
      <c r="F917" s="2" t="s">
        <v>244</v>
      </c>
    </row>
    <row r="918">
      <c r="F918" s="2" t="s">
        <v>244</v>
      </c>
    </row>
    <row r="919">
      <c r="F919" s="2" t="s">
        <v>244</v>
      </c>
    </row>
    <row r="920">
      <c r="F920" s="2" t="s">
        <v>244</v>
      </c>
    </row>
    <row r="921">
      <c r="F921" s="2" t="s">
        <v>244</v>
      </c>
    </row>
    <row r="922">
      <c r="F922" s="2" t="s">
        <v>244</v>
      </c>
    </row>
    <row r="923">
      <c r="F923" s="2" t="s">
        <v>244</v>
      </c>
    </row>
    <row r="924">
      <c r="F924" s="2" t="s">
        <v>244</v>
      </c>
    </row>
    <row r="925">
      <c r="F925" s="2" t="s">
        <v>244</v>
      </c>
    </row>
    <row r="926">
      <c r="F926" s="2" t="s">
        <v>244</v>
      </c>
    </row>
    <row r="927">
      <c r="F927" s="2" t="s">
        <v>244</v>
      </c>
    </row>
    <row r="928">
      <c r="F928" s="2" t="s">
        <v>244</v>
      </c>
    </row>
    <row r="929">
      <c r="F929" s="2" t="s">
        <v>244</v>
      </c>
    </row>
    <row r="930">
      <c r="F930" s="2" t="s">
        <v>244</v>
      </c>
    </row>
    <row r="931">
      <c r="F931" s="2" t="s">
        <v>244</v>
      </c>
    </row>
    <row r="932">
      <c r="F932" s="2" t="s">
        <v>244</v>
      </c>
    </row>
    <row r="933">
      <c r="F933" s="2" t="s">
        <v>244</v>
      </c>
    </row>
    <row r="934">
      <c r="F934" s="2" t="s">
        <v>244</v>
      </c>
    </row>
    <row r="935">
      <c r="F935" s="2" t="s">
        <v>244</v>
      </c>
    </row>
    <row r="936">
      <c r="F936" s="2" t="s">
        <v>244</v>
      </c>
    </row>
    <row r="937">
      <c r="F937" s="2" t="s">
        <v>244</v>
      </c>
    </row>
    <row r="938">
      <c r="F938" s="2" t="s">
        <v>244</v>
      </c>
    </row>
    <row r="939">
      <c r="F939" s="2" t="s">
        <v>244</v>
      </c>
    </row>
    <row r="940">
      <c r="F940" s="2" t="s">
        <v>244</v>
      </c>
    </row>
    <row r="941">
      <c r="F941" s="2" t="s">
        <v>244</v>
      </c>
    </row>
    <row r="942">
      <c r="F942" s="2" t="s">
        <v>244</v>
      </c>
    </row>
    <row r="943">
      <c r="F943" s="2" t="s">
        <v>244</v>
      </c>
    </row>
    <row r="944">
      <c r="F944" s="2" t="s">
        <v>244</v>
      </c>
    </row>
    <row r="945">
      <c r="F945" s="2" t="s">
        <v>244</v>
      </c>
    </row>
    <row r="946">
      <c r="F946" s="2" t="s">
        <v>244</v>
      </c>
    </row>
    <row r="947">
      <c r="F947" s="2" t="s">
        <v>244</v>
      </c>
    </row>
    <row r="948">
      <c r="F948" s="2" t="s">
        <v>244</v>
      </c>
    </row>
    <row r="949">
      <c r="F949" s="2" t="s">
        <v>244</v>
      </c>
    </row>
    <row r="950">
      <c r="F950" s="2" t="s">
        <v>244</v>
      </c>
    </row>
    <row r="951">
      <c r="F951" s="2" t="s">
        <v>244</v>
      </c>
    </row>
    <row r="952">
      <c r="F952" s="2" t="s">
        <v>244</v>
      </c>
    </row>
    <row r="953">
      <c r="F953" s="2" t="s">
        <v>244</v>
      </c>
    </row>
    <row r="954">
      <c r="F954" s="2" t="s">
        <v>244</v>
      </c>
    </row>
    <row r="955">
      <c r="F955" s="2" t="s">
        <v>244</v>
      </c>
    </row>
    <row r="956">
      <c r="F956" s="2" t="s">
        <v>244</v>
      </c>
    </row>
    <row r="957">
      <c r="F957" s="2" t="s">
        <v>244</v>
      </c>
    </row>
    <row r="958">
      <c r="F958" s="2" t="s">
        <v>244</v>
      </c>
    </row>
    <row r="959">
      <c r="F959" s="2" t="s">
        <v>244</v>
      </c>
    </row>
    <row r="960">
      <c r="F960" s="2" t="s">
        <v>244</v>
      </c>
    </row>
    <row r="961">
      <c r="F961" s="2" t="s">
        <v>244</v>
      </c>
    </row>
    <row r="962">
      <c r="F962" s="2" t="s">
        <v>244</v>
      </c>
    </row>
    <row r="963">
      <c r="F963" s="2" t="s">
        <v>244</v>
      </c>
    </row>
    <row r="964">
      <c r="F964" s="2" t="s">
        <v>244</v>
      </c>
    </row>
    <row r="965">
      <c r="F965" s="2" t="s">
        <v>244</v>
      </c>
    </row>
    <row r="966">
      <c r="F966" s="2" t="s">
        <v>244</v>
      </c>
    </row>
    <row r="967">
      <c r="F967" s="2" t="s">
        <v>244</v>
      </c>
    </row>
    <row r="968">
      <c r="F968" s="2" t="s">
        <v>244</v>
      </c>
    </row>
    <row r="969">
      <c r="F969" s="2" t="s">
        <v>244</v>
      </c>
    </row>
    <row r="970">
      <c r="F970" s="2" t="s">
        <v>244</v>
      </c>
    </row>
    <row r="971">
      <c r="F971" s="2" t="s">
        <v>244</v>
      </c>
    </row>
    <row r="972">
      <c r="F972" s="2" t="s">
        <v>244</v>
      </c>
    </row>
    <row r="973">
      <c r="F973" s="2" t="s">
        <v>244</v>
      </c>
    </row>
    <row r="974">
      <c r="F974" s="2" t="s">
        <v>244</v>
      </c>
    </row>
    <row r="975">
      <c r="F975" s="2" t="s">
        <v>244</v>
      </c>
    </row>
    <row r="976">
      <c r="F976" s="2" t="s">
        <v>244</v>
      </c>
    </row>
    <row r="977">
      <c r="F977" s="2" t="s">
        <v>244</v>
      </c>
    </row>
    <row r="978">
      <c r="F978" s="2" t="s">
        <v>244</v>
      </c>
    </row>
    <row r="979">
      <c r="F979" s="2" t="s">
        <v>244</v>
      </c>
    </row>
    <row r="980">
      <c r="F980" s="2" t="s">
        <v>244</v>
      </c>
    </row>
    <row r="981">
      <c r="F981" s="2" t="s">
        <v>244</v>
      </c>
    </row>
    <row r="982">
      <c r="F982" s="2" t="s">
        <v>244</v>
      </c>
    </row>
    <row r="983">
      <c r="F983" s="2" t="s">
        <v>244</v>
      </c>
    </row>
    <row r="984">
      <c r="F984" s="2" t="s">
        <v>244</v>
      </c>
    </row>
    <row r="985">
      <c r="F985" s="2" t="s">
        <v>244</v>
      </c>
    </row>
    <row r="986">
      <c r="F986" s="2" t="s">
        <v>244</v>
      </c>
    </row>
    <row r="987">
      <c r="F987" s="2" t="s">
        <v>244</v>
      </c>
    </row>
    <row r="988">
      <c r="F988" s="2" t="s">
        <v>244</v>
      </c>
    </row>
    <row r="989">
      <c r="F989" s="2" t="s">
        <v>244</v>
      </c>
    </row>
    <row r="990">
      <c r="F990" s="2" t="s">
        <v>244</v>
      </c>
    </row>
    <row r="991">
      <c r="F991" s="2" t="s">
        <v>244</v>
      </c>
    </row>
    <row r="992">
      <c r="F992" s="2" t="s">
        <v>244</v>
      </c>
    </row>
    <row r="993">
      <c r="F993" s="2" t="s">
        <v>244</v>
      </c>
    </row>
    <row r="994">
      <c r="F994" s="2" t="s">
        <v>244</v>
      </c>
    </row>
    <row r="995">
      <c r="F995" s="2" t="s">
        <v>244</v>
      </c>
    </row>
    <row r="996">
      <c r="F996" s="2" t="s">
        <v>244</v>
      </c>
    </row>
    <row r="997">
      <c r="F997" s="2" t="s">
        <v>244</v>
      </c>
    </row>
    <row r="998">
      <c r="F998" s="2" t="s">
        <v>244</v>
      </c>
    </row>
    <row r="999">
      <c r="F999" s="2" t="s">
        <v>244</v>
      </c>
    </row>
    <row r="1000">
      <c r="F1000" s="2" t="s">
        <v>244</v>
      </c>
    </row>
  </sheetData>
  <mergeCells count="7">
    <mergeCell ref="A3:A4"/>
    <mergeCell ref="B3:B4"/>
    <mergeCell ref="C3:C4"/>
    <mergeCell ref="D3:D4"/>
    <mergeCell ref="E3:E4"/>
    <mergeCell ref="F3:F4"/>
    <mergeCell ref="H3:K3"/>
  </mergeCells>
  <conditionalFormatting sqref="G5:I41 K5:K41">
    <cfRule type="cellIs" dxfId="1" priority="1" operator="lessThan">
      <formula>72</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fitToPage="1"/>
  </sheetPr>
  <sheetViews>
    <sheetView showGridLines="0" workbookViewId="0"/>
  </sheetViews>
  <sheetFormatPr customHeight="1" defaultColWidth="14.43" defaultRowHeight="15.0"/>
  <cols>
    <col customWidth="1" min="1" max="1" width="5.29"/>
    <col customWidth="1" min="2" max="2" width="34.71"/>
    <col customWidth="1" min="3" max="3" width="10.0"/>
    <col customWidth="1" min="4" max="4" width="9.71"/>
    <col customWidth="1" min="5" max="5" width="22.71"/>
    <col customWidth="1" min="6" max="6" width="20.57"/>
    <col customWidth="1" min="7" max="7" width="2.43"/>
    <col customWidth="1" min="8" max="8" width="28.0"/>
  </cols>
  <sheetData>
    <row r="1">
      <c r="A1" s="554" t="s">
        <v>391</v>
      </c>
    </row>
    <row r="2" ht="14.25" customHeight="1">
      <c r="A2" s="556"/>
      <c r="B2" s="556"/>
      <c r="C2" s="556"/>
      <c r="D2" s="556"/>
      <c r="E2" s="556"/>
      <c r="F2" s="556"/>
      <c r="G2" s="556"/>
      <c r="H2" s="556"/>
    </row>
    <row r="3" ht="14.25" customHeight="1">
      <c r="A3" s="682" t="s">
        <v>393</v>
      </c>
      <c r="B3" s="682"/>
      <c r="C3" s="557" t="s">
        <v>336</v>
      </c>
      <c r="D3" s="685" t="str">
        <f>'AREA-WALAS'!$B$5</f>
        <v>MUHAMMAD GALANG GUNAWAN</v>
      </c>
      <c r="F3" s="429" t="s">
        <v>339</v>
      </c>
      <c r="G3" s="12" t="s">
        <v>336</v>
      </c>
      <c r="H3" s="429" t="str">
        <f>SETTING!$C$5</f>
        <v>E</v>
      </c>
    </row>
    <row r="4" ht="14.25" customHeight="1">
      <c r="A4" s="682" t="s">
        <v>395</v>
      </c>
      <c r="B4" s="682"/>
      <c r="C4" s="557" t="s">
        <v>336</v>
      </c>
      <c r="D4" s="669" t="str">
        <f t="array" ref="D4">index('INPUT SUMATIF'!$B$5:$B$54,match($D$3,'INPUT SUMATIF'!$D$5:$D$54,0))&amp;" / "&amp;
index('INPUT SUMATIF'!$C$5:$C$54,match($D$3,'INPUT SUMATIF'!$D$5:$D$54,0))</f>
        <v>2526100440 / 0105005356</v>
      </c>
      <c r="F4" s="429" t="s">
        <v>397</v>
      </c>
      <c r="G4" s="557" t="s">
        <v>336</v>
      </c>
      <c r="H4" s="669" t="str">
        <f>SETTING!$C$30</f>
        <v>SMKN 1 PLERED</v>
      </c>
    </row>
    <row r="5" ht="14.25" customHeight="1">
      <c r="A5" s="682" t="s">
        <v>399</v>
      </c>
      <c r="B5" s="682"/>
      <c r="C5" s="557" t="s">
        <v>336</v>
      </c>
      <c r="D5" s="669" t="str">
        <f>SETTING!$C$2</f>
        <v>X TO 4</v>
      </c>
      <c r="F5" s="429" t="s">
        <v>400</v>
      </c>
      <c r="G5" s="557" t="s">
        <v>336</v>
      </c>
      <c r="H5" s="688" t="str">
        <f>SETTING!$C$7</f>
        <v>Teknik Otomotif</v>
      </c>
    </row>
    <row r="6" ht="14.25" customHeight="1">
      <c r="A6" s="682" t="s">
        <v>403</v>
      </c>
      <c r="B6" s="682"/>
      <c r="C6" s="557" t="s">
        <v>336</v>
      </c>
      <c r="D6" s="669" t="str">
        <f>SETTING!$C$3</f>
        <v>Ganjil</v>
      </c>
      <c r="F6" s="429"/>
      <c r="G6" s="12"/>
    </row>
    <row r="7" ht="14.25" customHeight="1">
      <c r="A7" s="12"/>
      <c r="B7" s="429"/>
      <c r="C7" s="429"/>
      <c r="D7" s="429"/>
      <c r="F7" s="429" t="s">
        <v>376</v>
      </c>
      <c r="G7" s="557" t="s">
        <v>336</v>
      </c>
      <c r="H7" s="669" t="str">
        <f>SETTING!$C$6</f>
        <v>Teknik Sepeda Motor</v>
      </c>
    </row>
    <row r="8" ht="14.25" customHeight="1">
      <c r="A8" s="689" t="s">
        <v>449</v>
      </c>
      <c r="C8" s="690" t="s">
        <v>336</v>
      </c>
      <c r="D8" s="689" t="s">
        <v>450</v>
      </c>
      <c r="F8" s="689"/>
      <c r="G8" s="495"/>
      <c r="H8" s="691"/>
    </row>
    <row r="9" ht="14.25" customHeight="1">
      <c r="A9" s="689" t="s">
        <v>451</v>
      </c>
      <c r="C9" s="690" t="s">
        <v>336</v>
      </c>
      <c r="D9" s="692" t="s">
        <v>452</v>
      </c>
      <c r="F9" s="691"/>
      <c r="G9" s="691"/>
      <c r="H9" s="691"/>
    </row>
    <row r="10" ht="14.25" customHeight="1">
      <c r="A10" s="495"/>
      <c r="B10" s="693"/>
      <c r="C10" s="693"/>
      <c r="D10" s="693"/>
      <c r="E10" s="693"/>
      <c r="F10" s="693"/>
      <c r="G10" s="693"/>
      <c r="H10" s="693"/>
    </row>
    <row r="11" ht="27.0" customHeight="1">
      <c r="A11" s="694" t="s">
        <v>410</v>
      </c>
      <c r="B11" s="466"/>
      <c r="C11" s="466"/>
      <c r="D11" s="695" t="s">
        <v>201</v>
      </c>
      <c r="E11" s="466"/>
      <c r="F11" s="466"/>
      <c r="G11" s="466"/>
      <c r="H11" s="467"/>
    </row>
    <row r="12" ht="19.5" customHeight="1">
      <c r="A12" s="696" t="s">
        <v>195</v>
      </c>
      <c r="B12" s="466"/>
      <c r="C12" s="466"/>
      <c r="D12" s="466"/>
      <c r="E12" s="466"/>
      <c r="F12" s="466"/>
      <c r="G12" s="466"/>
      <c r="H12" s="467"/>
    </row>
    <row r="13" ht="46.5" customHeight="1">
      <c r="A13" s="697" t="s">
        <v>412</v>
      </c>
      <c r="B13" s="698" t="s">
        <v>453</v>
      </c>
      <c r="C13" s="27"/>
      <c r="D13" s="699" t="str">
        <f t="array" ref="D13">INDEX(DATAP5,MATCH($D$3,NAMAP5,0),MATCH("MandiriNilai",HEADERP5,0))</f>
        <v/>
      </c>
      <c r="E13" s="699" t="b">
        <f t="array" ref="E13">INDEX(DATAP5,MATCH($D$3,NAMAP5,0),MATCH("MandiriArtinya",HEADERP5,0))</f>
        <v>0</v>
      </c>
      <c r="F13" s="538" t="b">
        <f t="array" ref="F13">INDEX(DATAP5,MATCH($D$3,NAMAP5,0),MATCH("MandiriKeterangan",HEADERP5,0))</f>
        <v>0</v>
      </c>
      <c r="G13" s="27"/>
      <c r="H13" s="29"/>
    </row>
    <row r="14" ht="70.5" customHeight="1">
      <c r="A14" s="704" t="s">
        <v>417</v>
      </c>
      <c r="B14" s="705" t="s">
        <v>454</v>
      </c>
      <c r="C14" s="542"/>
      <c r="D14" s="31"/>
      <c r="E14" s="31"/>
      <c r="F14" s="539"/>
      <c r="H14" s="540"/>
    </row>
    <row r="15" ht="19.5" customHeight="1">
      <c r="A15" s="707" t="s">
        <v>196</v>
      </c>
      <c r="B15" s="466"/>
      <c r="C15" s="466"/>
      <c r="D15" s="466"/>
      <c r="E15" s="466"/>
      <c r="F15" s="466"/>
      <c r="G15" s="466"/>
      <c r="H15" s="467"/>
    </row>
    <row r="16" ht="40.5" customHeight="1">
      <c r="A16" s="710" t="s">
        <v>412</v>
      </c>
      <c r="B16" s="711" t="s">
        <v>455</v>
      </c>
      <c r="C16" s="712"/>
      <c r="D16" s="713" t="str">
        <f t="array" ref="D16">INDEX(DATAP5,MATCH($D$3,NAMAP5,0),MATCH("KreatifNilai",HEADERP5,0))</f>
        <v/>
      </c>
      <c r="E16" s="714" t="b">
        <f t="array" ref="E16">INDEX(DATAP5,MATCH($D$3,NAMAP5,0),MATCH("KreatifArtinya",HEADERP5,0))</f>
        <v>0</v>
      </c>
      <c r="F16" s="715" t="b">
        <f t="array" ref="F16">INDEX(DATAP5,MATCH($D$3,NAMAP5,0),MATCH("KreatifKeterangan",HEADERP5,0))</f>
        <v>0</v>
      </c>
      <c r="G16" s="27"/>
      <c r="H16" s="29"/>
    </row>
    <row r="17" ht="32.25" customHeight="1">
      <c r="A17" s="716" t="s">
        <v>417</v>
      </c>
      <c r="B17" s="717" t="s">
        <v>456</v>
      </c>
      <c r="C17" s="678"/>
      <c r="D17" s="31"/>
      <c r="E17" s="31"/>
      <c r="F17" s="539"/>
      <c r="H17" s="540"/>
    </row>
    <row r="18" ht="54.0" customHeight="1">
      <c r="A18" s="718" t="s">
        <v>457</v>
      </c>
      <c r="B18" s="719" t="s">
        <v>458</v>
      </c>
      <c r="C18" s="720"/>
      <c r="D18" s="31"/>
      <c r="E18" s="31"/>
      <c r="F18" s="539"/>
      <c r="H18" s="540"/>
    </row>
    <row r="19" ht="19.5" customHeight="1">
      <c r="A19" s="721" t="s">
        <v>198</v>
      </c>
      <c r="B19" s="27"/>
      <c r="C19" s="27"/>
      <c r="D19" s="27"/>
      <c r="E19" s="27"/>
      <c r="F19" s="27"/>
      <c r="G19" s="27"/>
      <c r="H19" s="29"/>
    </row>
    <row r="20" ht="44.25" customHeight="1">
      <c r="A20" s="722" t="s">
        <v>412</v>
      </c>
      <c r="B20" s="723" t="s">
        <v>459</v>
      </c>
      <c r="C20" s="29"/>
      <c r="D20" s="724" t="str">
        <f t="array" ref="D20">INDEX(DATAP5,MATCH($D$3,NAMAP5,0),MATCH("Bergotong RoyongNilai",HEADERP5,0))</f>
        <v/>
      </c>
      <c r="E20" s="714" t="b">
        <f t="array" ref="E20">INDEX(DATAP5,MATCH($D$3,NAMAP5,0),MATCH("Bergotong RoyongArtinya",HEADERP5,0))</f>
        <v>0</v>
      </c>
      <c r="F20" s="715" t="b">
        <f t="array" ref="F20">INDEX(DATAP5,MATCH($D$3,NAMAP5,0),MATCH("Bergotong RoyongKeterangan",HEADERP5,0))</f>
        <v>0</v>
      </c>
      <c r="G20" s="27"/>
      <c r="H20" s="29"/>
    </row>
    <row r="21" ht="18.0" customHeight="1">
      <c r="A21" s="725" t="s">
        <v>417</v>
      </c>
      <c r="B21" s="726" t="s">
        <v>460</v>
      </c>
      <c r="C21" s="540"/>
      <c r="D21" s="540"/>
      <c r="E21" s="31"/>
      <c r="F21" s="539"/>
      <c r="H21" s="540"/>
    </row>
    <row r="22" ht="56.25" customHeight="1">
      <c r="A22" s="727" t="s">
        <v>457</v>
      </c>
      <c r="B22" s="728" t="s">
        <v>461</v>
      </c>
      <c r="C22" s="313"/>
      <c r="D22" s="313"/>
      <c r="E22" s="63"/>
      <c r="F22" s="541"/>
      <c r="G22" s="542"/>
      <c r="H22" s="313"/>
    </row>
    <row r="23" ht="14.25" customHeight="1">
      <c r="A23" s="12"/>
      <c r="B23" s="691"/>
      <c r="C23" s="691"/>
      <c r="D23" s="691"/>
      <c r="E23" s="691"/>
      <c r="F23" s="691"/>
      <c r="G23" s="691"/>
      <c r="H23" s="691"/>
    </row>
    <row r="24" ht="14.25" customHeight="1">
      <c r="A24" s="669"/>
      <c r="B24" s="424"/>
      <c r="C24" s="670"/>
      <c r="D24" s="671"/>
      <c r="E24" s="12"/>
      <c r="F24" s="429"/>
      <c r="G24" s="429" t="str">
        <f t="array" ref="G24">INDEX(SETTING!$C$34:$C$35,MATCH(SETTING!$C$3,SETTING!$D$34:$D$35,0))</f>
        <v>Purwakarta, 22 Desember 2025</v>
      </c>
      <c r="H24" s="429"/>
    </row>
    <row r="25" ht="5.25" customHeight="1">
      <c r="A25" s="12"/>
      <c r="B25" s="430"/>
      <c r="D25" s="429"/>
      <c r="E25" s="429"/>
      <c r="F25" s="429"/>
      <c r="G25" s="429"/>
      <c r="H25" s="429"/>
    </row>
    <row r="26" ht="14.25" customHeight="1">
      <c r="A26" s="12"/>
      <c r="B26" s="430" t="s">
        <v>387</v>
      </c>
      <c r="D26" s="429"/>
      <c r="E26" s="12"/>
      <c r="F26" s="429"/>
      <c r="G26" s="429" t="s">
        <v>368</v>
      </c>
      <c r="H26" s="429"/>
    </row>
    <row r="27" ht="14.25" customHeight="1">
      <c r="A27" s="12"/>
      <c r="B27" s="672"/>
      <c r="C27" s="429"/>
      <c r="D27" s="429"/>
      <c r="E27" s="12"/>
      <c r="F27" s="429"/>
      <c r="G27" s="429"/>
      <c r="H27" s="429"/>
    </row>
    <row r="28" ht="14.25" customHeight="1">
      <c r="A28" s="12"/>
      <c r="B28" s="672"/>
      <c r="C28" s="429"/>
      <c r="D28" s="429"/>
      <c r="E28" s="12"/>
      <c r="F28" s="429"/>
      <c r="G28" s="429"/>
      <c r="H28" s="429"/>
    </row>
    <row r="29" ht="14.25" customHeight="1">
      <c r="A29" s="12"/>
      <c r="B29" s="672"/>
      <c r="C29" s="429"/>
      <c r="D29" s="429"/>
      <c r="E29" s="12"/>
      <c r="F29" s="429"/>
      <c r="G29" s="429"/>
      <c r="H29" s="429"/>
    </row>
    <row r="30" ht="14.25" customHeight="1">
      <c r="A30" s="12"/>
      <c r="B30" s="672"/>
      <c r="C30" s="429"/>
      <c r="D30" s="429"/>
      <c r="E30" s="12"/>
      <c r="F30" s="429"/>
      <c r="G30" s="429"/>
      <c r="H30" s="429"/>
    </row>
    <row r="31" ht="14.25" customHeight="1">
      <c r="A31" s="12"/>
      <c r="B31" s="673" t="s">
        <v>388</v>
      </c>
      <c r="C31" s="429"/>
      <c r="D31" s="429"/>
      <c r="E31" s="12"/>
      <c r="F31" s="429"/>
      <c r="G31" s="674" t="str">
        <f>SETTING!$C$9</f>
        <v>ASEP SANDIANA AZHAR, S.T.</v>
      </c>
      <c r="H31" s="429"/>
    </row>
    <row r="32" ht="14.25" customHeight="1">
      <c r="A32" s="12"/>
      <c r="B32" s="672"/>
      <c r="C32" s="429"/>
      <c r="D32" s="429"/>
      <c r="E32" s="12"/>
      <c r="F32" s="429"/>
      <c r="G32" s="675" t="str">
        <f>SETTING!$C$10</f>
        <v>NIP. 199203032025211186</v>
      </c>
      <c r="H32" s="429"/>
    </row>
    <row r="33" ht="14.25" customHeight="1">
      <c r="A33" s="12" t="s">
        <v>389</v>
      </c>
    </row>
    <row r="34" ht="14.25" customHeight="1">
      <c r="A34" s="12" t="s">
        <v>390</v>
      </c>
    </row>
    <row r="35" ht="14.25" customHeight="1">
      <c r="A35" s="12"/>
    </row>
    <row r="36" ht="14.25" customHeight="1">
      <c r="A36" s="676"/>
    </row>
    <row r="37" ht="14.25" customHeight="1">
      <c r="A37" s="677"/>
      <c r="B37" s="678"/>
      <c r="C37" s="678"/>
      <c r="D37" s="678"/>
      <c r="E37" s="678"/>
      <c r="F37" s="678"/>
      <c r="G37" s="678"/>
      <c r="H37" s="679"/>
    </row>
    <row r="38" ht="14.25" customHeight="1">
      <c r="A38" s="12"/>
    </row>
    <row r="39" ht="14.25" customHeight="1">
      <c r="A39" s="680" t="str">
        <f>SETTING!$C$32</f>
        <v>WAHYU TAMIMBARKAH, S,Pd.</v>
      </c>
    </row>
    <row r="40" ht="14.25" customHeight="1">
      <c r="A40" s="12" t="str">
        <f>SETTING!$C$33</f>
        <v>NIP. 197111022008011001</v>
      </c>
    </row>
    <row r="41" ht="14.25" customHeight="1">
      <c r="A41" s="448"/>
      <c r="B41" s="448"/>
      <c r="C41" s="448"/>
      <c r="D41" s="448"/>
      <c r="E41" s="448"/>
      <c r="F41" s="448"/>
      <c r="G41" s="448"/>
      <c r="H41" s="448"/>
    </row>
    <row r="42" ht="14.25" customHeight="1">
      <c r="A42" s="448"/>
      <c r="B42" s="448"/>
      <c r="C42" s="448"/>
      <c r="D42" s="448"/>
      <c r="E42" s="448"/>
      <c r="F42" s="448"/>
      <c r="G42" s="448"/>
      <c r="H42" s="448"/>
    </row>
    <row r="43" ht="14.25" customHeight="1">
      <c r="A43" s="448"/>
      <c r="B43" s="448"/>
      <c r="C43" s="448"/>
      <c r="D43" s="448"/>
      <c r="E43" s="448"/>
      <c r="F43" s="448"/>
      <c r="G43" s="448"/>
      <c r="H43" s="448"/>
    </row>
    <row r="44" ht="14.25" customHeight="1">
      <c r="A44" s="448"/>
      <c r="B44" s="448"/>
      <c r="C44" s="448"/>
      <c r="D44" s="448"/>
      <c r="E44" s="448"/>
      <c r="F44" s="448"/>
      <c r="G44" s="448"/>
      <c r="H44" s="448"/>
    </row>
    <row r="45" ht="14.25" customHeight="1">
      <c r="A45" s="448"/>
      <c r="B45" s="448"/>
      <c r="C45" s="448"/>
      <c r="D45" s="448"/>
      <c r="E45" s="448"/>
      <c r="F45" s="448"/>
      <c r="G45" s="448"/>
      <c r="H45" s="448"/>
    </row>
    <row r="46" ht="14.25" customHeight="1">
      <c r="A46" s="448"/>
      <c r="B46" s="448"/>
      <c r="C46" s="448"/>
      <c r="D46" s="448"/>
      <c r="E46" s="448"/>
      <c r="F46" s="448"/>
      <c r="G46" s="448"/>
      <c r="H46" s="448"/>
    </row>
    <row r="47" ht="14.25" customHeight="1">
      <c r="A47" s="448"/>
      <c r="B47" s="448"/>
      <c r="C47" s="448"/>
      <c r="D47" s="448"/>
      <c r="E47" s="448"/>
      <c r="F47" s="448"/>
      <c r="G47" s="448"/>
      <c r="H47" s="448"/>
    </row>
    <row r="48" ht="14.25" customHeight="1">
      <c r="A48" s="448"/>
      <c r="B48" s="448"/>
      <c r="C48" s="448"/>
      <c r="D48" s="448"/>
      <c r="E48" s="448"/>
      <c r="F48" s="448"/>
      <c r="G48" s="448"/>
      <c r="H48" s="448"/>
    </row>
    <row r="49" ht="14.25" customHeight="1">
      <c r="A49" s="448"/>
      <c r="B49" s="448"/>
      <c r="C49" s="448"/>
      <c r="D49" s="448"/>
      <c r="E49" s="448"/>
      <c r="F49" s="448"/>
      <c r="G49" s="448"/>
      <c r="H49" s="448"/>
    </row>
    <row r="50" ht="14.25" customHeight="1">
      <c r="A50" s="448"/>
      <c r="B50" s="448"/>
      <c r="C50" s="448"/>
      <c r="D50" s="448"/>
      <c r="E50" s="448"/>
      <c r="F50" s="448"/>
      <c r="G50" s="448"/>
      <c r="H50" s="448"/>
    </row>
    <row r="51" ht="14.25" customHeight="1">
      <c r="A51" s="448"/>
      <c r="B51" s="448"/>
      <c r="C51" s="448"/>
      <c r="D51" s="448"/>
      <c r="E51" s="448"/>
      <c r="F51" s="448"/>
      <c r="G51" s="448"/>
      <c r="H51" s="448"/>
    </row>
    <row r="52" ht="14.25" customHeight="1">
      <c r="A52" s="448"/>
      <c r="B52" s="448"/>
      <c r="C52" s="448"/>
      <c r="D52" s="448"/>
      <c r="E52" s="448"/>
      <c r="F52" s="448"/>
      <c r="G52" s="448"/>
      <c r="H52" s="448"/>
    </row>
    <row r="53" ht="14.25" customHeight="1">
      <c r="A53" s="448"/>
      <c r="B53" s="448"/>
      <c r="C53" s="448"/>
      <c r="D53" s="448"/>
      <c r="E53" s="448"/>
      <c r="F53" s="448"/>
      <c r="G53" s="448"/>
      <c r="H53" s="448"/>
    </row>
    <row r="54" ht="14.25" customHeight="1">
      <c r="A54" s="448"/>
      <c r="B54" s="448"/>
      <c r="C54" s="448"/>
      <c r="D54" s="448"/>
      <c r="E54" s="448"/>
      <c r="F54" s="448"/>
      <c r="G54" s="448"/>
      <c r="H54" s="448"/>
    </row>
    <row r="55" ht="14.25" customHeight="1">
      <c r="A55" s="448"/>
      <c r="B55" s="448"/>
      <c r="C55" s="448"/>
      <c r="D55" s="448"/>
      <c r="E55" s="448"/>
      <c r="F55" s="448"/>
      <c r="G55" s="448"/>
      <c r="H55" s="448"/>
    </row>
    <row r="56" ht="38.25" customHeight="1">
      <c r="A56" s="462"/>
      <c r="B56" s="462"/>
      <c r="C56" s="462"/>
      <c r="D56" s="462"/>
      <c r="E56" s="462"/>
      <c r="F56" s="462"/>
      <c r="G56" s="462"/>
      <c r="H56" s="462"/>
    </row>
    <row r="57" ht="100.5" customHeight="1">
      <c r="A57" s="448"/>
      <c r="B57" s="448"/>
      <c r="C57" s="448"/>
      <c r="D57" s="448"/>
      <c r="E57" s="448"/>
      <c r="F57" s="448"/>
      <c r="G57" s="448"/>
      <c r="H57" s="448"/>
    </row>
    <row r="58" ht="66.75" customHeight="1">
      <c r="A58" s="448"/>
      <c r="B58" s="448"/>
      <c r="C58" s="448"/>
      <c r="D58" s="448"/>
      <c r="E58" s="448"/>
      <c r="F58" s="448"/>
      <c r="G58" s="448"/>
      <c r="H58" s="448"/>
    </row>
    <row r="59" ht="73.5" customHeight="1">
      <c r="A59" s="448"/>
      <c r="B59" s="448"/>
      <c r="C59" s="448"/>
      <c r="D59" s="448"/>
      <c r="E59" s="448"/>
      <c r="F59" s="448"/>
      <c r="G59" s="448"/>
      <c r="H59" s="448"/>
    </row>
    <row r="60" ht="71.25" customHeight="1">
      <c r="A60" s="448"/>
      <c r="B60" s="448"/>
      <c r="C60" s="448"/>
      <c r="D60" s="448"/>
      <c r="E60" s="448"/>
      <c r="F60" s="448"/>
      <c r="G60" s="448"/>
      <c r="H60" s="448"/>
    </row>
    <row r="61" ht="14.25" customHeight="1">
      <c r="A61" s="448"/>
      <c r="B61" s="448"/>
      <c r="C61" s="448"/>
      <c r="D61" s="448"/>
      <c r="E61" s="448"/>
      <c r="F61" s="448"/>
      <c r="G61" s="448"/>
      <c r="H61" s="448"/>
    </row>
    <row r="62" ht="14.25" customHeight="1">
      <c r="A62" s="448"/>
      <c r="B62" s="448"/>
      <c r="C62" s="448"/>
      <c r="D62" s="448"/>
      <c r="E62" s="448"/>
      <c r="F62" s="448"/>
      <c r="G62" s="448"/>
      <c r="H62" s="448"/>
    </row>
    <row r="63" ht="14.25" customHeight="1">
      <c r="A63" s="448"/>
      <c r="B63" s="448"/>
      <c r="C63" s="448"/>
      <c r="D63" s="448"/>
      <c r="E63" s="448"/>
      <c r="F63" s="448"/>
      <c r="G63" s="448"/>
      <c r="H63" s="448"/>
    </row>
    <row r="64" ht="30.0" customHeight="1">
      <c r="A64" s="448"/>
      <c r="B64" s="448"/>
      <c r="C64" s="448"/>
      <c r="D64" s="448"/>
      <c r="E64" s="448"/>
      <c r="F64" s="448"/>
      <c r="G64" s="448"/>
      <c r="H64" s="448"/>
    </row>
    <row r="65" ht="14.25" customHeight="1">
      <c r="A65" s="448"/>
      <c r="B65" s="448"/>
      <c r="C65" s="448"/>
      <c r="D65" s="448"/>
      <c r="E65" s="448"/>
      <c r="F65" s="448"/>
      <c r="G65" s="448"/>
      <c r="H65" s="448"/>
    </row>
    <row r="66" ht="14.25" customHeight="1">
      <c r="A66" s="448"/>
      <c r="B66" s="448"/>
      <c r="C66" s="448"/>
      <c r="D66" s="448"/>
      <c r="E66" s="448"/>
      <c r="F66" s="448"/>
      <c r="G66" s="448"/>
      <c r="H66" s="448"/>
    </row>
    <row r="67" ht="14.25" customHeight="1">
      <c r="A67" s="448"/>
      <c r="B67" s="448"/>
      <c r="C67" s="448"/>
      <c r="D67" s="448"/>
      <c r="E67" s="448"/>
      <c r="F67" s="448"/>
      <c r="G67" s="448"/>
      <c r="H67" s="448"/>
    </row>
    <row r="68" ht="14.25" customHeight="1">
      <c r="A68" s="448"/>
      <c r="B68" s="448"/>
      <c r="C68" s="448"/>
      <c r="D68" s="448"/>
      <c r="E68" s="448"/>
      <c r="F68" s="448"/>
      <c r="G68" s="448"/>
      <c r="H68" s="448"/>
    </row>
    <row r="69" ht="14.25" customHeight="1">
      <c r="A69" s="448"/>
      <c r="B69" s="448"/>
      <c r="C69" s="448"/>
      <c r="D69" s="448"/>
      <c r="E69" s="448"/>
      <c r="F69" s="448"/>
      <c r="G69" s="448"/>
      <c r="H69" s="448"/>
    </row>
    <row r="70" ht="14.25" customHeight="1">
      <c r="A70" s="448"/>
      <c r="B70" s="448"/>
      <c r="C70" s="448"/>
      <c r="D70" s="448"/>
      <c r="E70" s="448"/>
      <c r="F70" s="448"/>
      <c r="G70" s="448"/>
      <c r="H70" s="448"/>
    </row>
    <row r="71" ht="14.25" customHeight="1">
      <c r="A71" s="448"/>
      <c r="B71" s="448"/>
      <c r="C71" s="448"/>
      <c r="D71" s="448"/>
      <c r="E71" s="448"/>
      <c r="F71" s="448"/>
      <c r="G71" s="448"/>
      <c r="H71" s="448"/>
    </row>
    <row r="72" ht="14.25" customHeight="1">
      <c r="A72" s="448"/>
      <c r="B72" s="448"/>
      <c r="C72" s="448"/>
      <c r="D72" s="448"/>
      <c r="E72" s="448"/>
      <c r="F72" s="448"/>
      <c r="G72" s="448"/>
      <c r="H72" s="448"/>
    </row>
    <row r="73" ht="14.25" customHeight="1">
      <c r="A73" s="448"/>
      <c r="B73" s="448"/>
      <c r="C73" s="448"/>
      <c r="D73" s="448"/>
      <c r="E73" s="448"/>
      <c r="F73" s="448"/>
      <c r="G73" s="448"/>
      <c r="H73" s="448"/>
    </row>
    <row r="74" ht="14.25" customHeight="1">
      <c r="A74" s="448"/>
      <c r="B74" s="448"/>
      <c r="C74" s="448"/>
      <c r="D74" s="448"/>
      <c r="E74" s="448"/>
      <c r="F74" s="448"/>
      <c r="G74" s="448"/>
      <c r="H74" s="448"/>
    </row>
    <row r="75" ht="14.25" customHeight="1">
      <c r="A75" s="448"/>
      <c r="B75" s="448"/>
      <c r="C75" s="448"/>
      <c r="D75" s="448"/>
      <c r="E75" s="448"/>
      <c r="F75" s="448"/>
      <c r="G75" s="448"/>
      <c r="H75" s="448"/>
    </row>
    <row r="76" ht="14.25" customHeight="1">
      <c r="A76" s="448"/>
      <c r="B76" s="448"/>
      <c r="C76" s="448"/>
      <c r="D76" s="448"/>
      <c r="E76" s="448"/>
      <c r="F76" s="448"/>
      <c r="G76" s="448"/>
      <c r="H76" s="448"/>
    </row>
    <row r="77" ht="14.25" customHeight="1">
      <c r="A77" s="448"/>
      <c r="B77" s="448"/>
      <c r="C77" s="448"/>
      <c r="D77" s="448"/>
      <c r="E77" s="448"/>
      <c r="F77" s="448"/>
      <c r="G77" s="448"/>
      <c r="H77" s="448"/>
    </row>
    <row r="78" ht="14.25" customHeight="1">
      <c r="A78" s="448"/>
      <c r="B78" s="448"/>
      <c r="C78" s="448"/>
      <c r="D78" s="448"/>
      <c r="E78" s="448"/>
      <c r="F78" s="448"/>
      <c r="G78" s="448"/>
      <c r="H78" s="448"/>
    </row>
    <row r="79" ht="14.25" customHeight="1">
      <c r="A79" s="448"/>
      <c r="B79" s="448"/>
      <c r="C79" s="448"/>
      <c r="D79" s="448"/>
      <c r="E79" s="448"/>
      <c r="F79" s="448"/>
      <c r="G79" s="448"/>
      <c r="H79" s="448"/>
    </row>
    <row r="80" ht="14.25" customHeight="1">
      <c r="A80" s="448"/>
      <c r="B80" s="448"/>
      <c r="C80" s="448"/>
      <c r="D80" s="448"/>
      <c r="E80" s="448"/>
      <c r="F80" s="448"/>
      <c r="G80" s="448"/>
      <c r="H80" s="448"/>
    </row>
    <row r="81" ht="14.25" customHeight="1">
      <c r="A81" s="448"/>
      <c r="B81" s="448"/>
      <c r="C81" s="448"/>
      <c r="D81" s="448"/>
      <c r="E81" s="448"/>
      <c r="F81" s="448"/>
      <c r="G81" s="448"/>
      <c r="H81" s="448"/>
    </row>
    <row r="82" ht="14.25" customHeight="1">
      <c r="A82" s="448"/>
      <c r="B82" s="448"/>
      <c r="C82" s="448"/>
      <c r="D82" s="448"/>
      <c r="E82" s="448"/>
      <c r="F82" s="448"/>
      <c r="G82" s="448"/>
      <c r="H82" s="448"/>
    </row>
    <row r="83" ht="14.25" customHeight="1">
      <c r="A83" s="448"/>
      <c r="B83" s="448"/>
      <c r="C83" s="448"/>
      <c r="D83" s="448"/>
      <c r="E83" s="448"/>
      <c r="F83" s="448"/>
      <c r="G83" s="448"/>
      <c r="H83" s="448"/>
    </row>
    <row r="84" ht="14.25" customHeight="1">
      <c r="A84" s="448"/>
      <c r="B84" s="448"/>
      <c r="C84" s="448"/>
      <c r="D84" s="448"/>
      <c r="E84" s="448"/>
      <c r="F84" s="448"/>
      <c r="G84" s="448"/>
      <c r="H84" s="448"/>
    </row>
    <row r="85" ht="14.25" customHeight="1">
      <c r="A85" s="448"/>
      <c r="B85" s="448"/>
      <c r="C85" s="448"/>
      <c r="D85" s="448"/>
      <c r="E85" s="448"/>
      <c r="F85" s="448"/>
      <c r="G85" s="448"/>
      <c r="H85" s="448"/>
    </row>
    <row r="86" ht="14.25" customHeight="1">
      <c r="A86" s="448"/>
      <c r="B86" s="448"/>
      <c r="C86" s="448"/>
      <c r="D86" s="448"/>
      <c r="E86" s="448"/>
      <c r="F86" s="448"/>
      <c r="G86" s="448"/>
      <c r="H86" s="448"/>
    </row>
    <row r="87" ht="14.25" customHeight="1">
      <c r="A87" s="448"/>
      <c r="B87" s="448"/>
      <c r="C87" s="448"/>
      <c r="D87" s="448"/>
      <c r="E87" s="448"/>
      <c r="F87" s="448"/>
      <c r="G87" s="448"/>
      <c r="H87" s="448"/>
    </row>
    <row r="88" ht="14.25" customHeight="1">
      <c r="A88" s="448"/>
      <c r="B88" s="448"/>
      <c r="C88" s="448"/>
      <c r="D88" s="448"/>
      <c r="E88" s="448"/>
      <c r="F88" s="448"/>
      <c r="G88" s="448"/>
      <c r="H88" s="448"/>
    </row>
    <row r="89" ht="14.25" customHeight="1">
      <c r="A89" s="448"/>
      <c r="B89" s="448"/>
      <c r="C89" s="448"/>
      <c r="D89" s="448"/>
      <c r="E89" s="448"/>
      <c r="F89" s="448"/>
      <c r="G89" s="448"/>
      <c r="H89" s="448"/>
    </row>
    <row r="90" ht="14.25" customHeight="1">
      <c r="A90" s="448"/>
      <c r="B90" s="448"/>
      <c r="C90" s="448"/>
      <c r="D90" s="448"/>
      <c r="E90" s="448"/>
      <c r="F90" s="448"/>
      <c r="G90" s="448"/>
      <c r="H90" s="448"/>
    </row>
    <row r="91" ht="14.25" customHeight="1">
      <c r="A91" s="448"/>
      <c r="B91" s="448"/>
      <c r="C91" s="448"/>
      <c r="D91" s="448"/>
      <c r="E91" s="448"/>
      <c r="F91" s="448"/>
      <c r="G91" s="448"/>
      <c r="H91" s="448"/>
    </row>
    <row r="92" ht="14.25" customHeight="1">
      <c r="A92" s="448"/>
      <c r="B92" s="448"/>
      <c r="C92" s="448"/>
      <c r="D92" s="448"/>
      <c r="E92" s="448"/>
      <c r="F92" s="448"/>
      <c r="G92" s="448"/>
      <c r="H92" s="448"/>
    </row>
    <row r="93" ht="14.25" customHeight="1">
      <c r="A93" s="448"/>
      <c r="B93" s="448"/>
      <c r="C93" s="448"/>
      <c r="D93" s="448"/>
      <c r="E93" s="448"/>
      <c r="F93" s="448"/>
      <c r="G93" s="448"/>
      <c r="H93" s="448"/>
    </row>
    <row r="94" ht="14.25" customHeight="1">
      <c r="A94" s="448"/>
      <c r="B94" s="448"/>
      <c r="C94" s="448"/>
      <c r="D94" s="448"/>
      <c r="E94" s="448"/>
      <c r="F94" s="448"/>
      <c r="G94" s="448"/>
      <c r="H94" s="448"/>
    </row>
    <row r="95" ht="14.25" customHeight="1">
      <c r="A95" s="448"/>
      <c r="B95" s="448"/>
      <c r="C95" s="448"/>
      <c r="D95" s="448"/>
      <c r="E95" s="448"/>
      <c r="F95" s="448"/>
      <c r="G95" s="448"/>
      <c r="H95" s="448"/>
    </row>
    <row r="96" ht="14.25" customHeight="1">
      <c r="A96" s="448"/>
      <c r="B96" s="448"/>
      <c r="C96" s="448"/>
      <c r="D96" s="448"/>
      <c r="E96" s="448"/>
      <c r="F96" s="448"/>
      <c r="G96" s="448"/>
      <c r="H96" s="448"/>
    </row>
    <row r="97" ht="14.25" customHeight="1">
      <c r="A97" s="448"/>
      <c r="B97" s="448"/>
      <c r="C97" s="448"/>
      <c r="D97" s="448"/>
      <c r="E97" s="448"/>
      <c r="F97" s="448"/>
      <c r="G97" s="448"/>
      <c r="H97" s="448"/>
    </row>
    <row r="98" ht="14.25" customHeight="1">
      <c r="A98" s="448"/>
      <c r="B98" s="448"/>
      <c r="C98" s="448"/>
      <c r="D98" s="448"/>
      <c r="E98" s="448"/>
      <c r="F98" s="448"/>
      <c r="G98" s="448"/>
      <c r="H98" s="448"/>
    </row>
    <row r="99" ht="14.25" customHeight="1">
      <c r="A99" s="448"/>
      <c r="B99" s="448"/>
      <c r="C99" s="448"/>
      <c r="D99" s="448"/>
      <c r="E99" s="448"/>
      <c r="F99" s="448"/>
      <c r="G99" s="448"/>
      <c r="H99" s="448"/>
    </row>
    <row r="100" ht="14.25" customHeight="1">
      <c r="A100" s="448"/>
      <c r="B100" s="448"/>
      <c r="C100" s="448"/>
      <c r="D100" s="448"/>
      <c r="E100" s="448"/>
      <c r="F100" s="448"/>
      <c r="G100" s="448"/>
      <c r="H100" s="448"/>
    </row>
    <row r="101" ht="14.25" customHeight="1">
      <c r="A101" s="448"/>
      <c r="B101" s="448"/>
      <c r="C101" s="448"/>
      <c r="D101" s="448"/>
      <c r="E101" s="448"/>
      <c r="F101" s="448"/>
      <c r="G101" s="448"/>
      <c r="H101" s="448"/>
    </row>
    <row r="102" ht="14.25" customHeight="1">
      <c r="A102" s="448"/>
      <c r="B102" s="448"/>
      <c r="C102" s="448"/>
      <c r="D102" s="448"/>
      <c r="E102" s="448"/>
      <c r="F102" s="448"/>
      <c r="G102" s="448"/>
      <c r="H102" s="448"/>
    </row>
    <row r="103" ht="14.25" customHeight="1">
      <c r="A103" s="448"/>
      <c r="B103" s="448"/>
      <c r="C103" s="448"/>
      <c r="D103" s="448"/>
      <c r="E103" s="448"/>
      <c r="F103" s="448"/>
      <c r="G103" s="448"/>
      <c r="H103" s="448"/>
    </row>
    <row r="104" ht="14.25" customHeight="1">
      <c r="A104" s="448"/>
      <c r="B104" s="448"/>
      <c r="C104" s="448"/>
      <c r="D104" s="448"/>
      <c r="E104" s="448"/>
      <c r="F104" s="448"/>
      <c r="G104" s="448"/>
      <c r="H104" s="448"/>
    </row>
    <row r="105" ht="14.25" customHeight="1">
      <c r="A105" s="448"/>
      <c r="B105" s="448"/>
      <c r="C105" s="448"/>
      <c r="D105" s="448"/>
      <c r="E105" s="448"/>
      <c r="F105" s="448"/>
      <c r="G105" s="448"/>
      <c r="H105" s="448"/>
    </row>
    <row r="106" ht="14.25" customHeight="1">
      <c r="A106" s="448"/>
      <c r="B106" s="448"/>
      <c r="C106" s="448"/>
      <c r="D106" s="448"/>
      <c r="E106" s="448"/>
      <c r="F106" s="448"/>
      <c r="G106" s="448"/>
      <c r="H106" s="448"/>
    </row>
    <row r="107" ht="14.25" customHeight="1">
      <c r="A107" s="448"/>
      <c r="B107" s="448"/>
      <c r="C107" s="448"/>
      <c r="D107" s="448"/>
      <c r="E107" s="448"/>
      <c r="F107" s="448"/>
      <c r="G107" s="448"/>
      <c r="H107" s="448"/>
    </row>
    <row r="108" ht="14.25" customHeight="1">
      <c r="A108" s="448"/>
      <c r="B108" s="448"/>
      <c r="C108" s="448"/>
      <c r="D108" s="448"/>
      <c r="E108" s="448"/>
      <c r="F108" s="448"/>
      <c r="G108" s="448"/>
      <c r="H108" s="448"/>
    </row>
    <row r="109" ht="14.25" customHeight="1">
      <c r="A109" s="448"/>
      <c r="B109" s="448"/>
      <c r="C109" s="448"/>
      <c r="D109" s="448"/>
      <c r="E109" s="448"/>
      <c r="F109" s="448"/>
      <c r="G109" s="448"/>
      <c r="H109" s="448"/>
    </row>
    <row r="110" ht="14.25" customHeight="1">
      <c r="A110" s="448"/>
      <c r="B110" s="448"/>
      <c r="C110" s="448"/>
      <c r="D110" s="448"/>
      <c r="E110" s="448"/>
      <c r="F110" s="448"/>
      <c r="G110" s="448"/>
      <c r="H110" s="448"/>
    </row>
    <row r="111" ht="14.25" customHeight="1">
      <c r="A111" s="448"/>
      <c r="B111" s="448"/>
      <c r="C111" s="448"/>
      <c r="D111" s="448"/>
      <c r="E111" s="448"/>
      <c r="F111" s="448"/>
      <c r="G111" s="448"/>
      <c r="H111" s="448"/>
    </row>
    <row r="112" ht="14.25" customHeight="1">
      <c r="A112" s="448"/>
      <c r="B112" s="448"/>
      <c r="C112" s="448"/>
      <c r="D112" s="448"/>
      <c r="E112" s="448"/>
      <c r="F112" s="448"/>
      <c r="G112" s="448"/>
      <c r="H112" s="448"/>
    </row>
    <row r="113" ht="14.25" customHeight="1">
      <c r="A113" s="448"/>
      <c r="B113" s="448"/>
      <c r="C113" s="448"/>
      <c r="D113" s="448"/>
      <c r="E113" s="448"/>
      <c r="F113" s="448"/>
      <c r="G113" s="448"/>
      <c r="H113" s="448"/>
    </row>
    <row r="114" ht="14.25" customHeight="1">
      <c r="A114" s="448"/>
      <c r="B114" s="448"/>
      <c r="C114" s="448"/>
      <c r="D114" s="448"/>
      <c r="E114" s="448"/>
      <c r="F114" s="448"/>
      <c r="G114" s="448"/>
      <c r="H114" s="448"/>
    </row>
    <row r="115" ht="14.25" customHeight="1">
      <c r="A115" s="448"/>
      <c r="B115" s="448"/>
      <c r="C115" s="448"/>
      <c r="D115" s="448"/>
      <c r="E115" s="448"/>
      <c r="F115" s="448"/>
      <c r="G115" s="448"/>
      <c r="H115" s="448"/>
    </row>
    <row r="116" ht="14.25" customHeight="1">
      <c r="A116" s="448"/>
      <c r="B116" s="448"/>
      <c r="C116" s="448"/>
      <c r="D116" s="448"/>
      <c r="E116" s="448"/>
      <c r="F116" s="448"/>
      <c r="G116" s="448"/>
      <c r="H116" s="448"/>
    </row>
    <row r="117" ht="14.25" customHeight="1">
      <c r="A117" s="448"/>
      <c r="B117" s="448"/>
      <c r="C117" s="448"/>
      <c r="D117" s="448"/>
      <c r="E117" s="448"/>
      <c r="F117" s="448"/>
      <c r="G117" s="448"/>
      <c r="H117" s="448"/>
    </row>
    <row r="118" ht="14.25" customHeight="1">
      <c r="A118" s="448"/>
      <c r="B118" s="448"/>
      <c r="C118" s="448"/>
      <c r="D118" s="448"/>
      <c r="E118" s="448"/>
      <c r="F118" s="448"/>
      <c r="G118" s="448"/>
      <c r="H118" s="448"/>
    </row>
    <row r="119" ht="14.25" customHeight="1">
      <c r="A119" s="448"/>
      <c r="B119" s="448"/>
      <c r="C119" s="448"/>
      <c r="D119" s="448"/>
      <c r="E119" s="448"/>
      <c r="F119" s="448"/>
      <c r="G119" s="448"/>
      <c r="H119" s="448"/>
    </row>
    <row r="120" ht="14.25" customHeight="1">
      <c r="A120" s="448"/>
      <c r="B120" s="448"/>
      <c r="C120" s="448"/>
      <c r="D120" s="448"/>
      <c r="E120" s="448"/>
      <c r="F120" s="448"/>
      <c r="G120" s="448"/>
      <c r="H120" s="448"/>
    </row>
    <row r="121" ht="14.25" customHeight="1">
      <c r="A121" s="448"/>
      <c r="B121" s="448"/>
      <c r="C121" s="448"/>
      <c r="D121" s="448"/>
      <c r="E121" s="448"/>
      <c r="F121" s="448"/>
      <c r="G121" s="448"/>
      <c r="H121" s="448"/>
    </row>
    <row r="122" ht="14.25" customHeight="1">
      <c r="A122" s="448"/>
      <c r="B122" s="448"/>
      <c r="C122" s="448"/>
      <c r="D122" s="448"/>
      <c r="E122" s="448"/>
      <c r="F122" s="448"/>
      <c r="G122" s="448"/>
      <c r="H122" s="448"/>
    </row>
    <row r="123" ht="14.25" customHeight="1">
      <c r="A123" s="448"/>
      <c r="B123" s="448"/>
      <c r="C123" s="448"/>
      <c r="D123" s="448"/>
      <c r="E123" s="448"/>
      <c r="F123" s="448"/>
      <c r="G123" s="448"/>
      <c r="H123" s="448"/>
    </row>
    <row r="124" ht="14.25" customHeight="1">
      <c r="A124" s="448"/>
      <c r="B124" s="448"/>
      <c r="C124" s="448"/>
      <c r="D124" s="448"/>
      <c r="E124" s="448"/>
      <c r="F124" s="448"/>
      <c r="G124" s="448"/>
      <c r="H124" s="448"/>
    </row>
    <row r="125" ht="14.25" customHeight="1">
      <c r="A125" s="448"/>
      <c r="B125" s="448"/>
      <c r="C125" s="448"/>
      <c r="D125" s="448"/>
      <c r="E125" s="448"/>
      <c r="F125" s="448"/>
      <c r="G125" s="448"/>
      <c r="H125" s="448"/>
    </row>
    <row r="126" ht="14.25" customHeight="1">
      <c r="A126" s="448"/>
      <c r="B126" s="448"/>
      <c r="C126" s="448"/>
      <c r="D126" s="448"/>
      <c r="E126" s="448"/>
      <c r="F126" s="448"/>
      <c r="G126" s="448"/>
      <c r="H126" s="448"/>
    </row>
    <row r="127" ht="14.25" customHeight="1">
      <c r="A127" s="448"/>
      <c r="B127" s="448"/>
      <c r="C127" s="448"/>
      <c r="D127" s="448"/>
      <c r="E127" s="448"/>
      <c r="F127" s="448"/>
      <c r="G127" s="448"/>
      <c r="H127" s="448"/>
    </row>
    <row r="128" ht="14.25" customHeight="1">
      <c r="A128" s="448"/>
      <c r="B128" s="448"/>
      <c r="C128" s="448"/>
      <c r="D128" s="448"/>
      <c r="E128" s="448"/>
      <c r="F128" s="448"/>
      <c r="G128" s="448"/>
      <c r="H128" s="448"/>
    </row>
    <row r="129" ht="14.25" customHeight="1">
      <c r="A129" s="448"/>
      <c r="B129" s="448"/>
      <c r="C129" s="448"/>
      <c r="D129" s="448"/>
      <c r="E129" s="448"/>
      <c r="F129" s="448"/>
      <c r="G129" s="448"/>
      <c r="H129" s="448"/>
    </row>
    <row r="130" ht="14.25" customHeight="1">
      <c r="A130" s="448"/>
      <c r="B130" s="448"/>
      <c r="C130" s="448"/>
      <c r="D130" s="448"/>
      <c r="E130" s="448"/>
      <c r="F130" s="448"/>
      <c r="G130" s="448"/>
      <c r="H130" s="448"/>
    </row>
    <row r="131" ht="14.25" customHeight="1">
      <c r="A131" s="448"/>
      <c r="B131" s="448"/>
      <c r="C131" s="448"/>
      <c r="D131" s="448"/>
      <c r="E131" s="448"/>
      <c r="F131" s="448"/>
      <c r="G131" s="448"/>
      <c r="H131" s="448"/>
    </row>
    <row r="132" ht="14.25" customHeight="1">
      <c r="A132" s="448"/>
      <c r="B132" s="448"/>
      <c r="C132" s="448"/>
      <c r="D132" s="448"/>
      <c r="E132" s="448"/>
      <c r="F132" s="448"/>
      <c r="G132" s="448"/>
      <c r="H132" s="448"/>
    </row>
    <row r="133" ht="14.25" customHeight="1">
      <c r="A133" s="448"/>
      <c r="B133" s="448"/>
      <c r="C133" s="448"/>
      <c r="D133" s="448"/>
      <c r="E133" s="448"/>
      <c r="F133" s="448"/>
      <c r="G133" s="448"/>
      <c r="H133" s="448"/>
    </row>
    <row r="134" ht="14.25" customHeight="1">
      <c r="A134" s="448"/>
      <c r="B134" s="448"/>
      <c r="C134" s="448"/>
      <c r="D134" s="448"/>
      <c r="E134" s="448"/>
      <c r="F134" s="448"/>
      <c r="G134" s="448"/>
      <c r="H134" s="448"/>
    </row>
    <row r="135" ht="14.25" customHeight="1">
      <c r="A135" s="448"/>
      <c r="B135" s="448"/>
      <c r="C135" s="448"/>
      <c r="D135" s="448"/>
      <c r="E135" s="448"/>
      <c r="F135" s="448"/>
      <c r="G135" s="448"/>
      <c r="H135" s="448"/>
    </row>
    <row r="136" ht="14.25" customHeight="1">
      <c r="A136" s="448"/>
      <c r="B136" s="448"/>
      <c r="C136" s="448"/>
      <c r="D136" s="448"/>
      <c r="E136" s="448"/>
      <c r="F136" s="448"/>
      <c r="G136" s="448"/>
      <c r="H136" s="448"/>
    </row>
    <row r="137" ht="14.25" customHeight="1">
      <c r="A137" s="448"/>
      <c r="B137" s="448"/>
      <c r="C137" s="448"/>
      <c r="D137" s="448"/>
      <c r="E137" s="448"/>
      <c r="F137" s="448"/>
      <c r="G137" s="448"/>
      <c r="H137" s="448"/>
    </row>
    <row r="138" ht="14.25" customHeight="1">
      <c r="A138" s="448"/>
      <c r="B138" s="448"/>
      <c r="C138" s="448"/>
      <c r="D138" s="448"/>
      <c r="E138" s="448"/>
      <c r="F138" s="448"/>
      <c r="G138" s="448"/>
      <c r="H138" s="448"/>
    </row>
    <row r="139" ht="14.25" customHeight="1">
      <c r="A139" s="448"/>
      <c r="B139" s="448"/>
      <c r="C139" s="448"/>
      <c r="D139" s="448"/>
      <c r="E139" s="448"/>
      <c r="F139" s="448"/>
      <c r="G139" s="448"/>
      <c r="H139" s="448"/>
    </row>
    <row r="140" ht="14.25" customHeight="1">
      <c r="A140" s="448"/>
      <c r="B140" s="448"/>
      <c r="C140" s="448"/>
      <c r="D140" s="448"/>
      <c r="E140" s="448"/>
      <c r="F140" s="448"/>
      <c r="G140" s="448"/>
      <c r="H140" s="448"/>
    </row>
    <row r="141" ht="14.25" customHeight="1">
      <c r="A141" s="448"/>
      <c r="B141" s="448"/>
      <c r="C141" s="448"/>
      <c r="D141" s="448"/>
      <c r="E141" s="448"/>
      <c r="F141" s="448"/>
      <c r="G141" s="448"/>
      <c r="H141" s="448"/>
    </row>
    <row r="142" ht="14.25" customHeight="1">
      <c r="A142" s="448"/>
      <c r="B142" s="448"/>
      <c r="C142" s="448"/>
      <c r="D142" s="448"/>
      <c r="E142" s="448"/>
      <c r="F142" s="448"/>
      <c r="G142" s="448"/>
      <c r="H142" s="448"/>
    </row>
    <row r="143" ht="14.25" customHeight="1">
      <c r="A143" s="448"/>
      <c r="B143" s="448"/>
      <c r="C143" s="448"/>
      <c r="D143" s="448"/>
      <c r="E143" s="448"/>
      <c r="F143" s="448"/>
      <c r="G143" s="448"/>
      <c r="H143" s="448"/>
    </row>
    <row r="144" ht="14.25" customHeight="1">
      <c r="A144" s="448"/>
      <c r="B144" s="448"/>
      <c r="C144" s="448"/>
      <c r="D144" s="448"/>
      <c r="E144" s="448"/>
      <c r="F144" s="448"/>
      <c r="G144" s="448"/>
      <c r="H144" s="448"/>
    </row>
    <row r="145" ht="14.25" customHeight="1">
      <c r="A145" s="448"/>
      <c r="B145" s="448"/>
      <c r="C145" s="448"/>
      <c r="D145" s="448"/>
      <c r="E145" s="448"/>
      <c r="F145" s="448"/>
      <c r="G145" s="448"/>
      <c r="H145" s="448"/>
    </row>
    <row r="146" ht="14.25" customHeight="1">
      <c r="A146" s="448"/>
      <c r="B146" s="448"/>
      <c r="C146" s="448"/>
      <c r="D146" s="448"/>
      <c r="E146" s="448"/>
      <c r="F146" s="448"/>
      <c r="G146" s="448"/>
      <c r="H146" s="448"/>
    </row>
    <row r="147" ht="14.25" customHeight="1">
      <c r="A147" s="448"/>
      <c r="B147" s="448"/>
      <c r="C147" s="448"/>
      <c r="D147" s="448"/>
      <c r="E147" s="448"/>
      <c r="F147" s="448"/>
      <c r="G147" s="448"/>
      <c r="H147" s="448"/>
    </row>
    <row r="148" ht="14.25" customHeight="1">
      <c r="A148" s="448"/>
      <c r="B148" s="448"/>
      <c r="C148" s="448"/>
      <c r="D148" s="448"/>
      <c r="E148" s="448"/>
      <c r="F148" s="448"/>
      <c r="G148" s="448"/>
      <c r="H148" s="448"/>
    </row>
    <row r="149" ht="14.25" customHeight="1">
      <c r="A149" s="448"/>
      <c r="B149" s="448"/>
      <c r="C149" s="448"/>
      <c r="D149" s="448"/>
      <c r="E149" s="448"/>
      <c r="F149" s="448"/>
      <c r="G149" s="448"/>
      <c r="H149" s="448"/>
    </row>
    <row r="150" ht="14.25" customHeight="1">
      <c r="A150" s="448"/>
      <c r="B150" s="448"/>
      <c r="C150" s="448"/>
      <c r="D150" s="448"/>
      <c r="E150" s="448"/>
      <c r="F150" s="448"/>
      <c r="G150" s="448"/>
      <c r="H150" s="448"/>
    </row>
    <row r="151" ht="14.25" customHeight="1">
      <c r="A151" s="448"/>
      <c r="B151" s="448"/>
      <c r="C151" s="448"/>
      <c r="D151" s="448"/>
      <c r="E151" s="448"/>
      <c r="F151" s="448"/>
      <c r="G151" s="448"/>
      <c r="H151" s="448"/>
    </row>
    <row r="152" ht="14.25" customHeight="1">
      <c r="A152" s="448"/>
      <c r="B152" s="448"/>
      <c r="C152" s="448"/>
      <c r="D152" s="448"/>
      <c r="E152" s="448"/>
      <c r="F152" s="448"/>
      <c r="G152" s="448"/>
      <c r="H152" s="448"/>
    </row>
    <row r="153" ht="14.25" customHeight="1">
      <c r="A153" s="448"/>
      <c r="B153" s="448"/>
      <c r="C153" s="448"/>
      <c r="D153" s="448"/>
      <c r="E153" s="448"/>
      <c r="F153" s="448"/>
      <c r="G153" s="448"/>
      <c r="H153" s="448"/>
    </row>
    <row r="154" ht="14.25" customHeight="1">
      <c r="A154" s="448"/>
      <c r="B154" s="448"/>
      <c r="C154" s="448"/>
      <c r="D154" s="448"/>
      <c r="E154" s="448"/>
      <c r="F154" s="448"/>
      <c r="G154" s="448"/>
      <c r="H154" s="448"/>
    </row>
    <row r="155" ht="14.25" customHeight="1">
      <c r="A155" s="448"/>
      <c r="B155" s="448"/>
      <c r="C155" s="448"/>
      <c r="D155" s="448"/>
      <c r="E155" s="448"/>
      <c r="F155" s="448"/>
      <c r="G155" s="448"/>
      <c r="H155" s="448"/>
    </row>
    <row r="156" ht="14.25" customHeight="1">
      <c r="A156" s="448"/>
      <c r="B156" s="448"/>
      <c r="C156" s="448"/>
      <c r="D156" s="448"/>
      <c r="E156" s="448"/>
      <c r="F156" s="448"/>
      <c r="G156" s="448"/>
      <c r="H156" s="448"/>
    </row>
    <row r="157" ht="14.25" customHeight="1">
      <c r="A157" s="448"/>
      <c r="B157" s="448"/>
      <c r="C157" s="448"/>
      <c r="D157" s="448"/>
      <c r="E157" s="448"/>
      <c r="F157" s="448"/>
      <c r="G157" s="448"/>
      <c r="H157" s="448"/>
    </row>
    <row r="158" ht="14.25" customHeight="1">
      <c r="A158" s="448"/>
      <c r="B158" s="448"/>
      <c r="C158" s="448"/>
      <c r="D158" s="448"/>
      <c r="E158" s="448"/>
      <c r="F158" s="448"/>
      <c r="G158" s="448"/>
      <c r="H158" s="448"/>
    </row>
    <row r="159" ht="14.25" customHeight="1">
      <c r="A159" s="448"/>
      <c r="B159" s="448"/>
      <c r="C159" s="448"/>
      <c r="D159" s="448"/>
      <c r="E159" s="448"/>
      <c r="F159" s="448"/>
      <c r="G159" s="448"/>
      <c r="H159" s="448"/>
    </row>
    <row r="160" ht="14.25" customHeight="1">
      <c r="A160" s="448"/>
      <c r="B160" s="448"/>
      <c r="C160" s="448"/>
      <c r="D160" s="448"/>
      <c r="E160" s="448"/>
      <c r="F160" s="448"/>
      <c r="G160" s="448"/>
      <c r="H160" s="448"/>
    </row>
    <row r="161" ht="14.25" customHeight="1">
      <c r="A161" s="448"/>
      <c r="B161" s="448"/>
      <c r="C161" s="448"/>
      <c r="D161" s="448"/>
      <c r="E161" s="448"/>
      <c r="F161" s="448"/>
      <c r="G161" s="448"/>
      <c r="H161" s="448"/>
    </row>
    <row r="162" ht="14.25" customHeight="1">
      <c r="A162" s="448"/>
      <c r="B162" s="448"/>
      <c r="C162" s="448"/>
      <c r="D162" s="448"/>
      <c r="E162" s="448"/>
      <c r="F162" s="448"/>
      <c r="G162" s="448"/>
      <c r="H162" s="448"/>
    </row>
    <row r="163" ht="14.25" customHeight="1">
      <c r="A163" s="448"/>
      <c r="B163" s="448"/>
      <c r="C163" s="448"/>
      <c r="D163" s="448"/>
      <c r="E163" s="448"/>
      <c r="F163" s="448"/>
      <c r="G163" s="448"/>
      <c r="H163" s="448"/>
    </row>
    <row r="164" ht="14.25" customHeight="1">
      <c r="A164" s="448"/>
      <c r="B164" s="448"/>
      <c r="C164" s="448"/>
      <c r="D164" s="448"/>
      <c r="E164" s="448"/>
      <c r="F164" s="448"/>
      <c r="G164" s="448"/>
      <c r="H164" s="448"/>
    </row>
    <row r="165" ht="14.25" customHeight="1">
      <c r="A165" s="448"/>
      <c r="B165" s="448"/>
      <c r="C165" s="448"/>
      <c r="D165" s="448"/>
      <c r="E165" s="448"/>
      <c r="F165" s="448"/>
      <c r="G165" s="448"/>
      <c r="H165" s="448"/>
    </row>
    <row r="166" ht="14.25" customHeight="1">
      <c r="A166" s="448"/>
      <c r="B166" s="448"/>
      <c r="C166" s="448"/>
      <c r="D166" s="448"/>
      <c r="E166" s="448"/>
      <c r="F166" s="448"/>
      <c r="G166" s="448"/>
      <c r="H166" s="448"/>
    </row>
    <row r="167" ht="14.25" customHeight="1">
      <c r="A167" s="448"/>
      <c r="B167" s="448"/>
      <c r="C167" s="448"/>
      <c r="D167" s="448"/>
      <c r="E167" s="448"/>
      <c r="F167" s="448"/>
      <c r="G167" s="448"/>
      <c r="H167" s="448"/>
    </row>
    <row r="168" ht="14.25" customHeight="1">
      <c r="A168" s="448"/>
      <c r="B168" s="448"/>
      <c r="C168" s="448"/>
      <c r="D168" s="448"/>
      <c r="E168" s="448"/>
      <c r="F168" s="448"/>
      <c r="G168" s="448"/>
      <c r="H168" s="448"/>
    </row>
    <row r="169" ht="14.25" customHeight="1">
      <c r="A169" s="448"/>
      <c r="B169" s="448"/>
      <c r="C169" s="448"/>
      <c r="D169" s="448"/>
      <c r="E169" s="448"/>
      <c r="F169" s="448"/>
      <c r="G169" s="448"/>
      <c r="H169" s="448"/>
    </row>
    <row r="170" ht="14.25" customHeight="1">
      <c r="A170" s="448"/>
      <c r="B170" s="448"/>
      <c r="C170" s="448"/>
      <c r="D170" s="448"/>
      <c r="E170" s="448"/>
      <c r="F170" s="448"/>
      <c r="G170" s="448"/>
      <c r="H170" s="448"/>
    </row>
    <row r="171" ht="14.25" customHeight="1">
      <c r="A171" s="448"/>
      <c r="B171" s="448"/>
      <c r="C171" s="448"/>
      <c r="D171" s="448"/>
      <c r="E171" s="448"/>
      <c r="F171" s="448"/>
      <c r="G171" s="448"/>
      <c r="H171" s="448"/>
    </row>
    <row r="172" ht="14.25" customHeight="1">
      <c r="A172" s="448"/>
      <c r="B172" s="448"/>
      <c r="C172" s="448"/>
      <c r="D172" s="448"/>
      <c r="E172" s="448"/>
      <c r="F172" s="448"/>
      <c r="G172" s="448"/>
      <c r="H172" s="448"/>
    </row>
    <row r="173" ht="14.25" customHeight="1">
      <c r="A173" s="448"/>
      <c r="B173" s="448"/>
      <c r="C173" s="448"/>
      <c r="D173" s="448"/>
      <c r="E173" s="448"/>
      <c r="F173" s="448"/>
      <c r="G173" s="448"/>
      <c r="H173" s="448"/>
    </row>
    <row r="174" ht="14.25" customHeight="1">
      <c r="A174" s="448"/>
      <c r="B174" s="448"/>
      <c r="C174" s="448"/>
      <c r="D174" s="448"/>
      <c r="E174" s="448"/>
      <c r="F174" s="448"/>
      <c r="G174" s="448"/>
      <c r="H174" s="448"/>
    </row>
    <row r="175" ht="14.25" customHeight="1">
      <c r="A175" s="448"/>
      <c r="B175" s="448"/>
      <c r="C175" s="448"/>
      <c r="D175" s="448"/>
      <c r="E175" s="448"/>
      <c r="F175" s="448"/>
      <c r="G175" s="448"/>
      <c r="H175" s="448"/>
    </row>
    <row r="176" ht="14.25" customHeight="1">
      <c r="A176" s="448"/>
      <c r="B176" s="448"/>
      <c r="C176" s="448"/>
      <c r="D176" s="448"/>
      <c r="E176" s="448"/>
      <c r="F176" s="448"/>
      <c r="G176" s="448"/>
      <c r="H176" s="448"/>
    </row>
    <row r="177" ht="14.25" customHeight="1">
      <c r="A177" s="448"/>
      <c r="B177" s="448"/>
      <c r="C177" s="448"/>
      <c r="D177" s="448"/>
      <c r="E177" s="448"/>
      <c r="F177" s="448"/>
      <c r="G177" s="448"/>
      <c r="H177" s="448"/>
    </row>
    <row r="178" ht="14.25" customHeight="1">
      <c r="A178" s="448"/>
      <c r="B178" s="448"/>
      <c r="C178" s="448"/>
      <c r="D178" s="448"/>
      <c r="E178" s="448"/>
      <c r="F178" s="448"/>
      <c r="G178" s="448"/>
      <c r="H178" s="448"/>
    </row>
    <row r="179" ht="14.25" customHeight="1">
      <c r="A179" s="448"/>
      <c r="B179" s="448"/>
      <c r="C179" s="448"/>
      <c r="D179" s="448"/>
      <c r="E179" s="448"/>
      <c r="F179" s="448"/>
      <c r="G179" s="448"/>
      <c r="H179" s="448"/>
    </row>
    <row r="180" ht="14.25" customHeight="1">
      <c r="A180" s="448"/>
      <c r="B180" s="448"/>
      <c r="C180" s="448"/>
      <c r="D180" s="448"/>
      <c r="E180" s="448"/>
      <c r="F180" s="448"/>
      <c r="G180" s="448"/>
      <c r="H180" s="448"/>
    </row>
    <row r="181" ht="14.25" customHeight="1">
      <c r="A181" s="448"/>
      <c r="B181" s="448"/>
      <c r="C181" s="448"/>
      <c r="D181" s="448"/>
      <c r="E181" s="448"/>
      <c r="F181" s="448"/>
      <c r="G181" s="448"/>
      <c r="H181" s="448"/>
    </row>
    <row r="182" ht="14.25" customHeight="1">
      <c r="A182" s="448"/>
      <c r="B182" s="448"/>
      <c r="C182" s="448"/>
      <c r="D182" s="448"/>
      <c r="E182" s="448"/>
      <c r="F182" s="448"/>
      <c r="G182" s="448"/>
      <c r="H182" s="448"/>
    </row>
    <row r="183" ht="14.25" customHeight="1">
      <c r="A183" s="448"/>
      <c r="B183" s="448"/>
      <c r="C183" s="448"/>
      <c r="D183" s="448"/>
      <c r="E183" s="448"/>
      <c r="F183" s="448"/>
      <c r="G183" s="448"/>
      <c r="H183" s="448"/>
    </row>
    <row r="184" ht="14.25" customHeight="1">
      <c r="A184" s="448"/>
      <c r="B184" s="448"/>
      <c r="C184" s="448"/>
      <c r="D184" s="448"/>
      <c r="E184" s="448"/>
      <c r="F184" s="448"/>
      <c r="G184" s="448"/>
      <c r="H184" s="448"/>
    </row>
    <row r="185" ht="14.25" customHeight="1">
      <c r="A185" s="448"/>
      <c r="B185" s="448"/>
      <c r="C185" s="448"/>
      <c r="D185" s="448"/>
      <c r="E185" s="448"/>
      <c r="F185" s="448"/>
      <c r="G185" s="448"/>
      <c r="H185" s="448"/>
    </row>
    <row r="186" ht="14.25" customHeight="1">
      <c r="A186" s="448"/>
      <c r="B186" s="448"/>
      <c r="C186" s="448"/>
      <c r="D186" s="448"/>
      <c r="E186" s="448"/>
      <c r="F186" s="448"/>
      <c r="G186" s="448"/>
      <c r="H186" s="448"/>
    </row>
    <row r="187" ht="14.25" customHeight="1">
      <c r="A187" s="448"/>
      <c r="B187" s="448"/>
      <c r="C187" s="448"/>
      <c r="D187" s="448"/>
      <c r="E187" s="448"/>
      <c r="F187" s="448"/>
      <c r="G187" s="448"/>
      <c r="H187" s="448"/>
    </row>
    <row r="188" ht="14.25" customHeight="1">
      <c r="A188" s="448"/>
      <c r="B188" s="448"/>
      <c r="C188" s="448"/>
      <c r="D188" s="448"/>
      <c r="E188" s="448"/>
      <c r="F188" s="448"/>
      <c r="G188" s="448"/>
      <c r="H188" s="448"/>
    </row>
    <row r="189" ht="14.25" customHeight="1">
      <c r="A189" s="448"/>
      <c r="B189" s="448"/>
      <c r="C189" s="448"/>
      <c r="D189" s="448"/>
      <c r="E189" s="448"/>
      <c r="F189" s="448"/>
      <c r="G189" s="448"/>
      <c r="H189" s="448"/>
    </row>
    <row r="190" ht="14.25" customHeight="1">
      <c r="A190" s="448"/>
      <c r="B190" s="448"/>
      <c r="C190" s="448"/>
      <c r="D190" s="448"/>
      <c r="E190" s="448"/>
      <c r="F190" s="448"/>
      <c r="G190" s="448"/>
      <c r="H190" s="448"/>
    </row>
    <row r="191" ht="14.25" customHeight="1">
      <c r="A191" s="448"/>
      <c r="B191" s="448"/>
      <c r="C191" s="448"/>
      <c r="D191" s="448"/>
      <c r="E191" s="448"/>
      <c r="F191" s="448"/>
      <c r="G191" s="448"/>
      <c r="H191" s="448"/>
    </row>
    <row r="192" ht="14.25" customHeight="1">
      <c r="A192" s="448"/>
      <c r="B192" s="448"/>
      <c r="C192" s="448"/>
      <c r="D192" s="448"/>
      <c r="E192" s="448"/>
      <c r="F192" s="448"/>
      <c r="G192" s="448"/>
      <c r="H192" s="448"/>
    </row>
    <row r="193" ht="14.25" customHeight="1">
      <c r="A193" s="448"/>
      <c r="B193" s="448"/>
      <c r="C193" s="448"/>
      <c r="D193" s="448"/>
      <c r="E193" s="448"/>
      <c r="F193" s="448"/>
      <c r="G193" s="448"/>
      <c r="H193" s="448"/>
    </row>
    <row r="194" ht="14.25" customHeight="1">
      <c r="A194" s="448"/>
      <c r="B194" s="448"/>
      <c r="C194" s="448"/>
      <c r="D194" s="448"/>
      <c r="E194" s="448"/>
      <c r="F194" s="448"/>
      <c r="G194" s="448"/>
      <c r="H194" s="448"/>
    </row>
    <row r="195" ht="14.25" customHeight="1">
      <c r="A195" s="448"/>
      <c r="B195" s="448"/>
      <c r="C195" s="448"/>
      <c r="D195" s="448"/>
      <c r="E195" s="448"/>
      <c r="F195" s="448"/>
      <c r="G195" s="448"/>
      <c r="H195" s="448"/>
    </row>
    <row r="196" ht="14.25" customHeight="1">
      <c r="A196" s="448"/>
      <c r="B196" s="448"/>
      <c r="C196" s="448"/>
      <c r="D196" s="448"/>
      <c r="E196" s="448"/>
      <c r="F196" s="448"/>
      <c r="G196" s="448"/>
      <c r="H196" s="448"/>
    </row>
    <row r="197" ht="14.25" customHeight="1">
      <c r="A197" s="448"/>
      <c r="B197" s="448"/>
      <c r="C197" s="448"/>
      <c r="D197" s="448"/>
      <c r="E197" s="448"/>
      <c r="F197" s="448"/>
      <c r="G197" s="448"/>
      <c r="H197" s="448"/>
    </row>
    <row r="198" ht="14.25" customHeight="1">
      <c r="A198" s="448"/>
      <c r="B198" s="448"/>
      <c r="C198" s="448"/>
      <c r="D198" s="448"/>
      <c r="E198" s="448"/>
      <c r="F198" s="448"/>
      <c r="G198" s="448"/>
      <c r="H198" s="448"/>
    </row>
    <row r="199" ht="14.25" customHeight="1">
      <c r="A199" s="448"/>
      <c r="B199" s="448"/>
      <c r="C199" s="448"/>
      <c r="D199" s="448"/>
      <c r="E199" s="448"/>
      <c r="F199" s="448"/>
      <c r="G199" s="448"/>
      <c r="H199" s="448"/>
    </row>
    <row r="200" ht="14.25" customHeight="1">
      <c r="A200" s="448"/>
      <c r="B200" s="448"/>
      <c r="C200" s="448"/>
      <c r="D200" s="448"/>
      <c r="E200" s="448"/>
      <c r="F200" s="448"/>
      <c r="G200" s="448"/>
      <c r="H200" s="448"/>
    </row>
    <row r="201" ht="14.25" customHeight="1">
      <c r="A201" s="448"/>
      <c r="B201" s="448"/>
      <c r="C201" s="448"/>
      <c r="D201" s="448"/>
      <c r="E201" s="448"/>
      <c r="F201" s="448"/>
      <c r="G201" s="448"/>
      <c r="H201" s="448"/>
    </row>
    <row r="202" ht="14.25" customHeight="1">
      <c r="A202" s="448"/>
      <c r="B202" s="448"/>
      <c r="C202" s="448"/>
      <c r="D202" s="448"/>
      <c r="E202" s="448"/>
      <c r="F202" s="448"/>
      <c r="G202" s="448"/>
      <c r="H202" s="448"/>
    </row>
    <row r="203" ht="14.25" customHeight="1">
      <c r="A203" s="448"/>
      <c r="B203" s="448"/>
      <c r="C203" s="448"/>
      <c r="D203" s="448"/>
      <c r="E203" s="448"/>
      <c r="F203" s="448"/>
      <c r="G203" s="448"/>
      <c r="H203" s="448"/>
    </row>
    <row r="204" ht="14.25" customHeight="1">
      <c r="A204" s="448"/>
      <c r="B204" s="448"/>
      <c r="C204" s="448"/>
      <c r="D204" s="448"/>
      <c r="E204" s="448"/>
      <c r="F204" s="448"/>
      <c r="G204" s="448"/>
      <c r="H204" s="448"/>
    </row>
    <row r="205" ht="14.25" customHeight="1">
      <c r="A205" s="448"/>
      <c r="B205" s="448"/>
      <c r="C205" s="448"/>
      <c r="D205" s="448"/>
      <c r="E205" s="448"/>
      <c r="F205" s="448"/>
      <c r="G205" s="448"/>
      <c r="H205" s="448"/>
    </row>
    <row r="206" ht="14.25" customHeight="1">
      <c r="A206" s="448"/>
      <c r="B206" s="448"/>
      <c r="C206" s="448"/>
      <c r="D206" s="448"/>
      <c r="E206" s="448"/>
      <c r="F206" s="448"/>
      <c r="G206" s="448"/>
      <c r="H206" s="448"/>
    </row>
    <row r="207" ht="14.25" customHeight="1">
      <c r="A207" s="448"/>
      <c r="B207" s="448"/>
      <c r="C207" s="448"/>
      <c r="D207" s="448"/>
      <c r="E207" s="448"/>
      <c r="F207" s="448"/>
      <c r="G207" s="448"/>
      <c r="H207" s="448"/>
    </row>
    <row r="208" ht="14.25" customHeight="1">
      <c r="A208" s="448"/>
      <c r="B208" s="448"/>
      <c r="C208" s="448"/>
      <c r="D208" s="448"/>
      <c r="E208" s="448"/>
      <c r="F208" s="448"/>
      <c r="G208" s="448"/>
      <c r="H208" s="448"/>
    </row>
    <row r="209" ht="14.25" customHeight="1">
      <c r="A209" s="448"/>
      <c r="B209" s="448"/>
      <c r="C209" s="448"/>
      <c r="D209" s="448"/>
      <c r="E209" s="448"/>
      <c r="F209" s="448"/>
      <c r="G209" s="448"/>
      <c r="H209" s="448"/>
    </row>
    <row r="210" ht="14.25" customHeight="1">
      <c r="A210" s="448"/>
      <c r="B210" s="448"/>
      <c r="C210" s="448"/>
      <c r="D210" s="448"/>
      <c r="E210" s="448"/>
      <c r="F210" s="448"/>
      <c r="G210" s="448"/>
      <c r="H210" s="448"/>
    </row>
    <row r="211" ht="14.25" customHeight="1">
      <c r="A211" s="448"/>
      <c r="B211" s="448"/>
      <c r="C211" s="448"/>
      <c r="D211" s="448"/>
      <c r="E211" s="448"/>
      <c r="F211" s="448"/>
      <c r="G211" s="448"/>
      <c r="H211" s="448"/>
    </row>
    <row r="212" ht="14.25" customHeight="1">
      <c r="A212" s="448"/>
      <c r="B212" s="448"/>
      <c r="C212" s="448"/>
      <c r="D212" s="448"/>
      <c r="E212" s="448"/>
      <c r="F212" s="448"/>
      <c r="G212" s="448"/>
      <c r="H212" s="448"/>
    </row>
    <row r="213" ht="14.25" customHeight="1">
      <c r="A213" s="448"/>
      <c r="B213" s="448"/>
      <c r="C213" s="448"/>
      <c r="D213" s="448"/>
      <c r="E213" s="448"/>
      <c r="F213" s="448"/>
      <c r="G213" s="448"/>
      <c r="H213" s="448"/>
    </row>
    <row r="214" ht="14.25" customHeight="1">
      <c r="A214" s="448"/>
      <c r="B214" s="448"/>
      <c r="C214" s="448"/>
      <c r="D214" s="448"/>
      <c r="E214" s="448"/>
      <c r="F214" s="448"/>
      <c r="G214" s="448"/>
      <c r="H214" s="448"/>
    </row>
    <row r="215" ht="14.25" customHeight="1">
      <c r="A215" s="448"/>
      <c r="B215" s="448"/>
      <c r="C215" s="448"/>
      <c r="D215" s="448"/>
      <c r="E215" s="448"/>
      <c r="F215" s="448"/>
      <c r="G215" s="448"/>
      <c r="H215" s="448"/>
    </row>
    <row r="216" ht="14.25" customHeight="1">
      <c r="A216" s="448"/>
      <c r="B216" s="448"/>
      <c r="C216" s="448"/>
      <c r="D216" s="448"/>
      <c r="E216" s="448"/>
      <c r="F216" s="448"/>
      <c r="G216" s="448"/>
      <c r="H216" s="448"/>
    </row>
    <row r="217" ht="14.25" customHeight="1">
      <c r="A217" s="448"/>
      <c r="B217" s="448"/>
      <c r="C217" s="448"/>
      <c r="D217" s="448"/>
      <c r="E217" s="448"/>
      <c r="F217" s="448"/>
      <c r="G217" s="448"/>
      <c r="H217" s="448"/>
    </row>
    <row r="218" ht="14.25" customHeight="1">
      <c r="A218" s="448"/>
      <c r="B218" s="448"/>
      <c r="C218" s="448"/>
      <c r="D218" s="448"/>
      <c r="E218" s="448"/>
      <c r="F218" s="448"/>
      <c r="G218" s="448"/>
      <c r="H218" s="448"/>
    </row>
    <row r="219" ht="14.25" customHeight="1">
      <c r="A219" s="448"/>
      <c r="B219" s="448"/>
      <c r="C219" s="448"/>
      <c r="D219" s="448"/>
      <c r="E219" s="448"/>
      <c r="F219" s="448"/>
      <c r="G219" s="448"/>
      <c r="H219" s="448"/>
    </row>
    <row r="220" ht="14.25" customHeight="1">
      <c r="A220" s="448"/>
      <c r="B220" s="448"/>
      <c r="C220" s="448"/>
      <c r="D220" s="448"/>
      <c r="E220" s="448"/>
      <c r="F220" s="448"/>
      <c r="G220" s="448"/>
      <c r="H220" s="448"/>
    </row>
    <row r="221" ht="14.25" customHeight="1">
      <c r="A221" s="448"/>
      <c r="B221" s="448"/>
      <c r="C221" s="448"/>
      <c r="D221" s="448"/>
      <c r="E221" s="448"/>
      <c r="F221" s="448"/>
      <c r="G221" s="448"/>
      <c r="H221" s="448"/>
    </row>
    <row r="222" ht="14.25" customHeight="1">
      <c r="A222" s="448"/>
      <c r="B222" s="448"/>
      <c r="C222" s="448"/>
      <c r="D222" s="448"/>
      <c r="E222" s="448"/>
      <c r="F222" s="448"/>
      <c r="G222" s="448"/>
      <c r="H222" s="448"/>
    </row>
    <row r="223" ht="14.25" customHeight="1">
      <c r="A223" s="448"/>
      <c r="B223" s="448"/>
      <c r="C223" s="448"/>
      <c r="D223" s="448"/>
      <c r="E223" s="448"/>
      <c r="F223" s="448"/>
      <c r="G223" s="448"/>
      <c r="H223" s="448"/>
    </row>
    <row r="224" ht="14.25" customHeight="1">
      <c r="A224" s="448"/>
      <c r="B224" s="448"/>
      <c r="C224" s="448"/>
      <c r="D224" s="448"/>
      <c r="E224" s="448"/>
      <c r="F224" s="448"/>
      <c r="G224" s="448"/>
      <c r="H224" s="448"/>
    </row>
    <row r="225" ht="14.25" customHeight="1">
      <c r="A225" s="448"/>
      <c r="B225" s="448"/>
      <c r="C225" s="448"/>
      <c r="D225" s="448"/>
      <c r="E225" s="448"/>
      <c r="F225" s="448"/>
      <c r="G225" s="448"/>
      <c r="H225" s="448"/>
    </row>
    <row r="226" ht="14.25" customHeight="1">
      <c r="A226" s="448"/>
      <c r="B226" s="448"/>
      <c r="C226" s="448"/>
      <c r="D226" s="448"/>
      <c r="E226" s="448"/>
      <c r="F226" s="448"/>
      <c r="G226" s="448"/>
      <c r="H226" s="448"/>
    </row>
    <row r="227" ht="14.25" customHeight="1">
      <c r="A227" s="448"/>
      <c r="B227" s="448"/>
      <c r="C227" s="448"/>
      <c r="D227" s="448"/>
      <c r="E227" s="448"/>
      <c r="F227" s="448"/>
      <c r="G227" s="448"/>
      <c r="H227" s="448"/>
    </row>
    <row r="228" ht="14.25" customHeight="1">
      <c r="A228" s="448"/>
      <c r="B228" s="448"/>
      <c r="C228" s="448"/>
      <c r="D228" s="448"/>
      <c r="E228" s="448"/>
      <c r="F228" s="448"/>
      <c r="G228" s="448"/>
      <c r="H228" s="448"/>
    </row>
    <row r="229" ht="14.25" customHeight="1">
      <c r="A229" s="448"/>
      <c r="B229" s="448"/>
      <c r="C229" s="448"/>
      <c r="D229" s="448"/>
      <c r="E229" s="448"/>
      <c r="F229" s="448"/>
      <c r="G229" s="448"/>
      <c r="H229" s="448"/>
    </row>
    <row r="230" ht="14.25" customHeight="1">
      <c r="A230" s="448"/>
      <c r="B230" s="448"/>
      <c r="C230" s="448"/>
      <c r="D230" s="448"/>
      <c r="E230" s="448"/>
      <c r="F230" s="448"/>
      <c r="G230" s="448"/>
      <c r="H230" s="448"/>
    </row>
    <row r="231" ht="14.25" customHeight="1">
      <c r="A231" s="448"/>
      <c r="B231" s="448"/>
      <c r="C231" s="448"/>
      <c r="D231" s="448"/>
      <c r="E231" s="448"/>
      <c r="F231" s="448"/>
      <c r="G231" s="448"/>
      <c r="H231" s="448"/>
    </row>
    <row r="232" ht="14.25" customHeight="1">
      <c r="A232" s="448"/>
      <c r="B232" s="448"/>
      <c r="C232" s="448"/>
      <c r="D232" s="448"/>
      <c r="E232" s="448"/>
      <c r="F232" s="448"/>
      <c r="G232" s="448"/>
      <c r="H232" s="448"/>
    </row>
    <row r="233" ht="14.25" customHeight="1">
      <c r="A233" s="448"/>
      <c r="B233" s="448"/>
      <c r="C233" s="448"/>
      <c r="D233" s="448"/>
      <c r="E233" s="448"/>
      <c r="F233" s="448"/>
      <c r="G233" s="448"/>
      <c r="H233" s="448"/>
    </row>
    <row r="234" ht="14.25" customHeight="1">
      <c r="A234" s="448"/>
      <c r="B234" s="448"/>
      <c r="C234" s="448"/>
      <c r="D234" s="448"/>
      <c r="E234" s="448"/>
      <c r="F234" s="448"/>
      <c r="G234" s="448"/>
      <c r="H234" s="448"/>
    </row>
    <row r="235" ht="14.25" customHeight="1">
      <c r="A235" s="448"/>
      <c r="B235" s="448"/>
      <c r="C235" s="448"/>
      <c r="D235" s="448"/>
      <c r="E235" s="448"/>
      <c r="F235" s="448"/>
      <c r="G235" s="448"/>
      <c r="H235" s="448"/>
    </row>
    <row r="236" ht="14.25" customHeight="1">
      <c r="A236" s="448"/>
      <c r="B236" s="448"/>
      <c r="C236" s="448"/>
      <c r="D236" s="448"/>
      <c r="E236" s="448"/>
      <c r="F236" s="448"/>
      <c r="G236" s="448"/>
      <c r="H236" s="448"/>
    </row>
    <row r="237" ht="14.25" customHeight="1">
      <c r="A237" s="448"/>
      <c r="B237" s="448"/>
      <c r="C237" s="448"/>
      <c r="D237" s="448"/>
      <c r="E237" s="448"/>
      <c r="F237" s="448"/>
      <c r="G237" s="448"/>
      <c r="H237" s="448"/>
    </row>
    <row r="238" ht="14.25" customHeight="1">
      <c r="A238" s="448"/>
      <c r="B238" s="448"/>
      <c r="C238" s="448"/>
      <c r="D238" s="448"/>
      <c r="E238" s="448"/>
      <c r="F238" s="448"/>
      <c r="G238" s="448"/>
      <c r="H238" s="448"/>
    </row>
    <row r="239" ht="14.25" customHeight="1">
      <c r="A239" s="448"/>
      <c r="B239" s="448"/>
      <c r="C239" s="448"/>
      <c r="D239" s="448"/>
      <c r="E239" s="448"/>
      <c r="F239" s="448"/>
      <c r="G239" s="448"/>
      <c r="H239" s="448"/>
    </row>
    <row r="240" ht="14.25" customHeight="1">
      <c r="A240" s="448"/>
      <c r="B240" s="448"/>
      <c r="C240" s="448"/>
      <c r="D240" s="448"/>
      <c r="E240" s="448"/>
      <c r="F240" s="448"/>
      <c r="G240" s="448"/>
      <c r="H240" s="448"/>
    </row>
    <row r="241" ht="14.25" customHeight="1">
      <c r="A241" s="448"/>
      <c r="B241" s="448"/>
      <c r="C241" s="448"/>
      <c r="D241" s="448"/>
      <c r="E241" s="448"/>
      <c r="F241" s="448"/>
      <c r="G241" s="448"/>
      <c r="H241" s="448"/>
    </row>
    <row r="242" ht="14.25" customHeight="1">
      <c r="A242" s="448"/>
      <c r="B242" s="448"/>
      <c r="C242" s="448"/>
      <c r="D242" s="448"/>
      <c r="E242" s="448"/>
      <c r="F242" s="448"/>
      <c r="G242" s="448"/>
      <c r="H242" s="448"/>
    </row>
    <row r="243" ht="14.25" customHeight="1">
      <c r="A243" s="448"/>
      <c r="B243" s="448"/>
      <c r="C243" s="448"/>
      <c r="D243" s="448"/>
      <c r="E243" s="448"/>
      <c r="F243" s="448"/>
      <c r="G243" s="448"/>
      <c r="H243" s="448"/>
    </row>
    <row r="244" ht="14.25" customHeight="1">
      <c r="A244" s="448"/>
      <c r="B244" s="448"/>
      <c r="C244" s="448"/>
      <c r="D244" s="448"/>
      <c r="E244" s="448"/>
      <c r="F244" s="448"/>
      <c r="G244" s="448"/>
      <c r="H244" s="448"/>
    </row>
    <row r="245" ht="14.25" customHeight="1">
      <c r="A245" s="448"/>
      <c r="B245" s="448"/>
      <c r="C245" s="448"/>
      <c r="D245" s="448"/>
      <c r="E245" s="448"/>
      <c r="F245" s="448"/>
      <c r="G245" s="448"/>
      <c r="H245" s="448"/>
    </row>
    <row r="246" ht="14.25" customHeight="1">
      <c r="A246" s="448"/>
      <c r="B246" s="448"/>
      <c r="C246" s="448"/>
      <c r="D246" s="448"/>
      <c r="E246" s="448"/>
      <c r="F246" s="448"/>
      <c r="G246" s="448"/>
      <c r="H246" s="448"/>
    </row>
    <row r="247" ht="14.25" customHeight="1">
      <c r="A247" s="448"/>
      <c r="B247" s="448"/>
      <c r="C247" s="448"/>
      <c r="D247" s="448"/>
      <c r="E247" s="448"/>
      <c r="F247" s="448"/>
      <c r="G247" s="448"/>
      <c r="H247" s="448"/>
    </row>
    <row r="248" ht="14.25" customHeight="1">
      <c r="A248" s="448"/>
      <c r="B248" s="448"/>
      <c r="C248" s="448"/>
      <c r="D248" s="448"/>
      <c r="E248" s="448"/>
      <c r="F248" s="448"/>
      <c r="G248" s="448"/>
      <c r="H248" s="448"/>
    </row>
    <row r="249" ht="14.25" customHeight="1">
      <c r="A249" s="448"/>
      <c r="B249" s="448"/>
      <c r="C249" s="448"/>
      <c r="D249" s="448"/>
      <c r="E249" s="448"/>
      <c r="F249" s="448"/>
      <c r="G249" s="448"/>
      <c r="H249" s="448"/>
    </row>
    <row r="250" ht="14.25" customHeight="1">
      <c r="A250" s="448"/>
      <c r="B250" s="448"/>
      <c r="C250" s="448"/>
      <c r="D250" s="448"/>
      <c r="E250" s="448"/>
      <c r="F250" s="448"/>
      <c r="G250" s="448"/>
      <c r="H250" s="448"/>
    </row>
    <row r="251" ht="14.25" customHeight="1">
      <c r="A251" s="448"/>
      <c r="B251" s="448"/>
      <c r="C251" s="448"/>
      <c r="D251" s="448"/>
      <c r="E251" s="448"/>
      <c r="F251" s="448"/>
      <c r="G251" s="448"/>
      <c r="H251" s="448"/>
    </row>
    <row r="252" ht="14.25" customHeight="1">
      <c r="A252" s="448"/>
      <c r="B252" s="448"/>
      <c r="C252" s="448"/>
      <c r="D252" s="448"/>
      <c r="E252" s="448"/>
      <c r="F252" s="448"/>
      <c r="G252" s="448"/>
      <c r="H252" s="448"/>
    </row>
    <row r="253" ht="14.25" customHeight="1">
      <c r="A253" s="448"/>
      <c r="B253" s="448"/>
      <c r="C253" s="448"/>
      <c r="D253" s="448"/>
      <c r="E253" s="448"/>
      <c r="F253" s="448"/>
      <c r="G253" s="448"/>
      <c r="H253" s="448"/>
    </row>
    <row r="254" ht="14.25" customHeight="1">
      <c r="A254" s="448"/>
      <c r="B254" s="448"/>
      <c r="C254" s="448"/>
      <c r="D254" s="448"/>
      <c r="E254" s="448"/>
      <c r="F254" s="448"/>
      <c r="G254" s="448"/>
      <c r="H254" s="448"/>
    </row>
    <row r="255" ht="14.25" customHeight="1">
      <c r="A255" s="448"/>
      <c r="B255" s="448"/>
      <c r="C255" s="448"/>
      <c r="D255" s="448"/>
      <c r="E255" s="448"/>
      <c r="F255" s="448"/>
      <c r="G255" s="448"/>
      <c r="H255" s="448"/>
    </row>
    <row r="256" ht="14.25" customHeight="1">
      <c r="A256" s="448"/>
      <c r="B256" s="448"/>
      <c r="C256" s="448"/>
      <c r="D256" s="448"/>
      <c r="E256" s="448"/>
      <c r="F256" s="448"/>
      <c r="G256" s="448"/>
      <c r="H256" s="448"/>
    </row>
    <row r="257" ht="14.25" customHeight="1">
      <c r="A257" s="448"/>
      <c r="B257" s="448"/>
      <c r="C257" s="448"/>
      <c r="D257" s="448"/>
      <c r="E257" s="448"/>
      <c r="F257" s="448"/>
      <c r="G257" s="448"/>
      <c r="H257" s="448"/>
    </row>
    <row r="258" ht="14.25" customHeight="1">
      <c r="A258" s="448"/>
      <c r="B258" s="448"/>
      <c r="C258" s="448"/>
      <c r="D258" s="448"/>
      <c r="E258" s="448"/>
      <c r="F258" s="448"/>
      <c r="G258" s="448"/>
      <c r="H258" s="448"/>
    </row>
    <row r="259" ht="14.25" customHeight="1">
      <c r="A259" s="448"/>
      <c r="B259" s="448"/>
      <c r="C259" s="448"/>
      <c r="D259" s="448"/>
      <c r="E259" s="448"/>
      <c r="F259" s="448"/>
      <c r="G259" s="448"/>
      <c r="H259" s="448"/>
    </row>
    <row r="260" ht="14.25" customHeight="1">
      <c r="A260" s="448"/>
      <c r="B260" s="448"/>
      <c r="C260" s="448"/>
      <c r="D260" s="448"/>
      <c r="E260" s="448"/>
      <c r="F260" s="448"/>
      <c r="G260" s="448"/>
      <c r="H260" s="448"/>
    </row>
    <row r="261" ht="14.25" customHeight="1">
      <c r="A261" s="448"/>
      <c r="B261" s="448"/>
      <c r="C261" s="448"/>
      <c r="D261" s="448"/>
      <c r="E261" s="448"/>
      <c r="F261" s="448"/>
      <c r="G261" s="448"/>
      <c r="H261" s="448"/>
    </row>
    <row r="262" ht="14.25" customHeight="1">
      <c r="A262" s="448"/>
      <c r="B262" s="448"/>
      <c r="C262" s="448"/>
      <c r="D262" s="448"/>
      <c r="E262" s="448"/>
      <c r="F262" s="448"/>
      <c r="G262" s="448"/>
      <c r="H262" s="448"/>
    </row>
    <row r="263" ht="14.25" customHeight="1">
      <c r="A263" s="448"/>
      <c r="B263" s="448"/>
      <c r="C263" s="448"/>
      <c r="D263" s="448"/>
      <c r="E263" s="448"/>
      <c r="F263" s="448"/>
      <c r="G263" s="448"/>
      <c r="H263" s="448"/>
    </row>
    <row r="264" ht="14.25" customHeight="1">
      <c r="A264" s="448"/>
      <c r="B264" s="448"/>
      <c r="C264" s="448"/>
      <c r="D264" s="448"/>
      <c r="E264" s="448"/>
      <c r="F264" s="448"/>
      <c r="G264" s="448"/>
      <c r="H264" s="448"/>
    </row>
    <row r="265" ht="14.25" customHeight="1">
      <c r="A265" s="448"/>
      <c r="B265" s="448"/>
      <c r="C265" s="448"/>
      <c r="D265" s="448"/>
      <c r="E265" s="448"/>
      <c r="F265" s="448"/>
      <c r="G265" s="448"/>
      <c r="H265" s="448"/>
    </row>
    <row r="266" ht="14.25" customHeight="1">
      <c r="A266" s="448"/>
      <c r="B266" s="448"/>
      <c r="C266" s="448"/>
      <c r="D266" s="448"/>
      <c r="E266" s="448"/>
      <c r="F266" s="448"/>
      <c r="G266" s="448"/>
      <c r="H266" s="448"/>
    </row>
    <row r="267" ht="14.25" customHeight="1">
      <c r="A267" s="448"/>
      <c r="B267" s="448"/>
      <c r="C267" s="448"/>
      <c r="D267" s="448"/>
      <c r="E267" s="448"/>
      <c r="F267" s="448"/>
      <c r="G267" s="448"/>
      <c r="H267" s="448"/>
    </row>
    <row r="268" ht="14.25" customHeight="1">
      <c r="A268" s="448"/>
      <c r="B268" s="448"/>
      <c r="C268" s="448"/>
      <c r="D268" s="448"/>
      <c r="E268" s="448"/>
      <c r="F268" s="448"/>
      <c r="G268" s="448"/>
      <c r="H268" s="448"/>
    </row>
    <row r="269" ht="14.25" customHeight="1">
      <c r="A269" s="448"/>
      <c r="B269" s="448"/>
      <c r="C269" s="448"/>
      <c r="D269" s="448"/>
      <c r="E269" s="448"/>
      <c r="F269" s="448"/>
      <c r="G269" s="448"/>
      <c r="H269" s="448"/>
    </row>
    <row r="270" ht="14.25" customHeight="1">
      <c r="A270" s="448"/>
      <c r="B270" s="448"/>
      <c r="C270" s="448"/>
      <c r="D270" s="448"/>
      <c r="E270" s="448"/>
      <c r="F270" s="448"/>
      <c r="G270" s="448"/>
      <c r="H270" s="448"/>
    </row>
    <row r="271" ht="14.25" customHeight="1">
      <c r="A271" s="448"/>
      <c r="B271" s="448"/>
      <c r="C271" s="448"/>
      <c r="D271" s="448"/>
      <c r="E271" s="448"/>
      <c r="F271" s="448"/>
      <c r="G271" s="448"/>
      <c r="H271" s="448"/>
    </row>
    <row r="272" ht="14.25" customHeight="1">
      <c r="A272" s="448"/>
      <c r="B272" s="448"/>
      <c r="C272" s="448"/>
      <c r="D272" s="448"/>
      <c r="E272" s="448"/>
      <c r="F272" s="448"/>
      <c r="G272" s="448"/>
      <c r="H272" s="448"/>
    </row>
    <row r="273" ht="14.25" customHeight="1">
      <c r="A273" s="448"/>
      <c r="B273" s="448"/>
      <c r="C273" s="448"/>
      <c r="D273" s="448"/>
      <c r="E273" s="448"/>
      <c r="F273" s="448"/>
      <c r="G273" s="448"/>
      <c r="H273" s="448"/>
    </row>
    <row r="274" ht="14.25" customHeight="1">
      <c r="A274" s="448"/>
      <c r="B274" s="448"/>
      <c r="C274" s="448"/>
      <c r="D274" s="448"/>
      <c r="E274" s="448"/>
      <c r="F274" s="448"/>
      <c r="G274" s="448"/>
      <c r="H274" s="448"/>
    </row>
    <row r="275" ht="14.25" customHeight="1">
      <c r="A275" s="448"/>
      <c r="B275" s="448"/>
      <c r="C275" s="448"/>
      <c r="D275" s="448"/>
      <c r="E275" s="448"/>
      <c r="F275" s="448"/>
      <c r="G275" s="448"/>
      <c r="H275" s="448"/>
    </row>
    <row r="276" ht="14.25" customHeight="1">
      <c r="A276" s="448"/>
      <c r="B276" s="448"/>
      <c r="C276" s="448"/>
      <c r="D276" s="448"/>
      <c r="E276" s="448"/>
      <c r="F276" s="448"/>
      <c r="G276" s="448"/>
      <c r="H276" s="448"/>
    </row>
    <row r="277" ht="14.25" customHeight="1">
      <c r="A277" s="448"/>
      <c r="B277" s="448"/>
      <c r="C277" s="448"/>
      <c r="D277" s="448"/>
      <c r="E277" s="448"/>
      <c r="F277" s="448"/>
      <c r="G277" s="448"/>
      <c r="H277" s="448"/>
    </row>
    <row r="278" ht="14.25" customHeight="1">
      <c r="A278" s="448"/>
      <c r="B278" s="448"/>
      <c r="C278" s="448"/>
      <c r="D278" s="448"/>
      <c r="E278" s="448"/>
      <c r="F278" s="448"/>
      <c r="G278" s="448"/>
      <c r="H278" s="448"/>
    </row>
    <row r="279" ht="14.25" customHeight="1">
      <c r="A279" s="448"/>
      <c r="B279" s="448"/>
      <c r="C279" s="448"/>
      <c r="D279" s="448"/>
      <c r="E279" s="448"/>
      <c r="F279" s="448"/>
      <c r="G279" s="448"/>
      <c r="H279" s="448"/>
    </row>
    <row r="280" ht="14.25" customHeight="1">
      <c r="A280" s="448"/>
      <c r="B280" s="448"/>
      <c r="C280" s="448"/>
      <c r="D280" s="448"/>
      <c r="E280" s="448"/>
      <c r="F280" s="448"/>
      <c r="G280" s="448"/>
      <c r="H280" s="448"/>
    </row>
    <row r="281" ht="14.25" customHeight="1">
      <c r="A281" s="448"/>
      <c r="B281" s="448"/>
      <c r="C281" s="448"/>
      <c r="D281" s="448"/>
      <c r="E281" s="448"/>
      <c r="F281" s="448"/>
      <c r="G281" s="448"/>
      <c r="H281" s="448"/>
    </row>
    <row r="282" ht="14.25" customHeight="1">
      <c r="A282" s="448"/>
      <c r="B282" s="448"/>
      <c r="C282" s="448"/>
      <c r="D282" s="448"/>
      <c r="E282" s="448"/>
      <c r="F282" s="448"/>
      <c r="G282" s="448"/>
      <c r="H282" s="448"/>
    </row>
    <row r="283" ht="14.25" customHeight="1">
      <c r="A283" s="448"/>
      <c r="B283" s="448"/>
      <c r="C283" s="448"/>
      <c r="D283" s="448"/>
      <c r="E283" s="448"/>
      <c r="F283" s="448"/>
      <c r="G283" s="448"/>
      <c r="H283" s="448"/>
    </row>
    <row r="284" ht="14.25" customHeight="1">
      <c r="A284" s="448"/>
      <c r="B284" s="448"/>
      <c r="C284" s="448"/>
      <c r="D284" s="448"/>
      <c r="E284" s="448"/>
      <c r="F284" s="448"/>
      <c r="G284" s="448"/>
      <c r="H284" s="448"/>
    </row>
    <row r="285" ht="14.25" customHeight="1">
      <c r="A285" s="448"/>
      <c r="B285" s="448"/>
      <c r="C285" s="448"/>
      <c r="D285" s="448"/>
      <c r="E285" s="448"/>
      <c r="F285" s="448"/>
      <c r="G285" s="448"/>
      <c r="H285" s="448"/>
    </row>
    <row r="286" ht="14.25" customHeight="1">
      <c r="A286" s="448"/>
      <c r="B286" s="448"/>
      <c r="C286" s="448"/>
      <c r="D286" s="448"/>
      <c r="E286" s="448"/>
      <c r="F286" s="448"/>
      <c r="G286" s="448"/>
      <c r="H286" s="448"/>
    </row>
    <row r="287" ht="14.25" customHeight="1">
      <c r="A287" s="448"/>
      <c r="B287" s="448"/>
      <c r="C287" s="448"/>
      <c r="D287" s="448"/>
      <c r="E287" s="448"/>
      <c r="F287" s="448"/>
      <c r="G287" s="448"/>
      <c r="H287" s="448"/>
    </row>
    <row r="288" ht="14.25" customHeight="1">
      <c r="A288" s="448"/>
      <c r="B288" s="448"/>
      <c r="C288" s="448"/>
      <c r="D288" s="448"/>
      <c r="E288" s="448"/>
      <c r="F288" s="448"/>
      <c r="G288" s="448"/>
      <c r="H288" s="448"/>
    </row>
    <row r="289" ht="14.25" customHeight="1">
      <c r="A289" s="448"/>
      <c r="B289" s="448"/>
      <c r="C289" s="448"/>
      <c r="D289" s="448"/>
      <c r="E289" s="448"/>
      <c r="F289" s="448"/>
      <c r="G289" s="448"/>
      <c r="H289" s="448"/>
    </row>
    <row r="290" ht="14.25" customHeight="1">
      <c r="A290" s="448"/>
      <c r="B290" s="448"/>
      <c r="C290" s="448"/>
      <c r="D290" s="448"/>
      <c r="E290" s="448"/>
      <c r="F290" s="448"/>
      <c r="G290" s="448"/>
      <c r="H290" s="448"/>
    </row>
    <row r="291" ht="14.25" customHeight="1">
      <c r="A291" s="448"/>
      <c r="B291" s="448"/>
      <c r="C291" s="448"/>
      <c r="D291" s="448"/>
      <c r="E291" s="448"/>
      <c r="F291" s="448"/>
      <c r="G291" s="448"/>
      <c r="H291" s="448"/>
    </row>
    <row r="292" ht="14.25" customHeight="1">
      <c r="A292" s="448"/>
      <c r="B292" s="448"/>
      <c r="C292" s="448"/>
      <c r="D292" s="448"/>
      <c r="E292" s="448"/>
      <c r="F292" s="448"/>
      <c r="G292" s="448"/>
      <c r="H292" s="448"/>
    </row>
    <row r="293" ht="14.25" customHeight="1">
      <c r="A293" s="448"/>
      <c r="B293" s="448"/>
      <c r="C293" s="448"/>
      <c r="D293" s="448"/>
      <c r="E293" s="448"/>
      <c r="F293" s="448"/>
      <c r="G293" s="448"/>
      <c r="H293" s="448"/>
    </row>
    <row r="294" ht="14.25" customHeight="1">
      <c r="A294" s="448"/>
      <c r="B294" s="448"/>
      <c r="C294" s="448"/>
      <c r="D294" s="448"/>
      <c r="E294" s="448"/>
      <c r="F294" s="448"/>
      <c r="G294" s="448"/>
      <c r="H294" s="448"/>
    </row>
    <row r="295" ht="14.25" customHeight="1">
      <c r="A295" s="448"/>
      <c r="B295" s="448"/>
      <c r="C295" s="448"/>
      <c r="D295" s="448"/>
      <c r="E295" s="448"/>
      <c r="F295" s="448"/>
      <c r="G295" s="448"/>
      <c r="H295" s="448"/>
    </row>
    <row r="296" ht="14.25" customHeight="1">
      <c r="A296" s="448"/>
      <c r="B296" s="448"/>
      <c r="C296" s="448"/>
      <c r="D296" s="448"/>
      <c r="E296" s="448"/>
      <c r="F296" s="448"/>
      <c r="G296" s="448"/>
      <c r="H296" s="448"/>
    </row>
    <row r="297" ht="14.25" customHeight="1">
      <c r="A297" s="448"/>
      <c r="B297" s="448"/>
      <c r="C297" s="448"/>
      <c r="D297" s="448"/>
      <c r="E297" s="448"/>
      <c r="F297" s="448"/>
      <c r="G297" s="448"/>
      <c r="H297" s="448"/>
    </row>
    <row r="298" ht="14.25" customHeight="1">
      <c r="A298" s="448"/>
      <c r="B298" s="448"/>
      <c r="C298" s="448"/>
      <c r="D298" s="448"/>
      <c r="E298" s="448"/>
      <c r="F298" s="448"/>
      <c r="G298" s="448"/>
      <c r="H298" s="448"/>
    </row>
    <row r="299" ht="14.25" customHeight="1">
      <c r="A299" s="448"/>
      <c r="B299" s="448"/>
      <c r="C299" s="448"/>
      <c r="D299" s="448"/>
      <c r="E299" s="448"/>
      <c r="F299" s="448"/>
      <c r="G299" s="448"/>
      <c r="H299" s="448"/>
    </row>
    <row r="300" ht="14.25" customHeight="1">
      <c r="A300" s="448"/>
      <c r="B300" s="448"/>
      <c r="C300" s="448"/>
      <c r="D300" s="448"/>
      <c r="E300" s="448"/>
      <c r="F300" s="448"/>
      <c r="G300" s="448"/>
      <c r="H300" s="448"/>
    </row>
    <row r="301" ht="14.25" customHeight="1">
      <c r="A301" s="448"/>
      <c r="B301" s="448"/>
      <c r="C301" s="448"/>
      <c r="D301" s="448"/>
      <c r="E301" s="448"/>
      <c r="F301" s="448"/>
      <c r="G301" s="448"/>
      <c r="H301" s="448"/>
    </row>
    <row r="302" ht="14.25" customHeight="1">
      <c r="A302" s="448"/>
      <c r="B302" s="448"/>
      <c r="C302" s="448"/>
      <c r="D302" s="448"/>
      <c r="E302" s="448"/>
      <c r="F302" s="448"/>
      <c r="G302" s="448"/>
      <c r="H302" s="448"/>
    </row>
    <row r="303" ht="14.25" customHeight="1">
      <c r="A303" s="448"/>
      <c r="B303" s="448"/>
      <c r="C303" s="448"/>
      <c r="D303" s="448"/>
      <c r="E303" s="448"/>
      <c r="F303" s="448"/>
      <c r="G303" s="448"/>
      <c r="H303" s="448"/>
    </row>
    <row r="304" ht="14.25" customHeight="1">
      <c r="A304" s="448"/>
      <c r="B304" s="448"/>
      <c r="C304" s="448"/>
      <c r="D304" s="448"/>
      <c r="E304" s="448"/>
      <c r="F304" s="448"/>
      <c r="G304" s="448"/>
      <c r="H304" s="448"/>
    </row>
    <row r="305" ht="14.25" customHeight="1">
      <c r="A305" s="448"/>
      <c r="B305" s="448"/>
      <c r="C305" s="448"/>
      <c r="D305" s="448"/>
      <c r="E305" s="448"/>
      <c r="F305" s="448"/>
      <c r="G305" s="448"/>
      <c r="H305" s="448"/>
    </row>
    <row r="306" ht="14.25" customHeight="1">
      <c r="A306" s="448"/>
      <c r="B306" s="448"/>
      <c r="C306" s="448"/>
      <c r="D306" s="448"/>
      <c r="E306" s="448"/>
      <c r="F306" s="448"/>
      <c r="G306" s="448"/>
      <c r="H306" s="448"/>
    </row>
    <row r="307" ht="14.25" customHeight="1">
      <c r="A307" s="448"/>
      <c r="B307" s="448"/>
      <c r="C307" s="448"/>
      <c r="D307" s="448"/>
      <c r="E307" s="448"/>
      <c r="F307" s="448"/>
      <c r="G307" s="448"/>
      <c r="H307" s="448"/>
    </row>
    <row r="308" ht="14.25" customHeight="1">
      <c r="A308" s="448"/>
      <c r="B308" s="448"/>
      <c r="C308" s="448"/>
      <c r="D308" s="448"/>
      <c r="E308" s="448"/>
      <c r="F308" s="448"/>
      <c r="G308" s="448"/>
      <c r="H308" s="448"/>
    </row>
    <row r="309" ht="14.25" customHeight="1">
      <c r="A309" s="448"/>
      <c r="B309" s="448"/>
      <c r="C309" s="448"/>
      <c r="D309" s="448"/>
      <c r="E309" s="448"/>
      <c r="F309" s="448"/>
      <c r="G309" s="448"/>
      <c r="H309" s="448"/>
    </row>
    <row r="310" ht="14.25" customHeight="1">
      <c r="A310" s="448"/>
      <c r="B310" s="448"/>
      <c r="C310" s="448"/>
      <c r="D310" s="448"/>
      <c r="E310" s="448"/>
      <c r="F310" s="448"/>
      <c r="G310" s="448"/>
      <c r="H310" s="448"/>
    </row>
    <row r="311" ht="14.25" customHeight="1">
      <c r="A311" s="448"/>
      <c r="B311" s="448"/>
      <c r="C311" s="448"/>
      <c r="D311" s="448"/>
      <c r="E311" s="448"/>
      <c r="F311" s="448"/>
      <c r="G311" s="448"/>
      <c r="H311" s="448"/>
    </row>
    <row r="312" ht="14.25" customHeight="1">
      <c r="A312" s="448"/>
      <c r="B312" s="448"/>
      <c r="C312" s="448"/>
      <c r="D312" s="448"/>
      <c r="E312" s="448"/>
      <c r="F312" s="448"/>
      <c r="G312" s="448"/>
      <c r="H312" s="448"/>
    </row>
    <row r="313" ht="14.25" customHeight="1">
      <c r="A313" s="448"/>
      <c r="B313" s="448"/>
      <c r="C313" s="448"/>
      <c r="D313" s="448"/>
      <c r="E313" s="448"/>
      <c r="F313" s="448"/>
      <c r="G313" s="448"/>
      <c r="H313" s="448"/>
    </row>
    <row r="314" ht="14.25" customHeight="1">
      <c r="A314" s="448"/>
      <c r="B314" s="448"/>
      <c r="C314" s="448"/>
      <c r="D314" s="448"/>
      <c r="E314" s="448"/>
      <c r="F314" s="448"/>
      <c r="G314" s="448"/>
      <c r="H314" s="448"/>
    </row>
    <row r="315" ht="14.25" customHeight="1">
      <c r="A315" s="448"/>
      <c r="B315" s="448"/>
      <c r="C315" s="448"/>
      <c r="D315" s="448"/>
      <c r="E315" s="448"/>
      <c r="F315" s="448"/>
      <c r="G315" s="448"/>
      <c r="H315" s="448"/>
    </row>
    <row r="316" ht="14.25" customHeight="1">
      <c r="A316" s="448"/>
      <c r="B316" s="448"/>
      <c r="C316" s="448"/>
      <c r="D316" s="448"/>
      <c r="E316" s="448"/>
      <c r="F316" s="448"/>
      <c r="G316" s="448"/>
      <c r="H316" s="448"/>
    </row>
    <row r="317" ht="14.25" customHeight="1">
      <c r="A317" s="448"/>
      <c r="B317" s="448"/>
      <c r="C317" s="448"/>
      <c r="D317" s="448"/>
      <c r="E317" s="448"/>
      <c r="F317" s="448"/>
      <c r="G317" s="448"/>
      <c r="H317" s="448"/>
    </row>
    <row r="318" ht="14.25" customHeight="1">
      <c r="A318" s="448"/>
      <c r="B318" s="448"/>
      <c r="C318" s="448"/>
      <c r="D318" s="448"/>
      <c r="E318" s="448"/>
      <c r="F318" s="448"/>
      <c r="G318" s="448"/>
      <c r="H318" s="448"/>
    </row>
    <row r="319" ht="14.25" customHeight="1">
      <c r="A319" s="448"/>
      <c r="B319" s="448"/>
      <c r="C319" s="448"/>
      <c r="D319" s="448"/>
      <c r="E319" s="448"/>
      <c r="F319" s="448"/>
      <c r="G319" s="448"/>
      <c r="H319" s="448"/>
    </row>
    <row r="320" ht="14.25" customHeight="1">
      <c r="A320" s="448"/>
      <c r="B320" s="448"/>
      <c r="C320" s="448"/>
      <c r="D320" s="448"/>
      <c r="E320" s="448"/>
      <c r="F320" s="448"/>
      <c r="G320" s="448"/>
      <c r="H320" s="448"/>
    </row>
    <row r="321" ht="14.25" customHeight="1">
      <c r="A321" s="448"/>
      <c r="B321" s="448"/>
      <c r="C321" s="448"/>
      <c r="D321" s="448"/>
      <c r="E321" s="448"/>
      <c r="F321" s="448"/>
      <c r="G321" s="448"/>
      <c r="H321" s="448"/>
    </row>
    <row r="322" ht="14.25" customHeight="1">
      <c r="A322" s="448"/>
      <c r="B322" s="448"/>
      <c r="C322" s="448"/>
      <c r="D322" s="448"/>
      <c r="E322" s="448"/>
      <c r="F322" s="448"/>
      <c r="G322" s="448"/>
      <c r="H322" s="448"/>
    </row>
    <row r="323" ht="14.25" customHeight="1">
      <c r="A323" s="448"/>
      <c r="B323" s="448"/>
      <c r="C323" s="448"/>
      <c r="D323" s="448"/>
      <c r="E323" s="448"/>
      <c r="F323" s="448"/>
      <c r="G323" s="448"/>
      <c r="H323" s="448"/>
    </row>
    <row r="324" ht="14.25" customHeight="1">
      <c r="A324" s="448"/>
      <c r="B324" s="448"/>
      <c r="C324" s="448"/>
      <c r="D324" s="448"/>
      <c r="E324" s="448"/>
      <c r="F324" s="448"/>
      <c r="G324" s="448"/>
      <c r="H324" s="448"/>
    </row>
    <row r="325" ht="14.25" customHeight="1">
      <c r="A325" s="448"/>
      <c r="B325" s="448"/>
      <c r="C325" s="448"/>
      <c r="D325" s="448"/>
      <c r="E325" s="448"/>
      <c r="F325" s="448"/>
      <c r="G325" s="448"/>
      <c r="H325" s="448"/>
    </row>
    <row r="326" ht="14.25" customHeight="1">
      <c r="A326" s="448"/>
      <c r="B326" s="448"/>
      <c r="C326" s="448"/>
      <c r="D326" s="448"/>
      <c r="E326" s="448"/>
      <c r="F326" s="448"/>
      <c r="G326" s="448"/>
      <c r="H326" s="448"/>
    </row>
    <row r="327" ht="14.25" customHeight="1">
      <c r="A327" s="448"/>
      <c r="B327" s="448"/>
      <c r="C327" s="448"/>
      <c r="D327" s="448"/>
      <c r="E327" s="448"/>
      <c r="F327" s="448"/>
      <c r="G327" s="448"/>
      <c r="H327" s="448"/>
    </row>
    <row r="328" ht="14.25" customHeight="1">
      <c r="A328" s="448"/>
      <c r="B328" s="448"/>
      <c r="C328" s="448"/>
      <c r="D328" s="448"/>
      <c r="E328" s="448"/>
      <c r="F328" s="448"/>
      <c r="G328" s="448"/>
      <c r="H328" s="448"/>
    </row>
    <row r="329" ht="14.25" customHeight="1">
      <c r="A329" s="448"/>
      <c r="B329" s="448"/>
      <c r="C329" s="448"/>
      <c r="D329" s="448"/>
      <c r="E329" s="448"/>
      <c r="F329" s="448"/>
      <c r="G329" s="448"/>
      <c r="H329" s="448"/>
    </row>
    <row r="330" ht="14.25" customHeight="1">
      <c r="A330" s="448"/>
      <c r="B330" s="448"/>
      <c r="C330" s="448"/>
      <c r="D330" s="448"/>
      <c r="E330" s="448"/>
      <c r="F330" s="448"/>
      <c r="G330" s="448"/>
      <c r="H330" s="448"/>
    </row>
    <row r="331" ht="14.25" customHeight="1">
      <c r="A331" s="448"/>
      <c r="B331" s="448"/>
      <c r="C331" s="448"/>
      <c r="D331" s="448"/>
      <c r="E331" s="448"/>
      <c r="F331" s="448"/>
      <c r="G331" s="448"/>
      <c r="H331" s="448"/>
    </row>
    <row r="332" ht="14.25" customHeight="1">
      <c r="A332" s="448"/>
      <c r="B332" s="448"/>
      <c r="C332" s="448"/>
      <c r="D332" s="448"/>
      <c r="E332" s="448"/>
      <c r="F332" s="448"/>
      <c r="G332" s="448"/>
      <c r="H332" s="448"/>
    </row>
    <row r="333" ht="14.25" customHeight="1">
      <c r="A333" s="448"/>
      <c r="B333" s="448"/>
      <c r="C333" s="448"/>
      <c r="D333" s="448"/>
      <c r="E333" s="448"/>
      <c r="F333" s="448"/>
      <c r="G333" s="448"/>
      <c r="H333" s="448"/>
    </row>
    <row r="334" ht="14.25" customHeight="1">
      <c r="A334" s="448"/>
      <c r="B334" s="448"/>
      <c r="C334" s="448"/>
      <c r="D334" s="448"/>
      <c r="E334" s="448"/>
      <c r="F334" s="448"/>
      <c r="G334" s="448"/>
      <c r="H334" s="448"/>
    </row>
    <row r="335" ht="14.25" customHeight="1">
      <c r="A335" s="448"/>
      <c r="B335" s="448"/>
      <c r="C335" s="448"/>
      <c r="D335" s="448"/>
      <c r="E335" s="448"/>
      <c r="F335" s="448"/>
      <c r="G335" s="448"/>
      <c r="H335" s="448"/>
    </row>
    <row r="336" ht="14.25" customHeight="1">
      <c r="A336" s="448"/>
      <c r="B336" s="448"/>
      <c r="C336" s="448"/>
      <c r="D336" s="448"/>
      <c r="E336" s="448"/>
      <c r="F336" s="448"/>
      <c r="G336" s="448"/>
      <c r="H336" s="448"/>
    </row>
    <row r="337" ht="14.25" customHeight="1">
      <c r="A337" s="448"/>
      <c r="B337" s="448"/>
      <c r="C337" s="448"/>
      <c r="D337" s="448"/>
      <c r="E337" s="448"/>
      <c r="F337" s="448"/>
      <c r="G337" s="448"/>
      <c r="H337" s="448"/>
    </row>
    <row r="338" ht="14.25" customHeight="1">
      <c r="A338" s="448"/>
      <c r="B338" s="448"/>
      <c r="C338" s="448"/>
      <c r="D338" s="448"/>
      <c r="E338" s="448"/>
      <c r="F338" s="448"/>
      <c r="G338" s="448"/>
      <c r="H338" s="448"/>
    </row>
    <row r="339" ht="14.25" customHeight="1">
      <c r="A339" s="448"/>
      <c r="B339" s="448"/>
      <c r="C339" s="448"/>
      <c r="D339" s="448"/>
      <c r="E339" s="448"/>
      <c r="F339" s="448"/>
      <c r="G339" s="448"/>
      <c r="H339" s="448"/>
    </row>
    <row r="340" ht="14.25" customHeight="1">
      <c r="A340" s="448"/>
      <c r="B340" s="448"/>
      <c r="C340" s="448"/>
      <c r="D340" s="448"/>
      <c r="E340" s="448"/>
      <c r="F340" s="448"/>
      <c r="G340" s="448"/>
      <c r="H340" s="448"/>
    </row>
    <row r="341" ht="14.25" customHeight="1">
      <c r="A341" s="448"/>
      <c r="B341" s="448"/>
      <c r="C341" s="448"/>
      <c r="D341" s="448"/>
      <c r="E341" s="448"/>
      <c r="F341" s="448"/>
      <c r="G341" s="448"/>
      <c r="H341" s="448"/>
    </row>
    <row r="342" ht="14.25" customHeight="1">
      <c r="A342" s="448"/>
      <c r="B342" s="448"/>
      <c r="C342" s="448"/>
      <c r="D342" s="448"/>
      <c r="E342" s="448"/>
      <c r="F342" s="448"/>
      <c r="G342" s="448"/>
      <c r="H342" s="448"/>
    </row>
    <row r="343" ht="14.25" customHeight="1">
      <c r="A343" s="448"/>
      <c r="B343" s="448"/>
      <c r="C343" s="448"/>
      <c r="D343" s="448"/>
      <c r="E343" s="448"/>
      <c r="F343" s="448"/>
      <c r="G343" s="448"/>
      <c r="H343" s="448"/>
    </row>
    <row r="344" ht="14.25" customHeight="1">
      <c r="A344" s="448"/>
      <c r="B344" s="448"/>
      <c r="C344" s="448"/>
      <c r="D344" s="448"/>
      <c r="E344" s="448"/>
      <c r="F344" s="448"/>
      <c r="G344" s="448"/>
      <c r="H344" s="448"/>
    </row>
    <row r="345" ht="14.25" customHeight="1">
      <c r="A345" s="448"/>
      <c r="B345" s="448"/>
      <c r="C345" s="448"/>
      <c r="D345" s="448"/>
      <c r="E345" s="448"/>
      <c r="F345" s="448"/>
      <c r="G345" s="448"/>
      <c r="H345" s="448"/>
    </row>
    <row r="346" ht="14.25" customHeight="1">
      <c r="A346" s="448"/>
      <c r="B346" s="448"/>
      <c r="C346" s="448"/>
      <c r="D346" s="448"/>
      <c r="E346" s="448"/>
      <c r="F346" s="448"/>
      <c r="G346" s="448"/>
      <c r="H346" s="448"/>
    </row>
    <row r="347" ht="14.25" customHeight="1">
      <c r="A347" s="448"/>
      <c r="B347" s="448"/>
      <c r="C347" s="448"/>
      <c r="D347" s="448"/>
      <c r="E347" s="448"/>
      <c r="F347" s="448"/>
      <c r="G347" s="448"/>
      <c r="H347" s="448"/>
    </row>
    <row r="348" ht="14.25" customHeight="1">
      <c r="A348" s="448"/>
      <c r="B348" s="448"/>
      <c r="C348" s="448"/>
      <c r="D348" s="448"/>
      <c r="E348" s="448"/>
      <c r="F348" s="448"/>
      <c r="G348" s="448"/>
      <c r="H348" s="448"/>
    </row>
    <row r="349" ht="14.25" customHeight="1">
      <c r="A349" s="448"/>
      <c r="B349" s="448"/>
      <c r="C349" s="448"/>
      <c r="D349" s="448"/>
      <c r="E349" s="448"/>
      <c r="F349" s="448"/>
      <c r="G349" s="448"/>
      <c r="H349" s="448"/>
    </row>
    <row r="350" ht="14.25" customHeight="1">
      <c r="A350" s="448"/>
      <c r="B350" s="448"/>
      <c r="C350" s="448"/>
      <c r="D350" s="448"/>
      <c r="E350" s="448"/>
      <c r="F350" s="448"/>
      <c r="G350" s="448"/>
      <c r="H350" s="448"/>
    </row>
    <row r="351" ht="14.25" customHeight="1">
      <c r="A351" s="448"/>
      <c r="B351" s="448"/>
      <c r="C351" s="448"/>
      <c r="D351" s="448"/>
      <c r="E351" s="448"/>
      <c r="F351" s="448"/>
      <c r="G351" s="448"/>
      <c r="H351" s="448"/>
    </row>
    <row r="352" ht="14.25" customHeight="1">
      <c r="A352" s="448"/>
      <c r="B352" s="448"/>
      <c r="C352" s="448"/>
      <c r="D352" s="448"/>
      <c r="E352" s="448"/>
      <c r="F352" s="448"/>
      <c r="G352" s="448"/>
      <c r="H352" s="448"/>
    </row>
    <row r="353" ht="14.25" customHeight="1">
      <c r="A353" s="448"/>
      <c r="B353" s="448"/>
      <c r="C353" s="448"/>
      <c r="D353" s="448"/>
      <c r="E353" s="448"/>
      <c r="F353" s="448"/>
      <c r="G353" s="448"/>
      <c r="H353" s="448"/>
    </row>
    <row r="354" ht="14.25" customHeight="1">
      <c r="A354" s="448"/>
      <c r="B354" s="448"/>
      <c r="C354" s="448"/>
      <c r="D354" s="448"/>
      <c r="E354" s="448"/>
      <c r="F354" s="448"/>
      <c r="G354" s="448"/>
      <c r="H354" s="448"/>
    </row>
    <row r="355" ht="14.25" customHeight="1">
      <c r="A355" s="448"/>
      <c r="B355" s="448"/>
      <c r="C355" s="448"/>
      <c r="D355" s="448"/>
      <c r="E355" s="448"/>
      <c r="F355" s="448"/>
      <c r="G355" s="448"/>
      <c r="H355" s="448"/>
    </row>
    <row r="356" ht="14.25" customHeight="1">
      <c r="A356" s="448"/>
      <c r="B356" s="448"/>
      <c r="C356" s="448"/>
      <c r="D356" s="448"/>
      <c r="E356" s="448"/>
      <c r="F356" s="448"/>
      <c r="G356" s="448"/>
      <c r="H356" s="448"/>
    </row>
    <row r="357" ht="14.25" customHeight="1">
      <c r="A357" s="448"/>
      <c r="B357" s="448"/>
      <c r="C357" s="448"/>
      <c r="D357" s="448"/>
      <c r="E357" s="448"/>
      <c r="F357" s="448"/>
      <c r="G357" s="448"/>
      <c r="H357" s="448"/>
    </row>
    <row r="358" ht="14.25" customHeight="1">
      <c r="A358" s="448"/>
      <c r="B358" s="448"/>
      <c r="C358" s="448"/>
      <c r="D358" s="448"/>
      <c r="E358" s="448"/>
      <c r="F358" s="448"/>
      <c r="G358" s="448"/>
      <c r="H358" s="448"/>
    </row>
    <row r="359" ht="14.25" customHeight="1">
      <c r="A359" s="448"/>
      <c r="B359" s="448"/>
      <c r="C359" s="448"/>
      <c r="D359" s="448"/>
      <c r="E359" s="448"/>
      <c r="F359" s="448"/>
      <c r="G359" s="448"/>
      <c r="H359" s="448"/>
    </row>
    <row r="360" ht="14.25" customHeight="1">
      <c r="A360" s="448"/>
      <c r="B360" s="448"/>
      <c r="C360" s="448"/>
      <c r="D360" s="448"/>
      <c r="E360" s="448"/>
      <c r="F360" s="448"/>
      <c r="G360" s="448"/>
      <c r="H360" s="448"/>
    </row>
    <row r="361" ht="14.25" customHeight="1">
      <c r="A361" s="448"/>
      <c r="B361" s="448"/>
      <c r="C361" s="448"/>
      <c r="D361" s="448"/>
      <c r="E361" s="448"/>
      <c r="F361" s="448"/>
      <c r="G361" s="448"/>
      <c r="H361" s="448"/>
    </row>
    <row r="362" ht="14.25" customHeight="1">
      <c r="A362" s="448"/>
      <c r="B362" s="448"/>
      <c r="C362" s="448"/>
      <c r="D362" s="448"/>
      <c r="E362" s="448"/>
      <c r="F362" s="448"/>
      <c r="G362" s="448"/>
      <c r="H362" s="448"/>
    </row>
    <row r="363" ht="14.25" customHeight="1">
      <c r="A363" s="448"/>
      <c r="B363" s="448"/>
      <c r="C363" s="448"/>
      <c r="D363" s="448"/>
      <c r="E363" s="448"/>
      <c r="F363" s="448"/>
      <c r="G363" s="448"/>
      <c r="H363" s="448"/>
    </row>
    <row r="364" ht="14.25" customHeight="1">
      <c r="A364" s="448"/>
      <c r="B364" s="448"/>
      <c r="C364" s="448"/>
      <c r="D364" s="448"/>
      <c r="E364" s="448"/>
      <c r="F364" s="448"/>
      <c r="G364" s="448"/>
      <c r="H364" s="448"/>
    </row>
    <row r="365" ht="14.25" customHeight="1">
      <c r="A365" s="448"/>
      <c r="B365" s="448"/>
      <c r="C365" s="448"/>
      <c r="D365" s="448"/>
      <c r="E365" s="448"/>
      <c r="F365" s="448"/>
      <c r="G365" s="448"/>
      <c r="H365" s="448"/>
    </row>
    <row r="366" ht="14.25" customHeight="1">
      <c r="A366" s="448"/>
      <c r="B366" s="448"/>
      <c r="C366" s="448"/>
      <c r="D366" s="448"/>
      <c r="E366" s="448"/>
      <c r="F366" s="448"/>
      <c r="G366" s="448"/>
      <c r="H366" s="448"/>
    </row>
    <row r="367" ht="14.25" customHeight="1">
      <c r="A367" s="448"/>
      <c r="B367" s="448"/>
      <c r="C367" s="448"/>
      <c r="D367" s="448"/>
      <c r="E367" s="448"/>
      <c r="F367" s="448"/>
      <c r="G367" s="448"/>
      <c r="H367" s="448"/>
    </row>
    <row r="368" ht="14.25" customHeight="1">
      <c r="A368" s="448"/>
      <c r="B368" s="448"/>
      <c r="C368" s="448"/>
      <c r="D368" s="448"/>
      <c r="E368" s="448"/>
      <c r="F368" s="448"/>
      <c r="G368" s="448"/>
      <c r="H368" s="448"/>
    </row>
    <row r="369" ht="14.25" customHeight="1">
      <c r="A369" s="448"/>
      <c r="B369" s="448"/>
      <c r="C369" s="448"/>
      <c r="D369" s="448"/>
      <c r="E369" s="448"/>
      <c r="F369" s="448"/>
      <c r="G369" s="448"/>
      <c r="H369" s="448"/>
    </row>
    <row r="370" ht="14.25" customHeight="1">
      <c r="A370" s="448"/>
      <c r="B370" s="448"/>
      <c r="C370" s="448"/>
      <c r="D370" s="448"/>
      <c r="E370" s="448"/>
      <c r="F370" s="448"/>
      <c r="G370" s="448"/>
      <c r="H370" s="448"/>
    </row>
    <row r="371" ht="14.25" customHeight="1">
      <c r="A371" s="448"/>
      <c r="B371" s="448"/>
      <c r="C371" s="448"/>
      <c r="D371" s="448"/>
      <c r="E371" s="448"/>
      <c r="F371" s="448"/>
      <c r="G371" s="448"/>
      <c r="H371" s="448"/>
    </row>
    <row r="372" ht="14.25" customHeight="1">
      <c r="A372" s="448"/>
      <c r="B372" s="448"/>
      <c r="C372" s="448"/>
      <c r="D372" s="448"/>
      <c r="E372" s="448"/>
      <c r="F372" s="448"/>
      <c r="G372" s="448"/>
      <c r="H372" s="448"/>
    </row>
    <row r="373" ht="14.25" customHeight="1">
      <c r="A373" s="448"/>
      <c r="B373" s="448"/>
      <c r="C373" s="448"/>
      <c r="D373" s="448"/>
      <c r="E373" s="448"/>
      <c r="F373" s="448"/>
      <c r="G373" s="448"/>
      <c r="H373" s="448"/>
    </row>
    <row r="374" ht="14.25" customHeight="1">
      <c r="A374" s="448"/>
      <c r="B374" s="448"/>
      <c r="C374" s="448"/>
      <c r="D374" s="448"/>
      <c r="E374" s="448"/>
      <c r="F374" s="448"/>
      <c r="G374" s="448"/>
      <c r="H374" s="448"/>
    </row>
    <row r="375" ht="14.25" customHeight="1">
      <c r="A375" s="448"/>
      <c r="B375" s="448"/>
      <c r="C375" s="448"/>
      <c r="D375" s="448"/>
      <c r="E375" s="448"/>
      <c r="F375" s="448"/>
      <c r="G375" s="448"/>
      <c r="H375" s="448"/>
    </row>
    <row r="376" ht="14.25" customHeight="1">
      <c r="A376" s="448"/>
      <c r="B376" s="448"/>
      <c r="C376" s="448"/>
      <c r="D376" s="448"/>
      <c r="E376" s="448"/>
      <c r="F376" s="448"/>
      <c r="G376" s="448"/>
      <c r="H376" s="448"/>
    </row>
    <row r="377" ht="14.25" customHeight="1">
      <c r="A377" s="448"/>
      <c r="B377" s="448"/>
      <c r="C377" s="448"/>
      <c r="D377" s="448"/>
      <c r="E377" s="448"/>
      <c r="F377" s="448"/>
      <c r="G377" s="448"/>
      <c r="H377" s="448"/>
    </row>
    <row r="378" ht="14.25" customHeight="1">
      <c r="A378" s="448"/>
      <c r="B378" s="448"/>
      <c r="C378" s="448"/>
      <c r="D378" s="448"/>
      <c r="E378" s="448"/>
      <c r="F378" s="448"/>
      <c r="G378" s="448"/>
      <c r="H378" s="448"/>
    </row>
    <row r="379" ht="14.25" customHeight="1">
      <c r="A379" s="448"/>
      <c r="B379" s="448"/>
      <c r="C379" s="448"/>
      <c r="D379" s="448"/>
      <c r="E379" s="448"/>
      <c r="F379" s="448"/>
      <c r="G379" s="448"/>
      <c r="H379" s="448"/>
    </row>
    <row r="380" ht="14.25" customHeight="1">
      <c r="A380" s="448"/>
      <c r="B380" s="448"/>
      <c r="C380" s="448"/>
      <c r="D380" s="448"/>
      <c r="E380" s="448"/>
      <c r="F380" s="448"/>
      <c r="G380" s="448"/>
      <c r="H380" s="448"/>
    </row>
    <row r="381" ht="14.25" customHeight="1">
      <c r="A381" s="448"/>
      <c r="B381" s="448"/>
      <c r="C381" s="448"/>
      <c r="D381" s="448"/>
      <c r="E381" s="448"/>
      <c r="F381" s="448"/>
      <c r="G381" s="448"/>
      <c r="H381" s="448"/>
    </row>
    <row r="382" ht="14.25" customHeight="1">
      <c r="A382" s="448"/>
      <c r="B382" s="448"/>
      <c r="C382" s="448"/>
      <c r="D382" s="448"/>
      <c r="E382" s="448"/>
      <c r="F382" s="448"/>
      <c r="G382" s="448"/>
      <c r="H382" s="448"/>
    </row>
    <row r="383" ht="14.25" customHeight="1">
      <c r="A383" s="448"/>
      <c r="B383" s="448"/>
      <c r="C383" s="448"/>
      <c r="D383" s="448"/>
      <c r="E383" s="448"/>
      <c r="F383" s="448"/>
      <c r="G383" s="448"/>
      <c r="H383" s="448"/>
    </row>
    <row r="384" ht="14.25" customHeight="1">
      <c r="A384" s="448"/>
      <c r="B384" s="448"/>
      <c r="C384" s="448"/>
      <c r="D384" s="448"/>
      <c r="E384" s="448"/>
      <c r="F384" s="448"/>
      <c r="G384" s="448"/>
      <c r="H384" s="448"/>
    </row>
    <row r="385" ht="14.25" customHeight="1">
      <c r="A385" s="448"/>
      <c r="B385" s="448"/>
      <c r="C385" s="448"/>
      <c r="D385" s="448"/>
      <c r="E385" s="448"/>
      <c r="F385" s="448"/>
      <c r="G385" s="448"/>
      <c r="H385" s="448"/>
    </row>
    <row r="386" ht="14.25" customHeight="1">
      <c r="A386" s="448"/>
      <c r="B386" s="448"/>
      <c r="C386" s="448"/>
      <c r="D386" s="448"/>
      <c r="E386" s="448"/>
      <c r="F386" s="448"/>
      <c r="G386" s="448"/>
      <c r="H386" s="448"/>
    </row>
    <row r="387" ht="14.25" customHeight="1">
      <c r="A387" s="448"/>
      <c r="B387" s="448"/>
      <c r="C387" s="448"/>
      <c r="D387" s="448"/>
      <c r="E387" s="448"/>
      <c r="F387" s="448"/>
      <c r="G387" s="448"/>
      <c r="H387" s="448"/>
    </row>
    <row r="388" ht="14.25" customHeight="1">
      <c r="A388" s="448"/>
      <c r="B388" s="448"/>
      <c r="C388" s="448"/>
      <c r="D388" s="448"/>
      <c r="E388" s="448"/>
      <c r="F388" s="448"/>
      <c r="G388" s="448"/>
      <c r="H388" s="448"/>
    </row>
    <row r="389" ht="14.25" customHeight="1">
      <c r="A389" s="448"/>
      <c r="B389" s="448"/>
      <c r="C389" s="448"/>
      <c r="D389" s="448"/>
      <c r="E389" s="448"/>
      <c r="F389" s="448"/>
      <c r="G389" s="448"/>
      <c r="H389" s="448"/>
    </row>
    <row r="390" ht="14.25" customHeight="1">
      <c r="A390" s="448"/>
      <c r="B390" s="448"/>
      <c r="C390" s="448"/>
      <c r="D390" s="448"/>
      <c r="E390" s="448"/>
      <c r="F390" s="448"/>
      <c r="G390" s="448"/>
      <c r="H390" s="448"/>
    </row>
    <row r="391" ht="14.25" customHeight="1">
      <c r="A391" s="448"/>
      <c r="B391" s="448"/>
      <c r="C391" s="448"/>
      <c r="D391" s="448"/>
      <c r="E391" s="448"/>
      <c r="F391" s="448"/>
      <c r="G391" s="448"/>
      <c r="H391" s="448"/>
    </row>
    <row r="392" ht="14.25" customHeight="1">
      <c r="A392" s="448"/>
      <c r="B392" s="448"/>
      <c r="C392" s="448"/>
      <c r="D392" s="448"/>
      <c r="E392" s="448"/>
      <c r="F392" s="448"/>
      <c r="G392" s="448"/>
      <c r="H392" s="448"/>
    </row>
    <row r="393" ht="14.25" customHeight="1">
      <c r="A393" s="448"/>
      <c r="B393" s="448"/>
      <c r="C393" s="448"/>
      <c r="D393" s="448"/>
      <c r="E393" s="448"/>
      <c r="F393" s="448"/>
      <c r="G393" s="448"/>
      <c r="H393" s="448"/>
    </row>
    <row r="394" ht="14.25" customHeight="1">
      <c r="A394" s="448"/>
      <c r="B394" s="448"/>
      <c r="C394" s="448"/>
      <c r="D394" s="448"/>
      <c r="E394" s="448"/>
      <c r="F394" s="448"/>
      <c r="G394" s="448"/>
      <c r="H394" s="448"/>
    </row>
    <row r="395" ht="14.25" customHeight="1">
      <c r="A395" s="448"/>
      <c r="B395" s="448"/>
      <c r="C395" s="448"/>
      <c r="D395" s="448"/>
      <c r="E395" s="448"/>
      <c r="F395" s="448"/>
      <c r="G395" s="448"/>
      <c r="H395" s="448"/>
    </row>
    <row r="396" ht="14.25" customHeight="1">
      <c r="A396" s="448"/>
      <c r="B396" s="448"/>
      <c r="C396" s="448"/>
      <c r="D396" s="448"/>
      <c r="E396" s="448"/>
      <c r="F396" s="448"/>
      <c r="G396" s="448"/>
      <c r="H396" s="448"/>
    </row>
    <row r="397" ht="14.25" customHeight="1">
      <c r="A397" s="448"/>
      <c r="B397" s="448"/>
      <c r="C397" s="448"/>
      <c r="D397" s="448"/>
      <c r="E397" s="448"/>
      <c r="F397" s="448"/>
      <c r="G397" s="448"/>
      <c r="H397" s="448"/>
    </row>
    <row r="398" ht="14.25" customHeight="1">
      <c r="A398" s="448"/>
      <c r="B398" s="448"/>
      <c r="C398" s="448"/>
      <c r="D398" s="448"/>
      <c r="E398" s="448"/>
      <c r="F398" s="448"/>
      <c r="G398" s="448"/>
      <c r="H398" s="448"/>
    </row>
    <row r="399" ht="14.25" customHeight="1">
      <c r="A399" s="448"/>
      <c r="B399" s="448"/>
      <c r="C399" s="448"/>
      <c r="D399" s="448"/>
      <c r="E399" s="448"/>
      <c r="F399" s="448"/>
      <c r="G399" s="448"/>
      <c r="H399" s="448"/>
    </row>
    <row r="400" ht="14.25" customHeight="1">
      <c r="A400" s="448"/>
      <c r="B400" s="448"/>
      <c r="C400" s="448"/>
      <c r="D400" s="448"/>
      <c r="E400" s="448"/>
      <c r="F400" s="448"/>
      <c r="G400" s="448"/>
      <c r="H400" s="448"/>
    </row>
    <row r="401" ht="14.25" customHeight="1">
      <c r="A401" s="448"/>
      <c r="B401" s="448"/>
      <c r="C401" s="448"/>
      <c r="D401" s="448"/>
      <c r="E401" s="448"/>
      <c r="F401" s="448"/>
      <c r="G401" s="448"/>
      <c r="H401" s="448"/>
    </row>
    <row r="402" ht="14.25" customHeight="1">
      <c r="A402" s="448"/>
      <c r="B402" s="448"/>
      <c r="C402" s="448"/>
      <c r="D402" s="448"/>
      <c r="E402" s="448"/>
      <c r="F402" s="448"/>
      <c r="G402" s="448"/>
      <c r="H402" s="448"/>
    </row>
    <row r="403" ht="14.25" customHeight="1">
      <c r="A403" s="448"/>
      <c r="B403" s="448"/>
      <c r="C403" s="448"/>
      <c r="D403" s="448"/>
      <c r="E403" s="448"/>
      <c r="F403" s="448"/>
      <c r="G403" s="448"/>
      <c r="H403" s="448"/>
    </row>
    <row r="404" ht="14.25" customHeight="1">
      <c r="A404" s="448"/>
      <c r="B404" s="448"/>
      <c r="C404" s="448"/>
      <c r="D404" s="448"/>
      <c r="E404" s="448"/>
      <c r="F404" s="448"/>
      <c r="G404" s="448"/>
      <c r="H404" s="448"/>
    </row>
    <row r="405" ht="14.25" customHeight="1">
      <c r="A405" s="448"/>
      <c r="B405" s="448"/>
      <c r="C405" s="448"/>
      <c r="D405" s="448"/>
      <c r="E405" s="448"/>
      <c r="F405" s="448"/>
      <c r="G405" s="448"/>
      <c r="H405" s="448"/>
    </row>
    <row r="406" ht="14.25" customHeight="1">
      <c r="A406" s="448"/>
      <c r="B406" s="448"/>
      <c r="C406" s="448"/>
      <c r="D406" s="448"/>
      <c r="E406" s="448"/>
      <c r="F406" s="448"/>
      <c r="G406" s="448"/>
      <c r="H406" s="448"/>
    </row>
    <row r="407" ht="14.25" customHeight="1">
      <c r="A407" s="448"/>
      <c r="B407" s="448"/>
      <c r="C407" s="448"/>
      <c r="D407" s="448"/>
      <c r="E407" s="448"/>
      <c r="F407" s="448"/>
      <c r="G407" s="448"/>
      <c r="H407" s="448"/>
    </row>
    <row r="408" ht="14.25" customHeight="1">
      <c r="A408" s="448"/>
      <c r="B408" s="448"/>
      <c r="C408" s="448"/>
      <c r="D408" s="448"/>
      <c r="E408" s="448"/>
      <c r="F408" s="448"/>
      <c r="G408" s="448"/>
      <c r="H408" s="448"/>
    </row>
    <row r="409" ht="14.25" customHeight="1">
      <c r="A409" s="448"/>
      <c r="B409" s="448"/>
      <c r="C409" s="448"/>
      <c r="D409" s="448"/>
      <c r="E409" s="448"/>
      <c r="F409" s="448"/>
      <c r="G409" s="448"/>
      <c r="H409" s="448"/>
    </row>
    <row r="410" ht="14.25" customHeight="1">
      <c r="A410" s="448"/>
      <c r="B410" s="448"/>
      <c r="C410" s="448"/>
      <c r="D410" s="448"/>
      <c r="E410" s="448"/>
      <c r="F410" s="448"/>
      <c r="G410" s="448"/>
      <c r="H410" s="448"/>
    </row>
    <row r="411" ht="14.25" customHeight="1">
      <c r="A411" s="448"/>
      <c r="B411" s="448"/>
      <c r="C411" s="448"/>
      <c r="D411" s="448"/>
      <c r="E411" s="448"/>
      <c r="F411" s="448"/>
      <c r="G411" s="448"/>
      <c r="H411" s="448"/>
    </row>
    <row r="412" ht="14.25" customHeight="1">
      <c r="A412" s="448"/>
      <c r="B412" s="448"/>
      <c r="C412" s="448"/>
      <c r="D412" s="448"/>
      <c r="E412" s="448"/>
      <c r="F412" s="448"/>
      <c r="G412" s="448"/>
      <c r="H412" s="448"/>
    </row>
    <row r="413" ht="14.25" customHeight="1">
      <c r="A413" s="448"/>
      <c r="B413" s="448"/>
      <c r="C413" s="448"/>
      <c r="D413" s="448"/>
      <c r="E413" s="448"/>
      <c r="F413" s="448"/>
      <c r="G413" s="448"/>
      <c r="H413" s="448"/>
    </row>
    <row r="414" ht="14.25" customHeight="1">
      <c r="A414" s="448"/>
      <c r="B414" s="448"/>
      <c r="C414" s="448"/>
      <c r="D414" s="448"/>
      <c r="E414" s="448"/>
      <c r="F414" s="448"/>
      <c r="G414" s="448"/>
      <c r="H414" s="448"/>
    </row>
    <row r="415" ht="14.25" customHeight="1">
      <c r="A415" s="448"/>
      <c r="B415" s="448"/>
      <c r="C415" s="448"/>
      <c r="D415" s="448"/>
      <c r="E415" s="448"/>
      <c r="F415" s="448"/>
      <c r="G415" s="448"/>
      <c r="H415" s="448"/>
    </row>
    <row r="416" ht="14.25" customHeight="1">
      <c r="A416" s="448"/>
      <c r="B416" s="448"/>
      <c r="C416" s="448"/>
      <c r="D416" s="448"/>
      <c r="E416" s="448"/>
      <c r="F416" s="448"/>
      <c r="G416" s="448"/>
      <c r="H416" s="448"/>
    </row>
    <row r="417" ht="14.25" customHeight="1">
      <c r="A417" s="448"/>
      <c r="B417" s="448"/>
      <c r="C417" s="448"/>
      <c r="D417" s="448"/>
      <c r="E417" s="448"/>
      <c r="F417" s="448"/>
      <c r="G417" s="448"/>
      <c r="H417" s="448"/>
    </row>
    <row r="418" ht="14.25" customHeight="1">
      <c r="A418" s="448"/>
      <c r="B418" s="448"/>
      <c r="C418" s="448"/>
      <c r="D418" s="448"/>
      <c r="E418" s="448"/>
      <c r="F418" s="448"/>
      <c r="G418" s="448"/>
      <c r="H418" s="448"/>
    </row>
    <row r="419" ht="14.25" customHeight="1">
      <c r="A419" s="448"/>
      <c r="B419" s="448"/>
      <c r="C419" s="448"/>
      <c r="D419" s="448"/>
      <c r="E419" s="448"/>
      <c r="F419" s="448"/>
      <c r="G419" s="448"/>
      <c r="H419" s="448"/>
    </row>
    <row r="420" ht="14.25" customHeight="1">
      <c r="A420" s="448"/>
      <c r="B420" s="448"/>
      <c r="C420" s="448"/>
      <c r="D420" s="448"/>
      <c r="E420" s="448"/>
      <c r="F420" s="448"/>
      <c r="G420" s="448"/>
      <c r="H420" s="448"/>
    </row>
    <row r="421" ht="14.25" customHeight="1">
      <c r="A421" s="448"/>
      <c r="B421" s="448"/>
      <c r="C421" s="448"/>
      <c r="D421" s="448"/>
      <c r="E421" s="448"/>
      <c r="F421" s="448"/>
      <c r="G421" s="448"/>
      <c r="H421" s="448"/>
    </row>
    <row r="422" ht="14.25" customHeight="1">
      <c r="A422" s="448"/>
      <c r="B422" s="448"/>
      <c r="C422" s="448"/>
      <c r="D422" s="448"/>
      <c r="E422" s="448"/>
      <c r="F422" s="448"/>
      <c r="G422" s="448"/>
      <c r="H422" s="448"/>
    </row>
    <row r="423" ht="14.25" customHeight="1">
      <c r="A423" s="448"/>
      <c r="B423" s="448"/>
      <c r="C423" s="448"/>
      <c r="D423" s="448"/>
      <c r="E423" s="448"/>
      <c r="F423" s="448"/>
      <c r="G423" s="448"/>
      <c r="H423" s="448"/>
    </row>
    <row r="424" ht="14.25" customHeight="1">
      <c r="A424" s="448"/>
      <c r="B424" s="448"/>
      <c r="C424" s="448"/>
      <c r="D424" s="448"/>
      <c r="E424" s="448"/>
      <c r="F424" s="448"/>
      <c r="G424" s="448"/>
      <c r="H424" s="448"/>
    </row>
    <row r="425" ht="14.25" customHeight="1">
      <c r="A425" s="448"/>
      <c r="B425" s="448"/>
      <c r="C425" s="448"/>
      <c r="D425" s="448"/>
      <c r="E425" s="448"/>
      <c r="F425" s="448"/>
      <c r="G425" s="448"/>
      <c r="H425" s="448"/>
    </row>
    <row r="426" ht="14.25" customHeight="1">
      <c r="A426" s="448"/>
      <c r="B426" s="448"/>
      <c r="C426" s="448"/>
      <c r="D426" s="448"/>
      <c r="E426" s="448"/>
      <c r="F426" s="448"/>
      <c r="G426" s="448"/>
      <c r="H426" s="448"/>
    </row>
    <row r="427" ht="14.25" customHeight="1">
      <c r="A427" s="448"/>
      <c r="B427" s="448"/>
      <c r="C427" s="448"/>
      <c r="D427" s="448"/>
      <c r="E427" s="448"/>
      <c r="F427" s="448"/>
      <c r="G427" s="448"/>
      <c r="H427" s="448"/>
    </row>
    <row r="428" ht="14.25" customHeight="1">
      <c r="A428" s="448"/>
      <c r="B428" s="448"/>
      <c r="C428" s="448"/>
      <c r="D428" s="448"/>
      <c r="E428" s="448"/>
      <c r="F428" s="448"/>
      <c r="G428" s="448"/>
      <c r="H428" s="448"/>
    </row>
    <row r="429" ht="14.25" customHeight="1">
      <c r="A429" s="448"/>
      <c r="B429" s="448"/>
      <c r="C429" s="448"/>
      <c r="D429" s="448"/>
      <c r="E429" s="448"/>
      <c r="F429" s="448"/>
      <c r="G429" s="448"/>
      <c r="H429" s="448"/>
    </row>
    <row r="430" ht="14.25" customHeight="1">
      <c r="A430" s="448"/>
      <c r="B430" s="448"/>
      <c r="C430" s="448"/>
      <c r="D430" s="448"/>
      <c r="E430" s="448"/>
      <c r="F430" s="448"/>
      <c r="G430" s="448"/>
      <c r="H430" s="448"/>
    </row>
    <row r="431" ht="14.25" customHeight="1">
      <c r="A431" s="448"/>
      <c r="B431" s="448"/>
      <c r="C431" s="448"/>
      <c r="D431" s="448"/>
      <c r="E431" s="448"/>
      <c r="F431" s="448"/>
      <c r="G431" s="448"/>
      <c r="H431" s="448"/>
    </row>
    <row r="432" ht="14.25" customHeight="1">
      <c r="A432" s="448"/>
      <c r="B432" s="448"/>
      <c r="C432" s="448"/>
      <c r="D432" s="448"/>
      <c r="E432" s="448"/>
      <c r="F432" s="448"/>
      <c r="G432" s="448"/>
      <c r="H432" s="448"/>
    </row>
    <row r="433" ht="14.25" customHeight="1">
      <c r="A433" s="448"/>
      <c r="B433" s="448"/>
      <c r="C433" s="448"/>
      <c r="D433" s="448"/>
      <c r="E433" s="448"/>
      <c r="F433" s="448"/>
      <c r="G433" s="448"/>
      <c r="H433" s="448"/>
    </row>
    <row r="434" ht="14.25" customHeight="1">
      <c r="A434" s="448"/>
      <c r="B434" s="448"/>
      <c r="C434" s="448"/>
      <c r="D434" s="448"/>
      <c r="E434" s="448"/>
      <c r="F434" s="448"/>
      <c r="G434" s="448"/>
      <c r="H434" s="448"/>
    </row>
    <row r="435" ht="14.25" customHeight="1">
      <c r="A435" s="448"/>
      <c r="B435" s="448"/>
      <c r="C435" s="448"/>
      <c r="D435" s="448"/>
      <c r="E435" s="448"/>
      <c r="F435" s="448"/>
      <c r="G435" s="448"/>
      <c r="H435" s="448"/>
    </row>
    <row r="436" ht="14.25" customHeight="1">
      <c r="A436" s="448"/>
      <c r="B436" s="448"/>
      <c r="C436" s="448"/>
      <c r="D436" s="448"/>
      <c r="E436" s="448"/>
      <c r="F436" s="448"/>
      <c r="G436" s="448"/>
      <c r="H436" s="448"/>
    </row>
    <row r="437" ht="14.25" customHeight="1">
      <c r="A437" s="448"/>
      <c r="B437" s="448"/>
      <c r="C437" s="448"/>
      <c r="D437" s="448"/>
      <c r="E437" s="448"/>
      <c r="F437" s="448"/>
      <c r="G437" s="448"/>
      <c r="H437" s="448"/>
    </row>
    <row r="438" ht="14.25" customHeight="1">
      <c r="A438" s="448"/>
      <c r="B438" s="448"/>
      <c r="C438" s="448"/>
      <c r="D438" s="448"/>
      <c r="E438" s="448"/>
      <c r="F438" s="448"/>
      <c r="G438" s="448"/>
      <c r="H438" s="448"/>
    </row>
    <row r="439" ht="14.25" customHeight="1">
      <c r="A439" s="448"/>
      <c r="B439" s="448"/>
      <c r="C439" s="448"/>
      <c r="D439" s="448"/>
      <c r="E439" s="448"/>
      <c r="F439" s="448"/>
      <c r="G439" s="448"/>
      <c r="H439" s="448"/>
    </row>
    <row r="440" ht="14.25" customHeight="1">
      <c r="A440" s="448"/>
      <c r="B440" s="448"/>
      <c r="C440" s="448"/>
      <c r="D440" s="448"/>
      <c r="E440" s="448"/>
      <c r="F440" s="448"/>
      <c r="G440" s="448"/>
      <c r="H440" s="448"/>
    </row>
    <row r="441" ht="14.25" customHeight="1">
      <c r="A441" s="448"/>
      <c r="B441" s="448"/>
      <c r="C441" s="448"/>
      <c r="D441" s="448"/>
      <c r="E441" s="448"/>
      <c r="F441" s="448"/>
      <c r="G441" s="448"/>
      <c r="H441" s="448"/>
    </row>
    <row r="442" ht="14.25" customHeight="1">
      <c r="A442" s="448"/>
      <c r="B442" s="448"/>
      <c r="C442" s="448"/>
      <c r="D442" s="448"/>
      <c r="E442" s="448"/>
      <c r="F442" s="448"/>
      <c r="G442" s="448"/>
      <c r="H442" s="448"/>
    </row>
    <row r="443" ht="14.25" customHeight="1">
      <c r="A443" s="448"/>
      <c r="B443" s="448"/>
      <c r="C443" s="448"/>
      <c r="D443" s="448"/>
      <c r="E443" s="448"/>
      <c r="F443" s="448"/>
      <c r="G443" s="448"/>
      <c r="H443" s="448"/>
    </row>
    <row r="444" ht="14.25" customHeight="1">
      <c r="A444" s="448"/>
      <c r="B444" s="448"/>
      <c r="C444" s="448"/>
      <c r="D444" s="448"/>
      <c r="E444" s="448"/>
      <c r="F444" s="448"/>
      <c r="G444" s="448"/>
      <c r="H444" s="448"/>
    </row>
    <row r="445" ht="14.25" customHeight="1">
      <c r="A445" s="448"/>
      <c r="B445" s="448"/>
      <c r="C445" s="448"/>
      <c r="D445" s="448"/>
      <c r="E445" s="448"/>
      <c r="F445" s="448"/>
      <c r="G445" s="448"/>
      <c r="H445" s="448"/>
    </row>
    <row r="446" ht="14.25" customHeight="1">
      <c r="A446" s="448"/>
      <c r="B446" s="448"/>
      <c r="C446" s="448"/>
      <c r="D446" s="448"/>
      <c r="E446" s="448"/>
      <c r="F446" s="448"/>
      <c r="G446" s="448"/>
      <c r="H446" s="448"/>
    </row>
    <row r="447" ht="14.25" customHeight="1">
      <c r="A447" s="448"/>
      <c r="B447" s="448"/>
      <c r="C447" s="448"/>
      <c r="D447" s="448"/>
      <c r="E447" s="448"/>
      <c r="F447" s="448"/>
      <c r="G447" s="448"/>
      <c r="H447" s="448"/>
    </row>
    <row r="448" ht="14.25" customHeight="1">
      <c r="A448" s="448"/>
      <c r="B448" s="448"/>
      <c r="C448" s="448"/>
      <c r="D448" s="448"/>
      <c r="E448" s="448"/>
      <c r="F448" s="448"/>
      <c r="G448" s="448"/>
      <c r="H448" s="448"/>
    </row>
    <row r="449" ht="14.25" customHeight="1">
      <c r="A449" s="448"/>
      <c r="B449" s="448"/>
      <c r="C449" s="448"/>
      <c r="D449" s="448"/>
      <c r="E449" s="448"/>
      <c r="F449" s="448"/>
      <c r="G449" s="448"/>
      <c r="H449" s="448"/>
    </row>
    <row r="450" ht="14.25" customHeight="1">
      <c r="A450" s="448"/>
      <c r="B450" s="448"/>
      <c r="C450" s="448"/>
      <c r="D450" s="448"/>
      <c r="E450" s="448"/>
      <c r="F450" s="448"/>
      <c r="G450" s="448"/>
      <c r="H450" s="448"/>
    </row>
    <row r="451" ht="14.25" customHeight="1">
      <c r="A451" s="448"/>
      <c r="B451" s="448"/>
      <c r="C451" s="448"/>
      <c r="D451" s="448"/>
      <c r="E451" s="448"/>
      <c r="F451" s="448"/>
      <c r="G451" s="448"/>
      <c r="H451" s="448"/>
    </row>
    <row r="452" ht="14.25" customHeight="1">
      <c r="A452" s="448"/>
      <c r="B452" s="448"/>
      <c r="C452" s="448"/>
      <c r="D452" s="448"/>
      <c r="E452" s="448"/>
      <c r="F452" s="448"/>
      <c r="G452" s="448"/>
      <c r="H452" s="448"/>
    </row>
    <row r="453" ht="14.25" customHeight="1">
      <c r="A453" s="448"/>
      <c r="B453" s="448"/>
      <c r="C453" s="448"/>
      <c r="D453" s="448"/>
      <c r="E453" s="448"/>
      <c r="F453" s="448"/>
      <c r="G453" s="448"/>
      <c r="H453" s="448"/>
    </row>
    <row r="454" ht="14.25" customHeight="1">
      <c r="A454" s="448"/>
      <c r="B454" s="448"/>
      <c r="C454" s="448"/>
      <c r="D454" s="448"/>
      <c r="E454" s="448"/>
      <c r="F454" s="448"/>
      <c r="G454" s="448"/>
      <c r="H454" s="448"/>
    </row>
    <row r="455" ht="14.25" customHeight="1">
      <c r="A455" s="448"/>
      <c r="B455" s="448"/>
      <c r="C455" s="448"/>
      <c r="D455" s="448"/>
      <c r="E455" s="448"/>
      <c r="F455" s="448"/>
      <c r="G455" s="448"/>
      <c r="H455" s="448"/>
    </row>
    <row r="456" ht="14.25" customHeight="1">
      <c r="A456" s="448"/>
      <c r="B456" s="448"/>
      <c r="C456" s="448"/>
      <c r="D456" s="448"/>
      <c r="E456" s="448"/>
      <c r="F456" s="448"/>
      <c r="G456" s="448"/>
      <c r="H456" s="448"/>
    </row>
    <row r="457" ht="14.25" customHeight="1">
      <c r="A457" s="448"/>
      <c r="B457" s="448"/>
      <c r="C457" s="448"/>
      <c r="D457" s="448"/>
      <c r="E457" s="448"/>
      <c r="F457" s="448"/>
      <c r="G457" s="448"/>
      <c r="H457" s="448"/>
    </row>
    <row r="458" ht="14.25" customHeight="1">
      <c r="A458" s="448"/>
      <c r="B458" s="448"/>
      <c r="C458" s="448"/>
      <c r="D458" s="448"/>
      <c r="E458" s="448"/>
      <c r="F458" s="448"/>
      <c r="G458" s="448"/>
      <c r="H458" s="448"/>
    </row>
    <row r="459" ht="14.25" customHeight="1">
      <c r="A459" s="448"/>
      <c r="B459" s="448"/>
      <c r="C459" s="448"/>
      <c r="D459" s="448"/>
      <c r="E459" s="448"/>
      <c r="F459" s="448"/>
      <c r="G459" s="448"/>
      <c r="H459" s="448"/>
    </row>
    <row r="460" ht="14.25" customHeight="1">
      <c r="A460" s="448"/>
      <c r="B460" s="448"/>
      <c r="C460" s="448"/>
      <c r="D460" s="448"/>
      <c r="E460" s="448"/>
      <c r="F460" s="448"/>
      <c r="G460" s="448"/>
      <c r="H460" s="448"/>
    </row>
    <row r="461" ht="14.25" customHeight="1">
      <c r="A461" s="448"/>
      <c r="B461" s="448"/>
      <c r="C461" s="448"/>
      <c r="D461" s="448"/>
      <c r="E461" s="448"/>
      <c r="F461" s="448"/>
      <c r="G461" s="448"/>
      <c r="H461" s="448"/>
    </row>
    <row r="462" ht="14.25" customHeight="1">
      <c r="A462" s="448"/>
      <c r="B462" s="448"/>
      <c r="C462" s="448"/>
      <c r="D462" s="448"/>
      <c r="E462" s="448"/>
      <c r="F462" s="448"/>
      <c r="G462" s="448"/>
      <c r="H462" s="448"/>
    </row>
    <row r="463" ht="14.25" customHeight="1">
      <c r="A463" s="448"/>
      <c r="B463" s="448"/>
      <c r="C463" s="448"/>
      <c r="D463" s="448"/>
      <c r="E463" s="448"/>
      <c r="F463" s="448"/>
      <c r="G463" s="448"/>
      <c r="H463" s="448"/>
    </row>
    <row r="464" ht="14.25" customHeight="1">
      <c r="A464" s="448"/>
      <c r="B464" s="448"/>
      <c r="C464" s="448"/>
      <c r="D464" s="448"/>
      <c r="E464" s="448"/>
      <c r="F464" s="448"/>
      <c r="G464" s="448"/>
      <c r="H464" s="448"/>
    </row>
    <row r="465" ht="14.25" customHeight="1">
      <c r="A465" s="448"/>
      <c r="B465" s="448"/>
      <c r="C465" s="448"/>
      <c r="D465" s="448"/>
      <c r="E465" s="448"/>
      <c r="F465" s="448"/>
      <c r="G465" s="448"/>
      <c r="H465" s="448"/>
    </row>
    <row r="466" ht="14.25" customHeight="1">
      <c r="A466" s="448"/>
      <c r="B466" s="448"/>
      <c r="C466" s="448"/>
      <c r="D466" s="448"/>
      <c r="E466" s="448"/>
      <c r="F466" s="448"/>
      <c r="G466" s="448"/>
      <c r="H466" s="448"/>
    </row>
    <row r="467" ht="14.25" customHeight="1">
      <c r="A467" s="448"/>
      <c r="B467" s="448"/>
      <c r="C467" s="448"/>
      <c r="D467" s="448"/>
      <c r="E467" s="448"/>
      <c r="F467" s="448"/>
      <c r="G467" s="448"/>
      <c r="H467" s="448"/>
    </row>
    <row r="468" ht="14.25" customHeight="1">
      <c r="A468" s="448"/>
      <c r="B468" s="448"/>
      <c r="C468" s="448"/>
      <c r="D468" s="448"/>
      <c r="E468" s="448"/>
      <c r="F468" s="448"/>
      <c r="G468" s="448"/>
      <c r="H468" s="448"/>
    </row>
    <row r="469" ht="14.25" customHeight="1">
      <c r="A469" s="448"/>
      <c r="B469" s="448"/>
      <c r="C469" s="448"/>
      <c r="D469" s="448"/>
      <c r="E469" s="448"/>
      <c r="F469" s="448"/>
      <c r="G469" s="448"/>
      <c r="H469" s="448"/>
    </row>
    <row r="470" ht="14.25" customHeight="1">
      <c r="A470" s="448"/>
      <c r="B470" s="448"/>
      <c r="C470" s="448"/>
      <c r="D470" s="448"/>
      <c r="E470" s="448"/>
      <c r="F470" s="448"/>
      <c r="G470" s="448"/>
      <c r="H470" s="448"/>
    </row>
    <row r="471" ht="14.25" customHeight="1">
      <c r="A471" s="448"/>
      <c r="B471" s="448"/>
      <c r="C471" s="448"/>
      <c r="D471" s="448"/>
      <c r="E471" s="448"/>
      <c r="F471" s="448"/>
      <c r="G471" s="448"/>
      <c r="H471" s="448"/>
    </row>
    <row r="472" ht="14.25" customHeight="1">
      <c r="A472" s="448"/>
      <c r="B472" s="448"/>
      <c r="C472" s="448"/>
      <c r="D472" s="448"/>
      <c r="E472" s="448"/>
      <c r="F472" s="448"/>
      <c r="G472" s="448"/>
      <c r="H472" s="448"/>
    </row>
    <row r="473" ht="14.25" customHeight="1">
      <c r="A473" s="448"/>
      <c r="B473" s="448"/>
      <c r="C473" s="448"/>
      <c r="D473" s="448"/>
      <c r="E473" s="448"/>
      <c r="F473" s="448"/>
      <c r="G473" s="448"/>
      <c r="H473" s="448"/>
    </row>
    <row r="474" ht="14.25" customHeight="1">
      <c r="A474" s="448"/>
      <c r="B474" s="448"/>
      <c r="C474" s="448"/>
      <c r="D474" s="448"/>
      <c r="E474" s="448"/>
      <c r="F474" s="448"/>
      <c r="G474" s="448"/>
      <c r="H474" s="448"/>
    </row>
    <row r="475" ht="14.25" customHeight="1">
      <c r="A475" s="448"/>
      <c r="B475" s="448"/>
      <c r="C475" s="448"/>
      <c r="D475" s="448"/>
      <c r="E475" s="448"/>
      <c r="F475" s="448"/>
      <c r="G475" s="448"/>
      <c r="H475" s="448"/>
    </row>
    <row r="476" ht="14.25" customHeight="1">
      <c r="A476" s="448"/>
      <c r="B476" s="448"/>
      <c r="C476" s="448"/>
      <c r="D476" s="448"/>
      <c r="E476" s="448"/>
      <c r="F476" s="448"/>
      <c r="G476" s="448"/>
      <c r="H476" s="448"/>
    </row>
    <row r="477" ht="14.25" customHeight="1">
      <c r="A477" s="448"/>
      <c r="B477" s="448"/>
      <c r="C477" s="448"/>
      <c r="D477" s="448"/>
      <c r="E477" s="448"/>
      <c r="F477" s="448"/>
      <c r="G477" s="448"/>
      <c r="H477" s="448"/>
    </row>
    <row r="478" ht="14.25" customHeight="1">
      <c r="A478" s="448"/>
      <c r="B478" s="448"/>
      <c r="C478" s="448"/>
      <c r="D478" s="448"/>
      <c r="E478" s="448"/>
      <c r="F478" s="448"/>
      <c r="G478" s="448"/>
      <c r="H478" s="448"/>
    </row>
    <row r="479" ht="14.25" customHeight="1">
      <c r="A479" s="448"/>
      <c r="B479" s="448"/>
      <c r="C479" s="448"/>
      <c r="D479" s="448"/>
      <c r="E479" s="448"/>
      <c r="F479" s="448"/>
      <c r="G479" s="448"/>
      <c r="H479" s="448"/>
    </row>
    <row r="480" ht="14.25" customHeight="1">
      <c r="A480" s="448"/>
      <c r="B480" s="448"/>
      <c r="C480" s="448"/>
      <c r="D480" s="448"/>
      <c r="E480" s="448"/>
      <c r="F480" s="448"/>
      <c r="G480" s="448"/>
      <c r="H480" s="448"/>
    </row>
    <row r="481" ht="14.25" customHeight="1">
      <c r="A481" s="448"/>
      <c r="B481" s="448"/>
      <c r="C481" s="448"/>
      <c r="D481" s="448"/>
      <c r="E481" s="448"/>
      <c r="F481" s="448"/>
      <c r="G481" s="448"/>
      <c r="H481" s="448"/>
    </row>
    <row r="482" ht="14.25" customHeight="1">
      <c r="A482" s="448"/>
      <c r="B482" s="448"/>
      <c r="C482" s="448"/>
      <c r="D482" s="448"/>
      <c r="E482" s="448"/>
      <c r="F482" s="448"/>
      <c r="G482" s="448"/>
      <c r="H482" s="448"/>
    </row>
    <row r="483" ht="14.25" customHeight="1">
      <c r="A483" s="448"/>
      <c r="B483" s="448"/>
      <c r="C483" s="448"/>
      <c r="D483" s="448"/>
      <c r="E483" s="448"/>
      <c r="F483" s="448"/>
      <c r="G483" s="448"/>
      <c r="H483" s="448"/>
    </row>
    <row r="484" ht="14.25" customHeight="1">
      <c r="A484" s="448"/>
      <c r="B484" s="448"/>
      <c r="C484" s="448"/>
      <c r="D484" s="448"/>
      <c r="E484" s="448"/>
      <c r="F484" s="448"/>
      <c r="G484" s="448"/>
      <c r="H484" s="448"/>
    </row>
    <row r="485" ht="14.25" customHeight="1">
      <c r="A485" s="448"/>
      <c r="B485" s="448"/>
      <c r="C485" s="448"/>
      <c r="D485" s="448"/>
      <c r="E485" s="448"/>
      <c r="F485" s="448"/>
      <c r="G485" s="448"/>
      <c r="H485" s="448"/>
    </row>
    <row r="486" ht="14.25" customHeight="1">
      <c r="A486" s="448"/>
      <c r="B486" s="448"/>
      <c r="C486" s="448"/>
      <c r="D486" s="448"/>
      <c r="E486" s="448"/>
      <c r="F486" s="448"/>
      <c r="G486" s="448"/>
      <c r="H486" s="448"/>
    </row>
    <row r="487" ht="14.25" customHeight="1">
      <c r="A487" s="448"/>
      <c r="B487" s="448"/>
      <c r="C487" s="448"/>
      <c r="D487" s="448"/>
      <c r="E487" s="448"/>
      <c r="F487" s="448"/>
      <c r="G487" s="448"/>
      <c r="H487" s="448"/>
    </row>
    <row r="488" ht="14.25" customHeight="1">
      <c r="A488" s="448"/>
      <c r="B488" s="448"/>
      <c r="C488" s="448"/>
      <c r="D488" s="448"/>
      <c r="E488" s="448"/>
      <c r="F488" s="448"/>
      <c r="G488" s="448"/>
      <c r="H488" s="448"/>
    </row>
    <row r="489" ht="14.25" customHeight="1">
      <c r="A489" s="448"/>
      <c r="B489" s="448"/>
      <c r="C489" s="448"/>
      <c r="D489" s="448"/>
      <c r="E489" s="448"/>
      <c r="F489" s="448"/>
      <c r="G489" s="448"/>
      <c r="H489" s="448"/>
    </row>
    <row r="490" ht="14.25" customHeight="1">
      <c r="A490" s="448"/>
      <c r="B490" s="448"/>
      <c r="C490" s="448"/>
      <c r="D490" s="448"/>
      <c r="E490" s="448"/>
      <c r="F490" s="448"/>
      <c r="G490" s="448"/>
      <c r="H490" s="448"/>
    </row>
    <row r="491" ht="14.25" customHeight="1">
      <c r="A491" s="448"/>
      <c r="B491" s="448"/>
      <c r="C491" s="448"/>
      <c r="D491" s="448"/>
      <c r="E491" s="448"/>
      <c r="F491" s="448"/>
      <c r="G491" s="448"/>
      <c r="H491" s="448"/>
    </row>
    <row r="492" ht="14.25" customHeight="1">
      <c r="A492" s="448"/>
      <c r="B492" s="448"/>
      <c r="C492" s="448"/>
      <c r="D492" s="448"/>
      <c r="E492" s="448"/>
      <c r="F492" s="448"/>
      <c r="G492" s="448"/>
      <c r="H492" s="448"/>
    </row>
    <row r="493" ht="14.25" customHeight="1">
      <c r="A493" s="448"/>
      <c r="B493" s="448"/>
      <c r="C493" s="448"/>
      <c r="D493" s="448"/>
      <c r="E493" s="448"/>
      <c r="F493" s="448"/>
      <c r="G493" s="448"/>
      <c r="H493" s="448"/>
    </row>
    <row r="494" ht="14.25" customHeight="1">
      <c r="A494" s="448"/>
      <c r="B494" s="448"/>
      <c r="C494" s="448"/>
      <c r="D494" s="448"/>
      <c r="E494" s="448"/>
      <c r="F494" s="448"/>
      <c r="G494" s="448"/>
      <c r="H494" s="448"/>
    </row>
    <row r="495" ht="14.25" customHeight="1">
      <c r="A495" s="448"/>
      <c r="B495" s="448"/>
      <c r="C495" s="448"/>
      <c r="D495" s="448"/>
      <c r="E495" s="448"/>
      <c r="F495" s="448"/>
      <c r="G495" s="448"/>
      <c r="H495" s="448"/>
    </row>
    <row r="496" ht="14.25" customHeight="1">
      <c r="A496" s="448"/>
      <c r="B496" s="448"/>
      <c r="C496" s="448"/>
      <c r="D496" s="448"/>
      <c r="E496" s="448"/>
      <c r="F496" s="448"/>
      <c r="G496" s="448"/>
      <c r="H496" s="448"/>
    </row>
    <row r="497" ht="14.25" customHeight="1">
      <c r="A497" s="448"/>
      <c r="B497" s="448"/>
      <c r="C497" s="448"/>
      <c r="D497" s="448"/>
      <c r="E497" s="448"/>
      <c r="F497" s="448"/>
      <c r="G497" s="448"/>
      <c r="H497" s="448"/>
    </row>
    <row r="498" ht="14.25" customHeight="1">
      <c r="A498" s="448"/>
      <c r="B498" s="448"/>
      <c r="C498" s="448"/>
      <c r="D498" s="448"/>
      <c r="E498" s="448"/>
      <c r="F498" s="448"/>
      <c r="G498" s="448"/>
      <c r="H498" s="448"/>
    </row>
    <row r="499" ht="14.25" customHeight="1">
      <c r="A499" s="448"/>
      <c r="B499" s="448"/>
      <c r="C499" s="448"/>
      <c r="D499" s="448"/>
      <c r="E499" s="448"/>
      <c r="F499" s="448"/>
      <c r="G499" s="448"/>
      <c r="H499" s="448"/>
    </row>
    <row r="500" ht="14.25" customHeight="1">
      <c r="A500" s="448"/>
      <c r="B500" s="448"/>
      <c r="C500" s="448"/>
      <c r="D500" s="448"/>
      <c r="E500" s="448"/>
      <c r="F500" s="448"/>
      <c r="G500" s="448"/>
      <c r="H500" s="448"/>
    </row>
    <row r="501" ht="14.25" customHeight="1">
      <c r="A501" s="448"/>
      <c r="B501" s="448"/>
      <c r="C501" s="448"/>
      <c r="D501" s="448"/>
      <c r="E501" s="448"/>
      <c r="F501" s="448"/>
      <c r="G501" s="448"/>
      <c r="H501" s="448"/>
    </row>
    <row r="502" ht="14.25" customHeight="1">
      <c r="A502" s="448"/>
      <c r="B502" s="448"/>
      <c r="C502" s="448"/>
      <c r="D502" s="448"/>
      <c r="E502" s="448"/>
      <c r="F502" s="448"/>
      <c r="G502" s="448"/>
      <c r="H502" s="448"/>
    </row>
    <row r="503" ht="14.25" customHeight="1">
      <c r="A503" s="448"/>
      <c r="B503" s="448"/>
      <c r="C503" s="448"/>
      <c r="D503" s="448"/>
      <c r="E503" s="448"/>
      <c r="F503" s="448"/>
      <c r="G503" s="448"/>
      <c r="H503" s="448"/>
    </row>
    <row r="504" ht="14.25" customHeight="1">
      <c r="A504" s="448"/>
      <c r="B504" s="448"/>
      <c r="C504" s="448"/>
      <c r="D504" s="448"/>
      <c r="E504" s="448"/>
      <c r="F504" s="448"/>
      <c r="G504" s="448"/>
      <c r="H504" s="448"/>
    </row>
    <row r="505" ht="14.25" customHeight="1">
      <c r="A505" s="448"/>
      <c r="B505" s="448"/>
      <c r="C505" s="448"/>
      <c r="D505" s="448"/>
      <c r="E505" s="448"/>
      <c r="F505" s="448"/>
      <c r="G505" s="448"/>
      <c r="H505" s="448"/>
    </row>
    <row r="506" ht="14.25" customHeight="1">
      <c r="A506" s="448"/>
      <c r="B506" s="448"/>
      <c r="C506" s="448"/>
      <c r="D506" s="448"/>
      <c r="E506" s="448"/>
      <c r="F506" s="448"/>
      <c r="G506" s="448"/>
      <c r="H506" s="448"/>
    </row>
    <row r="507" ht="14.25" customHeight="1">
      <c r="A507" s="448"/>
      <c r="B507" s="448"/>
      <c r="C507" s="448"/>
      <c r="D507" s="448"/>
      <c r="E507" s="448"/>
      <c r="F507" s="448"/>
      <c r="G507" s="448"/>
      <c r="H507" s="448"/>
    </row>
    <row r="508" ht="14.25" customHeight="1">
      <c r="A508" s="448"/>
      <c r="B508" s="448"/>
      <c r="C508" s="448"/>
      <c r="D508" s="448"/>
      <c r="E508" s="448"/>
      <c r="F508" s="448"/>
      <c r="G508" s="448"/>
      <c r="H508" s="448"/>
    </row>
    <row r="509" ht="14.25" customHeight="1">
      <c r="A509" s="448"/>
      <c r="B509" s="448"/>
      <c r="C509" s="448"/>
      <c r="D509" s="448"/>
      <c r="E509" s="448"/>
      <c r="F509" s="448"/>
      <c r="G509" s="448"/>
      <c r="H509" s="448"/>
    </row>
    <row r="510" ht="14.25" customHeight="1">
      <c r="A510" s="448"/>
      <c r="B510" s="448"/>
      <c r="C510" s="448"/>
      <c r="D510" s="448"/>
      <c r="E510" s="448"/>
      <c r="F510" s="448"/>
      <c r="G510" s="448"/>
      <c r="H510" s="448"/>
    </row>
    <row r="511" ht="14.25" customHeight="1">
      <c r="A511" s="448"/>
      <c r="B511" s="448"/>
      <c r="C511" s="448"/>
      <c r="D511" s="448"/>
      <c r="E511" s="448"/>
      <c r="F511" s="448"/>
      <c r="G511" s="448"/>
      <c r="H511" s="448"/>
    </row>
    <row r="512" ht="14.25" customHeight="1">
      <c r="A512" s="448"/>
      <c r="B512" s="448"/>
      <c r="C512" s="448"/>
      <c r="D512" s="448"/>
      <c r="E512" s="448"/>
      <c r="F512" s="448"/>
      <c r="G512" s="448"/>
      <c r="H512" s="448"/>
    </row>
    <row r="513" ht="14.25" customHeight="1">
      <c r="A513" s="448"/>
      <c r="B513" s="448"/>
      <c r="C513" s="448"/>
      <c r="D513" s="448"/>
      <c r="E513" s="448"/>
      <c r="F513" s="448"/>
      <c r="G513" s="448"/>
      <c r="H513" s="448"/>
    </row>
    <row r="514" ht="14.25" customHeight="1">
      <c r="A514" s="448"/>
      <c r="B514" s="448"/>
      <c r="C514" s="448"/>
      <c r="D514" s="448"/>
      <c r="E514" s="448"/>
      <c r="F514" s="448"/>
      <c r="G514" s="448"/>
      <c r="H514" s="448"/>
    </row>
    <row r="515" ht="14.25" customHeight="1">
      <c r="A515" s="448"/>
      <c r="B515" s="448"/>
      <c r="C515" s="448"/>
      <c r="D515" s="448"/>
      <c r="E515" s="448"/>
      <c r="F515" s="448"/>
      <c r="G515" s="448"/>
      <c r="H515" s="448"/>
    </row>
    <row r="516" ht="14.25" customHeight="1">
      <c r="A516" s="448"/>
      <c r="B516" s="448"/>
      <c r="C516" s="448"/>
      <c r="D516" s="448"/>
      <c r="E516" s="448"/>
      <c r="F516" s="448"/>
      <c r="G516" s="448"/>
      <c r="H516" s="448"/>
    </row>
    <row r="517" ht="14.25" customHeight="1">
      <c r="A517" s="448"/>
      <c r="B517" s="448"/>
      <c r="C517" s="448"/>
      <c r="D517" s="448"/>
      <c r="E517" s="448"/>
      <c r="F517" s="448"/>
      <c r="G517" s="448"/>
      <c r="H517" s="448"/>
    </row>
    <row r="518" ht="14.25" customHeight="1">
      <c r="A518" s="448"/>
      <c r="B518" s="448"/>
      <c r="C518" s="448"/>
      <c r="D518" s="448"/>
      <c r="E518" s="448"/>
      <c r="F518" s="448"/>
      <c r="G518" s="448"/>
      <c r="H518" s="448"/>
    </row>
    <row r="519" ht="14.25" customHeight="1">
      <c r="A519" s="448"/>
      <c r="B519" s="448"/>
      <c r="C519" s="448"/>
      <c r="D519" s="448"/>
      <c r="E519" s="448"/>
      <c r="F519" s="448"/>
      <c r="G519" s="448"/>
      <c r="H519" s="448"/>
    </row>
    <row r="520" ht="14.25" customHeight="1">
      <c r="A520" s="448"/>
      <c r="B520" s="448"/>
      <c r="C520" s="448"/>
      <c r="D520" s="448"/>
      <c r="E520" s="448"/>
      <c r="F520" s="448"/>
      <c r="G520" s="448"/>
      <c r="H520" s="448"/>
    </row>
    <row r="521" ht="14.25" customHeight="1">
      <c r="A521" s="448"/>
      <c r="B521" s="448"/>
      <c r="C521" s="448"/>
      <c r="D521" s="448"/>
      <c r="E521" s="448"/>
      <c r="F521" s="448"/>
      <c r="G521" s="448"/>
      <c r="H521" s="448"/>
    </row>
    <row r="522" ht="14.25" customHeight="1">
      <c r="A522" s="448"/>
      <c r="B522" s="448"/>
      <c r="C522" s="448"/>
      <c r="D522" s="448"/>
      <c r="E522" s="448"/>
      <c r="F522" s="448"/>
      <c r="G522" s="448"/>
      <c r="H522" s="448"/>
    </row>
    <row r="523" ht="14.25" customHeight="1">
      <c r="A523" s="448"/>
      <c r="B523" s="448"/>
      <c r="C523" s="448"/>
      <c r="D523" s="448"/>
      <c r="E523" s="448"/>
      <c r="F523" s="448"/>
      <c r="G523" s="448"/>
      <c r="H523" s="448"/>
    </row>
    <row r="524" ht="14.25" customHeight="1">
      <c r="A524" s="448"/>
      <c r="B524" s="448"/>
      <c r="C524" s="448"/>
      <c r="D524" s="448"/>
      <c r="E524" s="448"/>
      <c r="F524" s="448"/>
      <c r="G524" s="448"/>
      <c r="H524" s="448"/>
    </row>
    <row r="525" ht="14.25" customHeight="1">
      <c r="A525" s="448"/>
      <c r="B525" s="448"/>
      <c r="C525" s="448"/>
      <c r="D525" s="448"/>
      <c r="E525" s="448"/>
      <c r="F525" s="448"/>
      <c r="G525" s="448"/>
      <c r="H525" s="448"/>
    </row>
    <row r="526" ht="14.25" customHeight="1">
      <c r="A526" s="448"/>
      <c r="B526" s="448"/>
      <c r="C526" s="448"/>
      <c r="D526" s="448"/>
      <c r="E526" s="448"/>
      <c r="F526" s="448"/>
      <c r="G526" s="448"/>
      <c r="H526" s="448"/>
    </row>
    <row r="527" ht="14.25" customHeight="1">
      <c r="A527" s="448"/>
      <c r="B527" s="448"/>
      <c r="C527" s="448"/>
      <c r="D527" s="448"/>
      <c r="E527" s="448"/>
      <c r="F527" s="448"/>
      <c r="G527" s="448"/>
      <c r="H527" s="448"/>
    </row>
    <row r="528" ht="14.25" customHeight="1">
      <c r="A528" s="448"/>
      <c r="B528" s="448"/>
      <c r="C528" s="448"/>
      <c r="D528" s="448"/>
      <c r="E528" s="448"/>
      <c r="F528" s="448"/>
      <c r="G528" s="448"/>
      <c r="H528" s="448"/>
    </row>
    <row r="529" ht="14.25" customHeight="1">
      <c r="A529" s="448"/>
      <c r="B529" s="448"/>
      <c r="C529" s="448"/>
      <c r="D529" s="448"/>
      <c r="E529" s="448"/>
      <c r="F529" s="448"/>
      <c r="G529" s="448"/>
      <c r="H529" s="448"/>
    </row>
    <row r="530" ht="14.25" customHeight="1">
      <c r="A530" s="448"/>
      <c r="B530" s="448"/>
      <c r="C530" s="448"/>
      <c r="D530" s="448"/>
      <c r="E530" s="448"/>
      <c r="F530" s="448"/>
      <c r="G530" s="448"/>
      <c r="H530" s="448"/>
    </row>
    <row r="531" ht="14.25" customHeight="1">
      <c r="A531" s="448"/>
      <c r="B531" s="448"/>
      <c r="C531" s="448"/>
      <c r="D531" s="448"/>
      <c r="E531" s="448"/>
      <c r="F531" s="448"/>
      <c r="G531" s="448"/>
      <c r="H531" s="448"/>
    </row>
    <row r="532" ht="14.25" customHeight="1">
      <c r="A532" s="448"/>
      <c r="B532" s="448"/>
      <c r="C532" s="448"/>
      <c r="D532" s="448"/>
      <c r="E532" s="448"/>
      <c r="F532" s="448"/>
      <c r="G532" s="448"/>
      <c r="H532" s="448"/>
    </row>
    <row r="533" ht="14.25" customHeight="1">
      <c r="A533" s="448"/>
      <c r="B533" s="448"/>
      <c r="C533" s="448"/>
      <c r="D533" s="448"/>
      <c r="E533" s="448"/>
      <c r="F533" s="448"/>
      <c r="G533" s="448"/>
      <c r="H533" s="448"/>
    </row>
    <row r="534" ht="14.25" customHeight="1">
      <c r="A534" s="448"/>
      <c r="B534" s="448"/>
      <c r="C534" s="448"/>
      <c r="D534" s="448"/>
      <c r="E534" s="448"/>
      <c r="F534" s="448"/>
      <c r="G534" s="448"/>
      <c r="H534" s="448"/>
    </row>
    <row r="535" ht="14.25" customHeight="1">
      <c r="A535" s="448"/>
      <c r="B535" s="448"/>
      <c r="C535" s="448"/>
      <c r="D535" s="448"/>
      <c r="E535" s="448"/>
      <c r="F535" s="448"/>
      <c r="G535" s="448"/>
      <c r="H535" s="448"/>
    </row>
    <row r="536" ht="14.25" customHeight="1">
      <c r="A536" s="448"/>
      <c r="B536" s="448"/>
      <c r="C536" s="448"/>
      <c r="D536" s="448"/>
      <c r="E536" s="448"/>
      <c r="F536" s="448"/>
      <c r="G536" s="448"/>
      <c r="H536" s="448"/>
    </row>
    <row r="537" ht="14.25" customHeight="1">
      <c r="A537" s="448"/>
      <c r="B537" s="448"/>
      <c r="C537" s="448"/>
      <c r="D537" s="448"/>
      <c r="E537" s="448"/>
      <c r="F537" s="448"/>
      <c r="G537" s="448"/>
      <c r="H537" s="448"/>
    </row>
    <row r="538" ht="14.25" customHeight="1">
      <c r="A538" s="448"/>
      <c r="B538" s="448"/>
      <c r="C538" s="448"/>
      <c r="D538" s="448"/>
      <c r="E538" s="448"/>
      <c r="F538" s="448"/>
      <c r="G538" s="448"/>
      <c r="H538" s="448"/>
    </row>
    <row r="539" ht="14.25" customHeight="1">
      <c r="A539" s="448"/>
      <c r="B539" s="448"/>
      <c r="C539" s="448"/>
      <c r="D539" s="448"/>
      <c r="E539" s="448"/>
      <c r="F539" s="448"/>
      <c r="G539" s="448"/>
      <c r="H539" s="448"/>
    </row>
    <row r="540" ht="14.25" customHeight="1">
      <c r="A540" s="448"/>
      <c r="B540" s="448"/>
      <c r="C540" s="448"/>
      <c r="D540" s="448"/>
      <c r="E540" s="448"/>
      <c r="F540" s="448"/>
      <c r="G540" s="448"/>
      <c r="H540" s="448"/>
    </row>
    <row r="541" ht="14.25" customHeight="1">
      <c r="A541" s="448"/>
      <c r="B541" s="448"/>
      <c r="C541" s="448"/>
      <c r="D541" s="448"/>
      <c r="E541" s="448"/>
      <c r="F541" s="448"/>
      <c r="G541" s="448"/>
      <c r="H541" s="448"/>
    </row>
    <row r="542" ht="14.25" customHeight="1">
      <c r="A542" s="448"/>
      <c r="B542" s="448"/>
      <c r="C542" s="448"/>
      <c r="D542" s="448"/>
      <c r="E542" s="448"/>
      <c r="F542" s="448"/>
      <c r="G542" s="448"/>
      <c r="H542" s="448"/>
    </row>
    <row r="543" ht="14.25" customHeight="1">
      <c r="A543" s="448"/>
      <c r="B543" s="448"/>
      <c r="C543" s="448"/>
      <c r="D543" s="448"/>
      <c r="E543" s="448"/>
      <c r="F543" s="448"/>
      <c r="G543" s="448"/>
      <c r="H543" s="448"/>
    </row>
    <row r="544" ht="14.25" customHeight="1">
      <c r="A544" s="448"/>
      <c r="B544" s="448"/>
      <c r="C544" s="448"/>
      <c r="D544" s="448"/>
      <c r="E544" s="448"/>
      <c r="F544" s="448"/>
      <c r="G544" s="448"/>
      <c r="H544" s="448"/>
    </row>
    <row r="545" ht="14.25" customHeight="1">
      <c r="A545" s="448"/>
      <c r="B545" s="448"/>
      <c r="C545" s="448"/>
      <c r="D545" s="448"/>
      <c r="E545" s="448"/>
      <c r="F545" s="448"/>
      <c r="G545" s="448"/>
      <c r="H545" s="448"/>
    </row>
    <row r="546" ht="14.25" customHeight="1">
      <c r="A546" s="448"/>
      <c r="B546" s="448"/>
      <c r="C546" s="448"/>
      <c r="D546" s="448"/>
      <c r="E546" s="448"/>
      <c r="F546" s="448"/>
      <c r="G546" s="448"/>
      <c r="H546" s="448"/>
    </row>
    <row r="547" ht="14.25" customHeight="1">
      <c r="A547" s="448"/>
      <c r="B547" s="448"/>
      <c r="C547" s="448"/>
      <c r="D547" s="448"/>
      <c r="E547" s="448"/>
      <c r="F547" s="448"/>
      <c r="G547" s="448"/>
      <c r="H547" s="448"/>
    </row>
    <row r="548" ht="14.25" customHeight="1">
      <c r="A548" s="448"/>
      <c r="B548" s="448"/>
      <c r="C548" s="448"/>
      <c r="D548" s="448"/>
      <c r="E548" s="448"/>
      <c r="F548" s="448"/>
      <c r="G548" s="448"/>
      <c r="H548" s="448"/>
    </row>
    <row r="549" ht="14.25" customHeight="1">
      <c r="A549" s="448"/>
      <c r="B549" s="448"/>
      <c r="C549" s="448"/>
      <c r="D549" s="448"/>
      <c r="E549" s="448"/>
      <c r="F549" s="448"/>
      <c r="G549" s="448"/>
      <c r="H549" s="448"/>
    </row>
    <row r="550" ht="14.25" customHeight="1">
      <c r="A550" s="448"/>
      <c r="B550" s="448"/>
      <c r="C550" s="448"/>
      <c r="D550" s="448"/>
      <c r="E550" s="448"/>
      <c r="F550" s="448"/>
      <c r="G550" s="448"/>
      <c r="H550" s="448"/>
    </row>
    <row r="551" ht="14.25" customHeight="1">
      <c r="A551" s="448"/>
      <c r="B551" s="448"/>
      <c r="C551" s="448"/>
      <c r="D551" s="448"/>
      <c r="E551" s="448"/>
      <c r="F551" s="448"/>
      <c r="G551" s="448"/>
      <c r="H551" s="448"/>
    </row>
    <row r="552" ht="14.25" customHeight="1">
      <c r="A552" s="448"/>
      <c r="B552" s="448"/>
      <c r="C552" s="448"/>
      <c r="D552" s="448"/>
      <c r="E552" s="448"/>
      <c r="F552" s="448"/>
      <c r="G552" s="448"/>
      <c r="H552" s="448"/>
    </row>
    <row r="553" ht="14.25" customHeight="1">
      <c r="A553" s="448"/>
      <c r="B553" s="448"/>
      <c r="C553" s="448"/>
      <c r="D553" s="448"/>
      <c r="E553" s="448"/>
      <c r="F553" s="448"/>
      <c r="G553" s="448"/>
      <c r="H553" s="448"/>
    </row>
    <row r="554" ht="14.25" customHeight="1">
      <c r="A554" s="448"/>
      <c r="B554" s="448"/>
      <c r="C554" s="448"/>
      <c r="D554" s="448"/>
      <c r="E554" s="448"/>
      <c r="F554" s="448"/>
      <c r="G554" s="448"/>
      <c r="H554" s="448"/>
    </row>
    <row r="555" ht="14.25" customHeight="1">
      <c r="A555" s="448"/>
      <c r="B555" s="448"/>
      <c r="C555" s="448"/>
      <c r="D555" s="448"/>
      <c r="E555" s="448"/>
      <c r="F555" s="448"/>
      <c r="G555" s="448"/>
      <c r="H555" s="448"/>
    </row>
    <row r="556" ht="14.25" customHeight="1">
      <c r="A556" s="448"/>
      <c r="B556" s="448"/>
      <c r="C556" s="448"/>
      <c r="D556" s="448"/>
      <c r="E556" s="448"/>
      <c r="F556" s="448"/>
      <c r="G556" s="448"/>
      <c r="H556" s="448"/>
    </row>
    <row r="557" ht="14.25" customHeight="1">
      <c r="A557" s="448"/>
      <c r="B557" s="448"/>
      <c r="C557" s="448"/>
      <c r="D557" s="448"/>
      <c r="E557" s="448"/>
      <c r="F557" s="448"/>
      <c r="G557" s="448"/>
      <c r="H557" s="448"/>
    </row>
    <row r="558" ht="14.25" customHeight="1">
      <c r="A558" s="448"/>
      <c r="B558" s="448"/>
      <c r="C558" s="448"/>
      <c r="D558" s="448"/>
      <c r="E558" s="448"/>
      <c r="F558" s="448"/>
      <c r="G558" s="448"/>
      <c r="H558" s="448"/>
    </row>
    <row r="559" ht="14.25" customHeight="1">
      <c r="A559" s="448"/>
      <c r="B559" s="448"/>
      <c r="C559" s="448"/>
      <c r="D559" s="448"/>
      <c r="E559" s="448"/>
      <c r="F559" s="448"/>
      <c r="G559" s="448"/>
      <c r="H559" s="448"/>
    </row>
    <row r="560" ht="14.25" customHeight="1">
      <c r="A560" s="448"/>
      <c r="B560" s="448"/>
      <c r="C560" s="448"/>
      <c r="D560" s="448"/>
      <c r="E560" s="448"/>
      <c r="F560" s="448"/>
      <c r="G560" s="448"/>
      <c r="H560" s="448"/>
    </row>
    <row r="561" ht="14.25" customHeight="1">
      <c r="A561" s="448"/>
      <c r="B561" s="448"/>
      <c r="C561" s="448"/>
      <c r="D561" s="448"/>
      <c r="E561" s="448"/>
      <c r="F561" s="448"/>
      <c r="G561" s="448"/>
      <c r="H561" s="448"/>
    </row>
    <row r="562" ht="14.25" customHeight="1">
      <c r="A562" s="448"/>
      <c r="B562" s="448"/>
      <c r="C562" s="448"/>
      <c r="D562" s="448"/>
      <c r="E562" s="448"/>
      <c r="F562" s="448"/>
      <c r="G562" s="448"/>
      <c r="H562" s="448"/>
    </row>
    <row r="563" ht="14.25" customHeight="1">
      <c r="A563" s="448"/>
      <c r="B563" s="448"/>
      <c r="C563" s="448"/>
      <c r="D563" s="448"/>
      <c r="E563" s="448"/>
      <c r="F563" s="448"/>
      <c r="G563" s="448"/>
      <c r="H563" s="448"/>
    </row>
    <row r="564" ht="14.25" customHeight="1">
      <c r="A564" s="448"/>
      <c r="B564" s="448"/>
      <c r="C564" s="448"/>
      <c r="D564" s="448"/>
      <c r="E564" s="448"/>
      <c r="F564" s="448"/>
      <c r="G564" s="448"/>
      <c r="H564" s="448"/>
    </row>
    <row r="565" ht="14.25" customHeight="1">
      <c r="A565" s="448"/>
      <c r="B565" s="448"/>
      <c r="C565" s="448"/>
      <c r="D565" s="448"/>
      <c r="E565" s="448"/>
      <c r="F565" s="448"/>
      <c r="G565" s="448"/>
      <c r="H565" s="448"/>
    </row>
    <row r="566" ht="14.25" customHeight="1">
      <c r="A566" s="448"/>
      <c r="B566" s="448"/>
      <c r="C566" s="448"/>
      <c r="D566" s="448"/>
      <c r="E566" s="448"/>
      <c r="F566" s="448"/>
      <c r="G566" s="448"/>
      <c r="H566" s="448"/>
    </row>
    <row r="567" ht="14.25" customHeight="1">
      <c r="A567" s="448"/>
      <c r="B567" s="448"/>
      <c r="C567" s="448"/>
      <c r="D567" s="448"/>
      <c r="E567" s="448"/>
      <c r="F567" s="448"/>
      <c r="G567" s="448"/>
      <c r="H567" s="448"/>
    </row>
    <row r="568" ht="14.25" customHeight="1">
      <c r="A568" s="448"/>
      <c r="B568" s="448"/>
      <c r="C568" s="448"/>
      <c r="D568" s="448"/>
      <c r="E568" s="448"/>
      <c r="F568" s="448"/>
      <c r="G568" s="448"/>
      <c r="H568" s="448"/>
    </row>
    <row r="569" ht="14.25" customHeight="1">
      <c r="A569" s="448"/>
      <c r="B569" s="448"/>
      <c r="C569" s="448"/>
      <c r="D569" s="448"/>
      <c r="E569" s="448"/>
      <c r="F569" s="448"/>
      <c r="G569" s="448"/>
      <c r="H569" s="448"/>
    </row>
    <row r="570" ht="14.25" customHeight="1">
      <c r="A570" s="448"/>
      <c r="B570" s="448"/>
      <c r="C570" s="448"/>
      <c r="D570" s="448"/>
      <c r="E570" s="448"/>
      <c r="F570" s="448"/>
      <c r="G570" s="448"/>
      <c r="H570" s="448"/>
    </row>
    <row r="571" ht="14.25" customHeight="1">
      <c r="A571" s="448"/>
      <c r="B571" s="448"/>
      <c r="C571" s="448"/>
      <c r="D571" s="448"/>
      <c r="E571" s="448"/>
      <c r="F571" s="448"/>
      <c r="G571" s="448"/>
      <c r="H571" s="448"/>
    </row>
    <row r="572" ht="14.25" customHeight="1">
      <c r="A572" s="448"/>
      <c r="B572" s="448"/>
      <c r="C572" s="448"/>
      <c r="D572" s="448"/>
      <c r="E572" s="448"/>
      <c r="F572" s="448"/>
      <c r="G572" s="448"/>
      <c r="H572" s="448"/>
    </row>
    <row r="573" ht="14.25" customHeight="1">
      <c r="A573" s="448"/>
      <c r="B573" s="448"/>
      <c r="C573" s="448"/>
      <c r="D573" s="448"/>
      <c r="E573" s="448"/>
      <c r="F573" s="448"/>
      <c r="G573" s="448"/>
      <c r="H573" s="448"/>
    </row>
    <row r="574" ht="14.25" customHeight="1">
      <c r="A574" s="448"/>
      <c r="B574" s="448"/>
      <c r="C574" s="448"/>
      <c r="D574" s="448"/>
      <c r="E574" s="448"/>
      <c r="F574" s="448"/>
      <c r="G574" s="448"/>
      <c r="H574" s="448"/>
    </row>
    <row r="575" ht="14.25" customHeight="1">
      <c r="A575" s="448"/>
      <c r="B575" s="448"/>
      <c r="C575" s="448"/>
      <c r="D575" s="448"/>
      <c r="E575" s="448"/>
      <c r="F575" s="448"/>
      <c r="G575" s="448"/>
      <c r="H575" s="448"/>
    </row>
    <row r="576" ht="14.25" customHeight="1">
      <c r="A576" s="448"/>
      <c r="B576" s="448"/>
      <c r="C576" s="448"/>
      <c r="D576" s="448"/>
      <c r="E576" s="448"/>
      <c r="F576" s="448"/>
      <c r="G576" s="448"/>
      <c r="H576" s="448"/>
    </row>
    <row r="577" ht="14.25" customHeight="1">
      <c r="A577" s="448"/>
      <c r="B577" s="448"/>
      <c r="C577" s="448"/>
      <c r="D577" s="448"/>
      <c r="E577" s="448"/>
      <c r="F577" s="448"/>
      <c r="G577" s="448"/>
      <c r="H577" s="448"/>
    </row>
    <row r="578" ht="14.25" customHeight="1">
      <c r="A578" s="448"/>
      <c r="B578" s="448"/>
      <c r="C578" s="448"/>
      <c r="D578" s="448"/>
      <c r="E578" s="448"/>
      <c r="F578" s="448"/>
      <c r="G578" s="448"/>
      <c r="H578" s="448"/>
    </row>
    <row r="579" ht="14.25" customHeight="1">
      <c r="A579" s="448"/>
      <c r="B579" s="448"/>
      <c r="C579" s="448"/>
      <c r="D579" s="448"/>
      <c r="E579" s="448"/>
      <c r="F579" s="448"/>
      <c r="G579" s="448"/>
      <c r="H579" s="448"/>
    </row>
    <row r="580" ht="14.25" customHeight="1">
      <c r="A580" s="448"/>
      <c r="B580" s="448"/>
      <c r="C580" s="448"/>
      <c r="D580" s="448"/>
      <c r="E580" s="448"/>
      <c r="F580" s="448"/>
      <c r="G580" s="448"/>
      <c r="H580" s="448"/>
    </row>
    <row r="581" ht="14.25" customHeight="1">
      <c r="A581" s="448"/>
      <c r="B581" s="448"/>
      <c r="C581" s="448"/>
      <c r="D581" s="448"/>
      <c r="E581" s="448"/>
      <c r="F581" s="448"/>
      <c r="G581" s="448"/>
      <c r="H581" s="448"/>
    </row>
    <row r="582" ht="14.25" customHeight="1">
      <c r="A582" s="448"/>
      <c r="B582" s="448"/>
      <c r="C582" s="448"/>
      <c r="D582" s="448"/>
      <c r="E582" s="448"/>
      <c r="F582" s="448"/>
      <c r="G582" s="448"/>
      <c r="H582" s="448"/>
    </row>
    <row r="583" ht="14.25" customHeight="1">
      <c r="A583" s="448"/>
      <c r="B583" s="448"/>
      <c r="C583" s="448"/>
      <c r="D583" s="448"/>
      <c r="E583" s="448"/>
      <c r="F583" s="448"/>
      <c r="G583" s="448"/>
      <c r="H583" s="448"/>
    </row>
    <row r="584" ht="14.25" customHeight="1">
      <c r="A584" s="448"/>
      <c r="B584" s="448"/>
      <c r="C584" s="448"/>
      <c r="D584" s="448"/>
      <c r="E584" s="448"/>
      <c r="F584" s="448"/>
      <c r="G584" s="448"/>
      <c r="H584" s="448"/>
    </row>
    <row r="585" ht="14.25" customHeight="1">
      <c r="A585" s="448"/>
      <c r="B585" s="448"/>
      <c r="C585" s="448"/>
      <c r="D585" s="448"/>
      <c r="E585" s="448"/>
      <c r="F585" s="448"/>
      <c r="G585" s="448"/>
      <c r="H585" s="448"/>
    </row>
    <row r="586" ht="14.25" customHeight="1">
      <c r="A586" s="448"/>
      <c r="B586" s="448"/>
      <c r="C586" s="448"/>
      <c r="D586" s="448"/>
      <c r="E586" s="448"/>
      <c r="F586" s="448"/>
      <c r="G586" s="448"/>
      <c r="H586" s="448"/>
    </row>
    <row r="587" ht="14.25" customHeight="1">
      <c r="A587" s="448"/>
      <c r="B587" s="448"/>
      <c r="C587" s="448"/>
      <c r="D587" s="448"/>
      <c r="E587" s="448"/>
      <c r="F587" s="448"/>
      <c r="G587" s="448"/>
      <c r="H587" s="448"/>
    </row>
    <row r="588" ht="14.25" customHeight="1">
      <c r="A588" s="448"/>
      <c r="B588" s="448"/>
      <c r="C588" s="448"/>
      <c r="D588" s="448"/>
      <c r="E588" s="448"/>
      <c r="F588" s="448"/>
      <c r="G588" s="448"/>
      <c r="H588" s="448"/>
    </row>
    <row r="589" ht="14.25" customHeight="1">
      <c r="A589" s="448"/>
      <c r="B589" s="448"/>
      <c r="C589" s="448"/>
      <c r="D589" s="448"/>
      <c r="E589" s="448"/>
      <c r="F589" s="448"/>
      <c r="G589" s="448"/>
      <c r="H589" s="448"/>
    </row>
    <row r="590" ht="14.25" customHeight="1">
      <c r="A590" s="448"/>
      <c r="B590" s="448"/>
      <c r="C590" s="448"/>
      <c r="D590" s="448"/>
      <c r="E590" s="448"/>
      <c r="F590" s="448"/>
      <c r="G590" s="448"/>
      <c r="H590" s="448"/>
    </row>
    <row r="591" ht="14.25" customHeight="1">
      <c r="A591" s="448"/>
      <c r="B591" s="448"/>
      <c r="C591" s="448"/>
      <c r="D591" s="448"/>
      <c r="E591" s="448"/>
      <c r="F591" s="448"/>
      <c r="G591" s="448"/>
      <c r="H591" s="448"/>
    </row>
    <row r="592" ht="14.25" customHeight="1">
      <c r="A592" s="448"/>
      <c r="B592" s="448"/>
      <c r="C592" s="448"/>
      <c r="D592" s="448"/>
      <c r="E592" s="448"/>
      <c r="F592" s="448"/>
      <c r="G592" s="448"/>
      <c r="H592" s="448"/>
    </row>
    <row r="593" ht="14.25" customHeight="1">
      <c r="A593" s="448"/>
      <c r="B593" s="448"/>
      <c r="C593" s="448"/>
      <c r="D593" s="448"/>
      <c r="E593" s="448"/>
      <c r="F593" s="448"/>
      <c r="G593" s="448"/>
      <c r="H593" s="448"/>
    </row>
    <row r="594" ht="14.25" customHeight="1">
      <c r="A594" s="448"/>
      <c r="B594" s="448"/>
      <c r="C594" s="448"/>
      <c r="D594" s="448"/>
      <c r="E594" s="448"/>
      <c r="F594" s="448"/>
      <c r="G594" s="448"/>
      <c r="H594" s="448"/>
    </row>
    <row r="595" ht="14.25" customHeight="1">
      <c r="A595" s="448"/>
      <c r="B595" s="448"/>
      <c r="C595" s="448"/>
      <c r="D595" s="448"/>
      <c r="E595" s="448"/>
      <c r="F595" s="448"/>
      <c r="G595" s="448"/>
      <c r="H595" s="448"/>
    </row>
    <row r="596" ht="14.25" customHeight="1">
      <c r="A596" s="448"/>
      <c r="B596" s="448"/>
      <c r="C596" s="448"/>
      <c r="D596" s="448"/>
      <c r="E596" s="448"/>
      <c r="F596" s="448"/>
      <c r="G596" s="448"/>
      <c r="H596" s="448"/>
    </row>
    <row r="597" ht="14.25" customHeight="1">
      <c r="A597" s="448"/>
      <c r="B597" s="448"/>
      <c r="C597" s="448"/>
      <c r="D597" s="448"/>
      <c r="E597" s="448"/>
      <c r="F597" s="448"/>
      <c r="G597" s="448"/>
      <c r="H597" s="448"/>
    </row>
    <row r="598" ht="14.25" customHeight="1">
      <c r="A598" s="448"/>
      <c r="B598" s="448"/>
      <c r="C598" s="448"/>
      <c r="D598" s="448"/>
      <c r="E598" s="448"/>
      <c r="F598" s="448"/>
      <c r="G598" s="448"/>
      <c r="H598" s="448"/>
    </row>
    <row r="599" ht="14.25" customHeight="1">
      <c r="A599" s="448"/>
      <c r="B599" s="448"/>
      <c r="C599" s="448"/>
      <c r="D599" s="448"/>
      <c r="E599" s="448"/>
      <c r="F599" s="448"/>
      <c r="G599" s="448"/>
      <c r="H599" s="448"/>
    </row>
    <row r="600" ht="14.25" customHeight="1">
      <c r="A600" s="448"/>
      <c r="B600" s="448"/>
      <c r="C600" s="448"/>
      <c r="D600" s="448"/>
      <c r="E600" s="448"/>
      <c r="F600" s="448"/>
      <c r="G600" s="448"/>
      <c r="H600" s="448"/>
    </row>
    <row r="601" ht="14.25" customHeight="1">
      <c r="A601" s="448"/>
      <c r="B601" s="448"/>
      <c r="C601" s="448"/>
      <c r="D601" s="448"/>
      <c r="E601" s="448"/>
      <c r="F601" s="448"/>
      <c r="G601" s="448"/>
      <c r="H601" s="448"/>
    </row>
    <row r="602" ht="14.25" customHeight="1">
      <c r="A602" s="448"/>
      <c r="B602" s="448"/>
      <c r="C602" s="448"/>
      <c r="D602" s="448"/>
      <c r="E602" s="448"/>
      <c r="F602" s="448"/>
      <c r="G602" s="448"/>
      <c r="H602" s="448"/>
    </row>
    <row r="603" ht="14.25" customHeight="1">
      <c r="A603" s="448"/>
      <c r="B603" s="448"/>
      <c r="C603" s="448"/>
      <c r="D603" s="448"/>
      <c r="E603" s="448"/>
      <c r="F603" s="448"/>
      <c r="G603" s="448"/>
      <c r="H603" s="448"/>
    </row>
    <row r="604" ht="14.25" customHeight="1">
      <c r="A604" s="448"/>
      <c r="B604" s="448"/>
      <c r="C604" s="448"/>
      <c r="D604" s="448"/>
      <c r="E604" s="448"/>
      <c r="F604" s="448"/>
      <c r="G604" s="448"/>
      <c r="H604" s="448"/>
    </row>
    <row r="605" ht="14.25" customHeight="1">
      <c r="A605" s="448"/>
      <c r="B605" s="448"/>
      <c r="C605" s="448"/>
      <c r="D605" s="448"/>
      <c r="E605" s="448"/>
      <c r="F605" s="448"/>
      <c r="G605" s="448"/>
      <c r="H605" s="448"/>
    </row>
    <row r="606" ht="14.25" customHeight="1">
      <c r="A606" s="448"/>
      <c r="B606" s="448"/>
      <c r="C606" s="448"/>
      <c r="D606" s="448"/>
      <c r="E606" s="448"/>
      <c r="F606" s="448"/>
      <c r="G606" s="448"/>
      <c r="H606" s="448"/>
    </row>
    <row r="607" ht="14.25" customHeight="1">
      <c r="A607" s="448"/>
      <c r="B607" s="448"/>
      <c r="C607" s="448"/>
      <c r="D607" s="448"/>
      <c r="E607" s="448"/>
      <c r="F607" s="448"/>
      <c r="G607" s="448"/>
      <c r="H607" s="448"/>
    </row>
    <row r="608" ht="14.25" customHeight="1">
      <c r="A608" s="448"/>
      <c r="B608" s="448"/>
      <c r="C608" s="448"/>
      <c r="D608" s="448"/>
      <c r="E608" s="448"/>
      <c r="F608" s="448"/>
      <c r="G608" s="448"/>
      <c r="H608" s="448"/>
    </row>
    <row r="609" ht="14.25" customHeight="1">
      <c r="A609" s="448"/>
      <c r="B609" s="448"/>
      <c r="C609" s="448"/>
      <c r="D609" s="448"/>
      <c r="E609" s="448"/>
      <c r="F609" s="448"/>
      <c r="G609" s="448"/>
      <c r="H609" s="448"/>
    </row>
    <row r="610" ht="14.25" customHeight="1">
      <c r="A610" s="448"/>
      <c r="B610" s="448"/>
      <c r="C610" s="448"/>
      <c r="D610" s="448"/>
      <c r="E610" s="448"/>
      <c r="F610" s="448"/>
      <c r="G610" s="448"/>
      <c r="H610" s="448"/>
    </row>
    <row r="611" ht="14.25" customHeight="1">
      <c r="A611" s="448"/>
      <c r="B611" s="448"/>
      <c r="C611" s="448"/>
      <c r="D611" s="448"/>
      <c r="E611" s="448"/>
      <c r="F611" s="448"/>
      <c r="G611" s="448"/>
      <c r="H611" s="448"/>
    </row>
    <row r="612" ht="14.25" customHeight="1">
      <c r="A612" s="448"/>
      <c r="B612" s="448"/>
      <c r="C612" s="448"/>
      <c r="D612" s="448"/>
      <c r="E612" s="448"/>
      <c r="F612" s="448"/>
      <c r="G612" s="448"/>
      <c r="H612" s="448"/>
    </row>
    <row r="613" ht="14.25" customHeight="1">
      <c r="A613" s="448"/>
      <c r="B613" s="448"/>
      <c r="C613" s="448"/>
      <c r="D613" s="448"/>
      <c r="E613" s="448"/>
      <c r="F613" s="448"/>
      <c r="G613" s="448"/>
      <c r="H613" s="448"/>
    </row>
    <row r="614" ht="14.25" customHeight="1">
      <c r="A614" s="448"/>
      <c r="B614" s="448"/>
      <c r="C614" s="448"/>
      <c r="D614" s="448"/>
      <c r="E614" s="448"/>
      <c r="F614" s="448"/>
      <c r="G614" s="448"/>
      <c r="H614" s="448"/>
    </row>
    <row r="615" ht="14.25" customHeight="1">
      <c r="A615" s="448"/>
      <c r="B615" s="448"/>
      <c r="C615" s="448"/>
      <c r="D615" s="448"/>
      <c r="E615" s="448"/>
      <c r="F615" s="448"/>
      <c r="G615" s="448"/>
      <c r="H615" s="448"/>
    </row>
    <row r="616" ht="14.25" customHeight="1">
      <c r="A616" s="448"/>
      <c r="B616" s="448"/>
      <c r="C616" s="448"/>
      <c r="D616" s="448"/>
      <c r="E616" s="448"/>
      <c r="F616" s="448"/>
      <c r="G616" s="448"/>
      <c r="H616" s="448"/>
    </row>
    <row r="617" ht="14.25" customHeight="1">
      <c r="A617" s="448"/>
      <c r="B617" s="448"/>
      <c r="C617" s="448"/>
      <c r="D617" s="448"/>
      <c r="E617" s="448"/>
      <c r="F617" s="448"/>
      <c r="G617" s="448"/>
      <c r="H617" s="448"/>
    </row>
    <row r="618" ht="14.25" customHeight="1">
      <c r="A618" s="448"/>
      <c r="B618" s="448"/>
      <c r="C618" s="448"/>
      <c r="D618" s="448"/>
      <c r="E618" s="448"/>
      <c r="F618" s="448"/>
      <c r="G618" s="448"/>
      <c r="H618" s="448"/>
    </row>
    <row r="619" ht="14.25" customHeight="1">
      <c r="A619" s="448"/>
      <c r="B619" s="448"/>
      <c r="C619" s="448"/>
      <c r="D619" s="448"/>
      <c r="E619" s="448"/>
      <c r="F619" s="448"/>
      <c r="G619" s="448"/>
      <c r="H619" s="448"/>
    </row>
    <row r="620" ht="14.25" customHeight="1">
      <c r="A620" s="448"/>
      <c r="B620" s="448"/>
      <c r="C620" s="448"/>
      <c r="D620" s="448"/>
      <c r="E620" s="448"/>
      <c r="F620" s="448"/>
      <c r="G620" s="448"/>
      <c r="H620" s="448"/>
    </row>
    <row r="621" ht="14.25" customHeight="1">
      <c r="A621" s="448"/>
      <c r="B621" s="448"/>
      <c r="C621" s="448"/>
      <c r="D621" s="448"/>
      <c r="E621" s="448"/>
      <c r="F621" s="448"/>
      <c r="G621" s="448"/>
      <c r="H621" s="448"/>
    </row>
    <row r="622" ht="14.25" customHeight="1">
      <c r="A622" s="448"/>
      <c r="B622" s="448"/>
      <c r="C622" s="448"/>
      <c r="D622" s="448"/>
      <c r="E622" s="448"/>
      <c r="F622" s="448"/>
      <c r="G622" s="448"/>
      <c r="H622" s="448"/>
    </row>
    <row r="623" ht="14.25" customHeight="1">
      <c r="A623" s="448"/>
      <c r="B623" s="448"/>
      <c r="C623" s="448"/>
      <c r="D623" s="448"/>
      <c r="E623" s="448"/>
      <c r="F623" s="448"/>
      <c r="G623" s="448"/>
      <c r="H623" s="448"/>
    </row>
    <row r="624" ht="14.25" customHeight="1">
      <c r="A624" s="448"/>
      <c r="B624" s="448"/>
      <c r="C624" s="448"/>
      <c r="D624" s="448"/>
      <c r="E624" s="448"/>
      <c r="F624" s="448"/>
      <c r="G624" s="448"/>
      <c r="H624" s="448"/>
    </row>
    <row r="625" ht="14.25" customHeight="1">
      <c r="A625" s="448"/>
      <c r="B625" s="448"/>
      <c r="C625" s="448"/>
      <c r="D625" s="448"/>
      <c r="E625" s="448"/>
      <c r="F625" s="448"/>
      <c r="G625" s="448"/>
      <c r="H625" s="448"/>
    </row>
    <row r="626" ht="14.25" customHeight="1">
      <c r="A626" s="448"/>
      <c r="B626" s="448"/>
      <c r="C626" s="448"/>
      <c r="D626" s="448"/>
      <c r="E626" s="448"/>
      <c r="F626" s="448"/>
      <c r="G626" s="448"/>
      <c r="H626" s="448"/>
    </row>
    <row r="627" ht="14.25" customHeight="1">
      <c r="A627" s="448"/>
      <c r="B627" s="448"/>
      <c r="C627" s="448"/>
      <c r="D627" s="448"/>
      <c r="E627" s="448"/>
      <c r="F627" s="448"/>
      <c r="G627" s="448"/>
      <c r="H627" s="448"/>
    </row>
    <row r="628" ht="14.25" customHeight="1">
      <c r="A628" s="448"/>
      <c r="B628" s="448"/>
      <c r="C628" s="448"/>
      <c r="D628" s="448"/>
      <c r="E628" s="448"/>
      <c r="F628" s="448"/>
      <c r="G628" s="448"/>
      <c r="H628" s="448"/>
    </row>
    <row r="629" ht="14.25" customHeight="1">
      <c r="A629" s="448"/>
      <c r="B629" s="448"/>
      <c r="C629" s="448"/>
      <c r="D629" s="448"/>
      <c r="E629" s="448"/>
      <c r="F629" s="448"/>
      <c r="G629" s="448"/>
      <c r="H629" s="448"/>
    </row>
    <row r="630" ht="14.25" customHeight="1">
      <c r="A630" s="448"/>
      <c r="B630" s="448"/>
      <c r="C630" s="448"/>
      <c r="D630" s="448"/>
      <c r="E630" s="448"/>
      <c r="F630" s="448"/>
      <c r="G630" s="448"/>
      <c r="H630" s="448"/>
    </row>
    <row r="631" ht="14.25" customHeight="1">
      <c r="A631" s="448"/>
      <c r="B631" s="448"/>
      <c r="C631" s="448"/>
      <c r="D631" s="448"/>
      <c r="E631" s="448"/>
      <c r="F631" s="448"/>
      <c r="G631" s="448"/>
      <c r="H631" s="448"/>
    </row>
    <row r="632" ht="14.25" customHeight="1">
      <c r="A632" s="448"/>
      <c r="B632" s="448"/>
      <c r="C632" s="448"/>
      <c r="D632" s="448"/>
      <c r="E632" s="448"/>
      <c r="F632" s="448"/>
      <c r="G632" s="448"/>
      <c r="H632" s="448"/>
    </row>
    <row r="633" ht="14.25" customHeight="1">
      <c r="A633" s="448"/>
      <c r="B633" s="448"/>
      <c r="C633" s="448"/>
      <c r="D633" s="448"/>
      <c r="E633" s="448"/>
      <c r="F633" s="448"/>
      <c r="G633" s="448"/>
      <c r="H633" s="448"/>
    </row>
    <row r="634" ht="14.25" customHeight="1">
      <c r="A634" s="448"/>
      <c r="B634" s="448"/>
      <c r="C634" s="448"/>
      <c r="D634" s="448"/>
      <c r="E634" s="448"/>
      <c r="F634" s="448"/>
      <c r="G634" s="448"/>
      <c r="H634" s="448"/>
    </row>
    <row r="635" ht="14.25" customHeight="1">
      <c r="A635" s="448"/>
      <c r="B635" s="448"/>
      <c r="C635" s="448"/>
      <c r="D635" s="448"/>
      <c r="E635" s="448"/>
      <c r="F635" s="448"/>
      <c r="G635" s="448"/>
      <c r="H635" s="448"/>
    </row>
    <row r="636" ht="14.25" customHeight="1">
      <c r="A636" s="448"/>
      <c r="B636" s="448"/>
      <c r="C636" s="448"/>
      <c r="D636" s="448"/>
      <c r="E636" s="448"/>
      <c r="F636" s="448"/>
      <c r="G636" s="448"/>
      <c r="H636" s="448"/>
    </row>
    <row r="637" ht="14.25" customHeight="1">
      <c r="A637" s="448"/>
      <c r="B637" s="448"/>
      <c r="C637" s="448"/>
      <c r="D637" s="448"/>
      <c r="E637" s="448"/>
      <c r="F637" s="448"/>
      <c r="G637" s="448"/>
      <c r="H637" s="448"/>
    </row>
    <row r="638" ht="14.25" customHeight="1">
      <c r="A638" s="448"/>
      <c r="B638" s="448"/>
      <c r="C638" s="448"/>
      <c r="D638" s="448"/>
      <c r="E638" s="448"/>
      <c r="F638" s="448"/>
      <c r="G638" s="448"/>
      <c r="H638" s="448"/>
    </row>
    <row r="639" ht="14.25" customHeight="1">
      <c r="A639" s="448"/>
      <c r="B639" s="448"/>
      <c r="C639" s="448"/>
      <c r="D639" s="448"/>
      <c r="E639" s="448"/>
      <c r="F639" s="448"/>
      <c r="G639" s="448"/>
      <c r="H639" s="448"/>
    </row>
    <row r="640" ht="14.25" customHeight="1">
      <c r="A640" s="448"/>
      <c r="B640" s="448"/>
      <c r="C640" s="448"/>
      <c r="D640" s="448"/>
      <c r="E640" s="448"/>
      <c r="F640" s="448"/>
      <c r="G640" s="448"/>
      <c r="H640" s="448"/>
    </row>
    <row r="641" ht="14.25" customHeight="1">
      <c r="A641" s="448"/>
      <c r="B641" s="448"/>
      <c r="C641" s="448"/>
      <c r="D641" s="448"/>
      <c r="E641" s="448"/>
      <c r="F641" s="448"/>
      <c r="G641" s="448"/>
      <c r="H641" s="448"/>
    </row>
    <row r="642" ht="14.25" customHeight="1">
      <c r="A642" s="448"/>
      <c r="B642" s="448"/>
      <c r="C642" s="448"/>
      <c r="D642" s="448"/>
      <c r="E642" s="448"/>
      <c r="F642" s="448"/>
      <c r="G642" s="448"/>
      <c r="H642" s="448"/>
    </row>
    <row r="643" ht="14.25" customHeight="1">
      <c r="A643" s="448"/>
      <c r="B643" s="448"/>
      <c r="C643" s="448"/>
      <c r="D643" s="448"/>
      <c r="E643" s="448"/>
      <c r="F643" s="448"/>
      <c r="G643" s="448"/>
      <c r="H643" s="448"/>
    </row>
    <row r="644" ht="14.25" customHeight="1">
      <c r="A644" s="448"/>
      <c r="B644" s="448"/>
      <c r="C644" s="448"/>
      <c r="D644" s="448"/>
      <c r="E644" s="448"/>
      <c r="F644" s="448"/>
      <c r="G644" s="448"/>
      <c r="H644" s="448"/>
    </row>
    <row r="645" ht="14.25" customHeight="1">
      <c r="A645" s="448"/>
      <c r="B645" s="448"/>
      <c r="C645" s="448"/>
      <c r="D645" s="448"/>
      <c r="E645" s="448"/>
      <c r="F645" s="448"/>
      <c r="G645" s="448"/>
      <c r="H645" s="448"/>
    </row>
    <row r="646" ht="14.25" customHeight="1">
      <c r="A646" s="448"/>
      <c r="B646" s="448"/>
      <c r="C646" s="448"/>
      <c r="D646" s="448"/>
      <c r="E646" s="448"/>
      <c r="F646" s="448"/>
      <c r="G646" s="448"/>
      <c r="H646" s="448"/>
    </row>
    <row r="647" ht="14.25" customHeight="1">
      <c r="A647" s="448"/>
      <c r="B647" s="448"/>
      <c r="C647" s="448"/>
      <c r="D647" s="448"/>
      <c r="E647" s="448"/>
      <c r="F647" s="448"/>
      <c r="G647" s="448"/>
      <c r="H647" s="448"/>
    </row>
    <row r="648" ht="14.25" customHeight="1">
      <c r="A648" s="448"/>
      <c r="B648" s="448"/>
      <c r="C648" s="448"/>
      <c r="D648" s="448"/>
      <c r="E648" s="448"/>
      <c r="F648" s="448"/>
      <c r="G648" s="448"/>
      <c r="H648" s="448"/>
    </row>
    <row r="649" ht="14.25" customHeight="1">
      <c r="A649" s="448"/>
      <c r="B649" s="448"/>
      <c r="C649" s="448"/>
      <c r="D649" s="448"/>
      <c r="E649" s="448"/>
      <c r="F649" s="448"/>
      <c r="G649" s="448"/>
      <c r="H649" s="448"/>
    </row>
    <row r="650" ht="14.25" customHeight="1">
      <c r="A650" s="448"/>
      <c r="B650" s="448"/>
      <c r="C650" s="448"/>
      <c r="D650" s="448"/>
      <c r="E650" s="448"/>
      <c r="F650" s="448"/>
      <c r="G650" s="448"/>
      <c r="H650" s="448"/>
    </row>
    <row r="651" ht="14.25" customHeight="1">
      <c r="A651" s="448"/>
      <c r="B651" s="448"/>
      <c r="C651" s="448"/>
      <c r="D651" s="448"/>
      <c r="E651" s="448"/>
      <c r="F651" s="448"/>
      <c r="G651" s="448"/>
      <c r="H651" s="448"/>
    </row>
    <row r="652" ht="14.25" customHeight="1">
      <c r="A652" s="448"/>
      <c r="B652" s="448"/>
      <c r="C652" s="448"/>
      <c r="D652" s="448"/>
      <c r="E652" s="448"/>
      <c r="F652" s="448"/>
      <c r="G652" s="448"/>
      <c r="H652" s="448"/>
    </row>
    <row r="653" ht="14.25" customHeight="1">
      <c r="A653" s="448"/>
      <c r="B653" s="448"/>
      <c r="C653" s="448"/>
      <c r="D653" s="448"/>
      <c r="E653" s="448"/>
      <c r="F653" s="448"/>
      <c r="G653" s="448"/>
      <c r="H653" s="448"/>
    </row>
    <row r="654" ht="14.25" customHeight="1">
      <c r="A654" s="448"/>
      <c r="B654" s="448"/>
      <c r="C654" s="448"/>
      <c r="D654" s="448"/>
      <c r="E654" s="448"/>
      <c r="F654" s="448"/>
      <c r="G654" s="448"/>
      <c r="H654" s="448"/>
    </row>
    <row r="655" ht="14.25" customHeight="1">
      <c r="A655" s="448"/>
      <c r="B655" s="448"/>
      <c r="C655" s="448"/>
      <c r="D655" s="448"/>
      <c r="E655" s="448"/>
      <c r="F655" s="448"/>
      <c r="G655" s="448"/>
      <c r="H655" s="448"/>
    </row>
    <row r="656" ht="14.25" customHeight="1">
      <c r="A656" s="448"/>
      <c r="B656" s="448"/>
      <c r="C656" s="448"/>
      <c r="D656" s="448"/>
      <c r="E656" s="448"/>
      <c r="F656" s="448"/>
      <c r="G656" s="448"/>
      <c r="H656" s="448"/>
    </row>
    <row r="657" ht="14.25" customHeight="1">
      <c r="A657" s="448"/>
      <c r="B657" s="448"/>
      <c r="C657" s="448"/>
      <c r="D657" s="448"/>
      <c r="E657" s="448"/>
      <c r="F657" s="448"/>
      <c r="G657" s="448"/>
      <c r="H657" s="448"/>
    </row>
    <row r="658" ht="14.25" customHeight="1">
      <c r="A658" s="448"/>
      <c r="B658" s="448"/>
      <c r="C658" s="448"/>
      <c r="D658" s="448"/>
      <c r="E658" s="448"/>
      <c r="F658" s="448"/>
      <c r="G658" s="448"/>
      <c r="H658" s="448"/>
    </row>
    <row r="659" ht="14.25" customHeight="1">
      <c r="A659" s="448"/>
      <c r="B659" s="448"/>
      <c r="C659" s="448"/>
      <c r="D659" s="448"/>
      <c r="E659" s="448"/>
      <c r="F659" s="448"/>
      <c r="G659" s="448"/>
      <c r="H659" s="448"/>
    </row>
    <row r="660" ht="14.25" customHeight="1">
      <c r="A660" s="448"/>
      <c r="B660" s="448"/>
      <c r="C660" s="448"/>
      <c r="D660" s="448"/>
      <c r="E660" s="448"/>
      <c r="F660" s="448"/>
      <c r="G660" s="448"/>
      <c r="H660" s="448"/>
    </row>
    <row r="661" ht="14.25" customHeight="1">
      <c r="A661" s="448"/>
      <c r="B661" s="448"/>
      <c r="C661" s="448"/>
      <c r="D661" s="448"/>
      <c r="E661" s="448"/>
      <c r="F661" s="448"/>
      <c r="G661" s="448"/>
      <c r="H661" s="448"/>
    </row>
    <row r="662" ht="14.25" customHeight="1">
      <c r="A662" s="448"/>
      <c r="B662" s="448"/>
      <c r="C662" s="448"/>
      <c r="D662" s="448"/>
      <c r="E662" s="448"/>
      <c r="F662" s="448"/>
      <c r="G662" s="448"/>
      <c r="H662" s="448"/>
    </row>
    <row r="663" ht="14.25" customHeight="1">
      <c r="A663" s="448"/>
      <c r="B663" s="448"/>
      <c r="C663" s="448"/>
      <c r="D663" s="448"/>
      <c r="E663" s="448"/>
      <c r="F663" s="448"/>
      <c r="G663" s="448"/>
      <c r="H663" s="448"/>
    </row>
    <row r="664" ht="14.25" customHeight="1">
      <c r="A664" s="448"/>
      <c r="B664" s="448"/>
      <c r="C664" s="448"/>
      <c r="D664" s="448"/>
      <c r="E664" s="448"/>
      <c r="F664" s="448"/>
      <c r="G664" s="448"/>
      <c r="H664" s="448"/>
    </row>
    <row r="665" ht="14.25" customHeight="1">
      <c r="A665" s="448"/>
      <c r="B665" s="448"/>
      <c r="C665" s="448"/>
      <c r="D665" s="448"/>
      <c r="E665" s="448"/>
      <c r="F665" s="448"/>
      <c r="G665" s="448"/>
      <c r="H665" s="448"/>
    </row>
    <row r="666" ht="14.25" customHeight="1">
      <c r="A666" s="448"/>
      <c r="B666" s="448"/>
      <c r="C666" s="448"/>
      <c r="D666" s="448"/>
      <c r="E666" s="448"/>
      <c r="F666" s="448"/>
      <c r="G666" s="448"/>
      <c r="H666" s="448"/>
    </row>
    <row r="667" ht="14.25" customHeight="1">
      <c r="A667" s="448"/>
      <c r="B667" s="448"/>
      <c r="C667" s="448"/>
      <c r="D667" s="448"/>
      <c r="E667" s="448"/>
      <c r="F667" s="448"/>
      <c r="G667" s="448"/>
      <c r="H667" s="448"/>
    </row>
    <row r="668" ht="14.25" customHeight="1">
      <c r="A668" s="448"/>
      <c r="B668" s="448"/>
      <c r="C668" s="448"/>
      <c r="D668" s="448"/>
      <c r="E668" s="448"/>
      <c r="F668" s="448"/>
      <c r="G668" s="448"/>
      <c r="H668" s="448"/>
    </row>
    <row r="669" ht="14.25" customHeight="1">
      <c r="A669" s="448"/>
      <c r="B669" s="448"/>
      <c r="C669" s="448"/>
      <c r="D669" s="448"/>
      <c r="E669" s="448"/>
      <c r="F669" s="448"/>
      <c r="G669" s="448"/>
      <c r="H669" s="448"/>
    </row>
    <row r="670" ht="14.25" customHeight="1">
      <c r="A670" s="448"/>
      <c r="B670" s="448"/>
      <c r="C670" s="448"/>
      <c r="D670" s="448"/>
      <c r="E670" s="448"/>
      <c r="F670" s="448"/>
      <c r="G670" s="448"/>
      <c r="H670" s="448"/>
    </row>
    <row r="671" ht="14.25" customHeight="1">
      <c r="A671" s="448"/>
      <c r="B671" s="448"/>
      <c r="C671" s="448"/>
      <c r="D671" s="448"/>
      <c r="E671" s="448"/>
      <c r="F671" s="448"/>
      <c r="G671" s="448"/>
      <c r="H671" s="448"/>
    </row>
    <row r="672" ht="14.25" customHeight="1">
      <c r="A672" s="448"/>
      <c r="B672" s="448"/>
      <c r="C672" s="448"/>
      <c r="D672" s="448"/>
      <c r="E672" s="448"/>
      <c r="F672" s="448"/>
      <c r="G672" s="448"/>
      <c r="H672" s="448"/>
    </row>
    <row r="673" ht="14.25" customHeight="1">
      <c r="A673" s="448"/>
      <c r="B673" s="448"/>
      <c r="C673" s="448"/>
      <c r="D673" s="448"/>
      <c r="E673" s="448"/>
      <c r="F673" s="448"/>
      <c r="G673" s="448"/>
      <c r="H673" s="448"/>
    </row>
    <row r="674" ht="14.25" customHeight="1">
      <c r="A674" s="448"/>
      <c r="B674" s="448"/>
      <c r="C674" s="448"/>
      <c r="D674" s="448"/>
      <c r="E674" s="448"/>
      <c r="F674" s="448"/>
      <c r="G674" s="448"/>
      <c r="H674" s="448"/>
    </row>
    <row r="675" ht="14.25" customHeight="1">
      <c r="A675" s="448"/>
      <c r="B675" s="448"/>
      <c r="C675" s="448"/>
      <c r="D675" s="448"/>
      <c r="E675" s="448"/>
      <c r="F675" s="448"/>
      <c r="G675" s="448"/>
      <c r="H675" s="448"/>
    </row>
    <row r="676" ht="14.25" customHeight="1">
      <c r="A676" s="448"/>
      <c r="B676" s="448"/>
      <c r="C676" s="448"/>
      <c r="D676" s="448"/>
      <c r="E676" s="448"/>
      <c r="F676" s="448"/>
      <c r="G676" s="448"/>
      <c r="H676" s="448"/>
    </row>
    <row r="677" ht="14.25" customHeight="1">
      <c r="A677" s="448"/>
      <c r="B677" s="448"/>
      <c r="C677" s="448"/>
      <c r="D677" s="448"/>
      <c r="E677" s="448"/>
      <c r="F677" s="448"/>
      <c r="G677" s="448"/>
      <c r="H677" s="448"/>
    </row>
    <row r="678" ht="14.25" customHeight="1">
      <c r="A678" s="448"/>
      <c r="B678" s="448"/>
      <c r="C678" s="448"/>
      <c r="D678" s="448"/>
      <c r="E678" s="448"/>
      <c r="F678" s="448"/>
      <c r="G678" s="448"/>
      <c r="H678" s="448"/>
    </row>
    <row r="679" ht="14.25" customHeight="1">
      <c r="A679" s="448"/>
      <c r="B679" s="448"/>
      <c r="C679" s="448"/>
      <c r="D679" s="448"/>
      <c r="E679" s="448"/>
      <c r="F679" s="448"/>
      <c r="G679" s="448"/>
      <c r="H679" s="448"/>
    </row>
    <row r="680" ht="14.25" customHeight="1">
      <c r="A680" s="448"/>
      <c r="B680" s="448"/>
      <c r="C680" s="448"/>
      <c r="D680" s="448"/>
      <c r="E680" s="448"/>
      <c r="F680" s="448"/>
      <c r="G680" s="448"/>
      <c r="H680" s="448"/>
    </row>
    <row r="681" ht="14.25" customHeight="1">
      <c r="A681" s="448"/>
      <c r="B681" s="448"/>
      <c r="C681" s="448"/>
      <c r="D681" s="448"/>
      <c r="E681" s="448"/>
      <c r="F681" s="448"/>
      <c r="G681" s="448"/>
      <c r="H681" s="448"/>
    </row>
    <row r="682" ht="14.25" customHeight="1">
      <c r="A682" s="448"/>
      <c r="B682" s="448"/>
      <c r="C682" s="448"/>
      <c r="D682" s="448"/>
      <c r="E682" s="448"/>
      <c r="F682" s="448"/>
      <c r="G682" s="448"/>
      <c r="H682" s="448"/>
    </row>
    <row r="683" ht="14.25" customHeight="1">
      <c r="A683" s="448"/>
      <c r="B683" s="448"/>
      <c r="C683" s="448"/>
      <c r="D683" s="448"/>
      <c r="E683" s="448"/>
      <c r="F683" s="448"/>
      <c r="G683" s="448"/>
      <c r="H683" s="448"/>
    </row>
    <row r="684" ht="14.25" customHeight="1">
      <c r="A684" s="448"/>
      <c r="B684" s="448"/>
      <c r="C684" s="448"/>
      <c r="D684" s="448"/>
      <c r="E684" s="448"/>
      <c r="F684" s="448"/>
      <c r="G684" s="448"/>
      <c r="H684" s="448"/>
    </row>
    <row r="685" ht="14.25" customHeight="1">
      <c r="A685" s="448"/>
      <c r="B685" s="448"/>
      <c r="C685" s="448"/>
      <c r="D685" s="448"/>
      <c r="E685" s="448"/>
      <c r="F685" s="448"/>
      <c r="G685" s="448"/>
      <c r="H685" s="448"/>
    </row>
    <row r="686" ht="14.25" customHeight="1">
      <c r="A686" s="448"/>
      <c r="B686" s="448"/>
      <c r="C686" s="448"/>
      <c r="D686" s="448"/>
      <c r="E686" s="448"/>
      <c r="F686" s="448"/>
      <c r="G686" s="448"/>
      <c r="H686" s="448"/>
    </row>
    <row r="687" ht="14.25" customHeight="1">
      <c r="A687" s="448"/>
      <c r="B687" s="448"/>
      <c r="C687" s="448"/>
      <c r="D687" s="448"/>
      <c r="E687" s="448"/>
      <c r="F687" s="448"/>
      <c r="G687" s="448"/>
      <c r="H687" s="448"/>
    </row>
    <row r="688" ht="14.25" customHeight="1">
      <c r="A688" s="448"/>
      <c r="B688" s="448"/>
      <c r="C688" s="448"/>
      <c r="D688" s="448"/>
      <c r="E688" s="448"/>
      <c r="F688" s="448"/>
      <c r="G688" s="448"/>
      <c r="H688" s="448"/>
    </row>
    <row r="689" ht="14.25" customHeight="1">
      <c r="A689" s="448"/>
      <c r="B689" s="448"/>
      <c r="C689" s="448"/>
      <c r="D689" s="448"/>
      <c r="E689" s="448"/>
      <c r="F689" s="448"/>
      <c r="G689" s="448"/>
      <c r="H689" s="448"/>
    </row>
    <row r="690" ht="14.25" customHeight="1">
      <c r="A690" s="448"/>
      <c r="B690" s="448"/>
      <c r="C690" s="448"/>
      <c r="D690" s="448"/>
      <c r="E690" s="448"/>
      <c r="F690" s="448"/>
      <c r="G690" s="448"/>
      <c r="H690" s="448"/>
    </row>
    <row r="691" ht="14.25" customHeight="1">
      <c r="A691" s="448"/>
      <c r="B691" s="448"/>
      <c r="C691" s="448"/>
      <c r="D691" s="448"/>
      <c r="E691" s="448"/>
      <c r="F691" s="448"/>
      <c r="G691" s="448"/>
      <c r="H691" s="448"/>
    </row>
    <row r="692" ht="14.25" customHeight="1">
      <c r="A692" s="448"/>
      <c r="B692" s="448"/>
      <c r="C692" s="448"/>
      <c r="D692" s="448"/>
      <c r="E692" s="448"/>
      <c r="F692" s="448"/>
      <c r="G692" s="448"/>
      <c r="H692" s="448"/>
    </row>
    <row r="693" ht="14.25" customHeight="1">
      <c r="A693" s="448"/>
      <c r="B693" s="448"/>
      <c r="C693" s="448"/>
      <c r="D693" s="448"/>
      <c r="E693" s="448"/>
      <c r="F693" s="448"/>
      <c r="G693" s="448"/>
      <c r="H693" s="448"/>
    </row>
    <row r="694" ht="14.25" customHeight="1">
      <c r="A694" s="448"/>
      <c r="B694" s="448"/>
      <c r="C694" s="448"/>
      <c r="D694" s="448"/>
      <c r="E694" s="448"/>
      <c r="F694" s="448"/>
      <c r="G694" s="448"/>
      <c r="H694" s="448"/>
    </row>
    <row r="695" ht="14.25" customHeight="1">
      <c r="A695" s="448"/>
      <c r="B695" s="448"/>
      <c r="C695" s="448"/>
      <c r="D695" s="448"/>
      <c r="E695" s="448"/>
      <c r="F695" s="448"/>
      <c r="G695" s="448"/>
      <c r="H695" s="448"/>
    </row>
    <row r="696" ht="14.25" customHeight="1">
      <c r="A696" s="448"/>
      <c r="B696" s="448"/>
      <c r="C696" s="448"/>
      <c r="D696" s="448"/>
      <c r="E696" s="448"/>
      <c r="F696" s="448"/>
      <c r="G696" s="448"/>
      <c r="H696" s="448"/>
    </row>
    <row r="697" ht="14.25" customHeight="1">
      <c r="A697" s="448"/>
      <c r="B697" s="448"/>
      <c r="C697" s="448"/>
      <c r="D697" s="448"/>
      <c r="E697" s="448"/>
      <c r="F697" s="448"/>
      <c r="G697" s="448"/>
      <c r="H697" s="448"/>
    </row>
    <row r="698" ht="14.25" customHeight="1">
      <c r="A698" s="448"/>
      <c r="B698" s="448"/>
      <c r="C698" s="448"/>
      <c r="D698" s="448"/>
      <c r="E698" s="448"/>
      <c r="F698" s="448"/>
      <c r="G698" s="448"/>
      <c r="H698" s="448"/>
    </row>
    <row r="699" ht="14.25" customHeight="1">
      <c r="A699" s="448"/>
      <c r="B699" s="448"/>
      <c r="C699" s="448"/>
      <c r="D699" s="448"/>
      <c r="E699" s="448"/>
      <c r="F699" s="448"/>
      <c r="G699" s="448"/>
      <c r="H699" s="448"/>
    </row>
    <row r="700" ht="14.25" customHeight="1">
      <c r="A700" s="448"/>
      <c r="B700" s="448"/>
      <c r="C700" s="448"/>
      <c r="D700" s="448"/>
      <c r="E700" s="448"/>
      <c r="F700" s="448"/>
      <c r="G700" s="448"/>
      <c r="H700" s="448"/>
    </row>
    <row r="701" ht="14.25" customHeight="1">
      <c r="A701" s="448"/>
      <c r="B701" s="448"/>
      <c r="C701" s="448"/>
      <c r="D701" s="448"/>
      <c r="E701" s="448"/>
      <c r="F701" s="448"/>
      <c r="G701" s="448"/>
      <c r="H701" s="448"/>
    </row>
    <row r="702" ht="14.25" customHeight="1">
      <c r="A702" s="448"/>
      <c r="B702" s="448"/>
      <c r="C702" s="448"/>
      <c r="D702" s="448"/>
      <c r="E702" s="448"/>
      <c r="F702" s="448"/>
      <c r="G702" s="448"/>
      <c r="H702" s="448"/>
    </row>
    <row r="703" ht="14.25" customHeight="1">
      <c r="A703" s="448"/>
      <c r="B703" s="448"/>
      <c r="C703" s="448"/>
      <c r="D703" s="448"/>
      <c r="E703" s="448"/>
      <c r="F703" s="448"/>
      <c r="G703" s="448"/>
      <c r="H703" s="448"/>
    </row>
    <row r="704" ht="14.25" customHeight="1">
      <c r="A704" s="448"/>
      <c r="B704" s="448"/>
      <c r="C704" s="448"/>
      <c r="D704" s="448"/>
      <c r="E704" s="448"/>
      <c r="F704" s="448"/>
      <c r="G704" s="448"/>
      <c r="H704" s="448"/>
    </row>
    <row r="705" ht="14.25" customHeight="1">
      <c r="A705" s="448"/>
      <c r="B705" s="448"/>
      <c r="C705" s="448"/>
      <c r="D705" s="448"/>
      <c r="E705" s="448"/>
      <c r="F705" s="448"/>
      <c r="G705" s="448"/>
      <c r="H705" s="448"/>
    </row>
    <row r="706" ht="14.25" customHeight="1">
      <c r="A706" s="448"/>
      <c r="B706" s="448"/>
      <c r="C706" s="448"/>
      <c r="D706" s="448"/>
      <c r="E706" s="448"/>
      <c r="F706" s="448"/>
      <c r="G706" s="448"/>
      <c r="H706" s="448"/>
    </row>
    <row r="707" ht="14.25" customHeight="1">
      <c r="A707" s="448"/>
      <c r="B707" s="448"/>
      <c r="C707" s="448"/>
      <c r="D707" s="448"/>
      <c r="E707" s="448"/>
      <c r="F707" s="448"/>
      <c r="G707" s="448"/>
      <c r="H707" s="448"/>
    </row>
    <row r="708" ht="14.25" customHeight="1">
      <c r="A708" s="448"/>
      <c r="B708" s="448"/>
      <c r="C708" s="448"/>
      <c r="D708" s="448"/>
      <c r="E708" s="448"/>
      <c r="F708" s="448"/>
      <c r="G708" s="448"/>
      <c r="H708" s="448"/>
    </row>
    <row r="709" ht="14.25" customHeight="1">
      <c r="A709" s="448"/>
      <c r="B709" s="448"/>
      <c r="C709" s="448"/>
      <c r="D709" s="448"/>
      <c r="E709" s="448"/>
      <c r="F709" s="448"/>
      <c r="G709" s="448"/>
      <c r="H709" s="448"/>
    </row>
    <row r="710" ht="14.25" customHeight="1">
      <c r="A710" s="448"/>
      <c r="B710" s="448"/>
      <c r="C710" s="448"/>
      <c r="D710" s="448"/>
      <c r="E710" s="448"/>
      <c r="F710" s="448"/>
      <c r="G710" s="448"/>
      <c r="H710" s="448"/>
    </row>
    <row r="711" ht="14.25" customHeight="1">
      <c r="A711" s="448"/>
      <c r="B711" s="448"/>
      <c r="C711" s="448"/>
      <c r="D711" s="448"/>
      <c r="E711" s="448"/>
      <c r="F711" s="448"/>
      <c r="G711" s="448"/>
      <c r="H711" s="448"/>
    </row>
    <row r="712" ht="14.25" customHeight="1">
      <c r="A712" s="448"/>
      <c r="B712" s="448"/>
      <c r="C712" s="448"/>
      <c r="D712" s="448"/>
      <c r="E712" s="448"/>
      <c r="F712" s="448"/>
      <c r="G712" s="448"/>
      <c r="H712" s="448"/>
    </row>
    <row r="713" ht="14.25" customHeight="1">
      <c r="A713" s="448"/>
      <c r="B713" s="448"/>
      <c r="C713" s="448"/>
      <c r="D713" s="448"/>
      <c r="E713" s="448"/>
      <c r="F713" s="448"/>
      <c r="G713" s="448"/>
      <c r="H713" s="448"/>
    </row>
    <row r="714" ht="14.25" customHeight="1">
      <c r="A714" s="448"/>
      <c r="B714" s="448"/>
      <c r="C714" s="448"/>
      <c r="D714" s="448"/>
      <c r="E714" s="448"/>
      <c r="F714" s="448"/>
      <c r="G714" s="448"/>
      <c r="H714" s="448"/>
    </row>
    <row r="715" ht="14.25" customHeight="1">
      <c r="A715" s="448"/>
      <c r="B715" s="448"/>
      <c r="C715" s="448"/>
      <c r="D715" s="448"/>
      <c r="E715" s="448"/>
      <c r="F715" s="448"/>
      <c r="G715" s="448"/>
      <c r="H715" s="448"/>
    </row>
    <row r="716" ht="14.25" customHeight="1">
      <c r="A716" s="448"/>
      <c r="B716" s="448"/>
      <c r="C716" s="448"/>
      <c r="D716" s="448"/>
      <c r="E716" s="448"/>
      <c r="F716" s="448"/>
      <c r="G716" s="448"/>
      <c r="H716" s="448"/>
    </row>
    <row r="717" ht="14.25" customHeight="1">
      <c r="A717" s="448"/>
      <c r="B717" s="448"/>
      <c r="C717" s="448"/>
      <c r="D717" s="448"/>
      <c r="E717" s="448"/>
      <c r="F717" s="448"/>
      <c r="G717" s="448"/>
      <c r="H717" s="448"/>
    </row>
    <row r="718" ht="14.25" customHeight="1">
      <c r="A718" s="448"/>
      <c r="B718" s="448"/>
      <c r="C718" s="448"/>
      <c r="D718" s="448"/>
      <c r="E718" s="448"/>
      <c r="F718" s="448"/>
      <c r="G718" s="448"/>
      <c r="H718" s="448"/>
    </row>
    <row r="719" ht="14.25" customHeight="1">
      <c r="A719" s="448"/>
      <c r="B719" s="448"/>
      <c r="C719" s="448"/>
      <c r="D719" s="448"/>
      <c r="E719" s="448"/>
      <c r="F719" s="448"/>
      <c r="G719" s="448"/>
      <c r="H719" s="448"/>
    </row>
    <row r="720" ht="14.25" customHeight="1">
      <c r="A720" s="448"/>
      <c r="B720" s="448"/>
      <c r="C720" s="448"/>
      <c r="D720" s="448"/>
      <c r="E720" s="448"/>
      <c r="F720" s="448"/>
      <c r="G720" s="448"/>
      <c r="H720" s="448"/>
    </row>
    <row r="721" ht="14.25" customHeight="1">
      <c r="A721" s="448"/>
      <c r="B721" s="448"/>
      <c r="C721" s="448"/>
      <c r="D721" s="448"/>
      <c r="E721" s="448"/>
      <c r="F721" s="448"/>
      <c r="G721" s="448"/>
      <c r="H721" s="448"/>
    </row>
    <row r="722" ht="14.25" customHeight="1">
      <c r="A722" s="448"/>
      <c r="B722" s="448"/>
      <c r="C722" s="448"/>
      <c r="D722" s="448"/>
      <c r="E722" s="448"/>
      <c r="F722" s="448"/>
      <c r="G722" s="448"/>
      <c r="H722" s="448"/>
    </row>
    <row r="723" ht="14.25" customHeight="1">
      <c r="A723" s="448"/>
      <c r="B723" s="448"/>
      <c r="C723" s="448"/>
      <c r="D723" s="448"/>
      <c r="E723" s="448"/>
      <c r="F723" s="448"/>
      <c r="G723" s="448"/>
      <c r="H723" s="448"/>
    </row>
    <row r="724" ht="14.25" customHeight="1">
      <c r="A724" s="448"/>
      <c r="B724" s="448"/>
      <c r="C724" s="448"/>
      <c r="D724" s="448"/>
      <c r="E724" s="448"/>
      <c r="F724" s="448"/>
      <c r="G724" s="448"/>
      <c r="H724" s="448"/>
    </row>
    <row r="725" ht="14.25" customHeight="1">
      <c r="A725" s="448"/>
      <c r="B725" s="448"/>
      <c r="C725" s="448"/>
      <c r="D725" s="448"/>
      <c r="E725" s="448"/>
      <c r="F725" s="448"/>
      <c r="G725" s="448"/>
      <c r="H725" s="448"/>
    </row>
    <row r="726" ht="14.25" customHeight="1">
      <c r="A726" s="448"/>
      <c r="B726" s="448"/>
      <c r="C726" s="448"/>
      <c r="D726" s="448"/>
      <c r="E726" s="448"/>
      <c r="F726" s="448"/>
      <c r="G726" s="448"/>
      <c r="H726" s="448"/>
    </row>
    <row r="727" ht="14.25" customHeight="1">
      <c r="A727" s="448"/>
      <c r="B727" s="448"/>
      <c r="C727" s="448"/>
      <c r="D727" s="448"/>
      <c r="E727" s="448"/>
      <c r="F727" s="448"/>
      <c r="G727" s="448"/>
      <c r="H727" s="448"/>
    </row>
    <row r="728" ht="14.25" customHeight="1">
      <c r="A728" s="448"/>
      <c r="B728" s="448"/>
      <c r="C728" s="448"/>
      <c r="D728" s="448"/>
      <c r="E728" s="448"/>
      <c r="F728" s="448"/>
      <c r="G728" s="448"/>
      <c r="H728" s="448"/>
    </row>
    <row r="729" ht="14.25" customHeight="1">
      <c r="A729" s="448"/>
      <c r="B729" s="448"/>
      <c r="C729" s="448"/>
      <c r="D729" s="448"/>
      <c r="E729" s="448"/>
      <c r="F729" s="448"/>
      <c r="G729" s="448"/>
      <c r="H729" s="448"/>
    </row>
    <row r="730" ht="14.25" customHeight="1">
      <c r="A730" s="448"/>
      <c r="B730" s="448"/>
      <c r="C730" s="448"/>
      <c r="D730" s="448"/>
      <c r="E730" s="448"/>
      <c r="F730" s="448"/>
      <c r="G730" s="448"/>
      <c r="H730" s="448"/>
    </row>
    <row r="731" ht="14.25" customHeight="1">
      <c r="A731" s="448"/>
      <c r="B731" s="448"/>
      <c r="C731" s="448"/>
      <c r="D731" s="448"/>
      <c r="E731" s="448"/>
      <c r="F731" s="448"/>
      <c r="G731" s="448"/>
      <c r="H731" s="448"/>
    </row>
    <row r="732" ht="14.25" customHeight="1">
      <c r="A732" s="448"/>
      <c r="B732" s="448"/>
      <c r="C732" s="448"/>
      <c r="D732" s="448"/>
      <c r="E732" s="448"/>
      <c r="F732" s="448"/>
      <c r="G732" s="448"/>
      <c r="H732" s="448"/>
    </row>
    <row r="733" ht="14.25" customHeight="1">
      <c r="A733" s="448"/>
      <c r="B733" s="448"/>
      <c r="C733" s="448"/>
      <c r="D733" s="448"/>
      <c r="E733" s="448"/>
      <c r="F733" s="448"/>
      <c r="G733" s="448"/>
      <c r="H733" s="448"/>
    </row>
    <row r="734" ht="14.25" customHeight="1">
      <c r="A734" s="448"/>
      <c r="B734" s="448"/>
      <c r="C734" s="448"/>
      <c r="D734" s="448"/>
      <c r="E734" s="448"/>
      <c r="F734" s="448"/>
      <c r="G734" s="448"/>
      <c r="H734" s="448"/>
    </row>
    <row r="735" ht="14.25" customHeight="1">
      <c r="A735" s="448"/>
      <c r="B735" s="448"/>
      <c r="C735" s="448"/>
      <c r="D735" s="448"/>
      <c r="E735" s="448"/>
      <c r="F735" s="448"/>
      <c r="G735" s="448"/>
      <c r="H735" s="448"/>
    </row>
    <row r="736" ht="14.25" customHeight="1">
      <c r="A736" s="448"/>
      <c r="B736" s="448"/>
      <c r="C736" s="448"/>
      <c r="D736" s="448"/>
      <c r="E736" s="448"/>
      <c r="F736" s="448"/>
      <c r="G736" s="448"/>
      <c r="H736" s="448"/>
    </row>
    <row r="737" ht="14.25" customHeight="1">
      <c r="A737" s="448"/>
      <c r="B737" s="448"/>
      <c r="C737" s="448"/>
      <c r="D737" s="448"/>
      <c r="E737" s="448"/>
      <c r="F737" s="448"/>
      <c r="G737" s="448"/>
      <c r="H737" s="448"/>
    </row>
    <row r="738" ht="14.25" customHeight="1">
      <c r="A738" s="448"/>
      <c r="B738" s="448"/>
      <c r="C738" s="448"/>
      <c r="D738" s="448"/>
      <c r="E738" s="448"/>
      <c r="F738" s="448"/>
      <c r="G738" s="448"/>
      <c r="H738" s="448"/>
    </row>
    <row r="739" ht="14.25" customHeight="1">
      <c r="A739" s="448"/>
      <c r="B739" s="448"/>
      <c r="C739" s="448"/>
      <c r="D739" s="448"/>
      <c r="E739" s="448"/>
      <c r="F739" s="448"/>
      <c r="G739" s="448"/>
      <c r="H739" s="448"/>
    </row>
    <row r="740" ht="14.25" customHeight="1">
      <c r="A740" s="448"/>
      <c r="B740" s="448"/>
      <c r="C740" s="448"/>
      <c r="D740" s="448"/>
      <c r="E740" s="448"/>
      <c r="F740" s="448"/>
      <c r="G740" s="448"/>
      <c r="H740" s="448"/>
    </row>
    <row r="741" ht="14.25" customHeight="1">
      <c r="A741" s="448"/>
      <c r="B741" s="448"/>
      <c r="C741" s="448"/>
      <c r="D741" s="448"/>
      <c r="E741" s="448"/>
      <c r="F741" s="448"/>
      <c r="G741" s="448"/>
      <c r="H741" s="448"/>
    </row>
    <row r="742" ht="14.25" customHeight="1">
      <c r="A742" s="448"/>
      <c r="B742" s="448"/>
      <c r="C742" s="448"/>
      <c r="D742" s="448"/>
      <c r="E742" s="448"/>
      <c r="F742" s="448"/>
      <c r="G742" s="448"/>
      <c r="H742" s="448"/>
    </row>
    <row r="743" ht="14.25" customHeight="1">
      <c r="A743" s="448"/>
      <c r="B743" s="448"/>
      <c r="C743" s="448"/>
      <c r="D743" s="448"/>
      <c r="E743" s="448"/>
      <c r="F743" s="448"/>
      <c r="G743" s="448"/>
      <c r="H743" s="448"/>
    </row>
    <row r="744" ht="14.25" customHeight="1">
      <c r="A744" s="448"/>
      <c r="B744" s="448"/>
      <c r="C744" s="448"/>
      <c r="D744" s="448"/>
      <c r="E744" s="448"/>
      <c r="F744" s="448"/>
      <c r="G744" s="448"/>
      <c r="H744" s="448"/>
    </row>
    <row r="745" ht="14.25" customHeight="1">
      <c r="A745" s="448"/>
      <c r="B745" s="448"/>
      <c r="C745" s="448"/>
      <c r="D745" s="448"/>
      <c r="E745" s="448"/>
      <c r="F745" s="448"/>
      <c r="G745" s="448"/>
      <c r="H745" s="448"/>
    </row>
    <row r="746" ht="14.25" customHeight="1">
      <c r="A746" s="448"/>
      <c r="B746" s="448"/>
      <c r="C746" s="448"/>
      <c r="D746" s="448"/>
      <c r="E746" s="448"/>
      <c r="F746" s="448"/>
      <c r="G746" s="448"/>
      <c r="H746" s="448"/>
    </row>
    <row r="747" ht="14.25" customHeight="1">
      <c r="A747" s="448"/>
      <c r="B747" s="448"/>
      <c r="C747" s="448"/>
      <c r="D747" s="448"/>
      <c r="E747" s="448"/>
      <c r="F747" s="448"/>
      <c r="G747" s="448"/>
      <c r="H747" s="448"/>
    </row>
    <row r="748" ht="14.25" customHeight="1">
      <c r="A748" s="448"/>
      <c r="B748" s="448"/>
      <c r="C748" s="448"/>
      <c r="D748" s="448"/>
      <c r="E748" s="448"/>
      <c r="F748" s="448"/>
      <c r="G748" s="448"/>
      <c r="H748" s="448"/>
    </row>
    <row r="749" ht="14.25" customHeight="1">
      <c r="A749" s="448"/>
      <c r="B749" s="448"/>
      <c r="C749" s="448"/>
      <c r="D749" s="448"/>
      <c r="E749" s="448"/>
      <c r="F749" s="448"/>
      <c r="G749" s="448"/>
      <c r="H749" s="448"/>
    </row>
    <row r="750" ht="14.25" customHeight="1">
      <c r="A750" s="448"/>
      <c r="B750" s="448"/>
      <c r="C750" s="448"/>
      <c r="D750" s="448"/>
      <c r="E750" s="448"/>
      <c r="F750" s="448"/>
      <c r="G750" s="448"/>
      <c r="H750" s="448"/>
    </row>
    <row r="751" ht="14.25" customHeight="1">
      <c r="A751" s="448"/>
      <c r="B751" s="448"/>
      <c r="C751" s="448"/>
      <c r="D751" s="448"/>
      <c r="E751" s="448"/>
      <c r="F751" s="448"/>
      <c r="G751" s="448"/>
      <c r="H751" s="448"/>
    </row>
    <row r="752" ht="14.25" customHeight="1">
      <c r="A752" s="448"/>
      <c r="B752" s="448"/>
      <c r="C752" s="448"/>
      <c r="D752" s="448"/>
      <c r="E752" s="448"/>
      <c r="F752" s="448"/>
      <c r="G752" s="448"/>
      <c r="H752" s="448"/>
    </row>
    <row r="753" ht="14.25" customHeight="1">
      <c r="A753" s="448"/>
      <c r="B753" s="448"/>
      <c r="C753" s="448"/>
      <c r="D753" s="448"/>
      <c r="E753" s="448"/>
      <c r="F753" s="448"/>
      <c r="G753" s="448"/>
      <c r="H753" s="448"/>
    </row>
    <row r="754" ht="14.25" customHeight="1">
      <c r="A754" s="448"/>
      <c r="B754" s="448"/>
      <c r="C754" s="448"/>
      <c r="D754" s="448"/>
      <c r="E754" s="448"/>
      <c r="F754" s="448"/>
      <c r="G754" s="448"/>
      <c r="H754" s="448"/>
    </row>
    <row r="755" ht="14.25" customHeight="1">
      <c r="A755" s="448"/>
      <c r="B755" s="448"/>
      <c r="C755" s="448"/>
      <c r="D755" s="448"/>
      <c r="E755" s="448"/>
      <c r="F755" s="448"/>
      <c r="G755" s="448"/>
      <c r="H755" s="448"/>
    </row>
    <row r="756" ht="14.25" customHeight="1">
      <c r="A756" s="448"/>
      <c r="B756" s="448"/>
      <c r="C756" s="448"/>
      <c r="D756" s="448"/>
      <c r="E756" s="448"/>
      <c r="F756" s="448"/>
      <c r="G756" s="448"/>
      <c r="H756" s="448"/>
    </row>
    <row r="757" ht="14.25" customHeight="1">
      <c r="A757" s="448"/>
      <c r="B757" s="448"/>
      <c r="C757" s="448"/>
      <c r="D757" s="448"/>
      <c r="E757" s="448"/>
      <c r="F757" s="448"/>
      <c r="G757" s="448"/>
      <c r="H757" s="448"/>
    </row>
    <row r="758" ht="14.25" customHeight="1">
      <c r="A758" s="448"/>
      <c r="B758" s="448"/>
      <c r="C758" s="448"/>
      <c r="D758" s="448"/>
      <c r="E758" s="448"/>
      <c r="F758" s="448"/>
      <c r="G758" s="448"/>
      <c r="H758" s="448"/>
    </row>
    <row r="759" ht="14.25" customHeight="1">
      <c r="A759" s="448"/>
      <c r="B759" s="448"/>
      <c r="C759" s="448"/>
      <c r="D759" s="448"/>
      <c r="E759" s="448"/>
      <c r="F759" s="448"/>
      <c r="G759" s="448"/>
      <c r="H759" s="448"/>
    </row>
    <row r="760" ht="14.25" customHeight="1">
      <c r="A760" s="448"/>
      <c r="B760" s="448"/>
      <c r="C760" s="448"/>
      <c r="D760" s="448"/>
      <c r="E760" s="448"/>
      <c r="F760" s="448"/>
      <c r="G760" s="448"/>
      <c r="H760" s="448"/>
    </row>
    <row r="761" ht="14.25" customHeight="1">
      <c r="A761" s="448"/>
      <c r="B761" s="448"/>
      <c r="C761" s="448"/>
      <c r="D761" s="448"/>
      <c r="E761" s="448"/>
      <c r="F761" s="448"/>
      <c r="G761" s="448"/>
      <c r="H761" s="448"/>
    </row>
    <row r="762" ht="14.25" customHeight="1">
      <c r="A762" s="448"/>
      <c r="B762" s="448"/>
      <c r="C762" s="448"/>
      <c r="D762" s="448"/>
      <c r="E762" s="448"/>
      <c r="F762" s="448"/>
      <c r="G762" s="448"/>
      <c r="H762" s="448"/>
    </row>
    <row r="763" ht="14.25" customHeight="1">
      <c r="A763" s="448"/>
      <c r="B763" s="448"/>
      <c r="C763" s="448"/>
      <c r="D763" s="448"/>
      <c r="E763" s="448"/>
      <c r="F763" s="448"/>
      <c r="G763" s="448"/>
      <c r="H763" s="448"/>
    </row>
    <row r="764" ht="14.25" customHeight="1">
      <c r="A764" s="448"/>
      <c r="B764" s="448"/>
      <c r="C764" s="448"/>
      <c r="D764" s="448"/>
      <c r="E764" s="448"/>
      <c r="F764" s="448"/>
      <c r="G764" s="448"/>
      <c r="H764" s="448"/>
    </row>
    <row r="765" ht="14.25" customHeight="1">
      <c r="A765" s="448"/>
      <c r="B765" s="448"/>
      <c r="C765" s="448"/>
      <c r="D765" s="448"/>
      <c r="E765" s="448"/>
      <c r="F765" s="448"/>
      <c r="G765" s="448"/>
      <c r="H765" s="448"/>
    </row>
    <row r="766" ht="14.25" customHeight="1">
      <c r="A766" s="448"/>
      <c r="B766" s="448"/>
      <c r="C766" s="448"/>
      <c r="D766" s="448"/>
      <c r="E766" s="448"/>
      <c r="F766" s="448"/>
      <c r="G766" s="448"/>
      <c r="H766" s="448"/>
    </row>
    <row r="767" ht="14.25" customHeight="1">
      <c r="A767" s="448"/>
      <c r="B767" s="448"/>
      <c r="C767" s="448"/>
      <c r="D767" s="448"/>
      <c r="E767" s="448"/>
      <c r="F767" s="448"/>
      <c r="G767" s="448"/>
      <c r="H767" s="448"/>
    </row>
    <row r="768" ht="14.25" customHeight="1">
      <c r="A768" s="448"/>
      <c r="B768" s="448"/>
      <c r="C768" s="448"/>
      <c r="D768" s="448"/>
      <c r="E768" s="448"/>
      <c r="F768" s="448"/>
      <c r="G768" s="448"/>
      <c r="H768" s="448"/>
    </row>
    <row r="769" ht="14.25" customHeight="1">
      <c r="A769" s="448"/>
      <c r="B769" s="448"/>
      <c r="C769" s="448"/>
      <c r="D769" s="448"/>
      <c r="E769" s="448"/>
      <c r="F769" s="448"/>
      <c r="G769" s="448"/>
      <c r="H769" s="448"/>
    </row>
    <row r="770" ht="14.25" customHeight="1">
      <c r="A770" s="448"/>
      <c r="B770" s="448"/>
      <c r="C770" s="448"/>
      <c r="D770" s="448"/>
      <c r="E770" s="448"/>
      <c r="F770" s="448"/>
      <c r="G770" s="448"/>
      <c r="H770" s="448"/>
    </row>
    <row r="771" ht="14.25" customHeight="1">
      <c r="A771" s="448"/>
      <c r="B771" s="448"/>
      <c r="C771" s="448"/>
      <c r="D771" s="448"/>
      <c r="E771" s="448"/>
      <c r="F771" s="448"/>
      <c r="G771" s="448"/>
      <c r="H771" s="448"/>
    </row>
    <row r="772" ht="14.25" customHeight="1">
      <c r="A772" s="448"/>
      <c r="B772" s="448"/>
      <c r="C772" s="448"/>
      <c r="D772" s="448"/>
      <c r="E772" s="448"/>
      <c r="F772" s="448"/>
      <c r="G772" s="448"/>
      <c r="H772" s="448"/>
    </row>
    <row r="773" ht="14.25" customHeight="1">
      <c r="A773" s="448"/>
      <c r="B773" s="448"/>
      <c r="C773" s="448"/>
      <c r="D773" s="448"/>
      <c r="E773" s="448"/>
      <c r="F773" s="448"/>
      <c r="G773" s="448"/>
      <c r="H773" s="448"/>
    </row>
    <row r="774" ht="14.25" customHeight="1">
      <c r="A774" s="448"/>
      <c r="B774" s="448"/>
      <c r="C774" s="448"/>
      <c r="D774" s="448"/>
      <c r="E774" s="448"/>
      <c r="F774" s="448"/>
      <c r="G774" s="448"/>
      <c r="H774" s="448"/>
    </row>
    <row r="775" ht="14.25" customHeight="1">
      <c r="A775" s="448"/>
      <c r="B775" s="448"/>
      <c r="C775" s="448"/>
      <c r="D775" s="448"/>
      <c r="E775" s="448"/>
      <c r="F775" s="448"/>
      <c r="G775" s="448"/>
      <c r="H775" s="448"/>
    </row>
    <row r="776" ht="14.25" customHeight="1">
      <c r="A776" s="448"/>
      <c r="B776" s="448"/>
      <c r="C776" s="448"/>
      <c r="D776" s="448"/>
      <c r="E776" s="448"/>
      <c r="F776" s="448"/>
      <c r="G776" s="448"/>
      <c r="H776" s="448"/>
    </row>
    <row r="777" ht="14.25" customHeight="1">
      <c r="A777" s="448"/>
      <c r="B777" s="448"/>
      <c r="C777" s="448"/>
      <c r="D777" s="448"/>
      <c r="E777" s="448"/>
      <c r="F777" s="448"/>
      <c r="G777" s="448"/>
      <c r="H777" s="448"/>
    </row>
    <row r="778" ht="14.25" customHeight="1">
      <c r="A778" s="448"/>
      <c r="B778" s="448"/>
      <c r="C778" s="448"/>
      <c r="D778" s="448"/>
      <c r="E778" s="448"/>
      <c r="F778" s="448"/>
      <c r="G778" s="448"/>
      <c r="H778" s="448"/>
    </row>
    <row r="779" ht="14.25" customHeight="1">
      <c r="A779" s="448"/>
      <c r="B779" s="448"/>
      <c r="C779" s="448"/>
      <c r="D779" s="448"/>
      <c r="E779" s="448"/>
      <c r="F779" s="448"/>
      <c r="G779" s="448"/>
      <c r="H779" s="448"/>
    </row>
    <row r="780" ht="14.25" customHeight="1">
      <c r="A780" s="448"/>
      <c r="B780" s="448"/>
      <c r="C780" s="448"/>
      <c r="D780" s="448"/>
      <c r="E780" s="448"/>
      <c r="F780" s="448"/>
      <c r="G780" s="448"/>
      <c r="H780" s="448"/>
    </row>
    <row r="781" ht="14.25" customHeight="1">
      <c r="A781" s="448"/>
      <c r="B781" s="448"/>
      <c r="C781" s="448"/>
      <c r="D781" s="448"/>
      <c r="E781" s="448"/>
      <c r="F781" s="448"/>
      <c r="G781" s="448"/>
      <c r="H781" s="448"/>
    </row>
    <row r="782" ht="14.25" customHeight="1">
      <c r="A782" s="448"/>
      <c r="B782" s="448"/>
      <c r="C782" s="448"/>
      <c r="D782" s="448"/>
      <c r="E782" s="448"/>
      <c r="F782" s="448"/>
      <c r="G782" s="448"/>
      <c r="H782" s="448"/>
    </row>
    <row r="783" ht="14.25" customHeight="1">
      <c r="A783" s="448"/>
      <c r="B783" s="448"/>
      <c r="C783" s="448"/>
      <c r="D783" s="448"/>
      <c r="E783" s="448"/>
      <c r="F783" s="448"/>
      <c r="G783" s="448"/>
      <c r="H783" s="448"/>
    </row>
    <row r="784" ht="14.25" customHeight="1">
      <c r="A784" s="448"/>
      <c r="B784" s="448"/>
      <c r="C784" s="448"/>
      <c r="D784" s="448"/>
      <c r="E784" s="448"/>
      <c r="F784" s="448"/>
      <c r="G784" s="448"/>
      <c r="H784" s="448"/>
    </row>
    <row r="785" ht="14.25" customHeight="1">
      <c r="A785" s="448"/>
      <c r="B785" s="448"/>
      <c r="C785" s="448"/>
      <c r="D785" s="448"/>
      <c r="E785" s="448"/>
      <c r="F785" s="448"/>
      <c r="G785" s="448"/>
      <c r="H785" s="448"/>
    </row>
    <row r="786" ht="14.25" customHeight="1">
      <c r="A786" s="448"/>
      <c r="B786" s="448"/>
      <c r="C786" s="448"/>
      <c r="D786" s="448"/>
      <c r="E786" s="448"/>
      <c r="F786" s="448"/>
      <c r="G786" s="448"/>
      <c r="H786" s="448"/>
    </row>
    <row r="787" ht="14.25" customHeight="1">
      <c r="A787" s="448"/>
      <c r="B787" s="448"/>
      <c r="C787" s="448"/>
      <c r="D787" s="448"/>
      <c r="E787" s="448"/>
      <c r="F787" s="448"/>
      <c r="G787" s="448"/>
      <c r="H787" s="448"/>
    </row>
    <row r="788" ht="14.25" customHeight="1">
      <c r="A788" s="448"/>
      <c r="B788" s="448"/>
      <c r="C788" s="448"/>
      <c r="D788" s="448"/>
      <c r="E788" s="448"/>
      <c r="F788" s="448"/>
      <c r="G788" s="448"/>
      <c r="H788" s="448"/>
    </row>
    <row r="789" ht="14.25" customHeight="1">
      <c r="A789" s="448"/>
      <c r="B789" s="448"/>
      <c r="C789" s="448"/>
      <c r="D789" s="448"/>
      <c r="E789" s="448"/>
      <c r="F789" s="448"/>
      <c r="G789" s="448"/>
      <c r="H789" s="448"/>
    </row>
    <row r="790" ht="14.25" customHeight="1">
      <c r="A790" s="448"/>
      <c r="B790" s="448"/>
      <c r="C790" s="448"/>
      <c r="D790" s="448"/>
      <c r="E790" s="448"/>
      <c r="F790" s="448"/>
      <c r="G790" s="448"/>
      <c r="H790" s="448"/>
    </row>
    <row r="791" ht="14.25" customHeight="1">
      <c r="A791" s="448"/>
      <c r="B791" s="448"/>
      <c r="C791" s="448"/>
      <c r="D791" s="448"/>
      <c r="E791" s="448"/>
      <c r="F791" s="448"/>
      <c r="G791" s="448"/>
      <c r="H791" s="448"/>
    </row>
    <row r="792" ht="14.25" customHeight="1">
      <c r="A792" s="448"/>
      <c r="B792" s="448"/>
      <c r="C792" s="448"/>
      <c r="D792" s="448"/>
      <c r="E792" s="448"/>
      <c r="F792" s="448"/>
      <c r="G792" s="448"/>
      <c r="H792" s="448"/>
    </row>
    <row r="793" ht="14.25" customHeight="1">
      <c r="A793" s="448"/>
      <c r="B793" s="448"/>
      <c r="C793" s="448"/>
      <c r="D793" s="448"/>
      <c r="E793" s="448"/>
      <c r="F793" s="448"/>
      <c r="G793" s="448"/>
      <c r="H793" s="448"/>
    </row>
    <row r="794" ht="14.25" customHeight="1">
      <c r="A794" s="448"/>
      <c r="B794" s="448"/>
      <c r="C794" s="448"/>
      <c r="D794" s="448"/>
      <c r="E794" s="448"/>
      <c r="F794" s="448"/>
      <c r="G794" s="448"/>
      <c r="H794" s="448"/>
    </row>
    <row r="795" ht="14.25" customHeight="1">
      <c r="A795" s="448"/>
      <c r="B795" s="448"/>
      <c r="C795" s="448"/>
      <c r="D795" s="448"/>
      <c r="E795" s="448"/>
      <c r="F795" s="448"/>
      <c r="G795" s="448"/>
      <c r="H795" s="448"/>
    </row>
    <row r="796" ht="14.25" customHeight="1">
      <c r="A796" s="448"/>
      <c r="B796" s="448"/>
      <c r="C796" s="448"/>
      <c r="D796" s="448"/>
      <c r="E796" s="448"/>
      <c r="F796" s="448"/>
      <c r="G796" s="448"/>
      <c r="H796" s="448"/>
    </row>
    <row r="797" ht="14.25" customHeight="1">
      <c r="A797" s="448"/>
      <c r="B797" s="448"/>
      <c r="C797" s="448"/>
      <c r="D797" s="448"/>
      <c r="E797" s="448"/>
      <c r="F797" s="448"/>
      <c r="G797" s="448"/>
      <c r="H797" s="448"/>
    </row>
    <row r="798" ht="14.25" customHeight="1">
      <c r="A798" s="448"/>
      <c r="B798" s="448"/>
      <c r="C798" s="448"/>
      <c r="D798" s="448"/>
      <c r="E798" s="448"/>
      <c r="F798" s="448"/>
      <c r="G798" s="448"/>
      <c r="H798" s="448"/>
    </row>
    <row r="799" ht="14.25" customHeight="1">
      <c r="A799" s="448"/>
      <c r="B799" s="448"/>
      <c r="C799" s="448"/>
      <c r="D799" s="448"/>
      <c r="E799" s="448"/>
      <c r="F799" s="448"/>
      <c r="G799" s="448"/>
      <c r="H799" s="448"/>
    </row>
    <row r="800" ht="14.25" customHeight="1">
      <c r="A800" s="448"/>
      <c r="B800" s="448"/>
      <c r="C800" s="448"/>
      <c r="D800" s="448"/>
      <c r="E800" s="448"/>
      <c r="F800" s="448"/>
      <c r="G800" s="448"/>
      <c r="H800" s="448"/>
    </row>
    <row r="801" ht="14.25" customHeight="1">
      <c r="A801" s="448"/>
      <c r="B801" s="448"/>
      <c r="C801" s="448"/>
      <c r="D801" s="448"/>
      <c r="E801" s="448"/>
      <c r="F801" s="448"/>
      <c r="G801" s="448"/>
      <c r="H801" s="448"/>
    </row>
    <row r="802" ht="14.25" customHeight="1">
      <c r="A802" s="448"/>
      <c r="B802" s="448"/>
      <c r="C802" s="448"/>
      <c r="D802" s="448"/>
      <c r="E802" s="448"/>
      <c r="F802" s="448"/>
      <c r="G802" s="448"/>
      <c r="H802" s="448"/>
    </row>
    <row r="803" ht="14.25" customHeight="1">
      <c r="A803" s="448"/>
      <c r="B803" s="448"/>
      <c r="C803" s="448"/>
      <c r="D803" s="448"/>
      <c r="E803" s="448"/>
      <c r="F803" s="448"/>
      <c r="G803" s="448"/>
      <c r="H803" s="448"/>
    </row>
    <row r="804" ht="14.25" customHeight="1">
      <c r="A804" s="448"/>
      <c r="B804" s="448"/>
      <c r="C804" s="448"/>
      <c r="D804" s="448"/>
      <c r="E804" s="448"/>
      <c r="F804" s="448"/>
      <c r="G804" s="448"/>
      <c r="H804" s="448"/>
    </row>
    <row r="805" ht="14.25" customHeight="1">
      <c r="A805" s="448"/>
      <c r="B805" s="448"/>
      <c r="C805" s="448"/>
      <c r="D805" s="448"/>
      <c r="E805" s="448"/>
      <c r="F805" s="448"/>
      <c r="G805" s="448"/>
      <c r="H805" s="448"/>
    </row>
    <row r="806" ht="14.25" customHeight="1">
      <c r="A806" s="448"/>
      <c r="B806" s="448"/>
      <c r="C806" s="448"/>
      <c r="D806" s="448"/>
      <c r="E806" s="448"/>
      <c r="F806" s="448"/>
      <c r="G806" s="448"/>
      <c r="H806" s="448"/>
    </row>
    <row r="807" ht="14.25" customHeight="1">
      <c r="A807" s="448"/>
      <c r="B807" s="448"/>
      <c r="C807" s="448"/>
      <c r="D807" s="448"/>
      <c r="E807" s="448"/>
      <c r="F807" s="448"/>
      <c r="G807" s="448"/>
      <c r="H807" s="448"/>
    </row>
    <row r="808" ht="14.25" customHeight="1">
      <c r="A808" s="448"/>
      <c r="B808" s="448"/>
      <c r="C808" s="448"/>
      <c r="D808" s="448"/>
      <c r="E808" s="448"/>
      <c r="F808" s="448"/>
      <c r="G808" s="448"/>
      <c r="H808" s="448"/>
    </row>
    <row r="809" ht="14.25" customHeight="1">
      <c r="A809" s="448"/>
      <c r="B809" s="448"/>
      <c r="C809" s="448"/>
      <c r="D809" s="448"/>
      <c r="E809" s="448"/>
      <c r="F809" s="448"/>
      <c r="G809" s="448"/>
      <c r="H809" s="448"/>
    </row>
    <row r="810" ht="14.25" customHeight="1">
      <c r="A810" s="448"/>
      <c r="B810" s="448"/>
      <c r="C810" s="448"/>
      <c r="D810" s="448"/>
      <c r="E810" s="448"/>
      <c r="F810" s="448"/>
      <c r="G810" s="448"/>
      <c r="H810" s="448"/>
    </row>
    <row r="811" ht="14.25" customHeight="1">
      <c r="A811" s="448"/>
      <c r="B811" s="448"/>
      <c r="C811" s="448"/>
      <c r="D811" s="448"/>
      <c r="E811" s="448"/>
      <c r="F811" s="448"/>
      <c r="G811" s="448"/>
      <c r="H811" s="448"/>
    </row>
    <row r="812" ht="14.25" customHeight="1">
      <c r="A812" s="448"/>
      <c r="B812" s="448"/>
      <c r="C812" s="448"/>
      <c r="D812" s="448"/>
      <c r="E812" s="448"/>
      <c r="F812" s="448"/>
      <c r="G812" s="448"/>
      <c r="H812" s="448"/>
    </row>
    <row r="813" ht="14.25" customHeight="1">
      <c r="A813" s="448"/>
      <c r="B813" s="448"/>
      <c r="C813" s="448"/>
      <c r="D813" s="448"/>
      <c r="E813" s="448"/>
      <c r="F813" s="448"/>
      <c r="G813" s="448"/>
      <c r="H813" s="448"/>
    </row>
    <row r="814" ht="14.25" customHeight="1">
      <c r="A814" s="448"/>
      <c r="B814" s="448"/>
      <c r="C814" s="448"/>
      <c r="D814" s="448"/>
      <c r="E814" s="448"/>
      <c r="F814" s="448"/>
      <c r="G814" s="448"/>
      <c r="H814" s="448"/>
    </row>
    <row r="815" ht="14.25" customHeight="1">
      <c r="A815" s="448"/>
      <c r="B815" s="448"/>
      <c r="C815" s="448"/>
      <c r="D815" s="448"/>
      <c r="E815" s="448"/>
      <c r="F815" s="448"/>
      <c r="G815" s="448"/>
      <c r="H815" s="448"/>
    </row>
    <row r="816" ht="14.25" customHeight="1">
      <c r="A816" s="448"/>
      <c r="B816" s="448"/>
      <c r="C816" s="448"/>
      <c r="D816" s="448"/>
      <c r="E816" s="448"/>
      <c r="F816" s="448"/>
      <c r="G816" s="448"/>
      <c r="H816" s="448"/>
    </row>
    <row r="817" ht="14.25" customHeight="1">
      <c r="A817" s="448"/>
      <c r="B817" s="448"/>
      <c r="C817" s="448"/>
      <c r="D817" s="448"/>
      <c r="E817" s="448"/>
      <c r="F817" s="448"/>
      <c r="G817" s="448"/>
      <c r="H817" s="448"/>
    </row>
    <row r="818" ht="14.25" customHeight="1">
      <c r="A818" s="448"/>
      <c r="B818" s="448"/>
      <c r="C818" s="448"/>
      <c r="D818" s="448"/>
      <c r="E818" s="448"/>
      <c r="F818" s="448"/>
      <c r="G818" s="448"/>
      <c r="H818" s="448"/>
    </row>
    <row r="819" ht="14.25" customHeight="1">
      <c r="A819" s="448"/>
      <c r="B819" s="448"/>
      <c r="C819" s="448"/>
      <c r="D819" s="448"/>
      <c r="E819" s="448"/>
      <c r="F819" s="448"/>
      <c r="G819" s="448"/>
      <c r="H819" s="448"/>
    </row>
    <row r="820" ht="14.25" customHeight="1">
      <c r="A820" s="448"/>
      <c r="B820" s="448"/>
      <c r="C820" s="448"/>
      <c r="D820" s="448"/>
      <c r="E820" s="448"/>
      <c r="F820" s="448"/>
      <c r="G820" s="448"/>
      <c r="H820" s="448"/>
    </row>
    <row r="821" ht="14.25" customHeight="1">
      <c r="A821" s="448"/>
      <c r="B821" s="448"/>
      <c r="C821" s="448"/>
      <c r="D821" s="448"/>
      <c r="E821" s="448"/>
      <c r="F821" s="448"/>
      <c r="G821" s="448"/>
      <c r="H821" s="448"/>
    </row>
    <row r="822" ht="14.25" customHeight="1">
      <c r="A822" s="448"/>
      <c r="B822" s="448"/>
      <c r="C822" s="448"/>
      <c r="D822" s="448"/>
      <c r="E822" s="448"/>
      <c r="F822" s="448"/>
      <c r="G822" s="448"/>
      <c r="H822" s="448"/>
    </row>
    <row r="823" ht="14.25" customHeight="1">
      <c r="A823" s="448"/>
      <c r="B823" s="448"/>
      <c r="C823" s="448"/>
      <c r="D823" s="448"/>
      <c r="E823" s="448"/>
      <c r="F823" s="448"/>
      <c r="G823" s="448"/>
      <c r="H823" s="448"/>
    </row>
    <row r="824" ht="14.25" customHeight="1">
      <c r="A824" s="448"/>
      <c r="B824" s="448"/>
      <c r="C824" s="448"/>
      <c r="D824" s="448"/>
      <c r="E824" s="448"/>
      <c r="F824" s="448"/>
      <c r="G824" s="448"/>
      <c r="H824" s="448"/>
    </row>
    <row r="825" ht="14.25" customHeight="1">
      <c r="A825" s="448"/>
      <c r="B825" s="448"/>
      <c r="C825" s="448"/>
      <c r="D825" s="448"/>
      <c r="E825" s="448"/>
      <c r="F825" s="448"/>
      <c r="G825" s="448"/>
      <c r="H825" s="448"/>
    </row>
    <row r="826" ht="14.25" customHeight="1">
      <c r="A826" s="448"/>
      <c r="B826" s="448"/>
      <c r="C826" s="448"/>
      <c r="D826" s="448"/>
      <c r="E826" s="448"/>
      <c r="F826" s="448"/>
      <c r="G826" s="448"/>
      <c r="H826" s="448"/>
    </row>
    <row r="827" ht="14.25" customHeight="1">
      <c r="A827" s="448"/>
      <c r="B827" s="448"/>
      <c r="C827" s="448"/>
      <c r="D827" s="448"/>
      <c r="E827" s="448"/>
      <c r="F827" s="448"/>
      <c r="G827" s="448"/>
      <c r="H827" s="448"/>
    </row>
    <row r="828" ht="14.25" customHeight="1">
      <c r="A828" s="448"/>
      <c r="B828" s="448"/>
      <c r="C828" s="448"/>
      <c r="D828" s="448"/>
      <c r="E828" s="448"/>
      <c r="F828" s="448"/>
      <c r="G828" s="448"/>
      <c r="H828" s="448"/>
    </row>
    <row r="829" ht="14.25" customHeight="1">
      <c r="A829" s="448"/>
      <c r="B829" s="448"/>
      <c r="C829" s="448"/>
      <c r="D829" s="448"/>
      <c r="E829" s="448"/>
      <c r="F829" s="448"/>
      <c r="G829" s="448"/>
      <c r="H829" s="448"/>
    </row>
    <row r="830" ht="14.25" customHeight="1">
      <c r="A830" s="448"/>
      <c r="B830" s="448"/>
      <c r="C830" s="448"/>
      <c r="D830" s="448"/>
      <c r="E830" s="448"/>
      <c r="F830" s="448"/>
      <c r="G830" s="448"/>
      <c r="H830" s="448"/>
    </row>
    <row r="831" ht="14.25" customHeight="1">
      <c r="A831" s="448"/>
      <c r="B831" s="448"/>
      <c r="C831" s="448"/>
      <c r="D831" s="448"/>
      <c r="E831" s="448"/>
      <c r="F831" s="448"/>
      <c r="G831" s="448"/>
      <c r="H831" s="448"/>
    </row>
    <row r="832" ht="14.25" customHeight="1">
      <c r="A832" s="448"/>
      <c r="B832" s="448"/>
      <c r="C832" s="448"/>
      <c r="D832" s="448"/>
      <c r="E832" s="448"/>
      <c r="F832" s="448"/>
      <c r="G832" s="448"/>
      <c r="H832" s="448"/>
    </row>
    <row r="833" ht="14.25" customHeight="1">
      <c r="A833" s="448"/>
      <c r="B833" s="448"/>
      <c r="C833" s="448"/>
      <c r="D833" s="448"/>
      <c r="E833" s="448"/>
      <c r="F833" s="448"/>
      <c r="G833" s="448"/>
      <c r="H833" s="448"/>
    </row>
    <row r="834" ht="14.25" customHeight="1">
      <c r="A834" s="448"/>
      <c r="B834" s="448"/>
      <c r="C834" s="448"/>
      <c r="D834" s="448"/>
      <c r="E834" s="448"/>
      <c r="F834" s="448"/>
      <c r="G834" s="448"/>
      <c r="H834" s="448"/>
    </row>
    <row r="835" ht="14.25" customHeight="1">
      <c r="A835" s="448"/>
      <c r="B835" s="448"/>
      <c r="C835" s="448"/>
      <c r="D835" s="448"/>
      <c r="E835" s="448"/>
      <c r="F835" s="448"/>
      <c r="G835" s="448"/>
      <c r="H835" s="448"/>
    </row>
    <row r="836" ht="14.25" customHeight="1">
      <c r="A836" s="448"/>
      <c r="B836" s="448"/>
      <c r="C836" s="448"/>
      <c r="D836" s="448"/>
      <c r="E836" s="448"/>
      <c r="F836" s="448"/>
      <c r="G836" s="448"/>
      <c r="H836" s="448"/>
    </row>
    <row r="837" ht="14.25" customHeight="1">
      <c r="A837" s="448"/>
      <c r="B837" s="448"/>
      <c r="C837" s="448"/>
      <c r="D837" s="448"/>
      <c r="E837" s="448"/>
      <c r="F837" s="448"/>
      <c r="G837" s="448"/>
      <c r="H837" s="448"/>
    </row>
    <row r="838" ht="14.25" customHeight="1">
      <c r="A838" s="448"/>
      <c r="B838" s="448"/>
      <c r="C838" s="448"/>
      <c r="D838" s="448"/>
      <c r="E838" s="448"/>
      <c r="F838" s="448"/>
      <c r="G838" s="448"/>
      <c r="H838" s="448"/>
    </row>
    <row r="839" ht="14.25" customHeight="1">
      <c r="A839" s="448"/>
      <c r="B839" s="448"/>
      <c r="C839" s="448"/>
      <c r="D839" s="448"/>
      <c r="E839" s="448"/>
      <c r="F839" s="448"/>
      <c r="G839" s="448"/>
      <c r="H839" s="448"/>
    </row>
    <row r="840" ht="14.25" customHeight="1">
      <c r="A840" s="448"/>
      <c r="B840" s="448"/>
      <c r="C840" s="448"/>
      <c r="D840" s="448"/>
      <c r="E840" s="448"/>
      <c r="F840" s="448"/>
      <c r="G840" s="448"/>
      <c r="H840" s="448"/>
    </row>
    <row r="841" ht="14.25" customHeight="1">
      <c r="A841" s="448"/>
      <c r="B841" s="448"/>
      <c r="C841" s="448"/>
      <c r="D841" s="448"/>
      <c r="E841" s="448"/>
      <c r="F841" s="448"/>
      <c r="G841" s="448"/>
      <c r="H841" s="448"/>
    </row>
    <row r="842" ht="14.25" customHeight="1">
      <c r="A842" s="448"/>
      <c r="B842" s="448"/>
      <c r="C842" s="448"/>
      <c r="D842" s="448"/>
      <c r="E842" s="448"/>
      <c r="F842" s="448"/>
      <c r="G842" s="448"/>
      <c r="H842" s="448"/>
    </row>
    <row r="843" ht="14.25" customHeight="1">
      <c r="A843" s="448"/>
      <c r="B843" s="448"/>
      <c r="C843" s="448"/>
      <c r="D843" s="448"/>
      <c r="E843" s="448"/>
      <c r="F843" s="448"/>
      <c r="G843" s="448"/>
      <c r="H843" s="448"/>
    </row>
    <row r="844" ht="14.25" customHeight="1">
      <c r="A844" s="448"/>
      <c r="B844" s="448"/>
      <c r="C844" s="448"/>
      <c r="D844" s="448"/>
      <c r="E844" s="448"/>
      <c r="F844" s="448"/>
      <c r="G844" s="448"/>
      <c r="H844" s="448"/>
    </row>
    <row r="845" ht="14.25" customHeight="1">
      <c r="A845" s="448"/>
      <c r="B845" s="448"/>
      <c r="C845" s="448"/>
      <c r="D845" s="448"/>
      <c r="E845" s="448"/>
      <c r="F845" s="448"/>
      <c r="G845" s="448"/>
      <c r="H845" s="448"/>
    </row>
    <row r="846" ht="14.25" customHeight="1">
      <c r="A846" s="448"/>
      <c r="B846" s="448"/>
      <c r="C846" s="448"/>
      <c r="D846" s="448"/>
      <c r="E846" s="448"/>
      <c r="F846" s="448"/>
      <c r="G846" s="448"/>
      <c r="H846" s="448"/>
    </row>
    <row r="847" ht="14.25" customHeight="1">
      <c r="A847" s="448"/>
      <c r="B847" s="448"/>
      <c r="C847" s="448"/>
      <c r="D847" s="448"/>
      <c r="E847" s="448"/>
      <c r="F847" s="448"/>
      <c r="G847" s="448"/>
      <c r="H847" s="448"/>
    </row>
    <row r="848" ht="14.25" customHeight="1">
      <c r="A848" s="448"/>
      <c r="B848" s="448"/>
      <c r="C848" s="448"/>
      <c r="D848" s="448"/>
      <c r="E848" s="448"/>
      <c r="F848" s="448"/>
      <c r="G848" s="448"/>
      <c r="H848" s="448"/>
    </row>
    <row r="849" ht="14.25" customHeight="1">
      <c r="A849" s="448"/>
      <c r="B849" s="448"/>
      <c r="C849" s="448"/>
      <c r="D849" s="448"/>
      <c r="E849" s="448"/>
      <c r="F849" s="448"/>
      <c r="G849" s="448"/>
      <c r="H849" s="448"/>
    </row>
    <row r="850" ht="14.25" customHeight="1">
      <c r="A850" s="448"/>
      <c r="B850" s="448"/>
      <c r="C850" s="448"/>
      <c r="D850" s="448"/>
      <c r="E850" s="448"/>
      <c r="F850" s="448"/>
      <c r="G850" s="448"/>
      <c r="H850" s="448"/>
    </row>
    <row r="851" ht="14.25" customHeight="1">
      <c r="A851" s="448"/>
      <c r="B851" s="448"/>
      <c r="C851" s="448"/>
      <c r="D851" s="448"/>
      <c r="E851" s="448"/>
      <c r="F851" s="448"/>
      <c r="G851" s="448"/>
      <c r="H851" s="448"/>
    </row>
    <row r="852" ht="14.25" customHeight="1">
      <c r="A852" s="448"/>
      <c r="B852" s="448"/>
      <c r="C852" s="448"/>
      <c r="D852" s="448"/>
      <c r="E852" s="448"/>
      <c r="F852" s="448"/>
      <c r="G852" s="448"/>
      <c r="H852" s="448"/>
    </row>
    <row r="853" ht="14.25" customHeight="1">
      <c r="A853" s="448"/>
      <c r="B853" s="448"/>
      <c r="C853" s="448"/>
      <c r="D853" s="448"/>
      <c r="E853" s="448"/>
      <c r="F853" s="448"/>
      <c r="G853" s="448"/>
      <c r="H853" s="448"/>
    </row>
    <row r="854" ht="14.25" customHeight="1">
      <c r="A854" s="448"/>
      <c r="B854" s="448"/>
      <c r="C854" s="448"/>
      <c r="D854" s="448"/>
      <c r="E854" s="448"/>
      <c r="F854" s="448"/>
      <c r="G854" s="448"/>
      <c r="H854" s="448"/>
    </row>
    <row r="855" ht="14.25" customHeight="1">
      <c r="A855" s="448"/>
      <c r="B855" s="448"/>
      <c r="C855" s="448"/>
      <c r="D855" s="448"/>
      <c r="E855" s="448"/>
      <c r="F855" s="448"/>
      <c r="G855" s="448"/>
      <c r="H855" s="448"/>
    </row>
    <row r="856" ht="14.25" customHeight="1">
      <c r="A856" s="448"/>
      <c r="B856" s="448"/>
      <c r="C856" s="448"/>
      <c r="D856" s="448"/>
      <c r="E856" s="448"/>
      <c r="F856" s="448"/>
      <c r="G856" s="448"/>
      <c r="H856" s="448"/>
    </row>
    <row r="857" ht="14.25" customHeight="1">
      <c r="A857" s="448"/>
      <c r="B857" s="448"/>
      <c r="C857" s="448"/>
      <c r="D857" s="448"/>
      <c r="E857" s="448"/>
      <c r="F857" s="448"/>
      <c r="G857" s="448"/>
      <c r="H857" s="448"/>
    </row>
    <row r="858" ht="14.25" customHeight="1">
      <c r="A858" s="448"/>
      <c r="B858" s="448"/>
      <c r="C858" s="448"/>
      <c r="D858" s="448"/>
      <c r="E858" s="448"/>
      <c r="F858" s="448"/>
      <c r="G858" s="448"/>
      <c r="H858" s="448"/>
    </row>
    <row r="859" ht="14.25" customHeight="1">
      <c r="A859" s="448"/>
      <c r="B859" s="448"/>
      <c r="C859" s="448"/>
      <c r="D859" s="448"/>
      <c r="E859" s="448"/>
      <c r="F859" s="448"/>
      <c r="G859" s="448"/>
      <c r="H859" s="448"/>
    </row>
    <row r="860" ht="14.25" customHeight="1">
      <c r="A860" s="448"/>
      <c r="B860" s="448"/>
      <c r="C860" s="448"/>
      <c r="D860" s="448"/>
      <c r="E860" s="448"/>
      <c r="F860" s="448"/>
      <c r="G860" s="448"/>
      <c r="H860" s="448"/>
    </row>
    <row r="861" ht="14.25" customHeight="1">
      <c r="A861" s="448"/>
      <c r="B861" s="448"/>
      <c r="C861" s="448"/>
      <c r="D861" s="448"/>
      <c r="E861" s="448"/>
      <c r="F861" s="448"/>
      <c r="G861" s="448"/>
      <c r="H861" s="448"/>
    </row>
    <row r="862" ht="14.25" customHeight="1">
      <c r="A862" s="448"/>
      <c r="B862" s="448"/>
      <c r="C862" s="448"/>
      <c r="D862" s="448"/>
      <c r="E862" s="448"/>
      <c r="F862" s="448"/>
      <c r="G862" s="448"/>
      <c r="H862" s="448"/>
    </row>
    <row r="863" ht="14.25" customHeight="1">
      <c r="A863" s="448"/>
      <c r="B863" s="448"/>
      <c r="C863" s="448"/>
      <c r="D863" s="448"/>
      <c r="E863" s="448"/>
      <c r="F863" s="448"/>
      <c r="G863" s="448"/>
      <c r="H863" s="448"/>
    </row>
    <row r="864" ht="14.25" customHeight="1">
      <c r="A864" s="448"/>
      <c r="B864" s="448"/>
      <c r="C864" s="448"/>
      <c r="D864" s="448"/>
      <c r="E864" s="448"/>
      <c r="F864" s="448"/>
      <c r="G864" s="448"/>
      <c r="H864" s="448"/>
    </row>
    <row r="865" ht="14.25" customHeight="1">
      <c r="A865" s="448"/>
      <c r="B865" s="448"/>
      <c r="C865" s="448"/>
      <c r="D865" s="448"/>
      <c r="E865" s="448"/>
      <c r="F865" s="448"/>
      <c r="G865" s="448"/>
      <c r="H865" s="448"/>
    </row>
    <row r="866" ht="14.25" customHeight="1">
      <c r="A866" s="448"/>
      <c r="B866" s="448"/>
      <c r="C866" s="448"/>
      <c r="D866" s="448"/>
      <c r="E866" s="448"/>
      <c r="F866" s="448"/>
      <c r="G866" s="448"/>
      <c r="H866" s="448"/>
    </row>
    <row r="867" ht="14.25" customHeight="1">
      <c r="A867" s="448"/>
      <c r="B867" s="448"/>
      <c r="C867" s="448"/>
      <c r="D867" s="448"/>
      <c r="E867" s="448"/>
      <c r="F867" s="448"/>
      <c r="G867" s="448"/>
      <c r="H867" s="448"/>
    </row>
    <row r="868" ht="14.25" customHeight="1">
      <c r="A868" s="448"/>
      <c r="B868" s="448"/>
      <c r="C868" s="448"/>
      <c r="D868" s="448"/>
      <c r="E868" s="448"/>
      <c r="F868" s="448"/>
      <c r="G868" s="448"/>
      <c r="H868" s="448"/>
    </row>
    <row r="869" ht="14.25" customHeight="1">
      <c r="A869" s="448"/>
      <c r="B869" s="448"/>
      <c r="C869" s="448"/>
      <c r="D869" s="448"/>
      <c r="E869" s="448"/>
      <c r="F869" s="448"/>
      <c r="G869" s="448"/>
      <c r="H869" s="448"/>
    </row>
    <row r="870" ht="14.25" customHeight="1">
      <c r="A870" s="448"/>
      <c r="B870" s="448"/>
      <c r="C870" s="448"/>
      <c r="D870" s="448"/>
      <c r="E870" s="448"/>
      <c r="F870" s="448"/>
      <c r="G870" s="448"/>
      <c r="H870" s="448"/>
    </row>
    <row r="871" ht="14.25" customHeight="1">
      <c r="A871" s="448"/>
      <c r="B871" s="448"/>
      <c r="C871" s="448"/>
      <c r="D871" s="448"/>
      <c r="E871" s="448"/>
      <c r="F871" s="448"/>
      <c r="G871" s="448"/>
      <c r="H871" s="448"/>
    </row>
    <row r="872" ht="14.25" customHeight="1">
      <c r="A872" s="448"/>
      <c r="B872" s="448"/>
      <c r="C872" s="448"/>
      <c r="D872" s="448"/>
      <c r="E872" s="448"/>
      <c r="F872" s="448"/>
      <c r="G872" s="448"/>
      <c r="H872" s="448"/>
    </row>
    <row r="873" ht="14.25" customHeight="1">
      <c r="A873" s="448"/>
      <c r="B873" s="448"/>
      <c r="C873" s="448"/>
      <c r="D873" s="448"/>
      <c r="E873" s="448"/>
      <c r="F873" s="448"/>
      <c r="G873" s="448"/>
      <c r="H873" s="448"/>
    </row>
    <row r="874" ht="14.25" customHeight="1">
      <c r="A874" s="448"/>
      <c r="B874" s="448"/>
      <c r="C874" s="448"/>
      <c r="D874" s="448"/>
      <c r="E874" s="448"/>
      <c r="F874" s="448"/>
      <c r="G874" s="448"/>
      <c r="H874" s="448"/>
    </row>
    <row r="875" ht="14.25" customHeight="1">
      <c r="A875" s="448"/>
      <c r="B875" s="448"/>
      <c r="C875" s="448"/>
      <c r="D875" s="448"/>
      <c r="E875" s="448"/>
      <c r="F875" s="448"/>
      <c r="G875" s="448"/>
      <c r="H875" s="448"/>
    </row>
    <row r="876" ht="14.25" customHeight="1">
      <c r="A876" s="448"/>
      <c r="B876" s="448"/>
      <c r="C876" s="448"/>
      <c r="D876" s="448"/>
      <c r="E876" s="448"/>
      <c r="F876" s="448"/>
      <c r="G876" s="448"/>
      <c r="H876" s="448"/>
    </row>
    <row r="877" ht="14.25" customHeight="1">
      <c r="A877" s="448"/>
      <c r="B877" s="448"/>
      <c r="C877" s="448"/>
      <c r="D877" s="448"/>
      <c r="E877" s="448"/>
      <c r="F877" s="448"/>
      <c r="G877" s="448"/>
      <c r="H877" s="448"/>
    </row>
    <row r="878" ht="14.25" customHeight="1">
      <c r="A878" s="448"/>
      <c r="B878" s="448"/>
      <c r="C878" s="448"/>
      <c r="D878" s="448"/>
      <c r="E878" s="448"/>
      <c r="F878" s="448"/>
      <c r="G878" s="448"/>
      <c r="H878" s="448"/>
    </row>
    <row r="879" ht="14.25" customHeight="1">
      <c r="A879" s="448"/>
      <c r="B879" s="448"/>
      <c r="C879" s="448"/>
      <c r="D879" s="448"/>
      <c r="E879" s="448"/>
      <c r="F879" s="448"/>
      <c r="G879" s="448"/>
      <c r="H879" s="448"/>
    </row>
    <row r="880" ht="14.25" customHeight="1">
      <c r="A880" s="448"/>
      <c r="B880" s="448"/>
      <c r="C880" s="448"/>
      <c r="D880" s="448"/>
      <c r="E880" s="448"/>
      <c r="F880" s="448"/>
      <c r="G880" s="448"/>
      <c r="H880" s="448"/>
    </row>
    <row r="881" ht="14.25" customHeight="1">
      <c r="A881" s="448"/>
      <c r="B881" s="448"/>
      <c r="C881" s="448"/>
      <c r="D881" s="448"/>
      <c r="E881" s="448"/>
      <c r="F881" s="448"/>
      <c r="G881" s="448"/>
      <c r="H881" s="448"/>
    </row>
    <row r="882" ht="14.25" customHeight="1">
      <c r="A882" s="448"/>
      <c r="B882" s="448"/>
      <c r="C882" s="448"/>
      <c r="D882" s="448"/>
      <c r="E882" s="448"/>
      <c r="F882" s="448"/>
      <c r="G882" s="448"/>
      <c r="H882" s="448"/>
    </row>
    <row r="883" ht="14.25" customHeight="1">
      <c r="A883" s="448"/>
      <c r="B883" s="448"/>
      <c r="C883" s="448"/>
      <c r="D883" s="448"/>
      <c r="E883" s="448"/>
      <c r="F883" s="448"/>
      <c r="G883" s="448"/>
      <c r="H883" s="448"/>
    </row>
    <row r="884" ht="14.25" customHeight="1">
      <c r="A884" s="448"/>
      <c r="B884" s="448"/>
      <c r="C884" s="448"/>
      <c r="D884" s="448"/>
      <c r="E884" s="448"/>
      <c r="F884" s="448"/>
      <c r="G884" s="448"/>
      <c r="H884" s="448"/>
    </row>
    <row r="885" ht="14.25" customHeight="1">
      <c r="A885" s="448"/>
      <c r="B885" s="448"/>
      <c r="C885" s="448"/>
      <c r="D885" s="448"/>
      <c r="E885" s="448"/>
      <c r="F885" s="448"/>
      <c r="G885" s="448"/>
      <c r="H885" s="448"/>
    </row>
    <row r="886" ht="14.25" customHeight="1">
      <c r="A886" s="448"/>
      <c r="B886" s="448"/>
      <c r="C886" s="448"/>
      <c r="D886" s="448"/>
      <c r="E886" s="448"/>
      <c r="F886" s="448"/>
      <c r="G886" s="448"/>
      <c r="H886" s="448"/>
    </row>
    <row r="887" ht="14.25" customHeight="1">
      <c r="A887" s="448"/>
      <c r="B887" s="448"/>
      <c r="C887" s="448"/>
      <c r="D887" s="448"/>
      <c r="E887" s="448"/>
      <c r="F887" s="448"/>
      <c r="G887" s="448"/>
      <c r="H887" s="448"/>
    </row>
    <row r="888" ht="14.25" customHeight="1">
      <c r="A888" s="448"/>
      <c r="B888" s="448"/>
      <c r="C888" s="448"/>
      <c r="D888" s="448"/>
      <c r="E888" s="448"/>
      <c r="F888" s="448"/>
      <c r="G888" s="448"/>
      <c r="H888" s="448"/>
    </row>
    <row r="889" ht="14.25" customHeight="1">
      <c r="A889" s="448"/>
      <c r="B889" s="448"/>
      <c r="C889" s="448"/>
      <c r="D889" s="448"/>
      <c r="E889" s="448"/>
      <c r="F889" s="448"/>
      <c r="G889" s="448"/>
      <c r="H889" s="448"/>
    </row>
    <row r="890" ht="14.25" customHeight="1">
      <c r="A890" s="448"/>
      <c r="B890" s="448"/>
      <c r="C890" s="448"/>
      <c r="D890" s="448"/>
      <c r="E890" s="448"/>
      <c r="F890" s="448"/>
      <c r="G890" s="448"/>
      <c r="H890" s="448"/>
    </row>
    <row r="891" ht="14.25" customHeight="1">
      <c r="A891" s="448"/>
      <c r="B891" s="448"/>
      <c r="C891" s="448"/>
      <c r="D891" s="448"/>
      <c r="E891" s="448"/>
      <c r="F891" s="448"/>
      <c r="G891" s="448"/>
      <c r="H891" s="448"/>
    </row>
    <row r="892" ht="14.25" customHeight="1">
      <c r="A892" s="448"/>
      <c r="B892" s="448"/>
      <c r="C892" s="448"/>
      <c r="D892" s="448"/>
      <c r="E892" s="448"/>
      <c r="F892" s="448"/>
      <c r="G892" s="448"/>
      <c r="H892" s="448"/>
    </row>
    <row r="893" ht="14.25" customHeight="1">
      <c r="A893" s="448"/>
      <c r="B893" s="448"/>
      <c r="C893" s="448"/>
      <c r="D893" s="448"/>
      <c r="E893" s="448"/>
      <c r="F893" s="448"/>
      <c r="G893" s="448"/>
      <c r="H893" s="448"/>
    </row>
    <row r="894" ht="14.25" customHeight="1">
      <c r="A894" s="448"/>
      <c r="B894" s="448"/>
      <c r="C894" s="448"/>
      <c r="D894" s="448"/>
      <c r="E894" s="448"/>
      <c r="F894" s="448"/>
      <c r="G894" s="448"/>
      <c r="H894" s="448"/>
    </row>
    <row r="895" ht="14.25" customHeight="1">
      <c r="A895" s="448"/>
      <c r="B895" s="448"/>
      <c r="C895" s="448"/>
      <c r="D895" s="448"/>
      <c r="E895" s="448"/>
      <c r="F895" s="448"/>
      <c r="G895" s="448"/>
      <c r="H895" s="448"/>
    </row>
    <row r="896" ht="14.25" customHeight="1">
      <c r="A896" s="448"/>
      <c r="B896" s="448"/>
      <c r="C896" s="448"/>
      <c r="D896" s="448"/>
      <c r="E896" s="448"/>
      <c r="F896" s="448"/>
      <c r="G896" s="448"/>
      <c r="H896" s="448"/>
    </row>
    <row r="897" ht="14.25" customHeight="1">
      <c r="A897" s="448"/>
      <c r="B897" s="448"/>
      <c r="C897" s="448"/>
      <c r="D897" s="448"/>
      <c r="E897" s="448"/>
      <c r="F897" s="448"/>
      <c r="G897" s="448"/>
      <c r="H897" s="448"/>
    </row>
    <row r="898" ht="14.25" customHeight="1">
      <c r="A898" s="448"/>
      <c r="B898" s="448"/>
      <c r="C898" s="448"/>
      <c r="D898" s="448"/>
      <c r="E898" s="448"/>
      <c r="F898" s="448"/>
      <c r="G898" s="448"/>
      <c r="H898" s="448"/>
    </row>
    <row r="899" ht="14.25" customHeight="1">
      <c r="A899" s="448"/>
      <c r="B899" s="448"/>
      <c r="C899" s="448"/>
      <c r="D899" s="448"/>
      <c r="E899" s="448"/>
      <c r="F899" s="448"/>
      <c r="G899" s="448"/>
      <c r="H899" s="448"/>
    </row>
    <row r="900" ht="14.25" customHeight="1">
      <c r="A900" s="448"/>
      <c r="B900" s="448"/>
      <c r="C900" s="448"/>
      <c r="D900" s="448"/>
      <c r="E900" s="448"/>
      <c r="F900" s="448"/>
      <c r="G900" s="448"/>
      <c r="H900" s="448"/>
    </row>
    <row r="901" ht="14.25" customHeight="1">
      <c r="A901" s="448"/>
      <c r="B901" s="448"/>
      <c r="C901" s="448"/>
      <c r="D901" s="448"/>
      <c r="E901" s="448"/>
      <c r="F901" s="448"/>
      <c r="G901" s="448"/>
      <c r="H901" s="448"/>
    </row>
    <row r="902" ht="14.25" customHeight="1">
      <c r="A902" s="448"/>
      <c r="B902" s="448"/>
      <c r="C902" s="448"/>
      <c r="D902" s="448"/>
      <c r="E902" s="448"/>
      <c r="F902" s="448"/>
      <c r="G902" s="448"/>
      <c r="H902" s="448"/>
    </row>
    <row r="903" ht="14.25" customHeight="1">
      <c r="A903" s="448"/>
      <c r="B903" s="448"/>
      <c r="C903" s="448"/>
      <c r="D903" s="448"/>
      <c r="E903" s="448"/>
      <c r="F903" s="448"/>
      <c r="G903" s="448"/>
      <c r="H903" s="448"/>
    </row>
    <row r="904" ht="14.25" customHeight="1">
      <c r="A904" s="448"/>
      <c r="B904" s="448"/>
      <c r="C904" s="448"/>
      <c r="D904" s="448"/>
      <c r="E904" s="448"/>
      <c r="F904" s="448"/>
      <c r="G904" s="448"/>
      <c r="H904" s="448"/>
    </row>
    <row r="905" ht="14.25" customHeight="1">
      <c r="A905" s="448"/>
      <c r="B905" s="448"/>
      <c r="C905" s="448"/>
      <c r="D905" s="448"/>
      <c r="E905" s="448"/>
      <c r="F905" s="448"/>
      <c r="G905" s="448"/>
      <c r="H905" s="448"/>
    </row>
    <row r="906" ht="14.25" customHeight="1">
      <c r="A906" s="448"/>
      <c r="B906" s="448"/>
      <c r="C906" s="448"/>
      <c r="D906" s="448"/>
      <c r="E906" s="448"/>
      <c r="F906" s="448"/>
      <c r="G906" s="448"/>
      <c r="H906" s="448"/>
    </row>
    <row r="907" ht="14.25" customHeight="1">
      <c r="A907" s="448"/>
      <c r="B907" s="448"/>
      <c r="C907" s="448"/>
      <c r="D907" s="448"/>
      <c r="E907" s="448"/>
      <c r="F907" s="448"/>
      <c r="G907" s="448"/>
      <c r="H907" s="448"/>
    </row>
    <row r="908" ht="14.25" customHeight="1">
      <c r="A908" s="448"/>
      <c r="B908" s="448"/>
      <c r="C908" s="448"/>
      <c r="D908" s="448"/>
      <c r="E908" s="448"/>
      <c r="F908" s="448"/>
      <c r="G908" s="448"/>
      <c r="H908" s="448"/>
    </row>
    <row r="909" ht="14.25" customHeight="1">
      <c r="A909" s="448"/>
      <c r="B909" s="448"/>
      <c r="C909" s="448"/>
      <c r="D909" s="448"/>
      <c r="E909" s="448"/>
      <c r="F909" s="448"/>
      <c r="G909" s="448"/>
      <c r="H909" s="448"/>
    </row>
    <row r="910" ht="14.25" customHeight="1">
      <c r="A910" s="448"/>
      <c r="B910" s="448"/>
      <c r="C910" s="448"/>
      <c r="D910" s="448"/>
      <c r="E910" s="448"/>
      <c r="F910" s="448"/>
      <c r="G910" s="448"/>
      <c r="H910" s="448"/>
    </row>
    <row r="911" ht="14.25" customHeight="1">
      <c r="A911" s="448"/>
      <c r="B911" s="448"/>
      <c r="C911" s="448"/>
      <c r="D911" s="448"/>
      <c r="E911" s="448"/>
      <c r="F911" s="448"/>
      <c r="G911" s="448"/>
      <c r="H911" s="448"/>
    </row>
    <row r="912" ht="14.25" customHeight="1">
      <c r="A912" s="448"/>
      <c r="B912" s="448"/>
      <c r="C912" s="448"/>
      <c r="D912" s="448"/>
      <c r="E912" s="448"/>
      <c r="F912" s="448"/>
      <c r="G912" s="448"/>
      <c r="H912" s="448"/>
    </row>
    <row r="913" ht="14.25" customHeight="1">
      <c r="A913" s="448"/>
      <c r="B913" s="448"/>
      <c r="C913" s="448"/>
      <c r="D913" s="448"/>
      <c r="E913" s="448"/>
      <c r="F913" s="448"/>
      <c r="G913" s="448"/>
      <c r="H913" s="448"/>
    </row>
    <row r="914" ht="14.25" customHeight="1">
      <c r="A914" s="448"/>
      <c r="B914" s="448"/>
      <c r="C914" s="448"/>
      <c r="D914" s="448"/>
      <c r="E914" s="448"/>
      <c r="F914" s="448"/>
      <c r="G914" s="448"/>
      <c r="H914" s="448"/>
    </row>
    <row r="915" ht="14.25" customHeight="1">
      <c r="A915" s="448"/>
      <c r="B915" s="448"/>
      <c r="C915" s="448"/>
      <c r="D915" s="448"/>
      <c r="E915" s="448"/>
      <c r="F915" s="448"/>
      <c r="G915" s="448"/>
      <c r="H915" s="448"/>
    </row>
    <row r="916" ht="14.25" customHeight="1">
      <c r="A916" s="448"/>
      <c r="B916" s="448"/>
      <c r="C916" s="448"/>
      <c r="D916" s="448"/>
      <c r="E916" s="448"/>
      <c r="F916" s="448"/>
      <c r="G916" s="448"/>
      <c r="H916" s="448"/>
    </row>
    <row r="917" ht="14.25" customHeight="1">
      <c r="A917" s="448"/>
      <c r="B917" s="448"/>
      <c r="C917" s="448"/>
      <c r="D917" s="448"/>
      <c r="E917" s="448"/>
      <c r="F917" s="448"/>
      <c r="G917" s="448"/>
      <c r="H917" s="448"/>
    </row>
    <row r="918" ht="14.25" customHeight="1">
      <c r="A918" s="448"/>
      <c r="B918" s="448"/>
      <c r="C918" s="448"/>
      <c r="D918" s="448"/>
      <c r="E918" s="448"/>
      <c r="F918" s="448"/>
      <c r="G918" s="448"/>
      <c r="H918" s="448"/>
    </row>
    <row r="919" ht="14.25" customHeight="1">
      <c r="A919" s="448"/>
      <c r="B919" s="448"/>
      <c r="C919" s="448"/>
      <c r="D919" s="448"/>
      <c r="E919" s="448"/>
      <c r="F919" s="448"/>
      <c r="G919" s="448"/>
      <c r="H919" s="448"/>
    </row>
    <row r="920" ht="14.25" customHeight="1">
      <c r="A920" s="448"/>
      <c r="B920" s="448"/>
      <c r="C920" s="448"/>
      <c r="D920" s="448"/>
      <c r="E920" s="448"/>
      <c r="F920" s="448"/>
      <c r="G920" s="448"/>
      <c r="H920" s="448"/>
    </row>
    <row r="921" ht="14.25" customHeight="1">
      <c r="A921" s="448"/>
      <c r="B921" s="448"/>
      <c r="C921" s="448"/>
      <c r="D921" s="448"/>
      <c r="E921" s="448"/>
      <c r="F921" s="448"/>
      <c r="G921" s="448"/>
      <c r="H921" s="448"/>
    </row>
    <row r="922" ht="14.25" customHeight="1">
      <c r="A922" s="448"/>
      <c r="B922" s="448"/>
      <c r="C922" s="448"/>
      <c r="D922" s="448"/>
      <c r="E922" s="448"/>
      <c r="F922" s="448"/>
      <c r="G922" s="448"/>
      <c r="H922" s="448"/>
    </row>
    <row r="923" ht="14.25" customHeight="1">
      <c r="A923" s="448"/>
      <c r="B923" s="448"/>
      <c r="C923" s="448"/>
      <c r="D923" s="448"/>
      <c r="E923" s="448"/>
      <c r="F923" s="448"/>
      <c r="G923" s="448"/>
      <c r="H923" s="448"/>
    </row>
    <row r="924" ht="14.25" customHeight="1">
      <c r="A924" s="448"/>
      <c r="B924" s="448"/>
      <c r="C924" s="448"/>
      <c r="D924" s="448"/>
      <c r="E924" s="448"/>
      <c r="F924" s="448"/>
      <c r="G924" s="448"/>
      <c r="H924" s="448"/>
    </row>
    <row r="925" ht="14.25" customHeight="1">
      <c r="A925" s="448"/>
      <c r="B925" s="448"/>
      <c r="C925" s="448"/>
      <c r="D925" s="448"/>
      <c r="E925" s="448"/>
      <c r="F925" s="448"/>
      <c r="G925" s="448"/>
      <c r="H925" s="448"/>
    </row>
    <row r="926" ht="14.25" customHeight="1">
      <c r="A926" s="448"/>
      <c r="B926" s="448"/>
      <c r="C926" s="448"/>
      <c r="D926" s="448"/>
      <c r="E926" s="448"/>
      <c r="F926" s="448"/>
      <c r="G926" s="448"/>
      <c r="H926" s="448"/>
    </row>
    <row r="927" ht="14.25" customHeight="1">
      <c r="A927" s="448"/>
      <c r="B927" s="448"/>
      <c r="C927" s="448"/>
      <c r="D927" s="448"/>
      <c r="E927" s="448"/>
      <c r="F927" s="448"/>
      <c r="G927" s="448"/>
      <c r="H927" s="448"/>
    </row>
    <row r="928" ht="14.25" customHeight="1">
      <c r="A928" s="448"/>
      <c r="B928" s="448"/>
      <c r="C928" s="448"/>
      <c r="D928" s="448"/>
      <c r="E928" s="448"/>
      <c r="F928" s="448"/>
      <c r="G928" s="448"/>
      <c r="H928" s="448"/>
    </row>
    <row r="929" ht="14.25" customHeight="1">
      <c r="A929" s="448"/>
      <c r="B929" s="448"/>
      <c r="C929" s="448"/>
      <c r="D929" s="448"/>
      <c r="E929" s="448"/>
      <c r="F929" s="448"/>
      <c r="G929" s="448"/>
      <c r="H929" s="448"/>
    </row>
    <row r="930" ht="14.25" customHeight="1">
      <c r="A930" s="448"/>
      <c r="B930" s="448"/>
      <c r="C930" s="448"/>
      <c r="D930" s="448"/>
      <c r="E930" s="448"/>
      <c r="F930" s="448"/>
      <c r="G930" s="448"/>
      <c r="H930" s="448"/>
    </row>
    <row r="931" ht="14.25" customHeight="1">
      <c r="A931" s="448"/>
      <c r="B931" s="448"/>
      <c r="C931" s="448"/>
      <c r="D931" s="448"/>
      <c r="E931" s="448"/>
      <c r="F931" s="448"/>
      <c r="G931" s="448"/>
      <c r="H931" s="448"/>
    </row>
    <row r="932" ht="14.25" customHeight="1">
      <c r="A932" s="448"/>
      <c r="B932" s="448"/>
      <c r="C932" s="448"/>
      <c r="D932" s="448"/>
      <c r="E932" s="448"/>
      <c r="F932" s="448"/>
      <c r="G932" s="448"/>
      <c r="H932" s="448"/>
    </row>
    <row r="933" ht="14.25" customHeight="1">
      <c r="A933" s="448"/>
      <c r="B933" s="448"/>
      <c r="C933" s="448"/>
      <c r="D933" s="448"/>
      <c r="E933" s="448"/>
      <c r="F933" s="448"/>
      <c r="G933" s="448"/>
      <c r="H933" s="448"/>
    </row>
    <row r="934" ht="14.25" customHeight="1">
      <c r="A934" s="448"/>
      <c r="B934" s="448"/>
      <c r="C934" s="448"/>
      <c r="D934" s="448"/>
      <c r="E934" s="448"/>
      <c r="F934" s="448"/>
      <c r="G934" s="448"/>
      <c r="H934" s="448"/>
    </row>
    <row r="935" ht="14.25" customHeight="1">
      <c r="A935" s="448"/>
      <c r="B935" s="448"/>
      <c r="C935" s="448"/>
      <c r="D935" s="448"/>
      <c r="E935" s="448"/>
      <c r="F935" s="448"/>
      <c r="G935" s="448"/>
      <c r="H935" s="448"/>
    </row>
    <row r="936" ht="14.25" customHeight="1">
      <c r="A936" s="448"/>
      <c r="B936" s="448"/>
      <c r="C936" s="448"/>
      <c r="D936" s="448"/>
      <c r="E936" s="448"/>
      <c r="F936" s="448"/>
      <c r="G936" s="448"/>
      <c r="H936" s="448"/>
    </row>
    <row r="937" ht="14.25" customHeight="1">
      <c r="A937" s="448"/>
      <c r="B937" s="448"/>
      <c r="C937" s="448"/>
      <c r="D937" s="448"/>
      <c r="E937" s="448"/>
      <c r="F937" s="448"/>
      <c r="G937" s="448"/>
      <c r="H937" s="448"/>
    </row>
    <row r="938" ht="14.25" customHeight="1">
      <c r="A938" s="448"/>
      <c r="B938" s="448"/>
      <c r="C938" s="448"/>
      <c r="D938" s="448"/>
      <c r="E938" s="448"/>
      <c r="F938" s="448"/>
      <c r="G938" s="448"/>
      <c r="H938" s="448"/>
    </row>
    <row r="939" ht="14.25" customHeight="1">
      <c r="A939" s="448"/>
      <c r="B939" s="448"/>
      <c r="C939" s="448"/>
      <c r="D939" s="448"/>
      <c r="E939" s="448"/>
      <c r="F939" s="448"/>
      <c r="G939" s="448"/>
      <c r="H939" s="448"/>
    </row>
    <row r="940" ht="14.25" customHeight="1">
      <c r="A940" s="448"/>
      <c r="B940" s="448"/>
      <c r="C940" s="448"/>
      <c r="D940" s="448"/>
      <c r="E940" s="448"/>
      <c r="F940" s="448"/>
      <c r="G940" s="448"/>
      <c r="H940" s="448"/>
    </row>
    <row r="941" ht="14.25" customHeight="1">
      <c r="A941" s="448"/>
      <c r="B941" s="448"/>
      <c r="C941" s="448"/>
      <c r="D941" s="448"/>
      <c r="E941" s="448"/>
      <c r="F941" s="448"/>
      <c r="G941" s="448"/>
      <c r="H941" s="448"/>
    </row>
    <row r="942" ht="14.25" customHeight="1">
      <c r="A942" s="448"/>
      <c r="B942" s="448"/>
      <c r="C942" s="448"/>
      <c r="D942" s="448"/>
      <c r="E942" s="448"/>
      <c r="F942" s="448"/>
      <c r="G942" s="448"/>
      <c r="H942" s="448"/>
    </row>
    <row r="943" ht="14.25" customHeight="1">
      <c r="A943" s="448"/>
      <c r="B943" s="448"/>
      <c r="C943" s="448"/>
      <c r="D943" s="448"/>
      <c r="E943" s="448"/>
      <c r="F943" s="448"/>
      <c r="G943" s="448"/>
      <c r="H943" s="448"/>
    </row>
    <row r="944" ht="14.25" customHeight="1">
      <c r="A944" s="448"/>
      <c r="B944" s="448"/>
      <c r="C944" s="448"/>
      <c r="D944" s="448"/>
      <c r="E944" s="448"/>
      <c r="F944" s="448"/>
      <c r="G944" s="448"/>
      <c r="H944" s="448"/>
    </row>
    <row r="945" ht="14.25" customHeight="1">
      <c r="A945" s="448"/>
      <c r="B945" s="448"/>
      <c r="C945" s="448"/>
      <c r="D945" s="448"/>
      <c r="E945" s="448"/>
      <c r="F945" s="448"/>
      <c r="G945" s="448"/>
      <c r="H945" s="448"/>
    </row>
    <row r="946" ht="14.25" customHeight="1">
      <c r="A946" s="448"/>
      <c r="B946" s="448"/>
      <c r="C946" s="448"/>
      <c r="D946" s="448"/>
      <c r="E946" s="448"/>
      <c r="F946" s="448"/>
      <c r="G946" s="448"/>
      <c r="H946" s="448"/>
    </row>
    <row r="947" ht="14.25" customHeight="1">
      <c r="A947" s="448"/>
      <c r="B947" s="448"/>
      <c r="C947" s="448"/>
      <c r="D947" s="448"/>
      <c r="E947" s="448"/>
      <c r="F947" s="448"/>
      <c r="G947" s="448"/>
      <c r="H947" s="448"/>
    </row>
    <row r="948" ht="14.25" customHeight="1">
      <c r="A948" s="448"/>
      <c r="B948" s="448"/>
      <c r="C948" s="448"/>
      <c r="D948" s="448"/>
      <c r="E948" s="448"/>
      <c r="F948" s="448"/>
      <c r="G948" s="448"/>
      <c r="H948" s="448"/>
    </row>
    <row r="949" ht="14.25" customHeight="1">
      <c r="A949" s="448"/>
      <c r="B949" s="448"/>
      <c r="C949" s="448"/>
      <c r="D949" s="448"/>
      <c r="E949" s="448"/>
      <c r="F949" s="448"/>
      <c r="G949" s="448"/>
      <c r="H949" s="448"/>
    </row>
    <row r="950" ht="14.25" customHeight="1">
      <c r="A950" s="448"/>
      <c r="B950" s="448"/>
      <c r="C950" s="448"/>
      <c r="D950" s="448"/>
      <c r="E950" s="448"/>
      <c r="F950" s="448"/>
      <c r="G950" s="448"/>
      <c r="H950" s="448"/>
    </row>
    <row r="951" ht="14.25" customHeight="1">
      <c r="A951" s="448"/>
      <c r="B951" s="448"/>
      <c r="C951" s="448"/>
      <c r="D951" s="448"/>
      <c r="E951" s="448"/>
      <c r="F951" s="448"/>
      <c r="G951" s="448"/>
      <c r="H951" s="448"/>
    </row>
    <row r="952" ht="14.25" customHeight="1">
      <c r="A952" s="448"/>
      <c r="B952" s="448"/>
      <c r="C952" s="448"/>
      <c r="D952" s="448"/>
      <c r="E952" s="448"/>
      <c r="F952" s="448"/>
      <c r="G952" s="448"/>
      <c r="H952" s="448"/>
    </row>
    <row r="953" ht="14.25" customHeight="1">
      <c r="A953" s="448"/>
      <c r="B953" s="448"/>
      <c r="C953" s="448"/>
      <c r="D953" s="448"/>
      <c r="E953" s="448"/>
      <c r="F953" s="448"/>
      <c r="G953" s="448"/>
      <c r="H953" s="448"/>
    </row>
    <row r="954" ht="14.25" customHeight="1">
      <c r="A954" s="448"/>
      <c r="B954" s="448"/>
      <c r="C954" s="448"/>
      <c r="D954" s="448"/>
      <c r="E954" s="448"/>
      <c r="F954" s="448"/>
      <c r="G954" s="448"/>
      <c r="H954" s="448"/>
    </row>
    <row r="955" ht="14.25" customHeight="1">
      <c r="A955" s="448"/>
      <c r="B955" s="448"/>
      <c r="C955" s="448"/>
      <c r="D955" s="448"/>
      <c r="E955" s="448"/>
      <c r="F955" s="448"/>
      <c r="G955" s="448"/>
      <c r="H955" s="448"/>
    </row>
    <row r="956" ht="14.25" customHeight="1">
      <c r="A956" s="448"/>
      <c r="B956" s="448"/>
      <c r="C956" s="448"/>
      <c r="D956" s="448"/>
      <c r="E956" s="448"/>
      <c r="F956" s="448"/>
      <c r="G956" s="448"/>
      <c r="H956" s="448"/>
    </row>
    <row r="957" ht="14.25" customHeight="1">
      <c r="A957" s="448"/>
      <c r="B957" s="448"/>
      <c r="C957" s="448"/>
      <c r="D957" s="448"/>
      <c r="E957" s="448"/>
      <c r="F957" s="448"/>
      <c r="G957" s="448"/>
      <c r="H957" s="448"/>
    </row>
    <row r="958" ht="14.25" customHeight="1">
      <c r="A958" s="448"/>
      <c r="B958" s="448"/>
      <c r="C958" s="448"/>
      <c r="D958" s="448"/>
      <c r="E958" s="448"/>
      <c r="F958" s="448"/>
      <c r="G958" s="448"/>
      <c r="H958" s="448"/>
    </row>
    <row r="959" ht="14.25" customHeight="1">
      <c r="A959" s="448"/>
      <c r="B959" s="448"/>
      <c r="C959" s="448"/>
      <c r="D959" s="448"/>
      <c r="E959" s="448"/>
      <c r="F959" s="448"/>
      <c r="G959" s="448"/>
      <c r="H959" s="448"/>
    </row>
    <row r="960" ht="14.25" customHeight="1">
      <c r="A960" s="448"/>
      <c r="B960" s="448"/>
      <c r="C960" s="448"/>
      <c r="D960" s="448"/>
      <c r="E960" s="448"/>
      <c r="F960" s="448"/>
      <c r="G960" s="448"/>
      <c r="H960" s="448"/>
    </row>
    <row r="961" ht="14.25" customHeight="1">
      <c r="A961" s="448"/>
      <c r="B961" s="448"/>
      <c r="C961" s="448"/>
      <c r="D961" s="448"/>
      <c r="E961" s="448"/>
      <c r="F961" s="448"/>
      <c r="G961" s="448"/>
      <c r="H961" s="448"/>
    </row>
    <row r="962" ht="14.25" customHeight="1">
      <c r="A962" s="448"/>
      <c r="B962" s="448"/>
      <c r="C962" s="448"/>
      <c r="D962" s="448"/>
      <c r="E962" s="448"/>
      <c r="F962" s="448"/>
      <c r="G962" s="448"/>
      <c r="H962" s="448"/>
    </row>
    <row r="963" ht="14.25" customHeight="1">
      <c r="A963" s="448"/>
      <c r="B963" s="448"/>
      <c r="C963" s="448"/>
      <c r="D963" s="448"/>
      <c r="E963" s="448"/>
      <c r="F963" s="448"/>
      <c r="G963" s="448"/>
      <c r="H963" s="448"/>
    </row>
    <row r="964" ht="14.25" customHeight="1">
      <c r="A964" s="448"/>
      <c r="B964" s="448"/>
      <c r="C964" s="448"/>
      <c r="D964" s="448"/>
      <c r="E964" s="448"/>
      <c r="F964" s="448"/>
      <c r="G964" s="448"/>
      <c r="H964" s="448"/>
    </row>
    <row r="965" ht="14.25" customHeight="1">
      <c r="A965" s="448"/>
      <c r="B965" s="448"/>
      <c r="C965" s="448"/>
      <c r="D965" s="448"/>
      <c r="E965" s="448"/>
      <c r="F965" s="448"/>
      <c r="G965" s="448"/>
      <c r="H965" s="448"/>
    </row>
    <row r="966" ht="14.25" customHeight="1">
      <c r="A966" s="448"/>
      <c r="B966" s="448"/>
      <c r="C966" s="448"/>
      <c r="D966" s="448"/>
      <c r="E966" s="448"/>
      <c r="F966" s="448"/>
      <c r="G966" s="448"/>
      <c r="H966" s="448"/>
    </row>
    <row r="967" ht="14.25" customHeight="1">
      <c r="A967" s="448"/>
      <c r="B967" s="448"/>
      <c r="C967" s="448"/>
      <c r="D967" s="448"/>
      <c r="E967" s="448"/>
      <c r="F967" s="448"/>
      <c r="G967" s="448"/>
      <c r="H967" s="448"/>
    </row>
    <row r="968" ht="14.25" customHeight="1">
      <c r="A968" s="448"/>
      <c r="B968" s="448"/>
      <c r="C968" s="448"/>
      <c r="D968" s="448"/>
      <c r="E968" s="448"/>
      <c r="F968" s="448"/>
      <c r="G968" s="448"/>
      <c r="H968" s="448"/>
    </row>
    <row r="969" ht="14.25" customHeight="1">
      <c r="A969" s="448"/>
      <c r="B969" s="448"/>
      <c r="C969" s="448"/>
      <c r="D969" s="448"/>
      <c r="E969" s="448"/>
      <c r="F969" s="448"/>
      <c r="G969" s="448"/>
      <c r="H969" s="448"/>
    </row>
    <row r="970" ht="14.25" customHeight="1">
      <c r="A970" s="448"/>
      <c r="B970" s="448"/>
      <c r="C970" s="448"/>
      <c r="D970" s="448"/>
      <c r="E970" s="448"/>
      <c r="F970" s="448"/>
      <c r="G970" s="448"/>
      <c r="H970" s="448"/>
    </row>
    <row r="971" ht="14.25" customHeight="1">
      <c r="A971" s="448"/>
      <c r="B971" s="448"/>
      <c r="C971" s="448"/>
      <c r="D971" s="448"/>
      <c r="E971" s="448"/>
      <c r="F971" s="448"/>
      <c r="G971" s="448"/>
      <c r="H971" s="448"/>
    </row>
    <row r="972" ht="14.25" customHeight="1">
      <c r="A972" s="448"/>
      <c r="B972" s="448"/>
      <c r="C972" s="448"/>
      <c r="D972" s="448"/>
      <c r="E972" s="448"/>
      <c r="F972" s="448"/>
      <c r="G972" s="448"/>
      <c r="H972" s="448"/>
    </row>
    <row r="973" ht="14.25" customHeight="1">
      <c r="A973" s="448"/>
      <c r="B973" s="448"/>
      <c r="C973" s="448"/>
      <c r="D973" s="448"/>
      <c r="E973" s="448"/>
      <c r="F973" s="448"/>
      <c r="G973" s="448"/>
      <c r="H973" s="448"/>
    </row>
    <row r="974" ht="14.25" customHeight="1">
      <c r="A974" s="448"/>
      <c r="B974" s="448"/>
      <c r="C974" s="448"/>
      <c r="D974" s="448"/>
      <c r="E974" s="448"/>
      <c r="F974" s="448"/>
      <c r="G974" s="448"/>
      <c r="H974" s="448"/>
    </row>
    <row r="975" ht="14.25" customHeight="1">
      <c r="A975" s="448"/>
      <c r="B975" s="448"/>
      <c r="C975" s="448"/>
      <c r="D975" s="448"/>
      <c r="E975" s="448"/>
      <c r="F975" s="448"/>
      <c r="G975" s="448"/>
      <c r="H975" s="448"/>
    </row>
    <row r="976" ht="14.25" customHeight="1">
      <c r="A976" s="448"/>
      <c r="B976" s="448"/>
      <c r="C976" s="448"/>
      <c r="D976" s="448"/>
      <c r="E976" s="448"/>
      <c r="F976" s="448"/>
      <c r="G976" s="448"/>
      <c r="H976" s="448"/>
    </row>
    <row r="977" ht="14.25" customHeight="1">
      <c r="A977" s="448"/>
      <c r="B977" s="448"/>
      <c r="C977" s="448"/>
      <c r="D977" s="448"/>
      <c r="E977" s="448"/>
      <c r="F977" s="448"/>
      <c r="G977" s="448"/>
      <c r="H977" s="448"/>
    </row>
    <row r="978" ht="14.25" customHeight="1">
      <c r="A978" s="448"/>
      <c r="B978" s="448"/>
      <c r="C978" s="448"/>
      <c r="D978" s="448"/>
      <c r="E978" s="448"/>
      <c r="F978" s="448"/>
      <c r="G978" s="448"/>
      <c r="H978" s="448"/>
    </row>
    <row r="979" ht="14.25" customHeight="1">
      <c r="A979" s="448"/>
      <c r="B979" s="448"/>
      <c r="C979" s="448"/>
      <c r="D979" s="448"/>
      <c r="E979" s="448"/>
      <c r="F979" s="448"/>
      <c r="G979" s="448"/>
      <c r="H979" s="448"/>
    </row>
    <row r="980" ht="14.25" customHeight="1">
      <c r="A980" s="448"/>
      <c r="B980" s="448"/>
      <c r="C980" s="448"/>
      <c r="D980" s="448"/>
      <c r="E980" s="448"/>
      <c r="F980" s="448"/>
      <c r="G980" s="448"/>
      <c r="H980" s="448"/>
    </row>
    <row r="981" ht="14.25" customHeight="1">
      <c r="A981" s="448"/>
      <c r="B981" s="448"/>
      <c r="C981" s="448"/>
      <c r="D981" s="448"/>
      <c r="E981" s="448"/>
      <c r="F981" s="448"/>
      <c r="G981" s="448"/>
      <c r="H981" s="448"/>
    </row>
    <row r="982" ht="14.25" customHeight="1">
      <c r="A982" s="448"/>
      <c r="B982" s="448"/>
      <c r="C982" s="448"/>
      <c r="D982" s="448"/>
      <c r="E982" s="448"/>
      <c r="F982" s="448"/>
      <c r="G982" s="448"/>
      <c r="H982" s="448"/>
    </row>
    <row r="983" ht="14.25" customHeight="1">
      <c r="A983" s="448"/>
      <c r="B983" s="448"/>
      <c r="C983" s="448"/>
      <c r="D983" s="448"/>
      <c r="E983" s="448"/>
      <c r="F983" s="448"/>
      <c r="G983" s="448"/>
      <c r="H983" s="448"/>
    </row>
    <row r="984" ht="14.25" customHeight="1">
      <c r="A984" s="448"/>
      <c r="B984" s="448"/>
      <c r="C984" s="448"/>
      <c r="D984" s="448"/>
      <c r="E984" s="448"/>
      <c r="F984" s="448"/>
      <c r="G984" s="448"/>
      <c r="H984" s="448"/>
    </row>
    <row r="985" ht="14.25" customHeight="1">
      <c r="A985" s="448"/>
      <c r="B985" s="448"/>
      <c r="C985" s="448"/>
      <c r="D985" s="448"/>
      <c r="E985" s="448"/>
      <c r="F985" s="448"/>
      <c r="G985" s="448"/>
      <c r="H985" s="448"/>
    </row>
    <row r="986" ht="14.25" customHeight="1">
      <c r="A986" s="448"/>
      <c r="B986" s="448"/>
      <c r="C986" s="448"/>
      <c r="D986" s="448"/>
      <c r="E986" s="448"/>
      <c r="F986" s="448"/>
      <c r="G986" s="448"/>
      <c r="H986" s="448"/>
    </row>
    <row r="987" ht="14.25" customHeight="1">
      <c r="A987" s="448"/>
      <c r="B987" s="448"/>
      <c r="C987" s="448"/>
      <c r="D987" s="448"/>
      <c r="E987" s="448"/>
      <c r="F987" s="448"/>
      <c r="G987" s="448"/>
      <c r="H987" s="448"/>
    </row>
    <row r="988" ht="14.25" customHeight="1">
      <c r="A988" s="448"/>
      <c r="B988" s="448"/>
      <c r="C988" s="448"/>
      <c r="D988" s="448"/>
      <c r="E988" s="448"/>
      <c r="F988" s="448"/>
      <c r="G988" s="448"/>
      <c r="H988" s="448"/>
    </row>
    <row r="989" ht="14.25" customHeight="1">
      <c r="A989" s="448"/>
      <c r="B989" s="448"/>
      <c r="C989" s="448"/>
      <c r="D989" s="448"/>
      <c r="E989" s="448"/>
      <c r="F989" s="448"/>
      <c r="G989" s="448"/>
      <c r="H989" s="448"/>
    </row>
    <row r="990" ht="14.25" customHeight="1">
      <c r="A990" s="448"/>
      <c r="B990" s="448"/>
      <c r="C990" s="448"/>
      <c r="D990" s="448"/>
      <c r="E990" s="448"/>
      <c r="F990" s="448"/>
      <c r="G990" s="448"/>
      <c r="H990" s="448"/>
    </row>
    <row r="991" ht="14.25" customHeight="1">
      <c r="A991" s="448"/>
      <c r="B991" s="448"/>
      <c r="C991" s="448"/>
      <c r="D991" s="448"/>
      <c r="E991" s="448"/>
      <c r="F991" s="448"/>
      <c r="G991" s="448"/>
      <c r="H991" s="448"/>
    </row>
    <row r="992" ht="14.25" customHeight="1">
      <c r="A992" s="448"/>
      <c r="B992" s="448"/>
      <c r="C992" s="448"/>
      <c r="D992" s="448"/>
      <c r="E992" s="448"/>
      <c r="F992" s="448"/>
      <c r="G992" s="448"/>
      <c r="H992" s="448"/>
    </row>
    <row r="993" ht="14.25" customHeight="1">
      <c r="A993" s="448"/>
      <c r="B993" s="448"/>
      <c r="C993" s="448"/>
      <c r="D993" s="448"/>
      <c r="E993" s="448"/>
      <c r="F993" s="448"/>
      <c r="G993" s="448"/>
      <c r="H993" s="448"/>
    </row>
    <row r="994" ht="14.25" customHeight="1">
      <c r="A994" s="448"/>
      <c r="B994" s="448"/>
      <c r="C994" s="448"/>
      <c r="D994" s="448"/>
      <c r="E994" s="448"/>
      <c r="F994" s="448"/>
      <c r="G994" s="448"/>
      <c r="H994" s="448"/>
    </row>
    <row r="995" ht="14.25" customHeight="1">
      <c r="A995" s="448"/>
      <c r="B995" s="448"/>
      <c r="C995" s="448"/>
      <c r="D995" s="448"/>
      <c r="E995" s="448"/>
      <c r="F995" s="448"/>
      <c r="G995" s="448"/>
      <c r="H995" s="448"/>
    </row>
    <row r="996" ht="14.25" customHeight="1">
      <c r="A996" s="448"/>
      <c r="B996" s="448"/>
      <c r="C996" s="448"/>
      <c r="D996" s="448"/>
      <c r="E996" s="448"/>
      <c r="F996" s="448"/>
      <c r="G996" s="448"/>
      <c r="H996" s="448"/>
    </row>
    <row r="997" ht="14.25" customHeight="1">
      <c r="A997" s="448"/>
      <c r="B997" s="448"/>
      <c r="C997" s="448"/>
      <c r="D997" s="448"/>
      <c r="E997" s="448"/>
      <c r="F997" s="448"/>
      <c r="G997" s="448"/>
      <c r="H997" s="448"/>
    </row>
    <row r="998" ht="14.25" customHeight="1">
      <c r="A998" s="448"/>
      <c r="B998" s="448"/>
      <c r="C998" s="448"/>
      <c r="D998" s="448"/>
      <c r="E998" s="448"/>
      <c r="F998" s="448"/>
      <c r="G998" s="448"/>
      <c r="H998" s="448"/>
    </row>
    <row r="999" ht="14.25" customHeight="1">
      <c r="A999" s="448"/>
      <c r="B999" s="448"/>
      <c r="C999" s="448"/>
      <c r="D999" s="448"/>
      <c r="E999" s="448"/>
      <c r="F999" s="448"/>
      <c r="G999" s="448"/>
      <c r="H999" s="448"/>
    </row>
    <row r="1000" ht="14.25" customHeight="1">
      <c r="A1000" s="448"/>
      <c r="B1000" s="448"/>
      <c r="C1000" s="448"/>
      <c r="D1000" s="448"/>
      <c r="E1000" s="448"/>
      <c r="F1000" s="448"/>
      <c r="G1000" s="448"/>
      <c r="H1000" s="448"/>
    </row>
    <row r="1001" ht="14.25" customHeight="1">
      <c r="A1001" s="448"/>
      <c r="B1001" s="448"/>
      <c r="C1001" s="448"/>
      <c r="D1001" s="448"/>
      <c r="E1001" s="448"/>
      <c r="F1001" s="448"/>
      <c r="G1001" s="448"/>
      <c r="H1001" s="448"/>
    </row>
    <row r="1002" ht="14.25" customHeight="1">
      <c r="A1002" s="448"/>
      <c r="B1002" s="448"/>
      <c r="C1002" s="448"/>
      <c r="D1002" s="448"/>
      <c r="E1002" s="448"/>
      <c r="F1002" s="448"/>
      <c r="G1002" s="448"/>
      <c r="H1002" s="448"/>
    </row>
    <row r="1003" ht="14.25" customHeight="1">
      <c r="A1003" s="448"/>
      <c r="B1003" s="448"/>
      <c r="C1003" s="448"/>
      <c r="D1003" s="448"/>
      <c r="E1003" s="448"/>
      <c r="F1003" s="448"/>
      <c r="G1003" s="448"/>
      <c r="H1003" s="448"/>
    </row>
    <row r="1004" ht="14.25" customHeight="1">
      <c r="A1004" s="448"/>
      <c r="B1004" s="448"/>
      <c r="C1004" s="448"/>
      <c r="D1004" s="448"/>
      <c r="E1004" s="448"/>
      <c r="F1004" s="448"/>
      <c r="G1004" s="448"/>
      <c r="H1004" s="448"/>
    </row>
    <row r="1005" ht="14.25" customHeight="1">
      <c r="A1005" s="448"/>
      <c r="B1005" s="448"/>
      <c r="C1005" s="448"/>
      <c r="D1005" s="448"/>
      <c r="E1005" s="448"/>
      <c r="F1005" s="448"/>
      <c r="G1005" s="448"/>
      <c r="H1005" s="448"/>
    </row>
    <row r="1006" ht="14.25" customHeight="1">
      <c r="A1006" s="448"/>
      <c r="B1006" s="448"/>
      <c r="C1006" s="448"/>
      <c r="D1006" s="448"/>
      <c r="E1006" s="448"/>
      <c r="F1006" s="448"/>
      <c r="G1006" s="448"/>
      <c r="H1006" s="448"/>
    </row>
    <row r="1007" ht="14.25" customHeight="1">
      <c r="A1007" s="448"/>
      <c r="B1007" s="448"/>
      <c r="C1007" s="448"/>
      <c r="D1007" s="448"/>
      <c r="E1007" s="448"/>
      <c r="F1007" s="448"/>
      <c r="G1007" s="448"/>
      <c r="H1007" s="448"/>
    </row>
    <row r="1008" ht="14.25" customHeight="1">
      <c r="A1008" s="448"/>
      <c r="B1008" s="448"/>
      <c r="C1008" s="448"/>
      <c r="D1008" s="448"/>
      <c r="E1008" s="448"/>
      <c r="F1008" s="448"/>
      <c r="G1008" s="448"/>
      <c r="H1008" s="448"/>
    </row>
    <row r="1009" ht="14.25" customHeight="1">
      <c r="A1009" s="448"/>
      <c r="B1009" s="448"/>
      <c r="C1009" s="448"/>
      <c r="D1009" s="448"/>
      <c r="E1009" s="448"/>
      <c r="F1009" s="448"/>
      <c r="G1009" s="448"/>
      <c r="H1009" s="448"/>
    </row>
    <row r="1010" ht="14.25" customHeight="1">
      <c r="A1010" s="448"/>
      <c r="B1010" s="448"/>
      <c r="C1010" s="448"/>
      <c r="D1010" s="448"/>
      <c r="E1010" s="448"/>
      <c r="F1010" s="448"/>
      <c r="G1010" s="448"/>
      <c r="H1010" s="448"/>
    </row>
    <row r="1011" ht="14.25" customHeight="1">
      <c r="A1011" s="448"/>
      <c r="B1011" s="448"/>
      <c r="C1011" s="448"/>
      <c r="D1011" s="448"/>
      <c r="E1011" s="448"/>
      <c r="F1011" s="448"/>
      <c r="G1011" s="448"/>
      <c r="H1011" s="448"/>
    </row>
    <row r="1012" ht="14.25" customHeight="1">
      <c r="A1012" s="448"/>
      <c r="B1012" s="448"/>
      <c r="C1012" s="448"/>
      <c r="D1012" s="448"/>
      <c r="E1012" s="448"/>
      <c r="F1012" s="448"/>
      <c r="G1012" s="448"/>
      <c r="H1012" s="448"/>
    </row>
    <row r="1013" ht="14.25" customHeight="1">
      <c r="A1013" s="448"/>
      <c r="B1013" s="448"/>
      <c r="C1013" s="448"/>
      <c r="D1013" s="448"/>
      <c r="E1013" s="448"/>
      <c r="F1013" s="448"/>
      <c r="G1013" s="448"/>
      <c r="H1013" s="448"/>
    </row>
    <row r="1014" ht="14.25" customHeight="1">
      <c r="A1014" s="448"/>
      <c r="B1014" s="448"/>
      <c r="C1014" s="448"/>
      <c r="D1014" s="448"/>
      <c r="E1014" s="448"/>
      <c r="F1014" s="448"/>
      <c r="G1014" s="448"/>
      <c r="H1014" s="448"/>
    </row>
    <row r="1015" ht="14.25" customHeight="1">
      <c r="A1015" s="448"/>
      <c r="B1015" s="448"/>
      <c r="C1015" s="448"/>
      <c r="D1015" s="448"/>
      <c r="E1015" s="448"/>
      <c r="F1015" s="448"/>
      <c r="G1015" s="448"/>
      <c r="H1015" s="448"/>
    </row>
    <row r="1016" ht="14.25" customHeight="1">
      <c r="A1016" s="448"/>
      <c r="B1016" s="448"/>
      <c r="C1016" s="448"/>
      <c r="D1016" s="448"/>
      <c r="E1016" s="448"/>
      <c r="F1016" s="448"/>
      <c r="G1016" s="448"/>
      <c r="H1016" s="448"/>
    </row>
    <row r="1017" ht="14.25" customHeight="1">
      <c r="A1017" s="448"/>
      <c r="B1017" s="448"/>
      <c r="C1017" s="448"/>
      <c r="D1017" s="448"/>
      <c r="E1017" s="448"/>
      <c r="F1017" s="448"/>
      <c r="G1017" s="448"/>
      <c r="H1017" s="448"/>
    </row>
    <row r="1018" ht="14.25" customHeight="1">
      <c r="A1018" s="448"/>
      <c r="B1018" s="448"/>
      <c r="C1018" s="448"/>
      <c r="D1018" s="448"/>
      <c r="E1018" s="448"/>
      <c r="F1018" s="448"/>
      <c r="G1018" s="448"/>
      <c r="H1018" s="448"/>
    </row>
    <row r="1019" ht="14.25" customHeight="1">
      <c r="A1019" s="448"/>
      <c r="B1019" s="448"/>
      <c r="C1019" s="448"/>
      <c r="D1019" s="448"/>
      <c r="E1019" s="448"/>
      <c r="F1019" s="448"/>
      <c r="G1019" s="448"/>
      <c r="H1019" s="448"/>
    </row>
    <row r="1020" ht="14.25" customHeight="1">
      <c r="A1020" s="448"/>
      <c r="B1020" s="448"/>
      <c r="C1020" s="448"/>
      <c r="D1020" s="448"/>
      <c r="E1020" s="448"/>
      <c r="F1020" s="448"/>
      <c r="G1020" s="448"/>
      <c r="H1020" s="448"/>
    </row>
    <row r="1021" ht="14.25" customHeight="1">
      <c r="A1021" s="448"/>
      <c r="B1021" s="448"/>
      <c r="C1021" s="448"/>
      <c r="D1021" s="448"/>
      <c r="E1021" s="448"/>
      <c r="F1021" s="448"/>
      <c r="G1021" s="448"/>
      <c r="H1021" s="448"/>
    </row>
    <row r="1022" ht="14.25" customHeight="1">
      <c r="A1022" s="448"/>
      <c r="B1022" s="448"/>
      <c r="C1022" s="448"/>
      <c r="D1022" s="448"/>
      <c r="E1022" s="448"/>
      <c r="F1022" s="448"/>
      <c r="G1022" s="448"/>
      <c r="H1022" s="448"/>
    </row>
    <row r="1023" ht="14.25" customHeight="1">
      <c r="A1023" s="448"/>
      <c r="B1023" s="448"/>
      <c r="C1023" s="448"/>
      <c r="D1023" s="448"/>
      <c r="E1023" s="448"/>
      <c r="F1023" s="448"/>
      <c r="G1023" s="448"/>
      <c r="H1023" s="448"/>
    </row>
    <row r="1024" ht="14.25" customHeight="1">
      <c r="A1024" s="448"/>
      <c r="B1024" s="448"/>
      <c r="C1024" s="448"/>
      <c r="D1024" s="448"/>
      <c r="E1024" s="448"/>
      <c r="F1024" s="448"/>
      <c r="G1024" s="448"/>
      <c r="H1024" s="448"/>
    </row>
    <row r="1025" ht="14.25" customHeight="1">
      <c r="A1025" s="448"/>
      <c r="B1025" s="448"/>
      <c r="C1025" s="448"/>
      <c r="D1025" s="448"/>
      <c r="E1025" s="448"/>
      <c r="F1025" s="448"/>
      <c r="G1025" s="448"/>
      <c r="H1025" s="448"/>
    </row>
    <row r="1026" ht="14.25" customHeight="1">
      <c r="A1026" s="448"/>
      <c r="B1026" s="448"/>
      <c r="C1026" s="448"/>
      <c r="D1026" s="448"/>
      <c r="E1026" s="448"/>
      <c r="F1026" s="448"/>
      <c r="G1026" s="448"/>
      <c r="H1026" s="448"/>
    </row>
    <row r="1027" ht="14.25" customHeight="1">
      <c r="A1027" s="448"/>
      <c r="B1027" s="448"/>
      <c r="C1027" s="448"/>
      <c r="D1027" s="448"/>
      <c r="E1027" s="448"/>
      <c r="F1027" s="448"/>
      <c r="G1027" s="448"/>
      <c r="H1027" s="448"/>
    </row>
    <row r="1028" ht="14.25" customHeight="1">
      <c r="A1028" s="448"/>
      <c r="B1028" s="448"/>
      <c r="C1028" s="448"/>
      <c r="D1028" s="448"/>
      <c r="E1028" s="448"/>
      <c r="F1028" s="448"/>
      <c r="G1028" s="448"/>
      <c r="H1028" s="448"/>
    </row>
    <row r="1029" ht="14.25" customHeight="1">
      <c r="A1029" s="448"/>
      <c r="B1029" s="448"/>
      <c r="C1029" s="448"/>
      <c r="D1029" s="448"/>
      <c r="E1029" s="448"/>
      <c r="F1029" s="448"/>
      <c r="G1029" s="448"/>
      <c r="H1029" s="448"/>
    </row>
    <row r="1030" ht="14.25" customHeight="1">
      <c r="A1030" s="448"/>
      <c r="B1030" s="448"/>
      <c r="C1030" s="448"/>
      <c r="D1030" s="448"/>
      <c r="E1030" s="448"/>
      <c r="F1030" s="448"/>
      <c r="G1030" s="448"/>
      <c r="H1030" s="448"/>
    </row>
    <row r="1031" ht="14.25" customHeight="1">
      <c r="A1031" s="448"/>
      <c r="B1031" s="448"/>
      <c r="C1031" s="448"/>
      <c r="D1031" s="448"/>
      <c r="E1031" s="448"/>
      <c r="F1031" s="448"/>
      <c r="G1031" s="448"/>
      <c r="H1031" s="448"/>
    </row>
    <row r="1032" ht="14.25" customHeight="1">
      <c r="A1032" s="448"/>
      <c r="B1032" s="448"/>
      <c r="C1032" s="448"/>
      <c r="D1032" s="448"/>
      <c r="E1032" s="448"/>
      <c r="F1032" s="448"/>
      <c r="G1032" s="448"/>
      <c r="H1032" s="448"/>
    </row>
    <row r="1033" ht="14.25" customHeight="1">
      <c r="A1033" s="448"/>
      <c r="B1033" s="448"/>
      <c r="C1033" s="448"/>
      <c r="D1033" s="448"/>
      <c r="E1033" s="448"/>
      <c r="F1033" s="448"/>
      <c r="G1033" s="448"/>
      <c r="H1033" s="448"/>
    </row>
    <row r="1034" ht="14.25" customHeight="1">
      <c r="A1034" s="448"/>
      <c r="B1034" s="448"/>
      <c r="C1034" s="448"/>
      <c r="D1034" s="448"/>
      <c r="E1034" s="448"/>
      <c r="F1034" s="448"/>
      <c r="G1034" s="448"/>
      <c r="H1034" s="448"/>
    </row>
    <row r="1035" ht="14.25" customHeight="1">
      <c r="A1035" s="448"/>
      <c r="B1035" s="448"/>
      <c r="C1035" s="448"/>
      <c r="D1035" s="448"/>
      <c r="E1035" s="448"/>
      <c r="F1035" s="448"/>
      <c r="G1035" s="448"/>
      <c r="H1035" s="448"/>
    </row>
    <row r="1036" ht="14.25" customHeight="1">
      <c r="A1036" s="448"/>
      <c r="B1036" s="448"/>
      <c r="C1036" s="448"/>
      <c r="D1036" s="448"/>
      <c r="E1036" s="448"/>
      <c r="F1036" s="448"/>
      <c r="G1036" s="448"/>
      <c r="H1036" s="448"/>
    </row>
    <row r="1037" ht="14.25" customHeight="1">
      <c r="A1037" s="448"/>
      <c r="B1037" s="448"/>
      <c r="C1037" s="448"/>
      <c r="D1037" s="448"/>
      <c r="E1037" s="448"/>
      <c r="F1037" s="448"/>
      <c r="G1037" s="448"/>
      <c r="H1037" s="448"/>
    </row>
    <row r="1038" ht="14.25" customHeight="1">
      <c r="A1038" s="448"/>
      <c r="B1038" s="448"/>
      <c r="C1038" s="448"/>
      <c r="D1038" s="448"/>
      <c r="E1038" s="448"/>
      <c r="F1038" s="448"/>
      <c r="G1038" s="448"/>
      <c r="H1038" s="448"/>
    </row>
    <row r="1039" ht="14.25" customHeight="1">
      <c r="A1039" s="448"/>
      <c r="B1039" s="448"/>
      <c r="C1039" s="448"/>
      <c r="D1039" s="448"/>
      <c r="E1039" s="448"/>
      <c r="F1039" s="448"/>
      <c r="G1039" s="448"/>
      <c r="H1039" s="448"/>
    </row>
    <row r="1040" ht="14.25" customHeight="1">
      <c r="A1040" s="448"/>
      <c r="B1040" s="448"/>
      <c r="C1040" s="448"/>
      <c r="D1040" s="448"/>
      <c r="E1040" s="448"/>
      <c r="F1040" s="448"/>
      <c r="G1040" s="448"/>
      <c r="H1040" s="448"/>
    </row>
    <row r="1041" ht="14.25" customHeight="1">
      <c r="A1041" s="448"/>
      <c r="B1041" s="448"/>
      <c r="C1041" s="448"/>
      <c r="D1041" s="448"/>
      <c r="E1041" s="448"/>
      <c r="F1041" s="448"/>
      <c r="G1041" s="448"/>
      <c r="H1041" s="448"/>
    </row>
  </sheetData>
  <mergeCells count="43">
    <mergeCell ref="D7:E7"/>
    <mergeCell ref="D8:E8"/>
    <mergeCell ref="A1:H1"/>
    <mergeCell ref="D3:E3"/>
    <mergeCell ref="D4:E4"/>
    <mergeCell ref="D5:E5"/>
    <mergeCell ref="H5:H6"/>
    <mergeCell ref="D6:E6"/>
    <mergeCell ref="A8:B8"/>
    <mergeCell ref="E13:E14"/>
    <mergeCell ref="F13:H14"/>
    <mergeCell ref="A9:B9"/>
    <mergeCell ref="D9:E9"/>
    <mergeCell ref="A11:C11"/>
    <mergeCell ref="D11:H11"/>
    <mergeCell ref="A12:H12"/>
    <mergeCell ref="B13:C13"/>
    <mergeCell ref="D13:D14"/>
    <mergeCell ref="B14:C14"/>
    <mergeCell ref="A15:H15"/>
    <mergeCell ref="B16:C16"/>
    <mergeCell ref="D16:D18"/>
    <mergeCell ref="E16:E18"/>
    <mergeCell ref="F16:H18"/>
    <mergeCell ref="B17:C17"/>
    <mergeCell ref="B18:C18"/>
    <mergeCell ref="A19:H19"/>
    <mergeCell ref="B20:C20"/>
    <mergeCell ref="D20:D22"/>
    <mergeCell ref="E20:E22"/>
    <mergeCell ref="F20:H22"/>
    <mergeCell ref="B21:C21"/>
    <mergeCell ref="A37:H37"/>
    <mergeCell ref="A38:H38"/>
    <mergeCell ref="A39:H39"/>
    <mergeCell ref="A40:H40"/>
    <mergeCell ref="B22:C22"/>
    <mergeCell ref="B25:C25"/>
    <mergeCell ref="B26:C26"/>
    <mergeCell ref="A33:H33"/>
    <mergeCell ref="A34:H34"/>
    <mergeCell ref="A35:H35"/>
    <mergeCell ref="A36:H36"/>
  </mergeCells>
  <printOptions horizontalCentered="1"/>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14"/>
    <col customWidth="1" min="2" max="2" width="4.0"/>
    <col customWidth="1" min="3" max="3" width="32.71"/>
    <col customWidth="1" min="4" max="4" width="2.71"/>
    <col customWidth="1" min="5" max="5" width="14.43"/>
    <col customWidth="1" min="6" max="6" width="4.0"/>
    <col customWidth="1" min="7" max="7" width="20.14"/>
    <col customWidth="1" min="12" max="12" width="3.43"/>
    <col customWidth="1" min="17" max="17" width="7.0"/>
    <col customWidth="1" min="18" max="18" width="4.57"/>
    <col customWidth="1" min="19" max="19" width="38.71"/>
    <col customWidth="1" min="20" max="20" width="1.57"/>
    <col customWidth="1" min="21" max="21" width="9.57"/>
    <col customWidth="1" min="23" max="23" width="19.14"/>
    <col customWidth="1" min="24" max="24" width="7.29"/>
  </cols>
  <sheetData>
    <row r="1">
      <c r="A1" s="729"/>
      <c r="H1" s="730"/>
      <c r="I1" s="730"/>
      <c r="J1" s="730"/>
      <c r="K1" s="730"/>
      <c r="L1" s="730"/>
      <c r="M1" s="730"/>
      <c r="N1" s="730"/>
      <c r="O1" s="730"/>
      <c r="P1" s="730"/>
      <c r="Q1" s="730"/>
      <c r="R1" s="730"/>
      <c r="S1" s="730"/>
      <c r="T1" s="730"/>
      <c r="U1" s="730"/>
      <c r="V1" s="730"/>
      <c r="W1" s="730"/>
      <c r="X1" s="730"/>
      <c r="Y1" s="730"/>
      <c r="Z1" s="730"/>
      <c r="AA1" s="730"/>
      <c r="AB1" s="730"/>
      <c r="AC1" s="730"/>
    </row>
    <row r="2">
      <c r="H2" s="730"/>
      <c r="I2" s="730"/>
      <c r="J2" s="730"/>
      <c r="K2" s="730"/>
      <c r="L2" s="730"/>
      <c r="M2" s="730"/>
      <c r="N2" s="730"/>
      <c r="O2" s="730"/>
      <c r="P2" s="730"/>
      <c r="Q2" s="730"/>
      <c r="R2" s="730"/>
      <c r="S2" s="730"/>
      <c r="T2" s="730"/>
      <c r="U2" s="730"/>
      <c r="V2" s="730"/>
      <c r="W2" s="730"/>
      <c r="X2" s="730"/>
      <c r="Y2" s="730"/>
      <c r="Z2" s="730"/>
      <c r="AA2" s="730"/>
      <c r="AB2" s="730"/>
      <c r="AC2" s="730"/>
    </row>
    <row r="3">
      <c r="H3" s="730"/>
      <c r="I3" s="730"/>
      <c r="J3" s="730"/>
      <c r="K3" s="730"/>
      <c r="L3" s="730"/>
      <c r="M3" s="730"/>
      <c r="N3" s="730"/>
      <c r="O3" s="730"/>
      <c r="P3" s="730"/>
      <c r="Q3" s="730"/>
      <c r="R3" s="730"/>
      <c r="S3" s="730"/>
      <c r="T3" s="730"/>
      <c r="U3" s="730"/>
      <c r="V3" s="730"/>
      <c r="W3" s="730"/>
      <c r="X3" s="730"/>
      <c r="Y3" s="730"/>
      <c r="Z3" s="730"/>
      <c r="AA3" s="730"/>
      <c r="AB3" s="730"/>
      <c r="AC3" s="730"/>
    </row>
    <row r="4">
      <c r="H4" s="730"/>
      <c r="I4" s="730"/>
      <c r="J4" s="730"/>
      <c r="K4" s="730"/>
      <c r="L4" s="730"/>
      <c r="M4" s="730"/>
      <c r="N4" s="730"/>
      <c r="O4" s="730"/>
      <c r="P4" s="730"/>
      <c r="Q4" s="730"/>
      <c r="R4" s="730"/>
      <c r="S4" s="730"/>
      <c r="T4" s="730"/>
      <c r="U4" s="730"/>
      <c r="V4" s="730"/>
      <c r="W4" s="730"/>
      <c r="X4" s="730"/>
      <c r="Y4" s="730"/>
      <c r="Z4" s="730"/>
      <c r="AA4" s="730"/>
      <c r="AB4" s="730"/>
      <c r="AC4" s="730"/>
    </row>
    <row r="5">
      <c r="H5" s="730"/>
      <c r="I5" s="730"/>
      <c r="J5" s="730"/>
      <c r="K5" s="730"/>
      <c r="L5" s="730"/>
      <c r="M5" s="730"/>
      <c r="N5" s="730"/>
      <c r="O5" s="730"/>
      <c r="P5" s="730"/>
      <c r="Q5" s="730"/>
      <c r="R5" s="730"/>
      <c r="S5" s="730"/>
      <c r="T5" s="730"/>
      <c r="U5" s="730"/>
      <c r="V5" s="730"/>
      <c r="W5" s="730"/>
      <c r="X5" s="730"/>
      <c r="Y5" s="730"/>
      <c r="Z5" s="730"/>
      <c r="AA5" s="730"/>
      <c r="AB5" s="730"/>
      <c r="AC5" s="730"/>
    </row>
    <row r="6">
      <c r="H6" s="730"/>
      <c r="I6" s="730"/>
      <c r="J6" s="730"/>
      <c r="K6" s="730"/>
      <c r="L6" s="730"/>
      <c r="M6" s="730"/>
      <c r="N6" s="730"/>
      <c r="O6" s="730"/>
      <c r="P6" s="730"/>
      <c r="Q6" s="730"/>
      <c r="R6" s="730"/>
      <c r="S6" s="730"/>
      <c r="T6" s="730"/>
      <c r="U6" s="730"/>
      <c r="V6" s="730"/>
      <c r="W6" s="730"/>
      <c r="X6" s="730"/>
      <c r="Y6" s="730"/>
      <c r="Z6" s="730"/>
      <c r="AA6" s="730"/>
      <c r="AB6" s="730"/>
      <c r="AC6" s="730"/>
    </row>
    <row r="7">
      <c r="H7" s="730"/>
      <c r="I7" s="730"/>
      <c r="J7" s="730"/>
      <c r="K7" s="730"/>
      <c r="L7" s="730"/>
      <c r="M7" s="730"/>
      <c r="N7" s="730"/>
      <c r="O7" s="730"/>
      <c r="P7" s="730"/>
      <c r="Q7" s="730"/>
      <c r="R7" s="730"/>
      <c r="S7" s="730"/>
      <c r="T7" s="730"/>
      <c r="U7" s="730"/>
      <c r="V7" s="730"/>
      <c r="W7" s="730"/>
      <c r="X7" s="730"/>
      <c r="Y7" s="730"/>
      <c r="Z7" s="730"/>
      <c r="AA7" s="730"/>
      <c r="AB7" s="730"/>
      <c r="AC7" s="730"/>
    </row>
    <row r="8">
      <c r="H8" s="730"/>
      <c r="I8" s="730"/>
      <c r="J8" s="730"/>
      <c r="K8" s="730"/>
      <c r="L8" s="730"/>
      <c r="M8" s="730"/>
      <c r="N8" s="730"/>
      <c r="O8" s="730"/>
      <c r="P8" s="730"/>
      <c r="Q8" s="730"/>
      <c r="R8" s="730"/>
      <c r="S8" s="730"/>
      <c r="T8" s="730"/>
      <c r="U8" s="730"/>
      <c r="V8" s="730"/>
      <c r="W8" s="730"/>
      <c r="X8" s="730"/>
      <c r="Y8" s="730"/>
      <c r="Z8" s="730"/>
      <c r="AA8" s="730"/>
      <c r="AB8" s="730"/>
      <c r="AC8" s="730"/>
    </row>
    <row r="9">
      <c r="A9" s="731"/>
      <c r="B9" s="731"/>
      <c r="C9" s="731"/>
      <c r="D9" s="731"/>
      <c r="E9" s="731"/>
      <c r="F9" s="731"/>
      <c r="G9" s="731"/>
      <c r="H9" s="730"/>
      <c r="I9" s="730"/>
      <c r="J9" s="730"/>
      <c r="K9" s="730"/>
      <c r="L9" s="730"/>
      <c r="M9" s="730"/>
      <c r="N9" s="730"/>
      <c r="O9" s="730"/>
      <c r="P9" s="730"/>
      <c r="Q9" s="730"/>
      <c r="R9" s="730"/>
      <c r="S9" s="730"/>
      <c r="T9" s="730"/>
      <c r="U9" s="730"/>
      <c r="V9" s="730"/>
      <c r="W9" s="730"/>
      <c r="X9" s="730"/>
      <c r="Y9" s="730"/>
      <c r="Z9" s="730"/>
      <c r="AA9" s="730"/>
      <c r="AB9" s="730"/>
      <c r="AC9" s="730"/>
    </row>
    <row r="10">
      <c r="A10" s="731"/>
      <c r="H10" s="730"/>
      <c r="I10" s="730"/>
      <c r="J10" s="730"/>
      <c r="K10" s="730"/>
      <c r="L10" s="730"/>
      <c r="M10" s="730"/>
      <c r="N10" s="730"/>
      <c r="O10" s="730"/>
      <c r="P10" s="730"/>
      <c r="Q10" s="730"/>
      <c r="R10" s="730"/>
      <c r="S10" s="730"/>
      <c r="T10" s="730"/>
      <c r="U10" s="730"/>
      <c r="V10" s="730"/>
      <c r="W10" s="730"/>
      <c r="X10" s="730"/>
      <c r="Y10" s="730"/>
      <c r="Z10" s="730"/>
      <c r="AA10" s="730"/>
      <c r="AB10" s="730"/>
      <c r="AC10" s="730"/>
    </row>
    <row r="11">
      <c r="A11" s="731"/>
      <c r="H11" s="730"/>
      <c r="I11" s="730"/>
      <c r="J11" s="730"/>
      <c r="K11" s="730"/>
      <c r="L11" s="730"/>
      <c r="M11" s="730"/>
      <c r="N11" s="730"/>
      <c r="O11" s="730"/>
      <c r="P11" s="730"/>
      <c r="Q11" s="730"/>
      <c r="R11" s="730"/>
      <c r="S11" s="730"/>
      <c r="T11" s="730"/>
      <c r="U11" s="730"/>
      <c r="V11" s="730"/>
      <c r="W11" s="730"/>
      <c r="X11" s="730"/>
      <c r="Y11" s="730"/>
      <c r="Z11" s="730"/>
      <c r="AA11" s="730"/>
      <c r="AB11" s="730"/>
      <c r="AC11" s="730"/>
    </row>
    <row r="12">
      <c r="A12" s="732" t="s">
        <v>466</v>
      </c>
      <c r="H12" s="733"/>
      <c r="I12" s="733"/>
      <c r="J12" s="733"/>
      <c r="K12" s="733"/>
      <c r="L12" s="733"/>
      <c r="M12" s="733"/>
      <c r="N12" s="733"/>
      <c r="O12" s="733"/>
      <c r="P12" s="733"/>
      <c r="Q12" s="733"/>
      <c r="R12" s="733"/>
      <c r="S12" s="733"/>
      <c r="T12" s="733"/>
      <c r="U12" s="733"/>
      <c r="V12" s="733"/>
      <c r="W12" s="733"/>
      <c r="X12" s="733"/>
      <c r="Y12" s="733"/>
      <c r="Z12" s="733"/>
      <c r="AA12" s="733"/>
      <c r="AB12" s="733"/>
      <c r="AC12" s="733"/>
    </row>
    <row r="13">
      <c r="A13" s="732" t="s">
        <v>467</v>
      </c>
      <c r="H13" s="733"/>
      <c r="I13" s="733"/>
      <c r="J13" s="733"/>
      <c r="K13" s="733"/>
      <c r="L13" s="733"/>
      <c r="M13" s="733"/>
      <c r="N13" s="733"/>
      <c r="O13" s="733"/>
      <c r="P13" s="733"/>
      <c r="Q13" s="733"/>
      <c r="R13" s="733"/>
      <c r="S13" s="733"/>
      <c r="T13" s="733"/>
      <c r="U13" s="733"/>
      <c r="V13" s="733"/>
      <c r="W13" s="733"/>
      <c r="X13" s="733"/>
      <c r="Y13" s="733"/>
      <c r="Z13" s="733"/>
      <c r="AA13" s="733"/>
      <c r="AB13" s="733"/>
      <c r="AC13" s="733"/>
    </row>
    <row r="14">
      <c r="A14" s="731"/>
      <c r="H14" s="730"/>
      <c r="I14" s="730"/>
      <c r="J14" s="730"/>
      <c r="K14" s="730"/>
      <c r="L14" s="730"/>
      <c r="M14" s="730"/>
      <c r="N14" s="730"/>
      <c r="O14" s="730"/>
      <c r="P14" s="730"/>
      <c r="Q14" s="730"/>
      <c r="R14" s="730"/>
      <c r="S14" s="730"/>
      <c r="T14" s="730"/>
      <c r="U14" s="730"/>
      <c r="V14" s="730"/>
      <c r="W14" s="730"/>
      <c r="X14" s="730"/>
      <c r="Y14" s="730"/>
      <c r="Z14" s="730"/>
      <c r="AA14" s="730"/>
      <c r="AB14" s="730"/>
      <c r="AC14" s="730"/>
    </row>
    <row r="15">
      <c r="A15" s="731"/>
      <c r="H15" s="730"/>
      <c r="I15" s="730"/>
      <c r="J15" s="730"/>
      <c r="K15" s="730"/>
      <c r="L15" s="730"/>
      <c r="M15" s="730"/>
      <c r="N15" s="730"/>
      <c r="O15" s="730"/>
      <c r="P15" s="730"/>
      <c r="Q15" s="730"/>
      <c r="R15" s="730"/>
      <c r="S15" s="730"/>
      <c r="T15" s="730"/>
      <c r="U15" s="730"/>
      <c r="V15" s="730"/>
      <c r="W15" s="730"/>
      <c r="X15" s="730"/>
      <c r="Y15" s="730"/>
      <c r="Z15" s="730"/>
      <c r="AA15" s="730"/>
      <c r="AB15" s="730"/>
      <c r="AC15" s="730"/>
    </row>
    <row r="16">
      <c r="A16" s="731"/>
      <c r="H16" s="730"/>
      <c r="I16" s="730"/>
      <c r="J16" s="730"/>
      <c r="K16" s="730"/>
      <c r="L16" s="730"/>
      <c r="M16" s="730"/>
      <c r="N16" s="730"/>
      <c r="O16" s="730"/>
      <c r="P16" s="730"/>
      <c r="Q16" s="730"/>
      <c r="R16" s="730"/>
      <c r="S16" s="730"/>
      <c r="T16" s="730"/>
      <c r="U16" s="730"/>
      <c r="V16" s="730"/>
      <c r="W16" s="730"/>
      <c r="X16" s="730"/>
      <c r="Y16" s="730"/>
      <c r="Z16" s="730"/>
      <c r="AA16" s="730"/>
      <c r="AB16" s="730"/>
      <c r="AC16" s="730"/>
    </row>
    <row r="17">
      <c r="H17" s="730"/>
      <c r="I17" s="730"/>
      <c r="J17" s="730"/>
      <c r="K17" s="730"/>
      <c r="L17" s="730"/>
      <c r="M17" s="730"/>
      <c r="N17" s="730"/>
      <c r="O17" s="730"/>
      <c r="P17" s="730"/>
      <c r="Q17" s="730"/>
      <c r="R17" s="730"/>
      <c r="S17" s="730"/>
      <c r="T17" s="730"/>
      <c r="U17" s="730"/>
      <c r="V17" s="730"/>
      <c r="W17" s="730"/>
      <c r="X17" s="730"/>
      <c r="Y17" s="730"/>
      <c r="Z17" s="730"/>
      <c r="AA17" s="730"/>
      <c r="AB17" s="730"/>
      <c r="AC17" s="730"/>
    </row>
    <row r="18">
      <c r="H18" s="730"/>
      <c r="I18" s="730"/>
      <c r="J18" s="730"/>
      <c r="K18" s="730"/>
      <c r="L18" s="730"/>
      <c r="M18" s="730"/>
      <c r="N18" s="730"/>
      <c r="O18" s="730"/>
      <c r="P18" s="730"/>
      <c r="Q18" s="730"/>
      <c r="R18" s="730"/>
      <c r="S18" s="730"/>
      <c r="T18" s="730"/>
      <c r="U18" s="730"/>
      <c r="V18" s="730"/>
      <c r="W18" s="730"/>
      <c r="X18" s="730"/>
      <c r="Y18" s="730"/>
      <c r="Z18" s="730"/>
      <c r="AA18" s="730"/>
      <c r="AB18" s="730"/>
      <c r="AC18" s="730"/>
    </row>
    <row r="19">
      <c r="H19" s="730"/>
      <c r="I19" s="730"/>
      <c r="J19" s="730"/>
      <c r="K19" s="730"/>
      <c r="L19" s="730"/>
      <c r="M19" s="730"/>
      <c r="N19" s="730"/>
      <c r="O19" s="730"/>
      <c r="P19" s="730"/>
      <c r="Q19" s="730"/>
      <c r="R19" s="730"/>
      <c r="S19" s="730"/>
      <c r="T19" s="730"/>
      <c r="U19" s="730"/>
      <c r="V19" s="730"/>
      <c r="W19" s="730"/>
      <c r="X19" s="730"/>
      <c r="Y19" s="730"/>
      <c r="Z19" s="730"/>
      <c r="AA19" s="730"/>
      <c r="AB19" s="730"/>
      <c r="AC19" s="730"/>
    </row>
    <row r="20">
      <c r="H20" s="730"/>
      <c r="I20" s="730"/>
      <c r="J20" s="730"/>
      <c r="K20" s="730"/>
      <c r="L20" s="730"/>
      <c r="M20" s="730"/>
      <c r="N20" s="730"/>
      <c r="O20" s="730"/>
      <c r="P20" s="730"/>
      <c r="Q20" s="730"/>
      <c r="R20" s="730"/>
      <c r="S20" s="730"/>
      <c r="T20" s="730"/>
      <c r="U20" s="730"/>
      <c r="V20" s="730"/>
      <c r="W20" s="730"/>
      <c r="X20" s="730"/>
      <c r="Y20" s="730"/>
      <c r="Z20" s="730"/>
      <c r="AA20" s="730"/>
      <c r="AB20" s="730"/>
      <c r="AC20" s="730"/>
    </row>
    <row r="21">
      <c r="H21" s="730"/>
      <c r="I21" s="730"/>
      <c r="J21" s="730"/>
      <c r="K21" s="730"/>
      <c r="L21" s="730"/>
      <c r="M21" s="730"/>
      <c r="N21" s="730"/>
      <c r="O21" s="730"/>
      <c r="P21" s="730"/>
      <c r="Q21" s="730"/>
      <c r="R21" s="730"/>
      <c r="S21" s="730"/>
      <c r="T21" s="730"/>
      <c r="U21" s="730"/>
      <c r="V21" s="730"/>
      <c r="W21" s="730"/>
      <c r="X21" s="730"/>
      <c r="Y21" s="730"/>
      <c r="Z21" s="730"/>
      <c r="AA21" s="730"/>
      <c r="AB21" s="730"/>
      <c r="AC21" s="730"/>
    </row>
    <row r="22">
      <c r="H22" s="730"/>
      <c r="I22" s="730"/>
      <c r="J22" s="730"/>
      <c r="K22" s="730"/>
      <c r="L22" s="730"/>
      <c r="M22" s="730"/>
      <c r="N22" s="730"/>
      <c r="O22" s="730"/>
      <c r="P22" s="730"/>
      <c r="Q22" s="730"/>
      <c r="R22" s="730"/>
      <c r="S22" s="730"/>
      <c r="T22" s="730"/>
      <c r="U22" s="730"/>
      <c r="V22" s="730"/>
      <c r="W22" s="730"/>
      <c r="X22" s="730"/>
      <c r="Y22" s="730"/>
      <c r="Z22" s="730"/>
      <c r="AA22" s="730"/>
      <c r="AB22" s="730"/>
      <c r="AC22" s="730"/>
    </row>
    <row r="23">
      <c r="H23" s="730"/>
      <c r="I23" s="730"/>
      <c r="J23" s="730"/>
      <c r="K23" s="730"/>
      <c r="L23" s="730"/>
      <c r="M23" s="730"/>
      <c r="N23" s="730"/>
      <c r="O23" s="730"/>
      <c r="P23" s="730"/>
      <c r="Q23" s="730"/>
      <c r="R23" s="730"/>
      <c r="S23" s="730"/>
      <c r="T23" s="730"/>
      <c r="U23" s="730"/>
      <c r="V23" s="730"/>
      <c r="W23" s="730"/>
      <c r="X23" s="730"/>
      <c r="Y23" s="730"/>
      <c r="Z23" s="730"/>
      <c r="AA23" s="730"/>
      <c r="AB23" s="730"/>
      <c r="AC23" s="730"/>
    </row>
    <row r="24">
      <c r="A24" s="731"/>
      <c r="H24" s="730"/>
      <c r="I24" s="730"/>
      <c r="J24" s="730"/>
      <c r="K24" s="730"/>
      <c r="L24" s="730"/>
      <c r="M24" s="730"/>
      <c r="N24" s="730"/>
      <c r="O24" s="730"/>
      <c r="P24" s="730"/>
      <c r="Q24" s="730"/>
      <c r="R24" s="730"/>
      <c r="S24" s="730"/>
      <c r="T24" s="730"/>
      <c r="U24" s="730"/>
      <c r="V24" s="730"/>
      <c r="W24" s="730"/>
      <c r="X24" s="730"/>
      <c r="Y24" s="730"/>
      <c r="Z24" s="730"/>
      <c r="AA24" s="730"/>
      <c r="AB24" s="730"/>
      <c r="AC24" s="730"/>
    </row>
    <row r="25">
      <c r="A25" s="731"/>
      <c r="B25" s="731"/>
      <c r="C25" s="731"/>
      <c r="D25" s="731"/>
      <c r="E25" s="731"/>
      <c r="F25" s="731"/>
      <c r="G25" s="731"/>
      <c r="H25" s="730"/>
      <c r="I25" s="730"/>
      <c r="J25" s="730"/>
      <c r="K25" s="730"/>
      <c r="L25" s="730"/>
      <c r="M25" s="730"/>
      <c r="N25" s="730"/>
      <c r="O25" s="730"/>
      <c r="P25" s="730"/>
      <c r="Q25" s="730"/>
      <c r="R25" s="730"/>
      <c r="S25" s="730"/>
      <c r="T25" s="730"/>
      <c r="U25" s="730"/>
      <c r="V25" s="730"/>
      <c r="W25" s="730"/>
      <c r="X25" s="730"/>
      <c r="Y25" s="730"/>
      <c r="Z25" s="730"/>
      <c r="AA25" s="730"/>
      <c r="AB25" s="730"/>
      <c r="AC25" s="730"/>
    </row>
    <row r="26">
      <c r="A26" s="731"/>
      <c r="H26" s="730"/>
      <c r="I26" s="730"/>
      <c r="J26" s="730"/>
      <c r="K26" s="730"/>
      <c r="L26" s="730"/>
      <c r="M26" s="730"/>
      <c r="N26" s="730"/>
      <c r="O26" s="730"/>
      <c r="P26" s="730"/>
      <c r="Q26" s="730"/>
      <c r="R26" s="730"/>
      <c r="S26" s="730"/>
      <c r="T26" s="730"/>
      <c r="U26" s="730"/>
      <c r="V26" s="730"/>
      <c r="W26" s="730"/>
      <c r="X26" s="730"/>
      <c r="Y26" s="730"/>
      <c r="Z26" s="730"/>
      <c r="AA26" s="730"/>
      <c r="AB26" s="730"/>
      <c r="AC26" s="730"/>
    </row>
    <row r="27">
      <c r="A27" s="732" t="s">
        <v>468</v>
      </c>
      <c r="H27" s="733"/>
      <c r="I27" s="733"/>
      <c r="J27" s="733"/>
      <c r="K27" s="733"/>
      <c r="L27" s="733"/>
      <c r="M27" s="733"/>
      <c r="N27" s="733"/>
      <c r="O27" s="733"/>
      <c r="P27" s="733"/>
      <c r="Q27" s="733"/>
      <c r="R27" s="733"/>
      <c r="S27" s="733"/>
      <c r="T27" s="733"/>
      <c r="U27" s="733"/>
      <c r="V27" s="733"/>
      <c r="W27" s="733"/>
      <c r="X27" s="733"/>
      <c r="Y27" s="733"/>
      <c r="Z27" s="733"/>
      <c r="AA27" s="733"/>
      <c r="AB27" s="733"/>
      <c r="AC27" s="733"/>
    </row>
    <row r="28" ht="3.75" customHeight="1">
      <c r="A28" s="732"/>
      <c r="B28" s="732"/>
      <c r="C28" s="732"/>
      <c r="D28" s="732"/>
      <c r="E28" s="732"/>
      <c r="F28" s="732"/>
      <c r="G28" s="732"/>
      <c r="H28" s="733"/>
      <c r="I28" s="733"/>
      <c r="J28" s="733"/>
      <c r="K28" s="733"/>
      <c r="L28" s="733"/>
      <c r="M28" s="733"/>
      <c r="N28" s="733"/>
      <c r="O28" s="733"/>
      <c r="P28" s="733"/>
      <c r="Q28" s="733"/>
      <c r="R28" s="733"/>
      <c r="S28" s="733"/>
      <c r="T28" s="733"/>
      <c r="U28" s="733"/>
      <c r="V28" s="733"/>
      <c r="W28" s="733"/>
      <c r="X28" s="733"/>
      <c r="Y28" s="733"/>
      <c r="Z28" s="733"/>
      <c r="AA28" s="733"/>
      <c r="AB28" s="733"/>
      <c r="AC28" s="733"/>
    </row>
    <row r="29" ht="30.0" customHeight="1">
      <c r="A29" s="732"/>
      <c r="B29" s="734" t="str">
        <f>'AREA-WALAS'!$B$5</f>
        <v>MUHAMMAD GALANG GUNAWAN</v>
      </c>
      <c r="C29" s="466"/>
      <c r="D29" s="466"/>
      <c r="E29" s="466"/>
      <c r="F29" s="467"/>
      <c r="G29" s="732"/>
      <c r="H29" s="733"/>
      <c r="I29" s="733"/>
      <c r="J29" s="733"/>
      <c r="K29" s="733"/>
      <c r="L29" s="733"/>
      <c r="M29" s="733"/>
      <c r="N29" s="733"/>
      <c r="O29" s="733"/>
      <c r="P29" s="733"/>
      <c r="Q29" s="733"/>
      <c r="R29" s="733"/>
      <c r="S29" s="733"/>
      <c r="T29" s="733"/>
      <c r="U29" s="733"/>
      <c r="V29" s="733"/>
      <c r="W29" s="733"/>
      <c r="X29" s="733"/>
      <c r="Y29" s="733"/>
      <c r="Z29" s="733"/>
      <c r="AA29" s="733"/>
      <c r="AB29" s="733"/>
      <c r="AC29" s="733"/>
    </row>
    <row r="30">
      <c r="A30" s="732"/>
      <c r="B30" s="732"/>
      <c r="C30" s="732"/>
      <c r="D30" s="732"/>
      <c r="E30" s="732"/>
      <c r="F30" s="732"/>
      <c r="G30" s="732"/>
      <c r="H30" s="733"/>
      <c r="I30" s="733"/>
      <c r="J30" s="733"/>
      <c r="K30" s="733"/>
      <c r="L30" s="733"/>
      <c r="M30" s="733"/>
      <c r="N30" s="733"/>
      <c r="O30" s="733"/>
      <c r="P30" s="733"/>
      <c r="Q30" s="733"/>
      <c r="R30" s="733"/>
      <c r="S30" s="733"/>
      <c r="T30" s="733"/>
      <c r="U30" s="733"/>
      <c r="V30" s="733"/>
      <c r="W30" s="733"/>
      <c r="X30" s="733"/>
      <c r="Y30" s="733"/>
      <c r="Z30" s="733"/>
      <c r="AA30" s="733"/>
      <c r="AB30" s="733"/>
      <c r="AC30" s="733"/>
    </row>
    <row r="31">
      <c r="A31" s="732" t="s">
        <v>469</v>
      </c>
      <c r="H31" s="733"/>
      <c r="I31" s="733"/>
      <c r="J31" s="733"/>
      <c r="K31" s="733"/>
      <c r="L31" s="733"/>
      <c r="M31" s="733"/>
      <c r="N31" s="733"/>
      <c r="O31" s="733"/>
      <c r="P31" s="733"/>
      <c r="Q31" s="733"/>
      <c r="R31" s="733"/>
      <c r="S31" s="733"/>
      <c r="T31" s="733"/>
      <c r="U31" s="733"/>
      <c r="V31" s="733"/>
      <c r="W31" s="733"/>
      <c r="X31" s="733"/>
      <c r="Y31" s="733"/>
      <c r="Z31" s="733"/>
      <c r="AA31" s="733"/>
      <c r="AB31" s="733"/>
      <c r="AC31" s="733"/>
    </row>
    <row r="32" ht="3.75" customHeight="1">
      <c r="A32" s="732"/>
      <c r="B32" s="732"/>
      <c r="C32" s="732"/>
      <c r="D32" s="732"/>
      <c r="E32" s="732"/>
      <c r="F32" s="732"/>
      <c r="G32" s="732"/>
      <c r="H32" s="733"/>
      <c r="I32" s="733"/>
      <c r="J32" s="733"/>
      <c r="K32" s="733"/>
      <c r="L32" s="733"/>
      <c r="M32" s="733"/>
      <c r="N32" s="733"/>
      <c r="O32" s="733"/>
      <c r="P32" s="733"/>
      <c r="Q32" s="733"/>
      <c r="R32" s="733"/>
      <c r="S32" s="733"/>
      <c r="T32" s="733"/>
      <c r="U32" s="733"/>
      <c r="V32" s="733"/>
      <c r="W32" s="733"/>
      <c r="X32" s="733"/>
      <c r="Y32" s="733"/>
      <c r="Z32" s="733"/>
      <c r="AA32" s="733"/>
      <c r="AB32" s="733"/>
      <c r="AC32" s="733"/>
    </row>
    <row r="33" ht="30.0" customHeight="1">
      <c r="A33" s="732"/>
      <c r="B33" s="735" t="str">
        <f t="array" ref="B33">index('INPUT SUMATIF'!$B$5:$B$54,match($U$57,'INPUT SUMATIF'!$D$5:$D$54,0))&amp;" / "&amp;
index('INPUT SUMATIF'!$C$5:$C$54,match($U$57,'INPUT SUMATIF'!$D$5:$D$54,0))</f>
        <v>2526100440 / 0105005356</v>
      </c>
      <c r="C33" s="466"/>
      <c r="D33" s="466"/>
      <c r="E33" s="466"/>
      <c r="F33" s="467"/>
      <c r="G33" s="732"/>
      <c r="H33" s="733"/>
      <c r="I33" s="733"/>
      <c r="J33" s="733"/>
      <c r="K33" s="733"/>
      <c r="L33" s="733"/>
      <c r="M33" s="733"/>
      <c r="N33" s="733"/>
      <c r="O33" s="733"/>
      <c r="P33" s="733"/>
      <c r="Q33" s="733"/>
      <c r="R33" s="733"/>
      <c r="S33" s="733"/>
      <c r="T33" s="733"/>
      <c r="U33" s="733"/>
      <c r="V33" s="733"/>
      <c r="W33" s="733"/>
      <c r="X33" s="733"/>
      <c r="Y33" s="733"/>
      <c r="Z33" s="733"/>
      <c r="AA33" s="733"/>
      <c r="AB33" s="733"/>
      <c r="AC33" s="733"/>
    </row>
    <row r="34" ht="24.75" customHeight="1">
      <c r="A34" s="732"/>
      <c r="B34" s="732"/>
      <c r="C34" s="732"/>
      <c r="D34" s="732"/>
      <c r="E34" s="732"/>
      <c r="F34" s="732"/>
      <c r="G34" s="732"/>
      <c r="H34" s="733"/>
      <c r="I34" s="733"/>
      <c r="J34" s="733"/>
      <c r="K34" s="733"/>
      <c r="L34" s="733"/>
      <c r="M34" s="733"/>
      <c r="N34" s="733"/>
      <c r="O34" s="733"/>
      <c r="P34" s="733"/>
      <c r="Q34" s="733"/>
      <c r="R34" s="733"/>
      <c r="S34" s="733"/>
      <c r="T34" s="733"/>
      <c r="U34" s="733"/>
      <c r="V34" s="733"/>
      <c r="W34" s="733"/>
      <c r="X34" s="733"/>
      <c r="Y34" s="733"/>
      <c r="Z34" s="733"/>
      <c r="AA34" s="733"/>
      <c r="AB34" s="733"/>
      <c r="AC34" s="733"/>
    </row>
    <row r="35" ht="24.75" customHeight="1">
      <c r="A35" s="732"/>
      <c r="B35" s="732"/>
      <c r="C35" s="732"/>
      <c r="D35" s="732"/>
      <c r="E35" s="732"/>
      <c r="F35" s="732"/>
      <c r="G35" s="732"/>
      <c r="H35" s="733"/>
      <c r="I35" s="733"/>
      <c r="J35" s="733"/>
      <c r="K35" s="733"/>
      <c r="L35" s="733"/>
      <c r="M35" s="733"/>
      <c r="N35" s="733"/>
      <c r="O35" s="733"/>
      <c r="P35" s="733"/>
      <c r="Q35" s="733"/>
      <c r="R35" s="733"/>
      <c r="S35" s="733"/>
      <c r="T35" s="733"/>
      <c r="U35" s="733"/>
      <c r="V35" s="733"/>
      <c r="W35" s="733"/>
      <c r="X35" s="733"/>
      <c r="Y35" s="733"/>
      <c r="Z35" s="733"/>
      <c r="AA35" s="733"/>
      <c r="AB35" s="733"/>
      <c r="AC35" s="733"/>
    </row>
    <row r="36" ht="24.75" customHeight="1">
      <c r="A36" s="732"/>
      <c r="B36" s="732"/>
      <c r="C36" s="732"/>
      <c r="D36" s="732"/>
      <c r="E36" s="732"/>
      <c r="F36" s="732"/>
      <c r="G36" s="732"/>
      <c r="H36" s="733"/>
      <c r="I36" s="733"/>
      <c r="J36" s="733"/>
      <c r="K36" s="733"/>
      <c r="L36" s="733"/>
      <c r="M36" s="733"/>
      <c r="N36" s="733"/>
      <c r="O36" s="733"/>
      <c r="P36" s="733"/>
      <c r="Q36" s="733"/>
      <c r="R36" s="733"/>
      <c r="S36" s="733"/>
      <c r="T36" s="733"/>
      <c r="U36" s="733"/>
      <c r="V36" s="733"/>
      <c r="W36" s="733"/>
      <c r="X36" s="733"/>
      <c r="Y36" s="733"/>
      <c r="Z36" s="733"/>
      <c r="AA36" s="733"/>
      <c r="AB36" s="733"/>
      <c r="AC36" s="733"/>
    </row>
    <row r="37" ht="24.75" customHeight="1">
      <c r="A37" s="736" t="s">
        <v>472</v>
      </c>
      <c r="H37" s="733"/>
      <c r="I37" s="733"/>
      <c r="J37" s="733"/>
      <c r="K37" s="733"/>
      <c r="L37" s="733"/>
      <c r="M37" s="733"/>
      <c r="N37" s="733"/>
      <c r="O37" s="733"/>
      <c r="P37" s="733"/>
      <c r="Q37" s="733"/>
      <c r="R37" s="733"/>
      <c r="S37" s="733"/>
      <c r="T37" s="733"/>
      <c r="U37" s="733"/>
      <c r="V37" s="733"/>
      <c r="W37" s="733"/>
      <c r="X37" s="733"/>
      <c r="Y37" s="733"/>
      <c r="Z37" s="733"/>
      <c r="AA37" s="733"/>
      <c r="AB37" s="733"/>
      <c r="AC37" s="733"/>
    </row>
    <row r="38" ht="24.75" customHeight="1">
      <c r="A38" s="736" t="s">
        <v>473</v>
      </c>
      <c r="H38" s="733"/>
      <c r="I38" s="733"/>
      <c r="J38" s="733"/>
      <c r="K38" s="733"/>
      <c r="L38" s="733"/>
      <c r="M38" s="733"/>
      <c r="N38" s="733"/>
      <c r="O38" s="733"/>
      <c r="P38" s="733"/>
      <c r="Q38" s="733"/>
      <c r="R38" s="733"/>
      <c r="S38" s="733"/>
      <c r="T38" s="733"/>
      <c r="U38" s="733"/>
      <c r="V38" s="733"/>
      <c r="W38" s="733"/>
      <c r="X38" s="733"/>
      <c r="Y38" s="733"/>
      <c r="Z38" s="733"/>
      <c r="AA38" s="733"/>
      <c r="AB38" s="733"/>
      <c r="AC38" s="733"/>
    </row>
    <row r="39" ht="24.75" customHeight="1">
      <c r="A39" s="737"/>
      <c r="B39" s="737"/>
      <c r="C39" s="737"/>
      <c r="D39" s="737"/>
      <c r="E39" s="737"/>
      <c r="F39" s="737"/>
      <c r="G39" s="737"/>
      <c r="H39" s="738"/>
      <c r="I39" s="732" t="s">
        <v>474</v>
      </c>
      <c r="P39" s="738"/>
      <c r="Q39" s="738"/>
      <c r="R39" s="738"/>
      <c r="S39" s="738"/>
      <c r="T39" s="738"/>
      <c r="U39" s="738"/>
      <c r="V39" s="738"/>
      <c r="W39" s="738"/>
      <c r="X39" s="738"/>
      <c r="Y39" s="738"/>
      <c r="Z39" s="738"/>
      <c r="AA39" s="738"/>
      <c r="AB39" s="738"/>
      <c r="AC39" s="738"/>
    </row>
    <row r="40" ht="24.75" customHeight="1">
      <c r="A40" s="737"/>
      <c r="B40" s="737"/>
      <c r="C40" s="737"/>
      <c r="D40" s="737"/>
      <c r="E40" s="737"/>
      <c r="F40" s="737"/>
      <c r="G40" s="737"/>
      <c r="H40" s="738"/>
      <c r="I40" s="732" t="s">
        <v>467</v>
      </c>
      <c r="P40" s="738"/>
      <c r="Q40" s="738"/>
      <c r="R40" s="738"/>
      <c r="S40" s="738"/>
      <c r="T40" s="738"/>
      <c r="U40" s="738"/>
      <c r="V40" s="738"/>
      <c r="W40" s="738"/>
      <c r="X40" s="738"/>
      <c r="Y40" s="738"/>
      <c r="Z40" s="738"/>
      <c r="AA40" s="738"/>
      <c r="AB40" s="738"/>
      <c r="AC40" s="738"/>
    </row>
    <row r="41" ht="24.75" customHeight="1">
      <c r="A41" s="737"/>
      <c r="B41" s="737"/>
      <c r="C41" s="737"/>
      <c r="D41" s="737"/>
      <c r="E41" s="737"/>
      <c r="F41" s="737"/>
      <c r="G41" s="737"/>
      <c r="H41" s="738"/>
      <c r="I41" s="737"/>
      <c r="J41" s="737"/>
      <c r="K41" s="739"/>
      <c r="L41" s="737"/>
      <c r="M41" s="737"/>
      <c r="N41" s="737"/>
      <c r="O41" s="737"/>
      <c r="P41" s="738"/>
      <c r="Q41" s="738"/>
      <c r="R41" s="738"/>
      <c r="S41" s="738"/>
      <c r="T41" s="738"/>
      <c r="U41" s="738"/>
      <c r="V41" s="738"/>
      <c r="W41" s="738"/>
      <c r="X41" s="738"/>
      <c r="Y41" s="738"/>
      <c r="Z41" s="738"/>
      <c r="AA41" s="738"/>
      <c r="AB41" s="738"/>
      <c r="AC41" s="738"/>
    </row>
    <row r="42" ht="24.75" customHeight="1">
      <c r="A42" s="737"/>
      <c r="B42" s="737"/>
      <c r="C42" s="737"/>
      <c r="D42" s="737"/>
      <c r="E42" s="737"/>
      <c r="F42" s="737"/>
      <c r="G42" s="737"/>
      <c r="H42" s="738"/>
      <c r="I42" s="737"/>
      <c r="J42" s="737"/>
      <c r="K42" s="739"/>
      <c r="L42" s="737"/>
      <c r="M42" s="737"/>
      <c r="N42" s="737"/>
      <c r="O42" s="737"/>
      <c r="P42" s="738"/>
      <c r="Q42" s="738"/>
      <c r="R42" s="738"/>
      <c r="S42" s="738"/>
      <c r="T42" s="738"/>
      <c r="U42" s="738"/>
      <c r="V42" s="738"/>
      <c r="W42" s="738"/>
      <c r="X42" s="738"/>
      <c r="Y42" s="738"/>
      <c r="Z42" s="738"/>
      <c r="AA42" s="738"/>
      <c r="AB42" s="738"/>
      <c r="AC42" s="738"/>
    </row>
    <row r="43" ht="37.5" customHeight="1">
      <c r="A43" s="737"/>
      <c r="B43" s="737"/>
      <c r="C43" s="737"/>
      <c r="D43" s="737"/>
      <c r="E43" s="737"/>
      <c r="F43" s="737"/>
      <c r="G43" s="737"/>
      <c r="H43" s="738"/>
      <c r="I43" s="737"/>
      <c r="J43" s="740" t="s">
        <v>340</v>
      </c>
      <c r="L43" s="737" t="s">
        <v>336</v>
      </c>
      <c r="M43" s="741" t="str">
        <f>MASTER!$AW$9</f>
        <v>SMK NEGERI 1 PLERED</v>
      </c>
      <c r="P43" s="738"/>
      <c r="Q43" s="738"/>
      <c r="R43" s="738"/>
      <c r="S43" s="738"/>
      <c r="T43" s="738"/>
      <c r="U43" s="738"/>
      <c r="V43" s="738"/>
      <c r="W43" s="738"/>
      <c r="X43" s="738"/>
      <c r="Y43" s="738"/>
      <c r="Z43" s="738"/>
      <c r="AA43" s="738"/>
      <c r="AB43" s="738"/>
      <c r="AC43" s="738"/>
    </row>
    <row r="44" ht="37.5" customHeight="1">
      <c r="A44" s="737"/>
      <c r="B44" s="737"/>
      <c r="C44" s="737"/>
      <c r="D44" s="737"/>
      <c r="E44" s="737"/>
      <c r="F44" s="737"/>
      <c r="G44" s="737"/>
      <c r="H44" s="738"/>
      <c r="I44" s="737"/>
      <c r="J44" s="740" t="s">
        <v>476</v>
      </c>
      <c r="L44" s="737" t="s">
        <v>336</v>
      </c>
      <c r="M44" s="742" t="str">
        <f>MASTER!$AW$10</f>
        <v>20229659</v>
      </c>
      <c r="P44" s="738"/>
      <c r="Q44" s="738"/>
      <c r="R44" s="738"/>
      <c r="S44" s="738"/>
      <c r="T44" s="738"/>
      <c r="U44" s="738"/>
      <c r="V44" s="738"/>
      <c r="W44" s="738"/>
      <c r="X44" s="738"/>
      <c r="Y44" s="738"/>
      <c r="Z44" s="738"/>
      <c r="AA44" s="738"/>
      <c r="AB44" s="738"/>
      <c r="AC44" s="738"/>
    </row>
    <row r="45" ht="37.5" customHeight="1">
      <c r="A45" s="737"/>
      <c r="B45" s="737"/>
      <c r="C45" s="737"/>
      <c r="D45" s="737"/>
      <c r="E45" s="737"/>
      <c r="F45" s="737"/>
      <c r="G45" s="737"/>
      <c r="H45" s="738"/>
      <c r="I45" s="737"/>
      <c r="J45" s="740" t="s">
        <v>477</v>
      </c>
      <c r="L45" s="737" t="s">
        <v>336</v>
      </c>
      <c r="M45" s="742" t="str">
        <f>MASTER!$AW$11</f>
        <v>321020201500</v>
      </c>
      <c r="P45" s="738"/>
      <c r="Q45" s="738"/>
      <c r="R45" s="738"/>
      <c r="S45" s="738"/>
      <c r="T45" s="738"/>
      <c r="U45" s="738"/>
      <c r="V45" s="738"/>
      <c r="W45" s="738"/>
      <c r="X45" s="738"/>
      <c r="Y45" s="738"/>
      <c r="Z45" s="738"/>
      <c r="AA45" s="738"/>
      <c r="AB45" s="738"/>
      <c r="AC45" s="738"/>
    </row>
    <row r="46" ht="37.5" customHeight="1">
      <c r="H46" s="738"/>
      <c r="I46" s="737"/>
      <c r="J46" s="740" t="s">
        <v>478</v>
      </c>
      <c r="L46" s="737" t="s">
        <v>336</v>
      </c>
      <c r="M46" s="742" t="str">
        <f>MASTER!$AW$12</f>
        <v>Jl. Rawasari, Kec. Plered - Purwakarta</v>
      </c>
      <c r="P46" s="738"/>
      <c r="Q46" s="738"/>
      <c r="R46" s="738"/>
      <c r="S46" s="738"/>
      <c r="T46" s="738"/>
      <c r="U46" s="738"/>
      <c r="V46" s="738"/>
      <c r="W46" s="738"/>
      <c r="X46" s="738"/>
      <c r="Y46" s="738"/>
      <c r="Z46" s="738"/>
      <c r="AA46" s="738"/>
      <c r="AB46" s="738"/>
      <c r="AC46" s="738"/>
    </row>
    <row r="47" ht="37.5" customHeight="1">
      <c r="H47" s="738"/>
      <c r="I47" s="737"/>
      <c r="J47" s="737"/>
      <c r="L47" s="737"/>
      <c r="M47" s="742" t="str">
        <f>MASTER!$AW$13</f>
        <v>Kode Pos 41162, Telp. 0264-7504001</v>
      </c>
      <c r="P47" s="738"/>
      <c r="Q47" s="738"/>
      <c r="R47" s="738"/>
      <c r="S47" s="738"/>
      <c r="T47" s="738"/>
      <c r="U47" s="738"/>
      <c r="V47" s="738"/>
      <c r="W47" s="738"/>
      <c r="X47" s="738"/>
      <c r="Y47" s="738"/>
      <c r="Z47" s="738"/>
      <c r="AA47" s="738"/>
      <c r="AB47" s="738"/>
      <c r="AC47" s="738"/>
    </row>
    <row r="48" ht="37.5" customHeight="1">
      <c r="H48" s="733"/>
      <c r="I48" s="737"/>
      <c r="J48" s="740" t="s">
        <v>479</v>
      </c>
      <c r="L48" s="737" t="s">
        <v>336</v>
      </c>
      <c r="M48" s="742" t="str">
        <f>MASTER!$AW$14</f>
        <v>Rawasari</v>
      </c>
      <c r="P48" s="733"/>
      <c r="Q48" s="733"/>
      <c r="R48" s="733"/>
      <c r="S48" s="733"/>
      <c r="T48" s="733"/>
      <c r="U48" s="733"/>
      <c r="V48" s="733"/>
      <c r="W48" s="733"/>
      <c r="X48" s="733"/>
      <c r="Y48" s="733"/>
      <c r="Z48" s="733"/>
      <c r="AA48" s="733"/>
      <c r="AB48" s="733"/>
      <c r="AC48" s="733"/>
    </row>
    <row r="49" ht="37.5" customHeight="1">
      <c r="H49" s="733"/>
      <c r="I49" s="737"/>
      <c r="J49" s="740" t="s">
        <v>480</v>
      </c>
      <c r="L49" s="737" t="s">
        <v>336</v>
      </c>
      <c r="M49" s="743" t="str">
        <f>MASTER!$AW$15</f>
        <v>Plered</v>
      </c>
      <c r="P49" s="733"/>
      <c r="Q49" s="733"/>
      <c r="R49" s="733"/>
      <c r="S49" s="733"/>
      <c r="T49" s="733"/>
      <c r="U49" s="733"/>
      <c r="V49" s="733"/>
      <c r="W49" s="733"/>
      <c r="X49" s="733"/>
      <c r="Y49" s="733"/>
      <c r="Z49" s="733"/>
      <c r="AA49" s="733"/>
      <c r="AB49" s="733"/>
      <c r="AC49" s="733"/>
    </row>
    <row r="50" ht="37.5" customHeight="1">
      <c r="H50" s="738"/>
      <c r="I50" s="737"/>
      <c r="J50" s="740" t="s">
        <v>481</v>
      </c>
      <c r="L50" s="737" t="s">
        <v>336</v>
      </c>
      <c r="M50" s="742" t="str">
        <f>MASTER!$AW$16</f>
        <v>Purwakarta</v>
      </c>
      <c r="P50" s="738"/>
      <c r="Q50" s="738"/>
      <c r="R50" s="738"/>
      <c r="S50" s="738"/>
      <c r="T50" s="738"/>
      <c r="U50" s="738"/>
      <c r="V50" s="738"/>
      <c r="W50" s="738"/>
      <c r="X50" s="738"/>
      <c r="Y50" s="738"/>
      <c r="Z50" s="738"/>
      <c r="AA50" s="738"/>
      <c r="AB50" s="738"/>
      <c r="AC50" s="738"/>
    </row>
    <row r="51" ht="37.5" customHeight="1">
      <c r="H51" s="738"/>
      <c r="I51" s="737"/>
      <c r="J51" s="740" t="s">
        <v>482</v>
      </c>
      <c r="L51" s="737" t="s">
        <v>336</v>
      </c>
      <c r="M51" s="742" t="str">
        <f>MASTER!$AW$17</f>
        <v>Jawa Barat</v>
      </c>
      <c r="P51" s="738"/>
      <c r="Q51" s="738"/>
      <c r="R51" s="738"/>
      <c r="S51" s="738"/>
      <c r="T51" s="738"/>
      <c r="U51" s="738"/>
      <c r="V51" s="738"/>
      <c r="W51" s="738"/>
      <c r="X51" s="738"/>
      <c r="Y51" s="738"/>
      <c r="Z51" s="738"/>
      <c r="AA51" s="738"/>
      <c r="AB51" s="738"/>
      <c r="AC51" s="738"/>
    </row>
    <row r="52" ht="37.5" customHeight="1">
      <c r="H52" s="738"/>
      <c r="I52" s="737"/>
      <c r="J52" s="740" t="s">
        <v>483</v>
      </c>
      <c r="L52" s="737" t="s">
        <v>336</v>
      </c>
      <c r="M52" s="744" t="str">
        <f>MASTER!$AW$18</f>
        <v>smknegeri1plered.sch.id</v>
      </c>
      <c r="P52" s="738"/>
      <c r="Q52" s="738"/>
      <c r="R52" s="738"/>
      <c r="S52" s="738"/>
      <c r="T52" s="738"/>
      <c r="U52" s="738"/>
      <c r="V52" s="738"/>
      <c r="W52" s="738"/>
      <c r="X52" s="738"/>
      <c r="Y52" s="738"/>
      <c r="Z52" s="738"/>
      <c r="AA52" s="738"/>
      <c r="AB52" s="738"/>
      <c r="AC52" s="738"/>
    </row>
    <row r="53" ht="37.5" customHeight="1">
      <c r="H53" s="738"/>
      <c r="I53" s="737"/>
      <c r="J53" s="740" t="s">
        <v>484</v>
      </c>
      <c r="L53" s="737" t="s">
        <v>336</v>
      </c>
      <c r="M53" s="742" t="str">
        <f>MASTER!$AW$19</f>
        <v>smkneple@gmail.com</v>
      </c>
      <c r="P53" s="738"/>
      <c r="Q53" s="738"/>
      <c r="R53" s="738"/>
      <c r="S53" s="738"/>
      <c r="T53" s="738"/>
      <c r="U53" s="738"/>
      <c r="V53" s="738"/>
      <c r="W53" s="738"/>
      <c r="X53" s="738"/>
      <c r="Y53" s="738"/>
      <c r="Z53" s="738"/>
      <c r="AA53" s="738"/>
      <c r="AB53" s="738"/>
      <c r="AC53" s="738"/>
    </row>
    <row r="54" ht="24.75" customHeight="1">
      <c r="H54" s="738"/>
      <c r="I54" s="745"/>
      <c r="J54" s="745"/>
      <c r="K54" s="745"/>
      <c r="L54" s="745"/>
      <c r="M54" s="745"/>
      <c r="N54" s="745"/>
      <c r="O54" s="745"/>
      <c r="P54" s="738"/>
      <c r="Q54" s="738"/>
      <c r="R54" s="738"/>
      <c r="S54" s="738"/>
      <c r="T54" s="738"/>
      <c r="U54" s="738"/>
      <c r="V54" s="738"/>
      <c r="W54" s="738"/>
      <c r="X54" s="738"/>
      <c r="Y54" s="738"/>
      <c r="Z54" s="738"/>
      <c r="AA54" s="738"/>
      <c r="AB54" s="738"/>
      <c r="AC54" s="738"/>
    </row>
    <row r="55" ht="24.75" customHeight="1">
      <c r="H55" s="738"/>
      <c r="I55" s="745"/>
      <c r="J55" s="745"/>
      <c r="K55" s="745"/>
      <c r="L55" s="745"/>
      <c r="M55" s="745"/>
      <c r="N55" s="745"/>
      <c r="O55" s="745"/>
      <c r="P55" s="738"/>
      <c r="Q55" s="746" t="s">
        <v>485</v>
      </c>
      <c r="Y55" s="738"/>
      <c r="Z55" s="738"/>
      <c r="AA55" s="738"/>
      <c r="AB55" s="738"/>
      <c r="AC55" s="738"/>
    </row>
    <row r="56" ht="24.75" customHeight="1">
      <c r="H56" s="738"/>
      <c r="I56" s="738"/>
      <c r="J56" s="738"/>
      <c r="K56" s="738"/>
      <c r="L56" s="738"/>
      <c r="M56" s="738"/>
      <c r="N56" s="738"/>
      <c r="O56" s="738"/>
      <c r="P56" s="738"/>
      <c r="Q56" s="747"/>
      <c r="Y56" s="738"/>
      <c r="Z56" s="738"/>
      <c r="AA56" s="738"/>
      <c r="AB56" s="738"/>
      <c r="AC56" s="738"/>
    </row>
    <row r="57" ht="18.75" customHeight="1">
      <c r="A57" s="353"/>
      <c r="B57" s="353"/>
      <c r="C57" s="353"/>
      <c r="D57" s="353"/>
      <c r="E57" s="353"/>
      <c r="F57" s="353"/>
      <c r="G57" s="353"/>
      <c r="H57" s="738"/>
      <c r="I57" s="738"/>
      <c r="J57" s="738"/>
      <c r="K57" s="738"/>
      <c r="L57" s="738"/>
      <c r="M57" s="738"/>
      <c r="N57" s="738"/>
      <c r="O57" s="738"/>
      <c r="P57" s="738"/>
      <c r="Q57" s="748"/>
      <c r="R57" s="748" t="s">
        <v>432</v>
      </c>
      <c r="S57" s="748" t="s">
        <v>486</v>
      </c>
      <c r="T57" s="748" t="s">
        <v>336</v>
      </c>
      <c r="U57" s="738" t="str">
        <f>'AREA-WALAS'!$B$5</f>
        <v>MUHAMMAD GALANG GUNAWAN</v>
      </c>
      <c r="Y57" s="738"/>
      <c r="Z57" s="738"/>
      <c r="AA57" s="738"/>
      <c r="AB57" s="738"/>
      <c r="AC57" s="738"/>
    </row>
    <row r="58" ht="18.75" customHeight="1">
      <c r="A58" s="353"/>
      <c r="B58" s="353"/>
      <c r="C58" s="353"/>
      <c r="D58" s="353"/>
      <c r="E58" s="353"/>
      <c r="F58" s="353"/>
      <c r="G58" s="353"/>
      <c r="H58" s="738"/>
      <c r="I58" s="738"/>
      <c r="J58" s="738"/>
      <c r="K58" s="738"/>
      <c r="L58" s="738"/>
      <c r="M58" s="738"/>
      <c r="N58" s="738"/>
      <c r="O58" s="738"/>
      <c r="P58" s="738"/>
      <c r="Q58" s="748"/>
      <c r="R58" s="748" t="s">
        <v>433</v>
      </c>
      <c r="S58" s="748" t="s">
        <v>487</v>
      </c>
      <c r="T58" s="748" t="s">
        <v>336</v>
      </c>
      <c r="U58" s="749" t="str">
        <f t="array" ref="U58">index('INPUT SUMATIF'!$B$5:$B$54,match($U$57,'INPUT SUMATIF'!$D$5:$D$54,0))&amp;" / "&amp;
index('INPUT SUMATIF'!$C$5:$C$54,match($U$57,'INPUT SUMATIF'!$D$5:$D$54,0))</f>
        <v>2526100440 / 0105005356</v>
      </c>
      <c r="Y58" s="738"/>
      <c r="Z58" s="738"/>
      <c r="AA58" s="738"/>
      <c r="AB58" s="738"/>
      <c r="AC58" s="738"/>
    </row>
    <row r="59" ht="18.75" customHeight="1">
      <c r="A59" s="353"/>
      <c r="B59" s="353"/>
      <c r="C59" s="353"/>
      <c r="D59" s="353"/>
      <c r="E59" s="353"/>
      <c r="F59" s="353"/>
      <c r="G59" s="353"/>
      <c r="H59" s="738"/>
      <c r="I59" s="738"/>
      <c r="J59" s="738"/>
      <c r="K59" s="738"/>
      <c r="L59" s="738"/>
      <c r="M59" s="738"/>
      <c r="N59" s="738"/>
      <c r="O59" s="738"/>
      <c r="P59" s="738"/>
      <c r="Q59" s="748"/>
      <c r="R59" s="748" t="s">
        <v>488</v>
      </c>
      <c r="S59" s="748" t="s">
        <v>489</v>
      </c>
      <c r="T59" s="748" t="s">
        <v>336</v>
      </c>
      <c r="U59" s="749" t="str">
        <f t="array" ref="U59">INDEX(DataBiodataSetting,MATCH($U$57,NamaBiodata,0),MATCH("Tempat Lahir",HeaderBiodata,0))&amp;" , "&amp;TEXT(INDEX(DataBiodataSetting,MATCH($U$57,NamaBiodata,0),MATCH("Tanggal Lahir",HeaderBiodata,0)),"DD MMMM YYYY")</f>
        <v>Purwakarta , 08 Oktober 2010</v>
      </c>
      <c r="Y59" s="738"/>
      <c r="Z59" s="738"/>
      <c r="AA59" s="738"/>
      <c r="AB59" s="738"/>
      <c r="AC59" s="738"/>
    </row>
    <row r="60" ht="18.75" customHeight="1">
      <c r="A60" s="353"/>
      <c r="B60" s="353"/>
      <c r="C60" s="353"/>
      <c r="D60" s="353"/>
      <c r="E60" s="353"/>
      <c r="F60" s="353"/>
      <c r="G60" s="353"/>
      <c r="H60" s="738"/>
      <c r="I60" s="738"/>
      <c r="J60" s="738"/>
      <c r="K60" s="738"/>
      <c r="L60" s="738"/>
      <c r="M60" s="738"/>
      <c r="N60" s="738"/>
      <c r="O60" s="738"/>
      <c r="P60" s="738"/>
      <c r="Q60" s="748"/>
      <c r="R60" s="748" t="s">
        <v>490</v>
      </c>
      <c r="S60" s="748" t="s">
        <v>491</v>
      </c>
      <c r="T60" s="748" t="s">
        <v>336</v>
      </c>
      <c r="U60" s="750" t="str">
        <f t="array" ref="U60">INDEX(DataBiodataSetting,MATCH($U$57,NamaBiodata,0),MATCH("JK",HeaderBiodata,0))</f>
        <v>Laki-Laki</v>
      </c>
      <c r="Y60" s="738"/>
      <c r="Z60" s="738"/>
      <c r="AA60" s="738"/>
      <c r="AB60" s="738"/>
      <c r="AC60" s="738"/>
    </row>
    <row r="61" ht="18.75" customHeight="1">
      <c r="A61" s="353"/>
      <c r="B61" s="353"/>
      <c r="C61" s="353"/>
      <c r="D61" s="353"/>
      <c r="E61" s="353"/>
      <c r="F61" s="353"/>
      <c r="G61" s="353"/>
      <c r="H61" s="738"/>
      <c r="I61" s="738"/>
      <c r="J61" s="738"/>
      <c r="K61" s="738"/>
      <c r="L61" s="738"/>
      <c r="M61" s="738"/>
      <c r="N61" s="738"/>
      <c r="O61" s="738"/>
      <c r="P61" s="738"/>
      <c r="Q61" s="748"/>
      <c r="R61" s="748" t="s">
        <v>492</v>
      </c>
      <c r="S61" s="748" t="s">
        <v>493</v>
      </c>
      <c r="T61" s="748" t="s">
        <v>336</v>
      </c>
      <c r="U61" s="750" t="str">
        <f t="array" ref="U61">INDEX(DataBiodataSetting,MATCH($U$57,NamaBiodata,0),MATCH("Agama",HeaderBiodata,0))</f>
        <v>Islam</v>
      </c>
      <c r="Y61" s="738"/>
      <c r="Z61" s="738"/>
      <c r="AA61" s="738"/>
      <c r="AB61" s="738"/>
      <c r="AC61" s="738"/>
    </row>
    <row r="62" ht="18.75" customHeight="1">
      <c r="A62" s="353"/>
      <c r="B62" s="353"/>
      <c r="C62" s="353"/>
      <c r="D62" s="353"/>
      <c r="E62" s="353"/>
      <c r="F62" s="353"/>
      <c r="G62" s="353"/>
      <c r="H62" s="738"/>
      <c r="I62" s="738"/>
      <c r="J62" s="738"/>
      <c r="K62" s="738"/>
      <c r="L62" s="738"/>
      <c r="M62" s="738"/>
      <c r="N62" s="738"/>
      <c r="O62" s="738"/>
      <c r="P62" s="738"/>
      <c r="Q62" s="748"/>
      <c r="R62" s="748" t="s">
        <v>494</v>
      </c>
      <c r="S62" s="748" t="s">
        <v>495</v>
      </c>
      <c r="T62" s="748" t="s">
        <v>336</v>
      </c>
      <c r="U62" s="750" t="str">
        <f t="array" ref="U62">INDEX(DataBiodataSetting,MATCH($U$57,NamaBiodata,0),MATCH("Status dalam Keluarga",HeaderBiodata,0))</f>
        <v>Anak Kandung</v>
      </c>
      <c r="Y62" s="738"/>
      <c r="Z62" s="738"/>
      <c r="AA62" s="738"/>
      <c r="AB62" s="738"/>
      <c r="AC62" s="738"/>
    </row>
    <row r="63" ht="18.75" customHeight="1">
      <c r="A63" s="353"/>
      <c r="B63" s="353"/>
      <c r="C63" s="353"/>
      <c r="D63" s="353"/>
      <c r="E63" s="353"/>
      <c r="F63" s="353"/>
      <c r="G63" s="353"/>
      <c r="H63" s="738"/>
      <c r="I63" s="738"/>
      <c r="J63" s="738"/>
      <c r="K63" s="738"/>
      <c r="L63" s="738"/>
      <c r="M63" s="738"/>
      <c r="N63" s="738"/>
      <c r="O63" s="738"/>
      <c r="P63" s="738"/>
      <c r="Q63" s="748"/>
      <c r="R63" s="748" t="s">
        <v>496</v>
      </c>
      <c r="S63" s="748" t="s">
        <v>497</v>
      </c>
      <c r="T63" s="748" t="s">
        <v>336</v>
      </c>
      <c r="U63" s="750" t="str">
        <f t="array" ref="U63">INDEX(DataBiodataSetting,MATCH($U$57,NamaBiodata,0),MATCH("Anak ke-",HeaderBiodata,0))</f>
        <v>1 (Satu)</v>
      </c>
      <c r="Y63" s="738"/>
      <c r="Z63" s="738"/>
      <c r="AA63" s="738"/>
      <c r="AB63" s="738"/>
      <c r="AC63" s="738"/>
    </row>
    <row r="64" ht="39.0" customHeight="1">
      <c r="A64" s="737"/>
      <c r="B64" s="737"/>
      <c r="C64" s="737"/>
      <c r="D64" s="737"/>
      <c r="E64" s="737"/>
      <c r="F64" s="737"/>
      <c r="G64" s="737"/>
      <c r="H64" s="738"/>
      <c r="I64" s="738"/>
      <c r="J64" s="738"/>
      <c r="K64" s="738"/>
      <c r="L64" s="738"/>
      <c r="M64" s="738"/>
      <c r="N64" s="738"/>
      <c r="O64" s="738"/>
      <c r="P64" s="738"/>
      <c r="Q64" s="748"/>
      <c r="R64" s="751" t="s">
        <v>498</v>
      </c>
      <c r="S64" s="751" t="s">
        <v>499</v>
      </c>
      <c r="T64" s="751" t="s">
        <v>336</v>
      </c>
      <c r="U64" s="752" t="str">
        <f t="array" ref="U64">INDEX(DataBiodataSetting,MATCH($U$57,NamaBiodata,0),MATCH("Alamat Siswa",HeaderBiodata,0))</f>
        <v>Gang Sekolah RT 09/03, Desa Plered, Kecamatan Plered, Kabupaten Purwakarta</v>
      </c>
      <c r="Y64" s="738"/>
      <c r="Z64" s="738"/>
      <c r="AA64" s="738"/>
      <c r="AB64" s="738"/>
      <c r="AC64" s="738"/>
    </row>
    <row r="65" ht="18.75" customHeight="1">
      <c r="A65" s="737"/>
      <c r="B65" s="737"/>
      <c r="C65" s="737"/>
      <c r="D65" s="737"/>
      <c r="E65" s="737"/>
      <c r="F65" s="737"/>
      <c r="G65" s="737"/>
      <c r="H65" s="738"/>
      <c r="I65" s="738"/>
      <c r="J65" s="738"/>
      <c r="K65" s="738"/>
      <c r="L65" s="738"/>
      <c r="M65" s="738"/>
      <c r="N65" s="738"/>
      <c r="O65" s="738"/>
      <c r="P65" s="738"/>
      <c r="Q65" s="748"/>
      <c r="R65" s="748" t="s">
        <v>501</v>
      </c>
      <c r="S65" s="748" t="s">
        <v>502</v>
      </c>
      <c r="T65" s="748" t="s">
        <v>336</v>
      </c>
      <c r="U65" s="750" t="str">
        <f t="array" ref="U65">INDEX(DataBiodataSetting,MATCH($U$57,NamaBiodata,0),MATCH("No. Telp",HeaderBiodata,0))</f>
        <v/>
      </c>
      <c r="Y65" s="738"/>
      <c r="Z65" s="738"/>
      <c r="AA65" s="738"/>
      <c r="AB65" s="738"/>
      <c r="AC65" s="738"/>
    </row>
    <row r="66" ht="18.75" customHeight="1">
      <c r="A66" s="737"/>
      <c r="B66" s="737"/>
      <c r="C66" s="737"/>
      <c r="D66" s="737"/>
      <c r="E66" s="737"/>
      <c r="F66" s="737"/>
      <c r="G66" s="737"/>
      <c r="H66" s="738"/>
      <c r="I66" s="738"/>
      <c r="J66" s="738"/>
      <c r="K66" s="738"/>
      <c r="L66" s="738"/>
      <c r="M66" s="738"/>
      <c r="N66" s="738"/>
      <c r="O66" s="738"/>
      <c r="P66" s="738"/>
      <c r="Q66" s="748"/>
      <c r="R66" s="748" t="s">
        <v>503</v>
      </c>
      <c r="S66" s="748" t="s">
        <v>504</v>
      </c>
      <c r="T66" s="748" t="s">
        <v>336</v>
      </c>
      <c r="U66" s="750" t="str">
        <f t="array" ref="U66">INDEX(DataBiodataSetting,MATCH($U$57,NamaBiodata,0),MATCH("Sekolah Asal",HeaderBiodata,0))</f>
        <v>MTsN 2 Purwakarta</v>
      </c>
      <c r="Y66" s="738"/>
      <c r="Z66" s="738"/>
      <c r="AA66" s="738"/>
      <c r="AB66" s="738"/>
      <c r="AC66" s="738"/>
    </row>
    <row r="67" ht="18.75" customHeight="1">
      <c r="A67" s="737"/>
      <c r="B67" s="737"/>
      <c r="C67" s="737"/>
      <c r="D67" s="737"/>
      <c r="E67" s="737"/>
      <c r="F67" s="737"/>
      <c r="G67" s="737"/>
      <c r="H67" s="738"/>
      <c r="I67" s="738"/>
      <c r="J67" s="738"/>
      <c r="K67" s="738"/>
      <c r="L67" s="738"/>
      <c r="M67" s="738"/>
      <c r="N67" s="738"/>
      <c r="O67" s="738"/>
      <c r="P67" s="738"/>
      <c r="Q67" s="748"/>
      <c r="R67" s="748" t="s">
        <v>505</v>
      </c>
      <c r="S67" s="748" t="s">
        <v>506</v>
      </c>
      <c r="T67" s="749"/>
      <c r="U67" s="749"/>
      <c r="Y67" s="738"/>
      <c r="Z67" s="738"/>
      <c r="AA67" s="738"/>
      <c r="AB67" s="738"/>
      <c r="AC67" s="738"/>
    </row>
    <row r="68" ht="18.75" customHeight="1">
      <c r="A68" s="737"/>
      <c r="B68" s="737"/>
      <c r="C68" s="737"/>
      <c r="D68" s="737"/>
      <c r="E68" s="737"/>
      <c r="F68" s="737"/>
      <c r="G68" s="737"/>
      <c r="H68" s="738"/>
      <c r="I68" s="738"/>
      <c r="J68" s="738"/>
      <c r="K68" s="738"/>
      <c r="L68" s="738"/>
      <c r="M68" s="738"/>
      <c r="N68" s="738"/>
      <c r="O68" s="738"/>
      <c r="P68" s="738"/>
      <c r="Q68" s="749"/>
      <c r="R68" s="749"/>
      <c r="S68" s="748" t="s">
        <v>507</v>
      </c>
      <c r="T68" s="748" t="s">
        <v>336</v>
      </c>
      <c r="U68" s="750" t="str">
        <f t="array" ref="U68">INDEX(DataBiodataSetting,MATCH($U$57,NamaBiodata,0),MATCH("Diterima di Kelas",HeaderBiodata,0))</f>
        <v>X TO 4</v>
      </c>
      <c r="Y68" s="738"/>
      <c r="Z68" s="738"/>
      <c r="AA68" s="738"/>
      <c r="AB68" s="738"/>
      <c r="AC68" s="738"/>
    </row>
    <row r="69" ht="18.75" customHeight="1">
      <c r="A69" s="737"/>
      <c r="B69" s="737"/>
      <c r="C69" s="737"/>
      <c r="D69" s="737"/>
      <c r="E69" s="737"/>
      <c r="F69" s="737"/>
      <c r="G69" s="737"/>
      <c r="H69" s="738"/>
      <c r="I69" s="738"/>
      <c r="J69" s="738"/>
      <c r="K69" s="738"/>
      <c r="L69" s="738"/>
      <c r="M69" s="738"/>
      <c r="N69" s="738"/>
      <c r="O69" s="738"/>
      <c r="P69" s="738"/>
      <c r="Q69" s="749"/>
      <c r="R69" s="749"/>
      <c r="S69" s="748" t="s">
        <v>508</v>
      </c>
      <c r="T69" s="748" t="s">
        <v>336</v>
      </c>
      <c r="U69" s="750" t="str">
        <f t="array" ref="U69">INDEX(DataBiodataSetting,MATCH($U$57,NamaBiodata,0),MATCH("Tanggal",HeaderBiodata,0))</f>
        <v>14 Juli 2025</v>
      </c>
      <c r="Y69" s="738"/>
      <c r="Z69" s="738"/>
      <c r="AA69" s="738"/>
      <c r="AB69" s="738"/>
      <c r="AC69" s="738"/>
    </row>
    <row r="70" ht="18.75" customHeight="1">
      <c r="A70" s="737"/>
      <c r="B70" s="737"/>
      <c r="C70" s="737"/>
      <c r="D70" s="737"/>
      <c r="E70" s="737"/>
      <c r="F70" s="737"/>
      <c r="G70" s="737"/>
      <c r="H70" s="738"/>
      <c r="I70" s="738"/>
      <c r="J70" s="738"/>
      <c r="K70" s="738"/>
      <c r="L70" s="738"/>
      <c r="M70" s="738"/>
      <c r="N70" s="738"/>
      <c r="O70" s="738"/>
      <c r="P70" s="738"/>
      <c r="Q70" s="748"/>
      <c r="R70" s="748" t="s">
        <v>509</v>
      </c>
      <c r="S70" s="748" t="s">
        <v>510</v>
      </c>
      <c r="T70" s="749"/>
      <c r="U70" s="749"/>
      <c r="Y70" s="738"/>
      <c r="Z70" s="738"/>
      <c r="AA70" s="738"/>
      <c r="AB70" s="738"/>
      <c r="AC70" s="738"/>
    </row>
    <row r="71" ht="18.75" customHeight="1">
      <c r="A71" s="737"/>
      <c r="B71" s="737"/>
      <c r="C71" s="737"/>
      <c r="D71" s="737"/>
      <c r="E71" s="737"/>
      <c r="F71" s="737"/>
      <c r="G71" s="737"/>
      <c r="H71" s="738"/>
      <c r="I71" s="738"/>
      <c r="J71" s="738"/>
      <c r="K71" s="738"/>
      <c r="L71" s="738"/>
      <c r="M71" s="738"/>
      <c r="N71" s="738"/>
      <c r="O71" s="738"/>
      <c r="P71" s="738"/>
      <c r="Q71" s="749"/>
      <c r="R71" s="749"/>
      <c r="S71" s="748" t="s">
        <v>512</v>
      </c>
      <c r="T71" s="748" t="s">
        <v>336</v>
      </c>
      <c r="U71" s="750" t="str">
        <f t="array" ref="U71">INDEX(DataBiodataSetting,MATCH($U$57,NamaBiodata,0),MATCH("Data Ayah",HeaderBiodata,0))</f>
        <v>Egi Pria Gunawan</v>
      </c>
      <c r="Y71" s="738"/>
      <c r="Z71" s="738"/>
      <c r="AA71" s="738"/>
      <c r="AB71" s="738"/>
      <c r="AC71" s="738"/>
    </row>
    <row r="72" ht="18.75" customHeight="1">
      <c r="A72" s="737"/>
      <c r="B72" s="737"/>
      <c r="C72" s="737"/>
      <c r="D72" s="737"/>
      <c r="E72" s="737"/>
      <c r="F72" s="737"/>
      <c r="G72" s="737"/>
      <c r="H72" s="738"/>
      <c r="I72" s="738"/>
      <c r="J72" s="738"/>
      <c r="K72" s="738"/>
      <c r="L72" s="738"/>
      <c r="M72" s="738"/>
      <c r="N72" s="738"/>
      <c r="O72" s="738"/>
      <c r="P72" s="738"/>
      <c r="Q72" s="749"/>
      <c r="R72" s="749"/>
      <c r="S72" s="748" t="s">
        <v>514</v>
      </c>
      <c r="T72" s="748" t="s">
        <v>336</v>
      </c>
      <c r="U72" s="750" t="str">
        <f t="array" ref="U72">INDEX(DataBiodataSetting,MATCH($U$57,NamaBiodata,0),MATCH("Data Ibu",HeaderBiodata,0))</f>
        <v>Ika Liskawati</v>
      </c>
      <c r="Y72" s="738"/>
      <c r="Z72" s="738"/>
      <c r="AA72" s="738"/>
      <c r="AB72" s="738"/>
      <c r="AC72" s="738"/>
    </row>
    <row r="73" ht="39.0" customHeight="1">
      <c r="A73" s="737"/>
      <c r="B73" s="737"/>
      <c r="C73" s="737"/>
      <c r="D73" s="737"/>
      <c r="E73" s="737"/>
      <c r="F73" s="737"/>
      <c r="G73" s="737"/>
      <c r="H73" s="738"/>
      <c r="I73" s="738"/>
      <c r="J73" s="738"/>
      <c r="K73" s="738"/>
      <c r="L73" s="738"/>
      <c r="M73" s="738"/>
      <c r="N73" s="738"/>
      <c r="O73" s="738"/>
      <c r="P73" s="738"/>
      <c r="Q73" s="748"/>
      <c r="R73" s="751" t="s">
        <v>517</v>
      </c>
      <c r="S73" s="751" t="s">
        <v>518</v>
      </c>
      <c r="T73" s="751" t="s">
        <v>336</v>
      </c>
      <c r="U73" s="752" t="str">
        <f t="array" ref="U73">INDEX(DataBiodataSetting,MATCH($U$57,NamaBiodata,0),MATCH("Alamat Orang Tua",HeaderBiodata,0))</f>
        <v>Gang Sekolah RT 09/03, Desa Plered, Kecamatan Plered, Kabupaten Purwakarta</v>
      </c>
      <c r="Y73" s="738"/>
      <c r="Z73" s="738"/>
      <c r="AA73" s="738"/>
      <c r="AB73" s="738"/>
      <c r="AC73" s="738"/>
    </row>
    <row r="74" ht="18.75" customHeight="1">
      <c r="A74" s="737"/>
      <c r="B74" s="737"/>
      <c r="C74" s="737"/>
      <c r="D74" s="737"/>
      <c r="E74" s="737"/>
      <c r="F74" s="737"/>
      <c r="G74" s="737"/>
      <c r="H74" s="738"/>
      <c r="I74" s="738"/>
      <c r="J74" s="738"/>
      <c r="K74" s="738"/>
      <c r="L74" s="738"/>
      <c r="M74" s="738"/>
      <c r="N74" s="738"/>
      <c r="O74" s="738"/>
      <c r="P74" s="738"/>
      <c r="Q74" s="749"/>
      <c r="R74" s="749"/>
      <c r="S74" s="748" t="s">
        <v>502</v>
      </c>
      <c r="T74" s="748" t="s">
        <v>336</v>
      </c>
      <c r="U74" s="750" t="str">
        <f t="array" ref="U74">INDEX(DataBiodataSetting,MATCH($U$57,NamaBiodata,0),MATCH("No. Telp Ortu",HeaderBiodata,0))</f>
        <v/>
      </c>
      <c r="Y74" s="738"/>
      <c r="Z74" s="738"/>
      <c r="AA74" s="738"/>
      <c r="AB74" s="738"/>
      <c r="AC74" s="738"/>
    </row>
    <row r="75" ht="18.75" customHeight="1">
      <c r="A75" s="737"/>
      <c r="B75" s="737"/>
      <c r="C75" s="737"/>
      <c r="D75" s="737"/>
      <c r="E75" s="737"/>
      <c r="F75" s="737"/>
      <c r="G75" s="737"/>
      <c r="H75" s="738"/>
      <c r="I75" s="738"/>
      <c r="J75" s="738"/>
      <c r="K75" s="738"/>
      <c r="L75" s="738"/>
      <c r="M75" s="738"/>
      <c r="N75" s="738"/>
      <c r="O75" s="738"/>
      <c r="P75" s="738"/>
      <c r="Q75" s="748"/>
      <c r="R75" s="748" t="s">
        <v>522</v>
      </c>
      <c r="S75" s="748" t="s">
        <v>523</v>
      </c>
      <c r="T75" s="749"/>
      <c r="U75" s="749"/>
      <c r="Y75" s="738"/>
      <c r="Z75" s="738"/>
      <c r="AA75" s="738"/>
      <c r="AB75" s="738"/>
      <c r="AC75" s="738"/>
    </row>
    <row r="76" ht="18.75" customHeight="1">
      <c r="A76" s="737"/>
      <c r="B76" s="737"/>
      <c r="C76" s="737"/>
      <c r="D76" s="737"/>
      <c r="E76" s="737"/>
      <c r="F76" s="737"/>
      <c r="G76" s="737"/>
      <c r="H76" s="738"/>
      <c r="I76" s="738"/>
      <c r="J76" s="738"/>
      <c r="K76" s="738"/>
      <c r="L76" s="738"/>
      <c r="M76" s="738"/>
      <c r="N76" s="738"/>
      <c r="O76" s="738"/>
      <c r="P76" s="738"/>
      <c r="Q76" s="749"/>
      <c r="R76" s="749"/>
      <c r="S76" s="748" t="s">
        <v>512</v>
      </c>
      <c r="T76" s="748" t="s">
        <v>336</v>
      </c>
      <c r="U76" s="750" t="str">
        <f t="array" ref="U76">INDEX(DataBiodataSetting,MATCH($U$57,NamaBiodata,0),MATCH("Pekerjaan Ayah",HeaderBiodata,0))</f>
        <v>Wiraswasta</v>
      </c>
      <c r="Y76" s="738"/>
      <c r="Z76" s="738"/>
      <c r="AA76" s="738"/>
      <c r="AB76" s="738"/>
      <c r="AC76" s="738"/>
    </row>
    <row r="77" ht="18.75" customHeight="1">
      <c r="A77" s="737"/>
      <c r="B77" s="737"/>
      <c r="C77" s="737"/>
      <c r="D77" s="737"/>
      <c r="E77" s="737"/>
      <c r="F77" s="737"/>
      <c r="G77" s="737"/>
      <c r="H77" s="738"/>
      <c r="I77" s="738"/>
      <c r="J77" s="738"/>
      <c r="K77" s="738"/>
      <c r="L77" s="738"/>
      <c r="M77" s="738"/>
      <c r="N77" s="738"/>
      <c r="O77" s="738"/>
      <c r="P77" s="738"/>
      <c r="Q77" s="749"/>
      <c r="R77" s="749"/>
      <c r="S77" s="748" t="s">
        <v>514</v>
      </c>
      <c r="T77" s="748" t="s">
        <v>336</v>
      </c>
      <c r="U77" s="750" t="str">
        <f t="array" ref="U77">INDEX(DataBiodataSetting,MATCH($U$57,NamaBiodata,0),MATCH("Pekerjaan Ibu",HeaderBiodata,0))</f>
        <v>Wiraswasta</v>
      </c>
      <c r="Y77" s="738"/>
      <c r="Z77" s="738"/>
      <c r="AA77" s="738"/>
      <c r="AB77" s="738"/>
      <c r="AC77" s="738"/>
    </row>
    <row r="78" ht="18.75" customHeight="1">
      <c r="A78" s="737"/>
      <c r="B78" s="737"/>
      <c r="C78" s="737"/>
      <c r="D78" s="737"/>
      <c r="E78" s="737"/>
      <c r="F78" s="737"/>
      <c r="G78" s="737"/>
      <c r="H78" s="738"/>
      <c r="I78" s="738"/>
      <c r="J78" s="738"/>
      <c r="K78" s="738"/>
      <c r="L78" s="738"/>
      <c r="M78" s="738"/>
      <c r="N78" s="738"/>
      <c r="O78" s="738"/>
      <c r="P78" s="738"/>
      <c r="Q78" s="748"/>
      <c r="R78" s="748" t="s">
        <v>524</v>
      </c>
      <c r="S78" s="748" t="s">
        <v>525</v>
      </c>
      <c r="T78" s="748" t="s">
        <v>336</v>
      </c>
      <c r="U78" s="750" t="str">
        <f t="array" ref="U78">INDEX(DataBiodataSetting,MATCH($U$57,NamaBiodata,0),MATCH("Nama Wali",HeaderBiodata,0))</f>
        <v/>
      </c>
      <c r="Y78" s="738"/>
      <c r="Z78" s="738"/>
      <c r="AA78" s="738"/>
      <c r="AB78" s="738"/>
      <c r="AC78" s="738"/>
    </row>
    <row r="79" ht="18.75" customHeight="1">
      <c r="A79" s="737"/>
      <c r="B79" s="737"/>
      <c r="C79" s="737"/>
      <c r="D79" s="737"/>
      <c r="E79" s="737"/>
      <c r="F79" s="737"/>
      <c r="G79" s="737"/>
      <c r="H79" s="738"/>
      <c r="I79" s="738"/>
      <c r="J79" s="738"/>
      <c r="K79" s="738"/>
      <c r="L79" s="738"/>
      <c r="M79" s="738"/>
      <c r="N79" s="738"/>
      <c r="O79" s="738"/>
      <c r="P79" s="738"/>
      <c r="Q79" s="748"/>
      <c r="R79" s="748" t="s">
        <v>526</v>
      </c>
      <c r="S79" s="748" t="s">
        <v>527</v>
      </c>
      <c r="T79" s="748" t="s">
        <v>336</v>
      </c>
      <c r="U79" s="750" t="str">
        <f t="array" ref="U79">INDEX(DataBiodataSetting,MATCH($U$57,NamaBiodata,0),MATCH("Alamat Wali",HeaderBiodata,0))</f>
        <v/>
      </c>
      <c r="Y79" s="738"/>
      <c r="Z79" s="738"/>
      <c r="AA79" s="738"/>
      <c r="AB79" s="738"/>
      <c r="AC79" s="738"/>
    </row>
    <row r="80" ht="18.75" customHeight="1">
      <c r="A80" s="737"/>
      <c r="B80" s="737"/>
      <c r="C80" s="737"/>
      <c r="D80" s="737"/>
      <c r="E80" s="737"/>
      <c r="F80" s="737"/>
      <c r="G80" s="737"/>
      <c r="H80" s="738"/>
      <c r="I80" s="738"/>
      <c r="J80" s="738"/>
      <c r="K80" s="738"/>
      <c r="L80" s="738"/>
      <c r="M80" s="738"/>
      <c r="N80" s="738"/>
      <c r="O80" s="738"/>
      <c r="P80" s="738"/>
      <c r="Q80" s="749"/>
      <c r="R80" s="749"/>
      <c r="S80" s="748" t="s">
        <v>502</v>
      </c>
      <c r="T80" s="748" t="s">
        <v>336</v>
      </c>
      <c r="U80" s="750" t="str">
        <f t="array" ref="U80">INDEX(DataBiodataSetting,MATCH($U$57,NamaBiodata,0),MATCH("No. Telp Wali",HeaderBiodata,0))</f>
        <v/>
      </c>
      <c r="Y80" s="738"/>
      <c r="Z80" s="738"/>
      <c r="AA80" s="738"/>
      <c r="AB80" s="738"/>
      <c r="AC80" s="738"/>
    </row>
    <row r="81" ht="18.75" customHeight="1">
      <c r="A81" s="737"/>
      <c r="B81" s="737"/>
      <c r="C81" s="737"/>
      <c r="D81" s="737"/>
      <c r="E81" s="737"/>
      <c r="F81" s="737"/>
      <c r="G81" s="737"/>
      <c r="H81" s="738"/>
      <c r="I81" s="738"/>
      <c r="J81" s="738"/>
      <c r="K81" s="738"/>
      <c r="L81" s="738"/>
      <c r="M81" s="738"/>
      <c r="N81" s="738"/>
      <c r="O81" s="738"/>
      <c r="P81" s="738"/>
      <c r="Q81" s="748"/>
      <c r="R81" s="748" t="s">
        <v>530</v>
      </c>
      <c r="S81" s="748" t="s">
        <v>531</v>
      </c>
      <c r="T81" s="748" t="s">
        <v>336</v>
      </c>
      <c r="U81" s="750" t="str">
        <f t="array" ref="U81">INDEX(DataBiodataSetting,MATCH($U$57,NamaBiodata,0),MATCH("Pekerjaan Wali",HeaderBiodata,0))</f>
        <v/>
      </c>
      <c r="Y81" s="738"/>
      <c r="Z81" s="738"/>
      <c r="AA81" s="738"/>
      <c r="AB81" s="738"/>
      <c r="AC81" s="738"/>
    </row>
    <row r="82">
      <c r="A82" s="745"/>
      <c r="B82" s="745"/>
      <c r="C82" s="745"/>
      <c r="D82" s="745"/>
      <c r="E82" s="745"/>
      <c r="F82" s="745"/>
      <c r="G82" s="745"/>
      <c r="H82" s="787"/>
      <c r="I82" s="787"/>
      <c r="J82" s="787"/>
      <c r="K82" s="787"/>
      <c r="L82" s="787"/>
      <c r="M82" s="787"/>
      <c r="N82" s="787"/>
      <c r="O82" s="787"/>
      <c r="P82" s="787"/>
      <c r="Q82" s="788"/>
      <c r="R82" s="788"/>
      <c r="S82" s="788"/>
      <c r="T82" s="788"/>
      <c r="U82" s="788"/>
      <c r="V82" s="788"/>
      <c r="W82" s="788"/>
      <c r="X82" s="787"/>
      <c r="Y82" s="787"/>
      <c r="Z82" s="787"/>
      <c r="AA82" s="787"/>
      <c r="AB82" s="787"/>
      <c r="AC82" s="787"/>
    </row>
    <row r="83">
      <c r="A83" s="745"/>
      <c r="B83" s="745"/>
      <c r="C83" s="745"/>
      <c r="D83" s="745"/>
      <c r="E83" s="745"/>
      <c r="F83" s="745"/>
      <c r="G83" s="745"/>
      <c r="H83" s="787"/>
      <c r="I83" s="787"/>
      <c r="J83" s="787"/>
      <c r="K83" s="787"/>
      <c r="L83" s="787"/>
      <c r="M83" s="787"/>
      <c r="N83" s="787"/>
      <c r="O83" s="787"/>
      <c r="P83" s="787"/>
      <c r="Q83" s="788"/>
      <c r="R83" s="788"/>
      <c r="S83" s="788"/>
      <c r="T83" s="788"/>
      <c r="U83" s="788"/>
      <c r="V83" s="788"/>
      <c r="W83" s="788"/>
      <c r="X83" s="787"/>
      <c r="Y83" s="787"/>
      <c r="Z83" s="787"/>
      <c r="AA83" s="787"/>
      <c r="AB83" s="787"/>
      <c r="AC83" s="787"/>
    </row>
    <row r="84">
      <c r="A84" s="745"/>
      <c r="B84" s="745"/>
      <c r="C84" s="745"/>
      <c r="D84" s="745"/>
      <c r="E84" s="745"/>
      <c r="F84" s="745"/>
      <c r="G84" s="745"/>
      <c r="H84" s="787"/>
      <c r="I84" s="787"/>
      <c r="J84" s="787"/>
      <c r="K84" s="787"/>
      <c r="L84" s="787"/>
      <c r="M84" s="787"/>
      <c r="N84" s="787"/>
      <c r="O84" s="787"/>
      <c r="P84" s="787"/>
      <c r="Q84" s="788"/>
      <c r="R84" s="788"/>
      <c r="S84" s="788"/>
      <c r="T84" s="788"/>
      <c r="V84" s="789" t="str">
        <f t="array" ref="V84">INDEX(SETTING!$C$34:$C$35,MATCH(SETTING!$C$3,SETTING!$D$34:$D$35,0))</f>
        <v>Purwakarta, 22 Desember 2025</v>
      </c>
      <c r="W84" s="789"/>
      <c r="X84" s="787"/>
      <c r="Y84" s="787"/>
      <c r="Z84" s="787"/>
      <c r="AA84" s="787"/>
      <c r="AB84" s="787"/>
      <c r="AC84" s="787"/>
    </row>
    <row r="85" ht="23.25" customHeight="1">
      <c r="A85" s="745"/>
      <c r="B85" s="745"/>
      <c r="C85" s="745"/>
      <c r="D85" s="745"/>
      <c r="E85" s="745"/>
      <c r="F85" s="745"/>
      <c r="G85" s="745"/>
      <c r="H85" s="787"/>
      <c r="I85" s="787"/>
      <c r="J85" s="787"/>
      <c r="K85" s="787"/>
      <c r="L85" s="787"/>
      <c r="M85" s="787"/>
      <c r="N85" s="787"/>
      <c r="O85" s="787"/>
      <c r="P85" s="787"/>
      <c r="Q85" s="788"/>
      <c r="R85" s="788"/>
      <c r="T85" s="788"/>
      <c r="V85" s="789" t="s">
        <v>532</v>
      </c>
      <c r="W85" s="789"/>
      <c r="X85" s="787"/>
      <c r="Y85" s="787"/>
      <c r="Z85" s="787"/>
      <c r="AA85" s="787"/>
      <c r="AB85" s="787"/>
      <c r="AC85" s="787"/>
    </row>
    <row r="86">
      <c r="A86" s="745"/>
      <c r="B86" s="745"/>
      <c r="C86" s="745"/>
      <c r="D86" s="745"/>
      <c r="E86" s="745"/>
      <c r="F86" s="745"/>
      <c r="G86" s="745"/>
      <c r="H86" s="787"/>
      <c r="I86" s="787"/>
      <c r="J86" s="787"/>
      <c r="K86" s="787"/>
      <c r="L86" s="787"/>
      <c r="M86" s="787"/>
      <c r="N86" s="787"/>
      <c r="O86" s="787"/>
      <c r="P86" s="787"/>
      <c r="Q86" s="788"/>
      <c r="R86" s="788"/>
      <c r="T86" s="788"/>
      <c r="V86" s="788"/>
      <c r="W86" s="788"/>
      <c r="X86" s="787"/>
      <c r="Y86" s="787"/>
      <c r="Z86" s="787"/>
      <c r="AA86" s="787"/>
      <c r="AB86" s="787"/>
      <c r="AC86" s="787"/>
    </row>
    <row r="87">
      <c r="A87" s="745"/>
      <c r="B87" s="745"/>
      <c r="C87" s="745"/>
      <c r="D87" s="745"/>
      <c r="E87" s="745"/>
      <c r="F87" s="745"/>
      <c r="G87" s="745"/>
      <c r="H87" s="787"/>
      <c r="I87" s="787"/>
      <c r="J87" s="787"/>
      <c r="K87" s="787"/>
      <c r="L87" s="787"/>
      <c r="M87" s="787"/>
      <c r="N87" s="787"/>
      <c r="O87" s="787"/>
      <c r="P87" s="787"/>
      <c r="Q87" s="788"/>
      <c r="R87" s="788"/>
      <c r="T87" s="788"/>
      <c r="V87" s="788"/>
      <c r="W87" s="788"/>
      <c r="X87" s="787"/>
      <c r="Y87" s="787"/>
      <c r="Z87" s="787"/>
      <c r="AA87" s="787"/>
      <c r="AB87" s="787"/>
      <c r="AC87" s="787"/>
    </row>
    <row r="88">
      <c r="A88" s="745"/>
      <c r="B88" s="745"/>
      <c r="C88" s="745"/>
      <c r="D88" s="745"/>
      <c r="E88" s="745"/>
      <c r="F88" s="745"/>
      <c r="G88" s="745"/>
      <c r="H88" s="787"/>
      <c r="I88" s="787"/>
      <c r="J88" s="787"/>
      <c r="K88" s="787"/>
      <c r="L88" s="787"/>
      <c r="M88" s="787"/>
      <c r="N88" s="787"/>
      <c r="O88" s="787"/>
      <c r="P88" s="787"/>
      <c r="Q88" s="788"/>
      <c r="R88" s="788"/>
      <c r="T88" s="788"/>
      <c r="V88" s="788"/>
      <c r="W88" s="788"/>
      <c r="X88" s="787"/>
      <c r="Y88" s="787"/>
      <c r="Z88" s="787"/>
      <c r="AA88" s="787"/>
      <c r="AB88" s="787"/>
      <c r="AC88" s="787"/>
    </row>
    <row r="89">
      <c r="H89" s="787"/>
      <c r="I89" s="787"/>
      <c r="J89" s="787"/>
      <c r="K89" s="787"/>
      <c r="L89" s="787"/>
      <c r="M89" s="787"/>
      <c r="N89" s="787"/>
      <c r="O89" s="787"/>
      <c r="P89" s="787"/>
      <c r="Q89" s="788"/>
      <c r="R89" s="788"/>
      <c r="T89" s="788"/>
      <c r="V89" s="788"/>
      <c r="W89" s="788"/>
      <c r="X89" s="787"/>
      <c r="Y89" s="787"/>
      <c r="Z89" s="787"/>
      <c r="AA89" s="787"/>
      <c r="AB89" s="787"/>
      <c r="AC89" s="787"/>
    </row>
    <row r="90">
      <c r="H90" s="747"/>
      <c r="I90" s="747"/>
      <c r="J90" s="747"/>
      <c r="K90" s="747"/>
      <c r="L90" s="747"/>
      <c r="M90" s="747"/>
      <c r="N90" s="747"/>
      <c r="O90" s="747"/>
      <c r="P90" s="747"/>
      <c r="Q90" s="788"/>
      <c r="R90" s="788"/>
      <c r="T90" s="788"/>
      <c r="V90" s="790" t="str">
        <f>SETTING!$C$32</f>
        <v>WAHYU TAMIMBARKAH, S,Pd.</v>
      </c>
      <c r="W90" s="790"/>
      <c r="X90" s="747"/>
      <c r="Y90" s="747"/>
      <c r="Z90" s="747"/>
      <c r="AA90" s="747"/>
      <c r="AB90" s="747"/>
      <c r="AC90" s="747"/>
    </row>
    <row r="91" ht="18.75" customHeight="1">
      <c r="H91" s="749"/>
      <c r="I91" s="749"/>
      <c r="J91" s="749"/>
      <c r="K91" s="749"/>
      <c r="L91" s="749"/>
      <c r="M91" s="749"/>
      <c r="N91" s="749"/>
      <c r="O91" s="749"/>
      <c r="P91" s="749"/>
      <c r="Q91" s="788"/>
      <c r="R91" s="788"/>
      <c r="S91" s="788"/>
      <c r="T91" s="788"/>
      <c r="V91" s="751" t="str">
        <f>SETTING!$C$33</f>
        <v>NIP. 197111022008011001</v>
      </c>
      <c r="W91" s="789"/>
      <c r="X91" s="749"/>
      <c r="Y91" s="749"/>
      <c r="Z91" s="749"/>
      <c r="AA91" s="749"/>
      <c r="AB91" s="749"/>
      <c r="AC91" s="749"/>
    </row>
    <row r="92" ht="18.75" customHeight="1">
      <c r="H92" s="749"/>
      <c r="I92" s="749"/>
      <c r="J92" s="749"/>
      <c r="K92" s="749"/>
      <c r="L92" s="749"/>
      <c r="M92" s="749"/>
      <c r="N92" s="749"/>
      <c r="O92" s="749"/>
      <c r="P92" s="749"/>
      <c r="Q92" s="747"/>
      <c r="R92" s="747"/>
      <c r="S92" s="747"/>
      <c r="T92" s="747"/>
      <c r="U92" s="747"/>
      <c r="V92" s="747"/>
      <c r="W92" s="747"/>
      <c r="X92" s="749"/>
      <c r="Y92" s="749"/>
      <c r="Z92" s="749"/>
      <c r="AA92" s="749"/>
      <c r="AB92" s="749"/>
      <c r="AC92" s="749"/>
    </row>
    <row r="93" ht="18.75" customHeight="1">
      <c r="H93" s="749"/>
      <c r="I93" s="749"/>
      <c r="J93" s="749"/>
      <c r="K93" s="749"/>
      <c r="L93" s="749"/>
      <c r="M93" s="749"/>
      <c r="N93" s="749"/>
      <c r="O93" s="749"/>
      <c r="P93" s="749"/>
      <c r="Q93" s="749"/>
      <c r="R93" s="749"/>
      <c r="S93" s="749"/>
      <c r="T93" s="749"/>
      <c r="U93" s="749"/>
      <c r="V93" s="749"/>
      <c r="W93" s="749"/>
      <c r="X93" s="749"/>
      <c r="Y93" s="749"/>
      <c r="Z93" s="749"/>
      <c r="AA93" s="749"/>
      <c r="AB93" s="749"/>
      <c r="AC93" s="749"/>
    </row>
    <row r="94" ht="18.75" customHeight="1">
      <c r="H94" s="749"/>
      <c r="I94" s="749"/>
      <c r="J94" s="749"/>
      <c r="K94" s="749"/>
      <c r="L94" s="749"/>
      <c r="M94" s="749"/>
      <c r="N94" s="749"/>
      <c r="O94" s="749"/>
      <c r="P94" s="749"/>
      <c r="Q94" s="749"/>
      <c r="R94" s="749"/>
      <c r="S94" s="749"/>
      <c r="T94" s="749"/>
      <c r="U94" s="749"/>
      <c r="V94" s="749"/>
      <c r="W94" s="749"/>
      <c r="X94" s="749"/>
      <c r="Y94" s="749"/>
      <c r="Z94" s="749"/>
      <c r="AA94" s="749"/>
      <c r="AB94" s="749"/>
      <c r="AC94" s="749"/>
    </row>
    <row r="95" ht="18.75" customHeight="1">
      <c r="H95" s="749"/>
      <c r="I95" s="749"/>
      <c r="J95" s="749"/>
      <c r="K95" s="749"/>
      <c r="L95" s="749"/>
      <c r="M95" s="749"/>
      <c r="N95" s="749"/>
      <c r="O95" s="749"/>
      <c r="P95" s="749"/>
      <c r="Q95" s="749"/>
      <c r="R95" s="749"/>
      <c r="S95" s="749"/>
      <c r="T95" s="749"/>
      <c r="U95" s="749"/>
      <c r="V95" s="749"/>
      <c r="W95" s="749"/>
      <c r="X95" s="749"/>
      <c r="Y95" s="749"/>
      <c r="Z95" s="749"/>
      <c r="AA95" s="749"/>
      <c r="AB95" s="749"/>
      <c r="AC95" s="749"/>
    </row>
    <row r="96" ht="18.75" customHeight="1">
      <c r="H96" s="749"/>
      <c r="I96" s="749"/>
      <c r="J96" s="749"/>
      <c r="K96" s="749"/>
      <c r="L96" s="749"/>
      <c r="M96" s="749"/>
      <c r="N96" s="749"/>
      <c r="O96" s="749"/>
      <c r="P96" s="749"/>
      <c r="Q96" s="749"/>
      <c r="R96" s="749"/>
      <c r="S96" s="749"/>
      <c r="T96" s="749"/>
      <c r="U96" s="749"/>
      <c r="V96" s="749"/>
      <c r="W96" s="749"/>
      <c r="X96" s="749"/>
      <c r="Y96" s="749"/>
      <c r="Z96" s="749"/>
      <c r="AA96" s="749"/>
      <c r="AB96" s="749"/>
      <c r="AC96" s="749"/>
    </row>
    <row r="97" ht="18.75" customHeight="1">
      <c r="H97" s="749"/>
      <c r="I97" s="749"/>
      <c r="J97" s="749"/>
      <c r="K97" s="749"/>
      <c r="L97" s="749"/>
      <c r="M97" s="749"/>
      <c r="N97" s="749"/>
      <c r="O97" s="749"/>
      <c r="P97" s="749"/>
      <c r="Q97" s="749"/>
      <c r="R97" s="749"/>
      <c r="S97" s="749"/>
      <c r="T97" s="749"/>
      <c r="U97" s="749"/>
      <c r="V97" s="749"/>
      <c r="W97" s="749"/>
      <c r="X97" s="749"/>
      <c r="Y97" s="749"/>
      <c r="Z97" s="749"/>
      <c r="AA97" s="749"/>
      <c r="AB97" s="749"/>
      <c r="AC97" s="749"/>
    </row>
    <row r="98">
      <c r="H98" s="791"/>
      <c r="I98" s="791"/>
      <c r="J98" s="791"/>
      <c r="K98" s="791"/>
      <c r="L98" s="791"/>
      <c r="M98" s="791"/>
      <c r="N98" s="791"/>
      <c r="O98" s="791"/>
      <c r="P98" s="791"/>
      <c r="Q98" s="791"/>
      <c r="R98" s="791"/>
      <c r="S98" s="791"/>
      <c r="T98" s="791"/>
      <c r="U98" s="791"/>
      <c r="V98" s="791"/>
      <c r="W98" s="791"/>
      <c r="X98" s="791"/>
      <c r="Y98" s="791"/>
      <c r="Z98" s="791"/>
      <c r="AA98" s="791"/>
      <c r="AB98" s="791"/>
      <c r="AC98" s="791"/>
    </row>
    <row r="99" ht="18.75" customHeight="1">
      <c r="H99" s="749"/>
      <c r="I99" s="749"/>
      <c r="J99" s="749"/>
      <c r="K99" s="749"/>
      <c r="L99" s="749"/>
      <c r="M99" s="749"/>
      <c r="N99" s="749"/>
      <c r="O99" s="749"/>
      <c r="P99" s="749"/>
      <c r="Q99" s="749"/>
      <c r="R99" s="749"/>
      <c r="S99" s="749"/>
      <c r="T99" s="749"/>
      <c r="U99" s="749"/>
      <c r="V99" s="749"/>
      <c r="W99" s="749"/>
      <c r="X99" s="749"/>
      <c r="Y99" s="749"/>
      <c r="Z99" s="749"/>
      <c r="AA99" s="749"/>
      <c r="AB99" s="749"/>
      <c r="AC99" s="749"/>
    </row>
    <row r="100" ht="18.75" customHeight="1">
      <c r="H100" s="749"/>
      <c r="I100" s="749"/>
      <c r="J100" s="749"/>
      <c r="K100" s="749"/>
      <c r="L100" s="749"/>
      <c r="M100" s="749"/>
      <c r="N100" s="749"/>
      <c r="O100" s="749"/>
      <c r="P100" s="749"/>
      <c r="Q100" s="749"/>
      <c r="R100" s="749"/>
      <c r="S100" s="749"/>
      <c r="T100" s="749"/>
      <c r="U100" s="749"/>
      <c r="V100" s="749"/>
      <c r="W100" s="749"/>
      <c r="X100" s="749"/>
      <c r="Y100" s="749"/>
      <c r="Z100" s="749"/>
      <c r="AA100" s="749"/>
      <c r="AB100" s="749"/>
      <c r="AC100" s="749"/>
    </row>
  </sheetData>
  <mergeCells count="68">
    <mergeCell ref="U60:X60"/>
    <mergeCell ref="U61:X61"/>
    <mergeCell ref="U62:X62"/>
    <mergeCell ref="U63:X63"/>
    <mergeCell ref="U64:X64"/>
    <mergeCell ref="U65:X65"/>
    <mergeCell ref="U66:X66"/>
    <mergeCell ref="U67:X67"/>
    <mergeCell ref="U68:X68"/>
    <mergeCell ref="U69:X69"/>
    <mergeCell ref="U70:X70"/>
    <mergeCell ref="U71:X71"/>
    <mergeCell ref="U72:X72"/>
    <mergeCell ref="U73:X73"/>
    <mergeCell ref="U81:X81"/>
    <mergeCell ref="S84:S90"/>
    <mergeCell ref="U74:X74"/>
    <mergeCell ref="U75:X75"/>
    <mergeCell ref="U76:X76"/>
    <mergeCell ref="U77:X77"/>
    <mergeCell ref="U78:X78"/>
    <mergeCell ref="U79:X79"/>
    <mergeCell ref="U80:X80"/>
    <mergeCell ref="A1:G8"/>
    <mergeCell ref="A10:G10"/>
    <mergeCell ref="A11:G11"/>
    <mergeCell ref="A12:G12"/>
    <mergeCell ref="A13:G13"/>
    <mergeCell ref="A14:G14"/>
    <mergeCell ref="A15:G15"/>
    <mergeCell ref="A16:G23"/>
    <mergeCell ref="A24:G24"/>
    <mergeCell ref="A26:G26"/>
    <mergeCell ref="A27:G27"/>
    <mergeCell ref="B29:F29"/>
    <mergeCell ref="A31:G31"/>
    <mergeCell ref="B33:F33"/>
    <mergeCell ref="A37:G37"/>
    <mergeCell ref="A38:G38"/>
    <mergeCell ref="I39:O39"/>
    <mergeCell ref="I40:O40"/>
    <mergeCell ref="J43:K43"/>
    <mergeCell ref="M43:O43"/>
    <mergeCell ref="M44:O44"/>
    <mergeCell ref="M47:O47"/>
    <mergeCell ref="M48:O48"/>
    <mergeCell ref="J44:K44"/>
    <mergeCell ref="J45:K45"/>
    <mergeCell ref="M45:O45"/>
    <mergeCell ref="J46:K46"/>
    <mergeCell ref="M46:O46"/>
    <mergeCell ref="J47:K47"/>
    <mergeCell ref="J48:K48"/>
    <mergeCell ref="J49:K49"/>
    <mergeCell ref="M49:O49"/>
    <mergeCell ref="J50:K50"/>
    <mergeCell ref="M50:O50"/>
    <mergeCell ref="J51:K51"/>
    <mergeCell ref="M51:O51"/>
    <mergeCell ref="M52:O52"/>
    <mergeCell ref="M53:O53"/>
    <mergeCell ref="J52:K52"/>
    <mergeCell ref="J53:K53"/>
    <mergeCell ref="Q55:X55"/>
    <mergeCell ref="Q56:X56"/>
    <mergeCell ref="U57:X57"/>
    <mergeCell ref="U58:X58"/>
    <mergeCell ref="U59:X5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86"/>
    <col customWidth="1" min="2" max="2" width="8.29"/>
    <col customWidth="1" min="3" max="3" width="26.86"/>
    <col customWidth="1" min="4" max="8" width="8.71"/>
    <col customWidth="1" min="9" max="9" width="4.43"/>
    <col customWidth="1" hidden="1" min="10" max="10" width="27.43"/>
    <col customWidth="1" hidden="1" min="11" max="13" width="6.86"/>
    <col customWidth="1" hidden="1" min="14" max="15" width="6.0"/>
    <col customWidth="1" min="16" max="16" width="36.29"/>
    <col customWidth="1" min="17" max="17" width="26.0"/>
    <col customWidth="1" min="18" max="22" width="11.29"/>
  </cols>
  <sheetData>
    <row r="1" ht="27.75" customHeight="1">
      <c r="A1" s="753" t="s">
        <v>511</v>
      </c>
    </row>
    <row r="2" ht="30.75" customHeight="1">
      <c r="A2" s="328"/>
      <c r="B2" s="754"/>
      <c r="C2" s="754"/>
      <c r="D2" s="754"/>
      <c r="E2" s="754"/>
      <c r="F2" s="754"/>
      <c r="G2" s="754"/>
      <c r="H2" s="754"/>
      <c r="I2" s="353"/>
      <c r="J2" s="755"/>
      <c r="K2" s="755"/>
      <c r="L2" s="755"/>
      <c r="M2" s="755"/>
      <c r="N2" s="756"/>
      <c r="O2" s="756"/>
      <c r="P2" s="756"/>
      <c r="Q2" s="757"/>
      <c r="R2" s="757"/>
      <c r="S2" s="757"/>
      <c r="T2" s="757"/>
      <c r="U2" s="757"/>
      <c r="V2" s="757"/>
      <c r="W2" s="353"/>
    </row>
    <row r="3" ht="30.75" customHeight="1">
      <c r="A3" s="328"/>
      <c r="B3" s="754"/>
      <c r="C3" s="758"/>
      <c r="D3" s="759" t="s">
        <v>513</v>
      </c>
      <c r="E3" s="760"/>
      <c r="F3" s="760"/>
      <c r="G3" s="760"/>
      <c r="H3" s="761"/>
      <c r="I3" s="353"/>
      <c r="J3" s="755" t="s">
        <v>515</v>
      </c>
      <c r="N3" s="756"/>
      <c r="O3" s="756"/>
      <c r="P3" s="756"/>
      <c r="Q3" s="757"/>
      <c r="R3" s="757"/>
      <c r="S3" s="762" t="s">
        <v>516</v>
      </c>
      <c r="T3" s="763"/>
      <c r="U3" s="763"/>
      <c r="V3" s="764"/>
      <c r="W3" s="353"/>
    </row>
    <row r="4" ht="48.75" customHeight="1">
      <c r="A4" s="328"/>
      <c r="B4" s="754"/>
      <c r="C4" s="765"/>
      <c r="D4" s="766"/>
      <c r="E4" s="766"/>
      <c r="F4" s="766"/>
      <c r="G4" s="766"/>
      <c r="H4" s="767"/>
      <c r="I4" s="768"/>
      <c r="J4" s="769"/>
      <c r="K4" s="769"/>
      <c r="L4" s="769"/>
      <c r="M4" s="769"/>
      <c r="N4" s="769"/>
      <c r="O4" s="769"/>
      <c r="P4" s="769"/>
      <c r="Q4" s="757"/>
      <c r="R4" s="757"/>
      <c r="S4" s="770"/>
      <c r="T4" s="771"/>
      <c r="U4" s="771"/>
      <c r="V4" s="772"/>
      <c r="W4" s="768"/>
    </row>
    <row r="5" ht="48.75" customHeight="1">
      <c r="A5" s="328"/>
      <c r="B5" s="773"/>
      <c r="C5" s="774" t="s">
        <v>276</v>
      </c>
      <c r="D5" s="775" t="s">
        <v>519</v>
      </c>
      <c r="E5" s="775" t="s">
        <v>520</v>
      </c>
      <c r="F5" s="775" t="s">
        <v>521</v>
      </c>
      <c r="G5" s="775"/>
      <c r="H5" s="776" t="s">
        <v>153</v>
      </c>
      <c r="I5" s="768"/>
      <c r="J5" s="769" t="s">
        <v>276</v>
      </c>
      <c r="K5" s="769" t="s">
        <v>519</v>
      </c>
      <c r="L5" s="769" t="s">
        <v>520</v>
      </c>
      <c r="M5" s="769" t="s">
        <v>521</v>
      </c>
      <c r="N5" s="769"/>
      <c r="O5" s="769" t="s">
        <v>153</v>
      </c>
      <c r="P5" s="777" t="str">
        <f>"DAFTAR NAMA SISWA KELAS "&amp;SETTING!$C$2</f>
        <v>DAFTAR NAMA SISWA KELAS X TO 4</v>
      </c>
      <c r="Q5" s="778" t="s">
        <v>276</v>
      </c>
      <c r="R5" s="779" t="s">
        <v>519</v>
      </c>
      <c r="S5" s="779" t="s">
        <v>520</v>
      </c>
      <c r="T5" s="779" t="s">
        <v>521</v>
      </c>
      <c r="U5" s="779"/>
      <c r="V5" s="780" t="s">
        <v>153</v>
      </c>
      <c r="W5" s="768"/>
    </row>
    <row r="6">
      <c r="A6" s="328"/>
      <c r="B6" s="781"/>
      <c r="C6" s="328"/>
      <c r="D6" s="328"/>
      <c r="E6" s="328"/>
      <c r="F6" s="328"/>
      <c r="H6" s="328"/>
      <c r="J6" s="2" t="str">
        <f>IFERROR(__xludf.DUMMYFUNCTION("QUERY($C$6:$H60)"),"")</f>
        <v/>
      </c>
      <c r="K6" s="2"/>
      <c r="L6" s="2"/>
      <c r="M6" s="2"/>
      <c r="N6" s="2"/>
      <c r="O6" s="2"/>
      <c r="P6" s="782" t="str">
        <f>IFERROR(__xludf.DUMMYFUNCTION("QUERY(SETTING!H3:H60)"),"AHMAD FAUZI")</f>
        <v>AHMAD FAUZI</v>
      </c>
      <c r="Q6" s="783" t="str">
        <f t="shared" ref="Q6:V6" si="1">IFERROR(INDEX($J$6:$O$50,MATCH($P6,$J$6:$J$50,0),MATCH(Q$5,$J$5:$O$5,0)),"")</f>
        <v/>
      </c>
      <c r="R6" s="784" t="str">
        <f t="shared" si="1"/>
        <v/>
      </c>
      <c r="S6" s="534" t="str">
        <f t="shared" si="1"/>
        <v/>
      </c>
      <c r="T6" s="785" t="str">
        <f t="shared" si="1"/>
        <v/>
      </c>
      <c r="U6" s="534" t="str">
        <f t="shared" si="1"/>
        <v/>
      </c>
      <c r="V6" s="786" t="str">
        <f t="shared" si="1"/>
        <v/>
      </c>
    </row>
    <row r="7">
      <c r="A7" s="328"/>
      <c r="B7" s="781"/>
      <c r="C7" s="328"/>
      <c r="D7" s="328"/>
      <c r="E7" s="328"/>
      <c r="F7" s="328"/>
      <c r="H7" s="328"/>
      <c r="J7" s="2"/>
      <c r="K7" s="2"/>
      <c r="L7" s="2"/>
      <c r="M7" s="2"/>
      <c r="N7" s="2"/>
      <c r="O7" s="2"/>
      <c r="P7" s="782" t="str">
        <f>IFERROR(__xludf.DUMMYFUNCTION("""COMPUTED_VALUE"""),"AHMAD YOPI JUMAEDI")</f>
        <v>AHMAD YOPI JUMAEDI</v>
      </c>
      <c r="Q7" s="783" t="str">
        <f t="shared" ref="Q7:V7" si="2">IFERROR(INDEX($J$6:$O$50,MATCH($P7,$J$6:$J$50,0),MATCH(Q$5,$J$5:$O$5,0)),"")</f>
        <v/>
      </c>
      <c r="R7" s="784" t="str">
        <f t="shared" si="2"/>
        <v/>
      </c>
      <c r="S7" s="534" t="str">
        <f t="shared" si="2"/>
        <v/>
      </c>
      <c r="T7" s="785" t="str">
        <f t="shared" si="2"/>
        <v/>
      </c>
      <c r="U7" s="534" t="str">
        <f t="shared" si="2"/>
        <v/>
      </c>
      <c r="V7" s="786" t="str">
        <f t="shared" si="2"/>
        <v/>
      </c>
    </row>
    <row r="8">
      <c r="A8" s="328"/>
      <c r="B8" s="781"/>
      <c r="H8" s="328"/>
      <c r="J8" s="2"/>
      <c r="K8" s="2"/>
      <c r="L8" s="2"/>
      <c r="M8" s="2"/>
      <c r="N8" s="2"/>
      <c r="O8" s="2"/>
      <c r="P8" s="782" t="str">
        <f>IFERROR(__xludf.DUMMYFUNCTION("""COMPUTED_VALUE"""),"ALGI FALGIAN")</f>
        <v>ALGI FALGIAN</v>
      </c>
      <c r="Q8" s="783" t="str">
        <f t="shared" ref="Q8:V8" si="3">IFERROR(INDEX($J$6:$O$50,MATCH($P8,$J$6:$J$50,0),MATCH(Q$5,$J$5:$O$5,0)),"")</f>
        <v/>
      </c>
      <c r="R8" s="784" t="str">
        <f t="shared" si="3"/>
        <v/>
      </c>
      <c r="S8" s="534" t="str">
        <f t="shared" si="3"/>
        <v/>
      </c>
      <c r="T8" s="785" t="str">
        <f t="shared" si="3"/>
        <v/>
      </c>
      <c r="U8" s="534" t="str">
        <f t="shared" si="3"/>
        <v/>
      </c>
      <c r="V8" s="786" t="str">
        <f t="shared" si="3"/>
        <v/>
      </c>
    </row>
    <row r="9">
      <c r="A9" s="328"/>
      <c r="B9" s="781"/>
      <c r="C9" s="328"/>
      <c r="D9" s="328"/>
      <c r="E9" s="328"/>
      <c r="F9" s="328"/>
      <c r="H9" s="328"/>
      <c r="J9" s="2"/>
      <c r="K9" s="2"/>
      <c r="L9" s="2"/>
      <c r="M9" s="2"/>
      <c r="N9" s="2"/>
      <c r="O9" s="2"/>
      <c r="P9" s="782" t="str">
        <f>IFERROR(__xludf.DUMMYFUNCTION("""COMPUTED_VALUE"""),"ALI PERMANA")</f>
        <v>ALI PERMANA</v>
      </c>
      <c r="Q9" s="783" t="str">
        <f t="shared" ref="Q9:V9" si="4">IFERROR(INDEX($J$6:$O$50,MATCH($P9,$J$6:$J$50,0),MATCH(Q$5,$J$5:$O$5,0)),"")</f>
        <v/>
      </c>
      <c r="R9" s="784" t="str">
        <f t="shared" si="4"/>
        <v/>
      </c>
      <c r="S9" s="534" t="str">
        <f t="shared" si="4"/>
        <v/>
      </c>
      <c r="T9" s="785" t="str">
        <f t="shared" si="4"/>
        <v/>
      </c>
      <c r="U9" s="534" t="str">
        <f t="shared" si="4"/>
        <v/>
      </c>
      <c r="V9" s="786" t="str">
        <f t="shared" si="4"/>
        <v/>
      </c>
    </row>
    <row r="10">
      <c r="A10" s="328"/>
      <c r="B10" s="781"/>
      <c r="C10" s="328"/>
      <c r="D10" s="328"/>
      <c r="E10" s="328"/>
      <c r="F10" s="328"/>
      <c r="H10" s="328"/>
      <c r="J10" s="2"/>
      <c r="K10" s="2"/>
      <c r="L10" s="2"/>
      <c r="M10" s="2"/>
      <c r="N10" s="2"/>
      <c r="O10" s="2"/>
      <c r="P10" s="782" t="str">
        <f>IFERROR(__xludf.DUMMYFUNCTION("""COMPUTED_VALUE"""),"AZRIL EKA NUGRAHA")</f>
        <v>AZRIL EKA NUGRAHA</v>
      </c>
      <c r="Q10" s="783" t="str">
        <f t="shared" ref="Q10:V10" si="5">IFERROR(INDEX($J$6:$O$50,MATCH($P10,$J$6:$J$50,0),MATCH(Q$5,$J$5:$O$5,0)),"")</f>
        <v/>
      </c>
      <c r="R10" s="784" t="str">
        <f t="shared" si="5"/>
        <v/>
      </c>
      <c r="S10" s="534" t="str">
        <f t="shared" si="5"/>
        <v/>
      </c>
      <c r="T10" s="785" t="str">
        <f t="shared" si="5"/>
        <v/>
      </c>
      <c r="U10" s="534" t="str">
        <f t="shared" si="5"/>
        <v/>
      </c>
      <c r="V10" s="786" t="str">
        <f t="shared" si="5"/>
        <v/>
      </c>
    </row>
    <row r="11">
      <c r="A11" s="328"/>
      <c r="B11" s="781"/>
      <c r="C11" s="328"/>
      <c r="D11" s="328"/>
      <c r="E11" s="328"/>
      <c r="F11" s="328"/>
      <c r="H11" s="328"/>
      <c r="J11" s="2"/>
      <c r="K11" s="2"/>
      <c r="L11" s="2"/>
      <c r="M11" s="2"/>
      <c r="N11" s="2"/>
      <c r="O11" s="2"/>
      <c r="P11" s="782" t="str">
        <f>IFERROR(__xludf.DUMMYFUNCTION("""COMPUTED_VALUE"""),"DIKA MUSTIKA SAPUTRA")</f>
        <v>DIKA MUSTIKA SAPUTRA</v>
      </c>
      <c r="Q11" s="783" t="str">
        <f t="shared" ref="Q11:V11" si="6">IFERROR(INDEX($J$6:$O$50,MATCH($P11,$J$6:$J$50,0),MATCH(Q$5,$J$5:$O$5,0)),"")</f>
        <v/>
      </c>
      <c r="R11" s="784" t="str">
        <f t="shared" si="6"/>
        <v/>
      </c>
      <c r="S11" s="534" t="str">
        <f t="shared" si="6"/>
        <v/>
      </c>
      <c r="T11" s="785" t="str">
        <f t="shared" si="6"/>
        <v/>
      </c>
      <c r="U11" s="534" t="str">
        <f t="shared" si="6"/>
        <v/>
      </c>
      <c r="V11" s="786" t="str">
        <f t="shared" si="6"/>
        <v/>
      </c>
    </row>
    <row r="12">
      <c r="A12" s="328"/>
      <c r="B12" s="781"/>
      <c r="C12" s="328"/>
      <c r="D12" s="328"/>
      <c r="E12" s="328"/>
      <c r="F12" s="328"/>
      <c r="H12" s="328"/>
      <c r="J12" s="2"/>
      <c r="K12" s="2"/>
      <c r="L12" s="2"/>
      <c r="M12" s="2"/>
      <c r="N12" s="2"/>
      <c r="O12" s="2"/>
      <c r="P12" s="782" t="str">
        <f>IFERROR(__xludf.DUMMYFUNCTION("""COMPUTED_VALUE"""),"FAWAZ NAUPAL ALFATIR")</f>
        <v>FAWAZ NAUPAL ALFATIR</v>
      </c>
      <c r="Q12" s="783" t="str">
        <f t="shared" ref="Q12:V12" si="7">IFERROR(INDEX($J$6:$O$50,MATCH($P12,$J$6:$J$50,0),MATCH(Q$5,$J$5:$O$5,0)),"")</f>
        <v/>
      </c>
      <c r="R12" s="784" t="str">
        <f t="shared" si="7"/>
        <v/>
      </c>
      <c r="S12" s="534" t="str">
        <f t="shared" si="7"/>
        <v/>
      </c>
      <c r="T12" s="785" t="str">
        <f t="shared" si="7"/>
        <v/>
      </c>
      <c r="U12" s="534" t="str">
        <f t="shared" si="7"/>
        <v/>
      </c>
      <c r="V12" s="786" t="str">
        <f t="shared" si="7"/>
        <v/>
      </c>
    </row>
    <row r="13">
      <c r="A13" s="328"/>
      <c r="B13" s="781"/>
      <c r="C13" s="328"/>
      <c r="D13" s="328"/>
      <c r="E13" s="328"/>
      <c r="F13" s="328"/>
      <c r="H13" s="328"/>
      <c r="J13" s="2"/>
      <c r="K13" s="2"/>
      <c r="L13" s="2"/>
      <c r="M13" s="2"/>
      <c r="N13" s="2"/>
      <c r="O13" s="2"/>
      <c r="P13" s="782" t="str">
        <f>IFERROR(__xludf.DUMMYFUNCTION("""COMPUTED_VALUE"""),"FIKRI AHMAD NAWAWI")</f>
        <v>FIKRI AHMAD NAWAWI</v>
      </c>
      <c r="Q13" s="783" t="str">
        <f t="shared" ref="Q13:V13" si="8">IFERROR(INDEX($J$6:$O$50,MATCH($P13,$J$6:$J$50,0),MATCH(Q$5,$J$5:$O$5,0)),"")</f>
        <v/>
      </c>
      <c r="R13" s="784" t="str">
        <f t="shared" si="8"/>
        <v/>
      </c>
      <c r="S13" s="534" t="str">
        <f t="shared" si="8"/>
        <v/>
      </c>
      <c r="T13" s="785" t="str">
        <f t="shared" si="8"/>
        <v/>
      </c>
      <c r="U13" s="534" t="str">
        <f t="shared" si="8"/>
        <v/>
      </c>
      <c r="V13" s="786" t="str">
        <f t="shared" si="8"/>
        <v/>
      </c>
    </row>
    <row r="14">
      <c r="A14" s="328"/>
      <c r="B14" s="781"/>
      <c r="C14" s="328"/>
      <c r="D14" s="328"/>
      <c r="E14" s="328"/>
      <c r="F14" s="328"/>
      <c r="H14" s="328"/>
      <c r="J14" s="2"/>
      <c r="K14" s="2"/>
      <c r="L14" s="2"/>
      <c r="M14" s="2"/>
      <c r="N14" s="2"/>
      <c r="O14" s="2"/>
      <c r="P14" s="782" t="str">
        <f>IFERROR(__xludf.DUMMYFUNCTION("""COMPUTED_VALUE"""),"HADI NURYADI")</f>
        <v>HADI NURYADI</v>
      </c>
      <c r="Q14" s="783" t="str">
        <f t="shared" ref="Q14:V14" si="9">IFERROR(INDEX($J$6:$O$50,MATCH($P14,$J$6:$J$50,0),MATCH(Q$5,$J$5:$O$5,0)),"")</f>
        <v/>
      </c>
      <c r="R14" s="784" t="str">
        <f t="shared" si="9"/>
        <v/>
      </c>
      <c r="S14" s="534" t="str">
        <f t="shared" si="9"/>
        <v/>
      </c>
      <c r="T14" s="785" t="str">
        <f t="shared" si="9"/>
        <v/>
      </c>
      <c r="U14" s="534" t="str">
        <f t="shared" si="9"/>
        <v/>
      </c>
      <c r="V14" s="786" t="str">
        <f t="shared" si="9"/>
        <v/>
      </c>
    </row>
    <row r="15">
      <c r="A15" s="328"/>
      <c r="B15" s="781"/>
      <c r="C15" s="328"/>
      <c r="D15" s="328"/>
      <c r="E15" s="328"/>
      <c r="F15" s="328"/>
      <c r="H15" s="328"/>
      <c r="J15" s="2"/>
      <c r="K15" s="2"/>
      <c r="L15" s="2"/>
      <c r="M15" s="2"/>
      <c r="N15" s="2"/>
      <c r="O15" s="2"/>
      <c r="P15" s="782" t="str">
        <f>IFERROR(__xludf.DUMMYFUNCTION("""COMPUTED_VALUE"""),"IBNU WANALI")</f>
        <v>IBNU WANALI</v>
      </c>
      <c r="Q15" s="783" t="str">
        <f t="shared" ref="Q15:V15" si="10">IFERROR(INDEX($J$6:$O$50,MATCH($P15,$J$6:$J$50,0),MATCH(Q$5,$J$5:$O$5,0)),"")</f>
        <v/>
      </c>
      <c r="R15" s="784" t="str">
        <f t="shared" si="10"/>
        <v/>
      </c>
      <c r="S15" s="534" t="str">
        <f t="shared" si="10"/>
        <v/>
      </c>
      <c r="T15" s="785" t="str">
        <f t="shared" si="10"/>
        <v/>
      </c>
      <c r="U15" s="534" t="str">
        <f t="shared" si="10"/>
        <v/>
      </c>
      <c r="V15" s="786" t="str">
        <f t="shared" si="10"/>
        <v/>
      </c>
    </row>
    <row r="16">
      <c r="A16" s="328"/>
      <c r="B16" s="781"/>
      <c r="C16" s="328"/>
      <c r="D16" s="328"/>
      <c r="E16" s="328"/>
      <c r="F16" s="328"/>
      <c r="H16" s="328"/>
      <c r="J16" s="2"/>
      <c r="K16" s="2"/>
      <c r="L16" s="2"/>
      <c r="M16" s="2"/>
      <c r="N16" s="2"/>
      <c r="O16" s="2"/>
      <c r="P16" s="782" t="str">
        <f>IFERROR(__xludf.DUMMYFUNCTION("""COMPUTED_VALUE"""),"IHSAN ABDULOH ")</f>
        <v>IHSAN ABDULOH </v>
      </c>
      <c r="Q16" s="783" t="str">
        <f t="shared" ref="Q16:V16" si="11">IFERROR(INDEX($J$6:$O$50,MATCH($P16,$J$6:$J$50,0),MATCH(Q$5,$J$5:$O$5,0)),"")</f>
        <v/>
      </c>
      <c r="R16" s="784" t="str">
        <f t="shared" si="11"/>
        <v/>
      </c>
      <c r="S16" s="534" t="str">
        <f t="shared" si="11"/>
        <v/>
      </c>
      <c r="T16" s="785" t="str">
        <f t="shared" si="11"/>
        <v/>
      </c>
      <c r="U16" s="534" t="str">
        <f t="shared" si="11"/>
        <v/>
      </c>
      <c r="V16" s="786" t="str">
        <f t="shared" si="11"/>
        <v/>
      </c>
    </row>
    <row r="17">
      <c r="A17" s="328"/>
      <c r="B17" s="781"/>
      <c r="C17" s="328"/>
      <c r="D17" s="328"/>
      <c r="E17" s="328"/>
      <c r="F17" s="328"/>
      <c r="H17" s="328"/>
      <c r="J17" s="2"/>
      <c r="K17" s="2"/>
      <c r="L17" s="2"/>
      <c r="M17" s="2"/>
      <c r="N17" s="2"/>
      <c r="O17" s="2"/>
      <c r="P17" s="782" t="str">
        <f>IFERROR(__xludf.DUMMYFUNCTION("""COMPUTED_VALUE"""),"INDRA NURMAN")</f>
        <v>INDRA NURMAN</v>
      </c>
      <c r="Q17" s="783" t="str">
        <f t="shared" ref="Q17:V17" si="12">IFERROR(INDEX($J$6:$O$50,MATCH($P17,$J$6:$J$50,0),MATCH(Q$5,$J$5:$O$5,0)),"")</f>
        <v/>
      </c>
      <c r="R17" s="784" t="str">
        <f t="shared" si="12"/>
        <v/>
      </c>
      <c r="S17" s="534" t="str">
        <f t="shared" si="12"/>
        <v/>
      </c>
      <c r="T17" s="785" t="str">
        <f t="shared" si="12"/>
        <v/>
      </c>
      <c r="U17" s="534" t="str">
        <f t="shared" si="12"/>
        <v/>
      </c>
      <c r="V17" s="786" t="str">
        <f t="shared" si="12"/>
        <v/>
      </c>
    </row>
    <row r="18">
      <c r="A18" s="328"/>
      <c r="B18" s="781"/>
      <c r="C18" s="328"/>
      <c r="D18" s="328"/>
      <c r="E18" s="328"/>
      <c r="F18" s="328"/>
      <c r="H18" s="328"/>
      <c r="J18" s="2"/>
      <c r="K18" s="2"/>
      <c r="L18" s="2"/>
      <c r="M18" s="2"/>
      <c r="N18" s="2"/>
      <c r="O18" s="2"/>
      <c r="P18" s="782" t="str">
        <f>IFERROR(__xludf.DUMMYFUNCTION("""COMPUTED_VALUE"""),"IWAN SOPYAN")</f>
        <v>IWAN SOPYAN</v>
      </c>
      <c r="Q18" s="783" t="str">
        <f t="shared" ref="Q18:V18" si="13">IFERROR(INDEX($J$6:$O$50,MATCH($P18,$J$6:$J$50,0),MATCH(Q$5,$J$5:$O$5,0)),"")</f>
        <v/>
      </c>
      <c r="R18" s="784" t="str">
        <f t="shared" si="13"/>
        <v/>
      </c>
      <c r="S18" s="534" t="str">
        <f t="shared" si="13"/>
        <v/>
      </c>
      <c r="T18" s="785" t="str">
        <f t="shared" si="13"/>
        <v/>
      </c>
      <c r="U18" s="534" t="str">
        <f t="shared" si="13"/>
        <v/>
      </c>
      <c r="V18" s="786" t="str">
        <f t="shared" si="13"/>
        <v/>
      </c>
    </row>
    <row r="19">
      <c r="A19" s="328"/>
      <c r="B19" s="781"/>
      <c r="C19" s="328"/>
      <c r="D19" s="328"/>
      <c r="E19" s="328"/>
      <c r="F19" s="328"/>
      <c r="H19" s="328"/>
      <c r="J19" s="2"/>
      <c r="K19" s="2"/>
      <c r="L19" s="2"/>
      <c r="M19" s="2"/>
      <c r="N19" s="2"/>
      <c r="O19" s="2"/>
      <c r="P19" s="782" t="str">
        <f>IFERROR(__xludf.DUMMYFUNCTION("""COMPUTED_VALUE"""),"JEJEN JAENI")</f>
        <v>JEJEN JAENI</v>
      </c>
      <c r="Q19" s="783" t="str">
        <f t="shared" ref="Q19:V19" si="14">IFERROR(INDEX($J$6:$O$50,MATCH($P19,$J$6:$J$50,0),MATCH(Q$5,$J$5:$O$5,0)),"")</f>
        <v/>
      </c>
      <c r="R19" s="784" t="str">
        <f t="shared" si="14"/>
        <v/>
      </c>
      <c r="S19" s="534" t="str">
        <f t="shared" si="14"/>
        <v/>
      </c>
      <c r="T19" s="785" t="str">
        <f t="shared" si="14"/>
        <v/>
      </c>
      <c r="U19" s="534" t="str">
        <f t="shared" si="14"/>
        <v/>
      </c>
      <c r="V19" s="786" t="str">
        <f t="shared" si="14"/>
        <v/>
      </c>
    </row>
    <row r="20">
      <c r="A20" s="328"/>
      <c r="B20" s="781"/>
      <c r="C20" s="328"/>
      <c r="D20" s="328"/>
      <c r="E20" s="328"/>
      <c r="F20" s="328"/>
      <c r="H20" s="328"/>
      <c r="J20" s="2"/>
      <c r="K20" s="2"/>
      <c r="L20" s="2"/>
      <c r="M20" s="2"/>
      <c r="N20" s="2"/>
      <c r="O20" s="2"/>
      <c r="P20" s="782" t="str">
        <f>IFERROR(__xludf.DUMMYFUNCTION("""COMPUTED_VALUE"""),"M.HASAN ASARI")</f>
        <v>M.HASAN ASARI</v>
      </c>
      <c r="Q20" s="783" t="str">
        <f t="shared" ref="Q20:V20" si="15">IFERROR(INDEX($J$6:$O$50,MATCH($P20,$J$6:$J$50,0),MATCH(Q$5,$J$5:$O$5,0)),"")</f>
        <v/>
      </c>
      <c r="R20" s="784" t="str">
        <f t="shared" si="15"/>
        <v/>
      </c>
      <c r="S20" s="534" t="str">
        <f t="shared" si="15"/>
        <v/>
      </c>
      <c r="T20" s="785" t="str">
        <f t="shared" si="15"/>
        <v/>
      </c>
      <c r="U20" s="534" t="str">
        <f t="shared" si="15"/>
        <v/>
      </c>
      <c r="V20" s="786" t="str">
        <f t="shared" si="15"/>
        <v/>
      </c>
    </row>
    <row r="21">
      <c r="A21" s="328"/>
      <c r="B21" s="781"/>
      <c r="C21" s="328"/>
      <c r="D21" s="328"/>
      <c r="E21" s="328"/>
      <c r="F21" s="328"/>
      <c r="H21" s="328"/>
      <c r="J21" s="2"/>
      <c r="K21" s="2"/>
      <c r="L21" s="2"/>
      <c r="M21" s="2"/>
      <c r="N21" s="2"/>
      <c r="O21" s="2"/>
      <c r="P21" s="782" t="str">
        <f>IFERROR(__xludf.DUMMYFUNCTION("""COMPUTED_VALUE"""),"MUHAMAD ABIB RIZAL")</f>
        <v>MUHAMAD ABIB RIZAL</v>
      </c>
      <c r="Q21" s="783" t="str">
        <f t="shared" ref="Q21:V21" si="16">IFERROR(INDEX($J$6:$O$50,MATCH($P21,$J$6:$J$50,0),MATCH(Q$5,$J$5:$O$5,0)),"")</f>
        <v/>
      </c>
      <c r="R21" s="784" t="str">
        <f t="shared" si="16"/>
        <v/>
      </c>
      <c r="S21" s="534" t="str">
        <f t="shared" si="16"/>
        <v/>
      </c>
      <c r="T21" s="785" t="str">
        <f t="shared" si="16"/>
        <v/>
      </c>
      <c r="U21" s="534" t="str">
        <f t="shared" si="16"/>
        <v/>
      </c>
      <c r="V21" s="786" t="str">
        <f t="shared" si="16"/>
        <v/>
      </c>
    </row>
    <row r="22">
      <c r="A22" s="328"/>
      <c r="B22" s="781"/>
      <c r="C22" s="328"/>
      <c r="D22" s="328"/>
      <c r="E22" s="328"/>
      <c r="F22" s="328"/>
      <c r="H22" s="328"/>
      <c r="J22" s="2"/>
      <c r="K22" s="2"/>
      <c r="L22" s="2"/>
      <c r="M22" s="2"/>
      <c r="N22" s="2"/>
      <c r="O22" s="2"/>
      <c r="P22" s="782" t="str">
        <f>IFERROR(__xludf.DUMMYFUNCTION("""COMPUTED_VALUE"""),"MUHAMAD AL FARIZ")</f>
        <v>MUHAMAD AL FARIZ</v>
      </c>
      <c r="Q22" s="783" t="str">
        <f t="shared" ref="Q22:V22" si="17">IFERROR(INDEX($J$6:$O$50,MATCH($P22,$J$6:$J$50,0),MATCH(Q$5,$J$5:$O$5,0)),"")</f>
        <v/>
      </c>
      <c r="R22" s="784" t="str">
        <f t="shared" si="17"/>
        <v/>
      </c>
      <c r="S22" s="534" t="str">
        <f t="shared" si="17"/>
        <v/>
      </c>
      <c r="T22" s="785" t="str">
        <f t="shared" si="17"/>
        <v/>
      </c>
      <c r="U22" s="534" t="str">
        <f t="shared" si="17"/>
        <v/>
      </c>
      <c r="V22" s="786" t="str">
        <f t="shared" si="17"/>
        <v/>
      </c>
    </row>
    <row r="23">
      <c r="A23" s="328"/>
      <c r="B23" s="781"/>
      <c r="C23" s="328"/>
      <c r="D23" s="328"/>
      <c r="E23" s="328"/>
      <c r="F23" s="328"/>
      <c r="H23" s="328"/>
      <c r="J23" s="2"/>
      <c r="K23" s="2"/>
      <c r="L23" s="2"/>
      <c r="M23" s="2"/>
      <c r="N23" s="2"/>
      <c r="O23" s="2"/>
      <c r="P23" s="782" t="str">
        <f>IFERROR(__xludf.DUMMYFUNCTION("""COMPUTED_VALUE"""),"MUHAMAD ASRUL")</f>
        <v>MUHAMAD ASRUL</v>
      </c>
      <c r="Q23" s="783" t="str">
        <f t="shared" ref="Q23:V23" si="18">IFERROR(INDEX($J$6:$O$50,MATCH($P23,$J$6:$J$50,0),MATCH(Q$5,$J$5:$O$5,0)),"")</f>
        <v/>
      </c>
      <c r="R23" s="784" t="str">
        <f t="shared" si="18"/>
        <v/>
      </c>
      <c r="S23" s="534" t="str">
        <f t="shared" si="18"/>
        <v/>
      </c>
      <c r="T23" s="785" t="str">
        <f t="shared" si="18"/>
        <v/>
      </c>
      <c r="U23" s="534" t="str">
        <f t="shared" si="18"/>
        <v/>
      </c>
      <c r="V23" s="786" t="str">
        <f t="shared" si="18"/>
        <v/>
      </c>
    </row>
    <row r="24">
      <c r="A24" s="328"/>
      <c r="B24" s="781"/>
      <c r="C24" s="328"/>
      <c r="D24" s="328"/>
      <c r="E24" s="328"/>
      <c r="F24" s="328"/>
      <c r="H24" s="328"/>
      <c r="J24" s="2"/>
      <c r="K24" s="2"/>
      <c r="L24" s="2"/>
      <c r="M24" s="2"/>
      <c r="N24" s="2"/>
      <c r="O24" s="2"/>
      <c r="P24" s="782" t="str">
        <f>IFERROR(__xludf.DUMMYFUNCTION("""COMPUTED_VALUE"""),"MUHAMAD FARHAN")</f>
        <v>MUHAMAD FARHAN</v>
      </c>
      <c r="Q24" s="783" t="str">
        <f t="shared" ref="Q24:V24" si="19">IFERROR(INDEX($J$6:$O$50,MATCH($P24,$J$6:$J$50,0),MATCH(Q$5,$J$5:$O$5,0)),"")</f>
        <v/>
      </c>
      <c r="R24" s="784" t="str">
        <f t="shared" si="19"/>
        <v/>
      </c>
      <c r="S24" s="534" t="str">
        <f t="shared" si="19"/>
        <v/>
      </c>
      <c r="T24" s="785" t="str">
        <f t="shared" si="19"/>
        <v/>
      </c>
      <c r="U24" s="534" t="str">
        <f t="shared" si="19"/>
        <v/>
      </c>
      <c r="V24" s="786" t="str">
        <f t="shared" si="19"/>
        <v/>
      </c>
    </row>
    <row r="25">
      <c r="A25" s="328"/>
      <c r="B25" s="781"/>
      <c r="C25" s="328"/>
      <c r="D25" s="328"/>
      <c r="E25" s="328"/>
      <c r="F25" s="328"/>
      <c r="H25" s="328"/>
      <c r="J25" s="2"/>
      <c r="K25" s="2"/>
      <c r="L25" s="2"/>
      <c r="M25" s="2"/>
      <c r="N25" s="2"/>
      <c r="O25" s="2"/>
      <c r="P25" s="782" t="str">
        <f>IFERROR(__xludf.DUMMYFUNCTION("""COMPUTED_VALUE"""),"MUHAMAD MIFTAH NASHIRUDIN")</f>
        <v>MUHAMAD MIFTAH NASHIRUDIN</v>
      </c>
      <c r="Q25" s="783" t="str">
        <f t="shared" ref="Q25:V25" si="20">IFERROR(INDEX($J$6:$O$50,MATCH($P25,$J$6:$J$50,0),MATCH(Q$5,$J$5:$O$5,0)),"")</f>
        <v/>
      </c>
      <c r="R25" s="784" t="str">
        <f t="shared" si="20"/>
        <v/>
      </c>
      <c r="S25" s="534" t="str">
        <f t="shared" si="20"/>
        <v/>
      </c>
      <c r="T25" s="785" t="str">
        <f t="shared" si="20"/>
        <v/>
      </c>
      <c r="U25" s="534" t="str">
        <f t="shared" si="20"/>
        <v/>
      </c>
      <c r="V25" s="786" t="str">
        <f t="shared" si="20"/>
        <v/>
      </c>
    </row>
    <row r="26">
      <c r="A26" s="328"/>
      <c r="B26" s="781"/>
      <c r="C26" s="328"/>
      <c r="D26" s="328"/>
      <c r="E26" s="328"/>
      <c r="F26" s="328"/>
      <c r="H26" s="328"/>
      <c r="J26" s="2"/>
      <c r="K26" s="2"/>
      <c r="L26" s="2"/>
      <c r="M26" s="2"/>
      <c r="N26" s="2"/>
      <c r="O26" s="2"/>
      <c r="P26" s="782" t="str">
        <f>IFERROR(__xludf.DUMMYFUNCTION("""COMPUTED_VALUE"""),"MUHAMAD NUR KHOLIS ROMDONI")</f>
        <v>MUHAMAD NUR KHOLIS ROMDONI</v>
      </c>
      <c r="Q26" s="783" t="str">
        <f t="shared" ref="Q26:V26" si="21">IFERROR(INDEX($J$6:$O$50,MATCH($P26,$J$6:$J$50,0),MATCH(Q$5,$J$5:$O$5,0)),"")</f>
        <v/>
      </c>
      <c r="R26" s="784" t="str">
        <f t="shared" si="21"/>
        <v/>
      </c>
      <c r="S26" s="534" t="str">
        <f t="shared" si="21"/>
        <v/>
      </c>
      <c r="T26" s="785" t="str">
        <f t="shared" si="21"/>
        <v/>
      </c>
      <c r="U26" s="534" t="str">
        <f t="shared" si="21"/>
        <v/>
      </c>
      <c r="V26" s="786" t="str">
        <f t="shared" si="21"/>
        <v/>
      </c>
    </row>
    <row r="27">
      <c r="A27" s="328"/>
      <c r="B27" s="781"/>
      <c r="C27" s="328"/>
      <c r="D27" s="328"/>
      <c r="E27" s="328"/>
      <c r="F27" s="328"/>
      <c r="H27" s="328"/>
      <c r="J27" s="2"/>
      <c r="K27" s="2"/>
      <c r="L27" s="2"/>
      <c r="M27" s="2"/>
      <c r="N27" s="2"/>
      <c r="O27" s="2"/>
      <c r="P27" s="782" t="str">
        <f>IFERROR(__xludf.DUMMYFUNCTION("""COMPUTED_VALUE"""),"MUHAMAD RIDWAN")</f>
        <v>MUHAMAD RIDWAN</v>
      </c>
      <c r="Q27" s="783" t="str">
        <f t="shared" ref="Q27:V27" si="22">IFERROR(INDEX($J$6:$O$50,MATCH($P27,$J$6:$J$50,0),MATCH(Q$5,$J$5:$O$5,0)),"")</f>
        <v/>
      </c>
      <c r="R27" s="784" t="str">
        <f t="shared" si="22"/>
        <v/>
      </c>
      <c r="S27" s="534" t="str">
        <f t="shared" si="22"/>
        <v/>
      </c>
      <c r="T27" s="785" t="str">
        <f t="shared" si="22"/>
        <v/>
      </c>
      <c r="U27" s="534" t="str">
        <f t="shared" si="22"/>
        <v/>
      </c>
      <c r="V27" s="786" t="str">
        <f t="shared" si="22"/>
        <v/>
      </c>
    </row>
    <row r="28">
      <c r="A28" s="328"/>
      <c r="B28" s="781"/>
      <c r="C28" s="328"/>
      <c r="D28" s="328"/>
      <c r="E28" s="328"/>
      <c r="F28" s="328"/>
      <c r="H28" s="328"/>
      <c r="J28" s="2"/>
      <c r="K28" s="2"/>
      <c r="L28" s="2"/>
      <c r="M28" s="2"/>
      <c r="N28" s="2"/>
      <c r="O28" s="2"/>
      <c r="P28" s="782" t="str">
        <f>IFERROR(__xludf.DUMMYFUNCTION("""COMPUTED_VALUE"""),"MUHAMAD RUDI RIVIANSYAH")</f>
        <v>MUHAMAD RUDI RIVIANSYAH</v>
      </c>
      <c r="Q28" s="783" t="str">
        <f t="shared" ref="Q28:V28" si="23">IFERROR(INDEX($J$6:$O$50,MATCH($P28,$J$6:$J$50,0),MATCH(Q$5,$J$5:$O$5,0)),"")</f>
        <v/>
      </c>
      <c r="R28" s="784" t="str">
        <f t="shared" si="23"/>
        <v/>
      </c>
      <c r="S28" s="534" t="str">
        <f t="shared" si="23"/>
        <v/>
      </c>
      <c r="T28" s="785" t="str">
        <f t="shared" si="23"/>
        <v/>
      </c>
      <c r="U28" s="534" t="str">
        <f t="shared" si="23"/>
        <v/>
      </c>
      <c r="V28" s="786" t="str">
        <f t="shared" si="23"/>
        <v/>
      </c>
    </row>
    <row r="29">
      <c r="A29" s="328"/>
      <c r="B29" s="781"/>
      <c r="C29" s="328"/>
      <c r="D29" s="328"/>
      <c r="E29" s="328"/>
      <c r="F29" s="328"/>
      <c r="H29" s="328"/>
      <c r="J29" s="2"/>
      <c r="K29" s="2"/>
      <c r="L29" s="2"/>
      <c r="M29" s="2"/>
      <c r="N29" s="2"/>
      <c r="O29" s="2"/>
      <c r="P29" s="782" t="str">
        <f>IFERROR(__xludf.DUMMYFUNCTION("""COMPUTED_VALUE"""),"MUHAMAD SALMAN")</f>
        <v>MUHAMAD SALMAN</v>
      </c>
      <c r="Q29" s="783" t="str">
        <f t="shared" ref="Q29:V29" si="24">IFERROR(INDEX($J$6:$O$50,MATCH($P29,$J$6:$J$50,0),MATCH(Q$5,$J$5:$O$5,0)),"")</f>
        <v/>
      </c>
      <c r="R29" s="784" t="str">
        <f t="shared" si="24"/>
        <v/>
      </c>
      <c r="S29" s="534" t="str">
        <f t="shared" si="24"/>
        <v/>
      </c>
      <c r="T29" s="785" t="str">
        <f t="shared" si="24"/>
        <v/>
      </c>
      <c r="U29" s="534" t="str">
        <f t="shared" si="24"/>
        <v/>
      </c>
      <c r="V29" s="786" t="str">
        <f t="shared" si="24"/>
        <v/>
      </c>
    </row>
    <row r="30">
      <c r="A30" s="328"/>
      <c r="B30" s="781"/>
      <c r="C30" s="328"/>
      <c r="D30" s="328"/>
      <c r="E30" s="328"/>
      <c r="F30" s="328"/>
      <c r="H30" s="328"/>
      <c r="J30" s="2"/>
      <c r="K30" s="2"/>
      <c r="L30" s="2"/>
      <c r="M30" s="2"/>
      <c r="N30" s="2"/>
      <c r="O30" s="2"/>
      <c r="P30" s="782" t="str">
        <f>IFERROR(__xludf.DUMMYFUNCTION("""COMPUTED_VALUE"""),"MUHAMAD SUTIAWAN ALI")</f>
        <v>MUHAMAD SUTIAWAN ALI</v>
      </c>
      <c r="Q30" s="783" t="str">
        <f t="shared" ref="Q30:V30" si="25">IFERROR(INDEX($J$6:$O$50,MATCH($P30,$J$6:$J$50,0),MATCH(Q$5,$J$5:$O$5,0)),"")</f>
        <v/>
      </c>
      <c r="R30" s="784" t="str">
        <f t="shared" si="25"/>
        <v/>
      </c>
      <c r="S30" s="534" t="str">
        <f t="shared" si="25"/>
        <v/>
      </c>
      <c r="T30" s="785" t="str">
        <f t="shared" si="25"/>
        <v/>
      </c>
      <c r="U30" s="534" t="str">
        <f t="shared" si="25"/>
        <v/>
      </c>
      <c r="V30" s="786" t="str">
        <f t="shared" si="25"/>
        <v/>
      </c>
    </row>
    <row r="31">
      <c r="A31" s="328"/>
      <c r="B31" s="781"/>
      <c r="C31" s="328"/>
      <c r="D31" s="328"/>
      <c r="E31" s="328"/>
      <c r="F31" s="328"/>
      <c r="H31" s="328"/>
      <c r="J31" s="2"/>
      <c r="K31" s="2"/>
      <c r="L31" s="2"/>
      <c r="M31" s="2"/>
      <c r="N31" s="2"/>
      <c r="O31" s="2"/>
      <c r="P31" s="782" t="str">
        <f>IFERROR(__xludf.DUMMYFUNCTION("""COMPUTED_VALUE"""),"MUHAMMAD FAHRI MAULANA")</f>
        <v>MUHAMMAD FAHRI MAULANA</v>
      </c>
      <c r="Q31" s="783" t="str">
        <f t="shared" ref="Q31:V31" si="26">IFERROR(INDEX($J$6:$O$50,MATCH($P31,$J$6:$J$50,0),MATCH(Q$5,$J$5:$O$5,0)),"")</f>
        <v/>
      </c>
      <c r="R31" s="784" t="str">
        <f t="shared" si="26"/>
        <v/>
      </c>
      <c r="S31" s="534" t="str">
        <f t="shared" si="26"/>
        <v/>
      </c>
      <c r="T31" s="785" t="str">
        <f t="shared" si="26"/>
        <v/>
      </c>
      <c r="U31" s="534" t="str">
        <f t="shared" si="26"/>
        <v/>
      </c>
      <c r="V31" s="786" t="str">
        <f t="shared" si="26"/>
        <v/>
      </c>
    </row>
    <row r="32">
      <c r="A32" s="328"/>
      <c r="B32" s="781"/>
      <c r="C32" s="328"/>
      <c r="D32" s="328"/>
      <c r="E32" s="328"/>
      <c r="F32" s="328"/>
      <c r="H32" s="328"/>
      <c r="J32" s="2"/>
      <c r="K32" s="2"/>
      <c r="L32" s="2"/>
      <c r="M32" s="2"/>
      <c r="N32" s="2"/>
      <c r="O32" s="2"/>
      <c r="P32" s="782" t="str">
        <f>IFERROR(__xludf.DUMMYFUNCTION("""COMPUTED_VALUE"""),"MUHAMMAD GALANG GUNAWAN")</f>
        <v>MUHAMMAD GALANG GUNAWAN</v>
      </c>
      <c r="Q32" s="783" t="str">
        <f t="shared" ref="Q32:V32" si="27">IFERROR(INDEX($J$6:$O$50,MATCH($P32,$J$6:$J$50,0),MATCH(Q$5,$J$5:$O$5,0)),"")</f>
        <v/>
      </c>
      <c r="R32" s="784" t="str">
        <f t="shared" si="27"/>
        <v/>
      </c>
      <c r="S32" s="534" t="str">
        <f t="shared" si="27"/>
        <v/>
      </c>
      <c r="T32" s="785" t="str">
        <f t="shared" si="27"/>
        <v/>
      </c>
      <c r="U32" s="534" t="str">
        <f t="shared" si="27"/>
        <v/>
      </c>
      <c r="V32" s="786" t="str">
        <f t="shared" si="27"/>
        <v/>
      </c>
    </row>
    <row r="33">
      <c r="A33" s="328"/>
      <c r="B33" s="781"/>
      <c r="C33" s="328"/>
      <c r="D33" s="328"/>
      <c r="E33" s="328"/>
      <c r="F33" s="328"/>
      <c r="H33" s="328"/>
      <c r="J33" s="2"/>
      <c r="K33" s="2"/>
      <c r="L33" s="2"/>
      <c r="M33" s="2"/>
      <c r="N33" s="2"/>
      <c r="O33" s="2"/>
      <c r="P33" s="782" t="str">
        <f>IFERROR(__xludf.DUMMYFUNCTION("""COMPUTED_VALUE"""),"MUHAMMAD GOZALI")</f>
        <v>MUHAMMAD GOZALI</v>
      </c>
      <c r="Q33" s="783" t="str">
        <f t="shared" ref="Q33:V33" si="28">IFERROR(INDEX($J$6:$O$50,MATCH($P33,$J$6:$J$50,0),MATCH(Q$5,$J$5:$O$5,0)),"")</f>
        <v/>
      </c>
      <c r="R33" s="820" t="str">
        <f t="shared" si="28"/>
        <v/>
      </c>
      <c r="S33" s="2" t="str">
        <f t="shared" si="28"/>
        <v/>
      </c>
      <c r="T33" s="821" t="str">
        <f t="shared" si="28"/>
        <v/>
      </c>
      <c r="U33" s="2" t="str">
        <f t="shared" si="28"/>
        <v/>
      </c>
      <c r="V33" s="822" t="str">
        <f t="shared" si="28"/>
        <v/>
      </c>
    </row>
    <row r="34">
      <c r="A34" s="328"/>
      <c r="B34" s="781"/>
      <c r="C34" s="328"/>
      <c r="D34" s="328"/>
      <c r="E34" s="328"/>
      <c r="F34" s="328"/>
      <c r="H34" s="328"/>
      <c r="J34" s="2"/>
      <c r="K34" s="2"/>
      <c r="L34" s="2"/>
      <c r="M34" s="2"/>
      <c r="N34" s="2"/>
      <c r="O34" s="2"/>
      <c r="P34" s="782" t="str">
        <f>IFERROR(__xludf.DUMMYFUNCTION("""COMPUTED_VALUE"""),"MUHAMMAD HADAD AT'TOILLAH")</f>
        <v>MUHAMMAD HADAD AT'TOILLAH</v>
      </c>
      <c r="Q34" s="783" t="str">
        <f t="shared" ref="Q34:V34" si="29">IFERROR(INDEX($J$6:$O$50,MATCH($P34,$J$6:$J$50,0),MATCH(Q$5,$J$5:$O$5,0)),"")</f>
        <v/>
      </c>
      <c r="R34" s="820" t="str">
        <f t="shared" si="29"/>
        <v/>
      </c>
      <c r="S34" s="2" t="str">
        <f t="shared" si="29"/>
        <v/>
      </c>
      <c r="T34" s="821" t="str">
        <f t="shared" si="29"/>
        <v/>
      </c>
      <c r="U34" s="2" t="str">
        <f t="shared" si="29"/>
        <v/>
      </c>
      <c r="V34" s="822" t="str">
        <f t="shared" si="29"/>
        <v/>
      </c>
    </row>
    <row r="35">
      <c r="A35" s="328"/>
      <c r="B35" s="781"/>
      <c r="C35" s="328"/>
      <c r="D35" s="328"/>
      <c r="E35" s="328"/>
      <c r="F35" s="328"/>
      <c r="H35" s="328"/>
      <c r="J35" s="2"/>
      <c r="K35" s="2"/>
      <c r="L35" s="2"/>
      <c r="M35" s="2"/>
      <c r="N35" s="2"/>
      <c r="O35" s="2"/>
      <c r="P35" s="782" t="str">
        <f>IFERROR(__xludf.DUMMYFUNCTION("""COMPUTED_VALUE"""),"MUHAMMAD ILHAM")</f>
        <v>MUHAMMAD ILHAM</v>
      </c>
      <c r="Q35" s="783" t="str">
        <f t="shared" ref="Q35:V35" si="30">IFERROR(INDEX($J$6:$O$50,MATCH($P35,$J$6:$J$50,0),MATCH(Q$5,$J$5:$O$5,0)),"")</f>
        <v/>
      </c>
      <c r="R35" s="820" t="str">
        <f t="shared" si="30"/>
        <v/>
      </c>
      <c r="S35" s="2" t="str">
        <f t="shared" si="30"/>
        <v/>
      </c>
      <c r="T35" s="821" t="str">
        <f t="shared" si="30"/>
        <v/>
      </c>
      <c r="U35" s="2" t="str">
        <f t="shared" si="30"/>
        <v/>
      </c>
      <c r="V35" s="822" t="str">
        <f t="shared" si="30"/>
        <v/>
      </c>
    </row>
    <row r="36">
      <c r="C36" s="328"/>
      <c r="D36" s="328"/>
      <c r="E36" s="328"/>
      <c r="F36" s="328"/>
      <c r="J36" s="2"/>
      <c r="K36" s="2"/>
      <c r="L36" s="2"/>
      <c r="M36" s="2"/>
      <c r="N36" s="2"/>
      <c r="O36" s="2"/>
      <c r="P36" s="782" t="str">
        <f>IFERROR(__xludf.DUMMYFUNCTION("""COMPUTED_VALUE"""),"M. IRPAN SAEPUL IBRAHIM ")</f>
        <v>M. IRPAN SAEPUL IBRAHIM </v>
      </c>
      <c r="Q36" s="783" t="str">
        <f t="shared" ref="Q36:V36" si="31">IFERROR(INDEX($J$6:$O$50,MATCH($P36,$J$6:$J$50,0),MATCH(Q$5,$J$5:$O$5,0)),"")</f>
        <v/>
      </c>
      <c r="R36" s="820" t="str">
        <f t="shared" si="31"/>
        <v/>
      </c>
      <c r="S36" s="2" t="str">
        <f t="shared" si="31"/>
        <v/>
      </c>
      <c r="T36" s="821" t="str">
        <f t="shared" si="31"/>
        <v/>
      </c>
      <c r="U36" s="2" t="str">
        <f t="shared" si="31"/>
        <v/>
      </c>
      <c r="V36" s="822" t="str">
        <f t="shared" si="31"/>
        <v/>
      </c>
    </row>
    <row r="37">
      <c r="J37" s="2"/>
      <c r="K37" s="2"/>
      <c r="L37" s="2"/>
      <c r="M37" s="2"/>
      <c r="N37" s="2"/>
      <c r="O37" s="2"/>
      <c r="P37" s="782" t="str">
        <f>IFERROR(__xludf.DUMMYFUNCTION("""COMPUTED_VALUE"""),"MUHAMMAD NAZIL SIBTHURRIDHO")</f>
        <v>MUHAMMAD NAZIL SIBTHURRIDHO</v>
      </c>
      <c r="Q37" s="783"/>
      <c r="R37" s="820"/>
      <c r="T37" s="821"/>
      <c r="V37" s="822"/>
    </row>
    <row r="38">
      <c r="J38" s="2"/>
      <c r="K38" s="2"/>
      <c r="L38" s="2"/>
      <c r="M38" s="2"/>
      <c r="N38" s="2"/>
      <c r="O38" s="2"/>
      <c r="P38" s="782" t="str">
        <f>IFERROR(__xludf.DUMMYFUNCTION("""COMPUTED_VALUE"""),"MUHAMMAD RAGIL")</f>
        <v>MUHAMMAD RAGIL</v>
      </c>
      <c r="Q38" s="783"/>
      <c r="R38" s="820"/>
      <c r="T38" s="821"/>
      <c r="V38" s="822"/>
    </row>
    <row r="39">
      <c r="J39" s="2"/>
      <c r="K39" s="2"/>
      <c r="L39" s="2"/>
      <c r="M39" s="2"/>
      <c r="N39" s="2"/>
      <c r="O39" s="2"/>
      <c r="P39" s="782" t="str">
        <f>IFERROR(__xludf.DUMMYFUNCTION("""COMPUTED_VALUE"""),"NAJMI ERIANA")</f>
        <v>NAJMI ERIANA</v>
      </c>
      <c r="Q39" s="783"/>
      <c r="R39" s="820"/>
      <c r="T39" s="821"/>
      <c r="V39" s="822"/>
    </row>
    <row r="40">
      <c r="J40" s="2"/>
      <c r="K40" s="2"/>
      <c r="L40" s="2"/>
      <c r="M40" s="2"/>
      <c r="N40" s="2"/>
      <c r="O40" s="2"/>
      <c r="P40" s="782" t="str">
        <f>IFERROR(__xludf.DUMMYFUNCTION("""COMPUTED_VALUE"""),"PANO PAIZAL")</f>
        <v>PANO PAIZAL</v>
      </c>
      <c r="Q40" s="783"/>
      <c r="R40" s="820"/>
      <c r="T40" s="821"/>
      <c r="V40" s="822"/>
    </row>
    <row r="41">
      <c r="J41" s="2"/>
      <c r="K41" s="2"/>
      <c r="L41" s="2"/>
      <c r="M41" s="2"/>
      <c r="N41" s="2"/>
      <c r="O41" s="2"/>
      <c r="P41" s="782" t="str">
        <f>IFERROR(__xludf.DUMMYFUNCTION("""COMPUTED_VALUE"""),"PIRMAN ADRIYANI PUTRA")</f>
        <v>PIRMAN ADRIYANI PUTRA</v>
      </c>
      <c r="Q41" s="783"/>
      <c r="R41" s="820"/>
      <c r="T41" s="821"/>
      <c r="V41" s="822"/>
    </row>
    <row r="42">
      <c r="J42" s="2"/>
      <c r="K42" s="2"/>
      <c r="L42" s="2"/>
      <c r="M42" s="2"/>
      <c r="N42" s="2"/>
      <c r="O42" s="2"/>
      <c r="P42" s="782" t="str">
        <f>IFERROR(__xludf.DUMMYFUNCTION("""COMPUTED_VALUE"""),"RAFFA RAMADHAN")</f>
        <v>RAFFA RAMADHAN</v>
      </c>
      <c r="Q42" s="783"/>
      <c r="R42" s="820"/>
      <c r="T42" s="821"/>
      <c r="V42" s="822"/>
    </row>
    <row r="43">
      <c r="J43" s="2"/>
      <c r="K43" s="2"/>
      <c r="L43" s="2"/>
      <c r="M43" s="2"/>
      <c r="N43" s="2"/>
      <c r="O43" s="2"/>
      <c r="P43" s="782" t="str">
        <f>IFERROR(__xludf.DUMMYFUNCTION("""COMPUTED_VALUE"""),"RAFQA NUZULUL AKBAR SETIANA")</f>
        <v>RAFQA NUZULUL AKBAR SETIANA</v>
      </c>
      <c r="Q43" s="783"/>
      <c r="R43" s="820"/>
      <c r="T43" s="821"/>
      <c r="V43" s="822"/>
    </row>
    <row r="44">
      <c r="J44" s="2"/>
      <c r="K44" s="2"/>
      <c r="L44" s="2"/>
      <c r="M44" s="2"/>
      <c r="N44" s="2"/>
      <c r="O44" s="2"/>
      <c r="P44" s="782" t="str">
        <f>IFERROR(__xludf.DUMMYFUNCTION("""COMPUTED_VALUE"""),"RIDO MUHAMAD NUR FADILAH")</f>
        <v>RIDO MUHAMAD NUR FADILAH</v>
      </c>
      <c r="Q44" s="783" t="str">
        <f t="shared" ref="Q44:V44" si="32">IFERROR(INDEX($J$6:$O$50,MATCH($P44,$J$6:$J$50,0),MATCH(Q$5,$J$5:$O$5,0)),"")</f>
        <v/>
      </c>
      <c r="R44" s="820" t="str">
        <f t="shared" si="32"/>
        <v/>
      </c>
      <c r="S44" s="2" t="str">
        <f t="shared" si="32"/>
        <v/>
      </c>
      <c r="T44" s="821" t="str">
        <f t="shared" si="32"/>
        <v/>
      </c>
      <c r="U44" s="2" t="str">
        <f t="shared" si="32"/>
        <v/>
      </c>
      <c r="V44" s="822" t="str">
        <f t="shared" si="32"/>
        <v/>
      </c>
    </row>
    <row r="45">
      <c r="J45" s="2"/>
      <c r="K45" s="2"/>
      <c r="L45" s="2"/>
      <c r="M45" s="2"/>
      <c r="N45" s="2"/>
      <c r="O45" s="2"/>
      <c r="P45" s="782" t="str">
        <f>IFERROR(__xludf.DUMMYFUNCTION("""COMPUTED_VALUE"""),"RIFAL KAMILUL AJHAR")</f>
        <v>RIFAL KAMILUL AJHAR</v>
      </c>
      <c r="Q45" s="783" t="str">
        <f t="shared" ref="Q45:V45" si="33">IFERROR(INDEX($J$6:$O$50,MATCH($P45,$J$6:$J$50,0),MATCH(Q$5,$J$5:$O$5,0)),"")</f>
        <v/>
      </c>
      <c r="R45" s="820" t="str">
        <f t="shared" si="33"/>
        <v/>
      </c>
      <c r="S45" s="2" t="str">
        <f t="shared" si="33"/>
        <v/>
      </c>
      <c r="T45" s="821" t="str">
        <f t="shared" si="33"/>
        <v/>
      </c>
      <c r="U45" s="2" t="str">
        <f t="shared" si="33"/>
        <v/>
      </c>
      <c r="V45" s="822" t="str">
        <f t="shared" si="33"/>
        <v/>
      </c>
    </row>
    <row r="46">
      <c r="J46" s="2"/>
      <c r="K46" s="2"/>
      <c r="L46" s="2"/>
      <c r="M46" s="2"/>
      <c r="N46" s="2"/>
      <c r="O46" s="2"/>
      <c r="P46" s="782" t="str">
        <f>IFERROR(__xludf.DUMMYFUNCTION("""COMPUTED_VALUE"""),"RIVALDI MAULANA")</f>
        <v>RIVALDI MAULANA</v>
      </c>
      <c r="Q46" s="783" t="str">
        <f t="shared" ref="Q46:V46" si="34">IFERROR(INDEX($J$6:$O$50,MATCH($P46,$J$6:$J$50,0),MATCH(Q$5,$J$5:$O$5,0)),"")</f>
        <v/>
      </c>
      <c r="R46" s="820" t="str">
        <f t="shared" si="34"/>
        <v/>
      </c>
      <c r="S46" s="2" t="str">
        <f t="shared" si="34"/>
        <v/>
      </c>
      <c r="T46" s="821" t="str">
        <f t="shared" si="34"/>
        <v/>
      </c>
      <c r="U46" s="2" t="str">
        <f t="shared" si="34"/>
        <v/>
      </c>
      <c r="V46" s="822" t="str">
        <f t="shared" si="34"/>
        <v/>
      </c>
    </row>
    <row r="47">
      <c r="J47" s="2"/>
      <c r="K47" s="2"/>
      <c r="L47" s="2"/>
      <c r="M47" s="2"/>
      <c r="N47" s="2"/>
      <c r="O47" s="2"/>
      <c r="P47" s="782" t="str">
        <f>IFERROR(__xludf.DUMMYFUNCTION("""COMPUTED_VALUE"""),"RIZAL RISMAYANDI")</f>
        <v>RIZAL RISMAYANDI</v>
      </c>
      <c r="Q47" s="783" t="str">
        <f t="shared" ref="Q47:V47" si="35">IFERROR(INDEX($J$6:$O$50,MATCH($P47,$J$6:$J$50,0),MATCH(Q$5,$J$5:$O$5,0)),"")</f>
        <v/>
      </c>
      <c r="R47" s="820" t="str">
        <f t="shared" si="35"/>
        <v/>
      </c>
      <c r="S47" s="2" t="str">
        <f t="shared" si="35"/>
        <v/>
      </c>
      <c r="T47" s="821" t="str">
        <f t="shared" si="35"/>
        <v/>
      </c>
      <c r="U47" s="2" t="str">
        <f t="shared" si="35"/>
        <v/>
      </c>
      <c r="V47" s="822" t="str">
        <f t="shared" si="35"/>
        <v/>
      </c>
    </row>
    <row r="48">
      <c r="J48" s="2"/>
      <c r="K48" s="2"/>
      <c r="L48" s="2"/>
      <c r="M48" s="2"/>
      <c r="N48" s="2"/>
      <c r="O48" s="2"/>
      <c r="P48" s="782" t="str">
        <f>IFERROR(__xludf.DUMMYFUNCTION("""COMPUTED_VALUE"""),"RIZKI ADITIA PRATAMA")</f>
        <v>RIZKI ADITIA PRATAMA</v>
      </c>
      <c r="Q48" s="783" t="str">
        <f t="shared" ref="Q48:V48" si="36">IFERROR(INDEX($J$6:$O$50,MATCH($P48,$J$6:$J$50,0),MATCH(Q$5,$J$5:$O$5,0)),"")</f>
        <v/>
      </c>
      <c r="R48" s="820" t="str">
        <f t="shared" si="36"/>
        <v/>
      </c>
      <c r="S48" s="2" t="str">
        <f t="shared" si="36"/>
        <v/>
      </c>
      <c r="T48" s="821" t="str">
        <f t="shared" si="36"/>
        <v/>
      </c>
      <c r="U48" s="2" t="str">
        <f t="shared" si="36"/>
        <v/>
      </c>
      <c r="V48" s="822" t="str">
        <f t="shared" si="36"/>
        <v/>
      </c>
    </row>
    <row r="49">
      <c r="J49" s="2"/>
      <c r="K49" s="2"/>
      <c r="L49" s="2"/>
      <c r="M49" s="2"/>
      <c r="N49" s="2"/>
      <c r="O49" s="2"/>
      <c r="P49" s="782" t="str">
        <f>IFERROR(__xludf.DUMMYFUNCTION("""COMPUTED_VALUE"""),"SURYA BAGJA JUNIOR")</f>
        <v>SURYA BAGJA JUNIOR</v>
      </c>
      <c r="Q49" s="783" t="str">
        <f t="shared" ref="Q49:V49" si="37">IFERROR(INDEX($J$6:$O$50,MATCH($P49,$J$6:$J$50,0),MATCH(Q$5,$J$5:$O$5,0)),"")</f>
        <v/>
      </c>
      <c r="R49" s="820" t="str">
        <f t="shared" si="37"/>
        <v/>
      </c>
      <c r="S49" s="2" t="str">
        <f t="shared" si="37"/>
        <v/>
      </c>
      <c r="T49" s="821" t="str">
        <f t="shared" si="37"/>
        <v/>
      </c>
      <c r="U49" s="2" t="str">
        <f t="shared" si="37"/>
        <v/>
      </c>
      <c r="V49" s="826" t="str">
        <f t="shared" si="37"/>
        <v/>
      </c>
    </row>
    <row r="50">
      <c r="C50" s="828"/>
      <c r="D50" s="829"/>
      <c r="E50" s="829"/>
      <c r="F50" s="829"/>
      <c r="G50" s="829"/>
      <c r="H50" s="830"/>
      <c r="J50" s="2"/>
      <c r="K50" s="2"/>
      <c r="L50" s="2"/>
      <c r="M50" s="2"/>
      <c r="N50" s="2"/>
      <c r="O50" s="2"/>
      <c r="P50" s="782" t="str">
        <f>IFERROR(__xludf.DUMMYFUNCTION("""COMPUTED_VALUE"""),"WILDAN RIPAI")</f>
        <v>WILDAN RIPAI</v>
      </c>
      <c r="Q50" s="831" t="str">
        <f t="shared" ref="Q50:V50" si="38">IFERROR(INDEX($J$6:$O$50,MATCH($P50,$J$6:$J$50,0),MATCH(Q$5,$J$5:$O$5,0)),"")</f>
        <v/>
      </c>
      <c r="R50" s="832" t="str">
        <f t="shared" si="38"/>
        <v/>
      </c>
      <c r="S50" s="833" t="str">
        <f t="shared" si="38"/>
        <v/>
      </c>
      <c r="T50" s="834" t="str">
        <f t="shared" si="38"/>
        <v/>
      </c>
      <c r="U50" s="833" t="str">
        <f t="shared" si="38"/>
        <v/>
      </c>
      <c r="V50" s="835" t="str">
        <f t="shared" si="38"/>
        <v/>
      </c>
    </row>
    <row r="51">
      <c r="J51" s="2"/>
      <c r="K51" s="2"/>
      <c r="L51" s="2"/>
      <c r="M51" s="2"/>
      <c r="N51" s="2"/>
      <c r="O51" s="2"/>
      <c r="P51" s="2" t="str">
        <f>IFERROR(__xludf.DUMMYFUNCTION("""COMPUTED_VALUE"""),"YUDHA PRASETYO")</f>
        <v>YUDHA PRASETYO</v>
      </c>
    </row>
    <row r="52">
      <c r="J52" s="2"/>
      <c r="K52" s="2"/>
      <c r="L52" s="2"/>
      <c r="M52" s="2"/>
      <c r="N52" s="2"/>
      <c r="O52" s="2"/>
      <c r="P52" s="2"/>
    </row>
    <row r="53">
      <c r="J53" s="2"/>
      <c r="K53" s="2"/>
      <c r="L53" s="2"/>
      <c r="M53" s="2"/>
      <c r="N53" s="2"/>
      <c r="O53" s="2"/>
      <c r="P53" s="2"/>
    </row>
    <row r="54">
      <c r="J54" s="2"/>
      <c r="K54" s="2"/>
      <c r="L54" s="2"/>
      <c r="M54" s="2"/>
      <c r="N54" s="2"/>
      <c r="O54" s="2"/>
      <c r="P54" s="2"/>
    </row>
    <row r="55">
      <c r="J55" s="2"/>
      <c r="K55" s="2"/>
      <c r="L55" s="2"/>
      <c r="M55" s="2"/>
      <c r="N55" s="2"/>
      <c r="O55" s="2"/>
      <c r="P55" s="2"/>
    </row>
    <row r="56">
      <c r="J56" s="2"/>
      <c r="K56" s="2"/>
      <c r="L56" s="2"/>
      <c r="M56" s="2"/>
      <c r="N56" s="2"/>
      <c r="O56" s="2"/>
      <c r="P56" s="2"/>
    </row>
    <row r="57">
      <c r="J57" s="2"/>
      <c r="K57" s="2"/>
      <c r="L57" s="2"/>
      <c r="M57" s="2"/>
      <c r="N57" s="2"/>
      <c r="O57" s="2"/>
      <c r="P57" s="2"/>
    </row>
    <row r="58">
      <c r="J58" s="2"/>
      <c r="K58" s="2"/>
      <c r="L58" s="2"/>
      <c r="M58" s="2"/>
      <c r="N58" s="2"/>
      <c r="O58" s="2"/>
      <c r="P58" s="2"/>
    </row>
    <row r="59">
      <c r="J59" s="2"/>
      <c r="K59" s="2"/>
      <c r="L59" s="2"/>
      <c r="M59" s="2"/>
      <c r="N59" s="2"/>
      <c r="O59" s="2"/>
      <c r="P59" s="2"/>
    </row>
    <row r="60">
      <c r="J60" s="2"/>
      <c r="K60" s="2"/>
      <c r="L60" s="2"/>
      <c r="M60" s="2"/>
      <c r="N60" s="2"/>
      <c r="O60" s="2"/>
      <c r="P60" s="2"/>
    </row>
  </sheetData>
  <mergeCells count="4">
    <mergeCell ref="A1:W1"/>
    <mergeCell ref="D3:H4"/>
    <mergeCell ref="J3:M3"/>
    <mergeCell ref="S3:V4"/>
  </mergeCells>
  <conditionalFormatting sqref="P6:P60">
    <cfRule type="expression" dxfId="8" priority="1">
      <formula>ISNA(MATCH(P6, Q:Q,0))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1803"/>
    <pageSetUpPr/>
  </sheetPr>
  <sheetViews>
    <sheetView workbookViewId="0"/>
  </sheetViews>
  <sheetFormatPr customHeight="1" defaultColWidth="14.43" defaultRowHeight="15.0"/>
  <cols>
    <col customWidth="1" min="1" max="1" width="22.71"/>
    <col customWidth="1" min="2" max="2" width="3.0"/>
    <col customWidth="1" min="3" max="3" width="31.71"/>
    <col customWidth="1" min="4" max="4" width="16.29"/>
    <col customWidth="1" min="5" max="5" width="7.43"/>
    <col customWidth="1" min="6" max="6" width="19.71"/>
    <col customWidth="1" min="7" max="7" width="23.86"/>
    <col customWidth="1" min="8" max="8" width="39.43"/>
    <col customWidth="1" min="9" max="9" width="8.71"/>
    <col customWidth="1" min="10" max="10" width="15.0"/>
    <col customWidth="1" min="11" max="11" width="20.71"/>
    <col customWidth="1" min="12" max="12" width="12.57"/>
    <col customWidth="1" min="13" max="13" width="6.43"/>
    <col customWidth="1" min="14" max="14" width="18.29"/>
    <col customWidth="1" min="15" max="15" width="8.71"/>
    <col customWidth="1" min="16" max="16" width="79.43"/>
    <col customWidth="1" min="17" max="17" width="19.29"/>
    <col customWidth="1" min="18" max="18" width="38.0"/>
    <col customWidth="1" min="19" max="19" width="14.14"/>
    <col customWidth="1" min="20" max="20" width="12.57"/>
    <col customWidth="1" min="21" max="21" width="17.29"/>
    <col customWidth="1" min="22" max="22" width="18.43"/>
    <col customWidth="1" min="23" max="23" width="79.43"/>
    <col customWidth="1" min="24" max="24" width="13.86"/>
    <col customWidth="1" min="25" max="25" width="13.29"/>
    <col customWidth="1" min="26" max="26" width="12.43"/>
    <col customWidth="1" min="27" max="30" width="18.71"/>
    <col customWidth="1" min="31" max="36" width="46.86"/>
    <col customWidth="1" min="37" max="39" width="13.29"/>
  </cols>
  <sheetData>
    <row r="1" ht="25.5" customHeight="1">
      <c r="A1" s="431" t="s">
        <v>534</v>
      </c>
      <c r="B1" s="571"/>
      <c r="C1" s="792" t="s">
        <v>535</v>
      </c>
      <c r="D1" s="792" t="str">
        <f>IF(C1="Tingkat 10","Col32",IF(C1="Tingkat 11","Col33",IF(C1="Tingkat 12","Col34","Col35")))</f>
        <v>Col32</v>
      </c>
      <c r="E1" s="793" t="s">
        <v>536</v>
      </c>
      <c r="F1" s="466"/>
      <c r="G1" s="466"/>
      <c r="H1" s="466"/>
      <c r="I1" s="467"/>
      <c r="J1" s="793" t="s">
        <v>537</v>
      </c>
      <c r="K1" s="466"/>
      <c r="L1" s="466"/>
      <c r="M1" s="466"/>
      <c r="N1" s="467"/>
      <c r="O1" s="793"/>
      <c r="P1" s="466"/>
      <c r="Q1" s="466"/>
      <c r="R1" s="466"/>
      <c r="S1" s="467"/>
      <c r="T1" s="793"/>
      <c r="U1" s="466"/>
      <c r="V1" s="466"/>
      <c r="W1" s="466"/>
      <c r="X1" s="467"/>
      <c r="Y1" s="793"/>
      <c r="Z1" s="466"/>
      <c r="AA1" s="466"/>
      <c r="AB1" s="466"/>
      <c r="AC1" s="467"/>
      <c r="AD1" s="794"/>
      <c r="AE1" s="794"/>
      <c r="AF1" s="794"/>
      <c r="AG1" s="794"/>
      <c r="AH1" s="794"/>
      <c r="AI1" s="794"/>
      <c r="AJ1" s="794" t="s">
        <v>538</v>
      </c>
      <c r="AK1" s="795" t="s">
        <v>539</v>
      </c>
      <c r="AL1" s="796" t="s">
        <v>539</v>
      </c>
      <c r="AM1" s="797"/>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row>
    <row r="2" ht="18.75" customHeight="1">
      <c r="A2" s="798" t="s">
        <v>337</v>
      </c>
      <c r="B2" s="799" t="s">
        <v>336</v>
      </c>
      <c r="C2" s="800" t="s">
        <v>540</v>
      </c>
      <c r="D2" s="801"/>
      <c r="E2" s="802" t="s">
        <v>346</v>
      </c>
      <c r="F2" s="803" t="s">
        <v>1</v>
      </c>
      <c r="G2" s="803" t="s">
        <v>2</v>
      </c>
      <c r="H2" s="803" t="s">
        <v>3</v>
      </c>
      <c r="I2" s="803" t="s">
        <v>4</v>
      </c>
      <c r="J2" s="803" t="s">
        <v>541</v>
      </c>
      <c r="K2" s="804" t="s">
        <v>542</v>
      </c>
      <c r="L2" s="803" t="s">
        <v>543</v>
      </c>
      <c r="M2" s="803" t="s">
        <v>544</v>
      </c>
      <c r="N2" s="803" t="s">
        <v>495</v>
      </c>
      <c r="O2" s="803" t="s">
        <v>545</v>
      </c>
      <c r="P2" s="803" t="s">
        <v>546</v>
      </c>
      <c r="Q2" s="803" t="s">
        <v>547</v>
      </c>
      <c r="R2" s="803" t="s">
        <v>504</v>
      </c>
      <c r="S2" s="803" t="s">
        <v>548</v>
      </c>
      <c r="T2" s="803" t="s">
        <v>549</v>
      </c>
      <c r="U2" s="803" t="s">
        <v>550</v>
      </c>
      <c r="V2" s="803" t="s">
        <v>551</v>
      </c>
      <c r="W2" s="803" t="s">
        <v>518</v>
      </c>
      <c r="X2" s="803" t="s">
        <v>552</v>
      </c>
      <c r="Y2" s="803" t="s">
        <v>553</v>
      </c>
      <c r="Z2" s="803" t="s">
        <v>554</v>
      </c>
      <c r="AA2" s="803" t="s">
        <v>555</v>
      </c>
      <c r="AB2" s="803" t="s">
        <v>556</v>
      </c>
      <c r="AC2" s="803" t="s">
        <v>557</v>
      </c>
      <c r="AD2" s="803" t="s">
        <v>558</v>
      </c>
      <c r="AE2" s="805" t="s">
        <v>559</v>
      </c>
      <c r="AF2" s="806" t="s">
        <v>560</v>
      </c>
      <c r="AG2" s="805" t="s">
        <v>561</v>
      </c>
      <c r="AH2" s="806" t="s">
        <v>562</v>
      </c>
      <c r="AI2" s="806" t="s">
        <v>563</v>
      </c>
      <c r="AJ2" s="807"/>
      <c r="AK2" s="808" t="s">
        <v>564</v>
      </c>
      <c r="AL2" s="808" t="s">
        <v>565</v>
      </c>
      <c r="AM2" s="808" t="s">
        <v>566</v>
      </c>
      <c r="AN2" s="353"/>
      <c r="AO2" s="353"/>
      <c r="AP2" s="353"/>
      <c r="AQ2" s="353"/>
      <c r="AR2" s="353"/>
      <c r="AS2" s="353"/>
      <c r="AT2" s="353"/>
      <c r="AU2" s="353"/>
      <c r="AV2" s="353"/>
      <c r="AW2" s="353"/>
      <c r="AX2" s="353"/>
      <c r="AY2" s="353"/>
      <c r="AZ2" s="353"/>
      <c r="BA2" s="353"/>
      <c r="BB2" s="353"/>
      <c r="BC2" s="353"/>
      <c r="BD2" s="353"/>
      <c r="BE2" s="353"/>
      <c r="BF2" s="353"/>
      <c r="BG2" s="353"/>
      <c r="BH2" s="353"/>
      <c r="BI2" s="353"/>
      <c r="BJ2" s="353"/>
      <c r="BK2" s="353"/>
      <c r="BL2" s="353"/>
      <c r="BM2" s="353"/>
      <c r="BN2" s="353"/>
      <c r="BO2" s="353"/>
      <c r="BP2" s="353"/>
      <c r="BQ2" s="353"/>
      <c r="BR2" s="353"/>
      <c r="BS2" s="353"/>
      <c r="BT2" s="353"/>
      <c r="BU2" s="353"/>
      <c r="BV2" s="353"/>
      <c r="BW2" s="353"/>
      <c r="BX2" s="353"/>
      <c r="BY2" s="353"/>
      <c r="BZ2" s="353"/>
    </row>
    <row r="3" ht="18.75" customHeight="1">
      <c r="A3" s="809" t="s">
        <v>567</v>
      </c>
      <c r="B3" s="810" t="s">
        <v>336</v>
      </c>
      <c r="C3" s="811" t="s">
        <v>220</v>
      </c>
      <c r="D3" s="812"/>
      <c r="E3" s="222">
        <f>IFERROR(__xludf.DUMMYFUNCTION("QUERY(MASTER!B4:AJ60,""select Col1, Col2, Col3, Col4, "" &amp; D1 &amp; "", "" &amp; J1 &amp; "" where "" &amp; D1 &amp; "" = '"" &amp; C2 &amp; ""'"")
"),1.0)</f>
        <v>1</v>
      </c>
      <c r="F3" s="813" t="str">
        <f>IFERROR(__xludf.DUMMYFUNCTION("""COMPUTED_VALUE"""),"2526100414")</f>
        <v>2526100414</v>
      </c>
      <c r="G3" s="813" t="str">
        <f>IFERROR(__xludf.DUMMYFUNCTION("""COMPUTED_VALUE"""),"0098742051")</f>
        <v>0098742051</v>
      </c>
      <c r="H3" s="813" t="str">
        <f>IFERROR(__xludf.DUMMYFUNCTION("""COMPUTED_VALUE"""),"AHMAD FAUZI")</f>
        <v>AHMAD FAUZI</v>
      </c>
      <c r="I3" s="813" t="str">
        <f>IFERROR(__xludf.DUMMYFUNCTION("""COMPUTED_VALUE"""),"X TO 4")</f>
        <v>X TO 4</v>
      </c>
      <c r="J3" s="814" t="str">
        <f>IFERROR(__xludf.DUMMYFUNCTION("""COMPUTED_VALUE"""),"Garut")</f>
        <v>Garut</v>
      </c>
      <c r="K3" s="815">
        <f>IFERROR(__xludf.DUMMYFUNCTION("""COMPUTED_VALUE"""),40083.0)</f>
        <v>40083</v>
      </c>
      <c r="L3" s="813" t="str">
        <f>IFERROR(__xludf.DUMMYFUNCTION("""COMPUTED_VALUE"""),"Laki-Laki")</f>
        <v>Laki-Laki</v>
      </c>
      <c r="M3" s="813" t="str">
        <f>IFERROR(__xludf.DUMMYFUNCTION("""COMPUTED_VALUE"""),"Islam")</f>
        <v>Islam</v>
      </c>
      <c r="N3" s="813" t="str">
        <f>IFERROR(__xludf.DUMMYFUNCTION("""COMPUTED_VALUE"""),"Anak Kandung")</f>
        <v>Anak Kandung</v>
      </c>
      <c r="O3" s="813" t="str">
        <f>IFERROR(__xludf.DUMMYFUNCTION("""COMPUTED_VALUE"""),"1 (Satu)")</f>
        <v>1 (Satu)</v>
      </c>
      <c r="P3" s="813" t="str">
        <f>IFERROR(__xludf.DUMMYFUNCTION("""COMPUTED_VALUE"""),"Kp. Talun Sukawargi RT/RW 003/006 Desa Situsari Kec. Cisurupan Kab. Garut")</f>
        <v>Kp. Talun Sukawargi RT/RW 003/006 Desa Situsari Kec. Cisurupan Kab. Garut</v>
      </c>
      <c r="Q3" s="813" t="str">
        <f>IFERROR(__xludf.DUMMYFUNCTION("""COMPUTED_VALUE"""),"-")</f>
        <v>-</v>
      </c>
      <c r="R3" s="813" t="str">
        <f>IFERROR(__xludf.DUMMYFUNCTION("""COMPUTED_VALUE"""),"MTsN 2 Purwakarta")</f>
        <v>MTsN 2 Purwakarta</v>
      </c>
      <c r="S3" s="813" t="str">
        <f>IFERROR(__xludf.DUMMYFUNCTION("""COMPUTED_VALUE"""),"X TO 4")</f>
        <v>X TO 4</v>
      </c>
      <c r="T3" s="813" t="str">
        <f>IFERROR(__xludf.DUMMYFUNCTION("""COMPUTED_VALUE"""),"14 Juli 2025")</f>
        <v>14 Juli 2025</v>
      </c>
      <c r="U3" s="813" t="str">
        <f>IFERROR(__xludf.DUMMYFUNCTION("""COMPUTED_VALUE"""),"Cucu Suherman")</f>
        <v>Cucu Suherman</v>
      </c>
      <c r="V3" s="813" t="str">
        <f>IFERROR(__xludf.DUMMYFUNCTION("""COMPUTED_VALUE"""),"Elin")</f>
        <v>Elin</v>
      </c>
      <c r="W3" s="813" t="str">
        <f>IFERROR(__xludf.DUMMYFUNCTION("""COMPUTED_VALUE"""),"Kp. Talun Sukawargi RT/RW 003/006 Desa Situsari Kec. Cisurupan Kab. Garut")</f>
        <v>Kp. Talun Sukawargi RT/RW 003/006 Desa Situsari Kec. Cisurupan Kab. Garut</v>
      </c>
      <c r="X3" s="813" t="str">
        <f>IFERROR(__xludf.DUMMYFUNCTION("""COMPUTED_VALUE"""),"-")</f>
        <v>-</v>
      </c>
      <c r="Y3" s="813" t="str">
        <f>IFERROR(__xludf.DUMMYFUNCTION("""COMPUTED_VALUE"""),"Pedagang")</f>
        <v>Pedagang</v>
      </c>
      <c r="Z3" s="813" t="str">
        <f>IFERROR(__xludf.DUMMYFUNCTION("""COMPUTED_VALUE"""),"Rumah Tangga")</f>
        <v>Rumah Tangga</v>
      </c>
      <c r="AA3" s="813" t="str">
        <f>IFERROR(__xludf.DUMMYFUNCTION("""COMPUTED_VALUE"""),"-")</f>
        <v>-</v>
      </c>
      <c r="AB3" s="813" t="str">
        <f>IFERROR(__xludf.DUMMYFUNCTION("""COMPUTED_VALUE"""),"-")</f>
        <v>-</v>
      </c>
      <c r="AC3" s="813" t="str">
        <f>IFERROR(__xludf.DUMMYFUNCTION("""COMPUTED_VALUE"""),"-")</f>
        <v>-</v>
      </c>
      <c r="AD3" s="813"/>
      <c r="AE3" s="813" t="str">
        <f>IFERROR(__xludf.DUMMYFUNCTION("""COMPUTED_VALUE"""),"20229659")</f>
        <v>20229659</v>
      </c>
      <c r="AF3" s="813"/>
      <c r="AG3" s="813" t="str">
        <f>IFERROR(__xludf.DUMMYFUNCTION("""COMPUTED_VALUE"""),"/appsheet/data/InputBiodataRaportX-3328125/FilePDF/AHMAD FAUZI-475f6e45.PDF")</f>
        <v>/appsheet/data/InputBiodataRaportX-3328125/FilePDF/AHMAD FAUZI-475f6e45.PDF</v>
      </c>
      <c r="AH3" s="813" t="str">
        <f>IFERROR(__xludf.DUMMYFUNCTION("""COMPUTED_VALUE"""),"2025 2026")</f>
        <v>2025 2026</v>
      </c>
      <c r="AI3" s="813" t="str">
        <f>IFERROR(__xludf.DUMMYFUNCTION("""COMPUTED_VALUE"""),"Purwakarta, 22 Desember 2025")</f>
        <v>Purwakarta, 22 Desember 2025</v>
      </c>
      <c r="AJ3" s="816" t="s">
        <v>568</v>
      </c>
      <c r="AK3" s="817" t="b">
        <f t="shared" ref="AK3:AL3" si="1">IF(H3:H137&lt;&gt;"",ISNUMBER(match(CONCATENATE(AK$2,"_",$C$4,"_",$C$3,"_",$C$2,"_",$H3,".pdf"),$AJ$3:$AJ137,0)))</f>
        <v>0</v>
      </c>
      <c r="AL3" s="817" t="b">
        <f t="shared" si="1"/>
        <v>1</v>
      </c>
      <c r="AM3" s="817" t="b">
        <f t="shared" ref="AM3:AM7" si="3">IF(AJ3:AJ137&lt;&gt;"",ISNUMBER(match(CONCATENATE(AM$2,"_",$C$4,"_",$C$3,"_",$C$2,"_",$H3,".pdf"),$AJ$3:$AJ137,0)))</f>
        <v>1</v>
      </c>
      <c r="AN3" s="353"/>
      <c r="AO3" s="353"/>
      <c r="AP3" s="353"/>
      <c r="AQ3" s="353"/>
      <c r="AR3" s="353"/>
      <c r="AS3" s="353"/>
      <c r="AT3" s="353"/>
      <c r="AU3" s="353"/>
      <c r="AV3" s="353"/>
      <c r="AW3" s="353"/>
      <c r="AX3" s="353"/>
      <c r="AY3" s="353"/>
      <c r="AZ3" s="353"/>
      <c r="BA3" s="353"/>
      <c r="BB3" s="353"/>
      <c r="BC3" s="353"/>
      <c r="BD3" s="353"/>
      <c r="BE3" s="353"/>
      <c r="BF3" s="353"/>
      <c r="BG3" s="353"/>
      <c r="BH3" s="353"/>
      <c r="BI3" s="353"/>
      <c r="BJ3" s="353"/>
      <c r="BK3" s="353"/>
      <c r="BL3" s="353"/>
      <c r="BM3" s="353"/>
      <c r="BN3" s="353"/>
      <c r="BO3" s="353"/>
      <c r="BP3" s="353"/>
      <c r="BQ3" s="353"/>
      <c r="BR3" s="353"/>
      <c r="BS3" s="353"/>
      <c r="BT3" s="353"/>
      <c r="BU3" s="353"/>
      <c r="BV3" s="353"/>
      <c r="BW3" s="353"/>
      <c r="BX3" s="353"/>
      <c r="BY3" s="353"/>
      <c r="BZ3" s="353"/>
    </row>
    <row r="4" ht="18.75" customHeight="1">
      <c r="A4" s="809" t="s">
        <v>343</v>
      </c>
      <c r="B4" s="810" t="s">
        <v>336</v>
      </c>
      <c r="C4" s="811" t="s">
        <v>569</v>
      </c>
      <c r="D4" s="812"/>
      <c r="E4" s="222">
        <f>IFERROR(__xludf.DUMMYFUNCTION("""COMPUTED_VALUE"""),2.0)</f>
        <v>2</v>
      </c>
      <c r="F4" s="813" t="str">
        <f>IFERROR(__xludf.DUMMYFUNCTION("""COMPUTED_VALUE"""),"2526100415")</f>
        <v>2526100415</v>
      </c>
      <c r="G4" s="813" t="str">
        <f>IFERROR(__xludf.DUMMYFUNCTION("""COMPUTED_VALUE"""),"0094541761")</f>
        <v>0094541761</v>
      </c>
      <c r="H4" s="813" t="str">
        <f>IFERROR(__xludf.DUMMYFUNCTION("""COMPUTED_VALUE"""),"AHMAD YOPI JUMAEDI")</f>
        <v>AHMAD YOPI JUMAEDI</v>
      </c>
      <c r="I4" s="813" t="str">
        <f>IFERROR(__xludf.DUMMYFUNCTION("""COMPUTED_VALUE"""),"X TO 4")</f>
        <v>X TO 4</v>
      </c>
      <c r="J4" s="813" t="str">
        <f>IFERROR(__xludf.DUMMYFUNCTION("""COMPUTED_VALUE"""),"Purwakarta")</f>
        <v>Purwakarta</v>
      </c>
      <c r="K4" s="815">
        <f>IFERROR(__xludf.DUMMYFUNCTION("""COMPUTED_VALUE"""),39892.0)</f>
        <v>39892</v>
      </c>
      <c r="L4" s="813" t="str">
        <f>IFERROR(__xludf.DUMMYFUNCTION("""COMPUTED_VALUE"""),"Laki-Laki")</f>
        <v>Laki-Laki</v>
      </c>
      <c r="M4" s="813" t="str">
        <f>IFERROR(__xludf.DUMMYFUNCTION("""COMPUTED_VALUE"""),"Islam")</f>
        <v>Islam</v>
      </c>
      <c r="N4" s="813" t="str">
        <f>IFERROR(__xludf.DUMMYFUNCTION("""COMPUTED_VALUE"""),"Anak Kandung")</f>
        <v>Anak Kandung</v>
      </c>
      <c r="O4" s="813" t="str">
        <f>IFERROR(__xludf.DUMMYFUNCTION("""COMPUTED_VALUE"""),"3 (Tiga)")</f>
        <v>3 (Tiga)</v>
      </c>
      <c r="P4" s="813" t="str">
        <f>IFERROR(__xludf.DUMMYFUNCTION("""COMPUTED_VALUE"""),"Kp. Cipadali RT/W 002/002, Desa Babakansari, Kecamatan Plered, Kabupaten Purwakarta")</f>
        <v>Kp. Cipadali RT/W 002/002, Desa Babakansari, Kecamatan Plered, Kabupaten Purwakarta</v>
      </c>
      <c r="Q4" s="813" t="str">
        <f>IFERROR(__xludf.DUMMYFUNCTION("""COMPUTED_VALUE"""),"-")</f>
        <v>-</v>
      </c>
      <c r="R4" s="813" t="str">
        <f>IFERROR(__xludf.DUMMYFUNCTION("""COMPUTED_VALUE"""),"SMP Negeri 1 Plered")</f>
        <v>SMP Negeri 1 Plered</v>
      </c>
      <c r="S4" s="813" t="str">
        <f>IFERROR(__xludf.DUMMYFUNCTION("""COMPUTED_VALUE"""),"X TO 4")</f>
        <v>X TO 4</v>
      </c>
      <c r="T4" s="813" t="str">
        <f>IFERROR(__xludf.DUMMYFUNCTION("""COMPUTED_VALUE"""),"14 Juli 2025")</f>
        <v>14 Juli 2025</v>
      </c>
      <c r="U4" s="813" t="str">
        <f>IFERROR(__xludf.DUMMYFUNCTION("""COMPUTED_VALUE"""),"Agus Rohayadi")</f>
        <v>Agus Rohayadi</v>
      </c>
      <c r="V4" s="813" t="str">
        <f>IFERROR(__xludf.DUMMYFUNCTION("""COMPUTED_VALUE"""),"Yayu Rahayu")</f>
        <v>Yayu Rahayu</v>
      </c>
      <c r="W4" s="813" t="str">
        <f>IFERROR(__xludf.DUMMYFUNCTION("""COMPUTED_VALUE"""),"Kp. Cipadali RT/W 002/002, Desa Babakansari, Kecamatan Plered, Kabupaten Purwakarta")</f>
        <v>Kp. Cipadali RT/W 002/002, Desa Babakansari, Kecamatan Plered, Kabupaten Purwakarta</v>
      </c>
      <c r="X4" s="813" t="str">
        <f>IFERROR(__xludf.DUMMYFUNCTION("""COMPUTED_VALUE"""),"-")</f>
        <v>-</v>
      </c>
      <c r="Y4" s="813" t="str">
        <f>IFERROR(__xludf.DUMMYFUNCTION("""COMPUTED_VALUE"""),"Pedagang")</f>
        <v>Pedagang</v>
      </c>
      <c r="Z4" s="813" t="str">
        <f>IFERROR(__xludf.DUMMYFUNCTION("""COMPUTED_VALUE"""),"Rumah Tangga")</f>
        <v>Rumah Tangga</v>
      </c>
      <c r="AA4" s="813" t="str">
        <f>IFERROR(__xludf.DUMMYFUNCTION("""COMPUTED_VALUE"""),"-")</f>
        <v>-</v>
      </c>
      <c r="AB4" s="813" t="str">
        <f>IFERROR(__xludf.DUMMYFUNCTION("""COMPUTED_VALUE"""),"-")</f>
        <v>-</v>
      </c>
      <c r="AC4" s="813" t="str">
        <f>IFERROR(__xludf.DUMMYFUNCTION("""COMPUTED_VALUE"""),"-")</f>
        <v>-</v>
      </c>
      <c r="AD4" s="813"/>
      <c r="AE4" s="813" t="str">
        <f>IFERROR(__xludf.DUMMYFUNCTION("""COMPUTED_VALUE"""),"20229659")</f>
        <v>20229659</v>
      </c>
      <c r="AF4" s="813"/>
      <c r="AG4" s="813" t="str">
        <f>IFERROR(__xludf.DUMMYFUNCTION("""COMPUTED_VALUE"""),"/appsheet/data/InputBiodataRaportX-3328125/FilePDF/AHMAD YOPI JUMAEDI-37bd6651.PDF")</f>
        <v>/appsheet/data/InputBiodataRaportX-3328125/FilePDF/AHMAD YOPI JUMAEDI-37bd6651.PDF</v>
      </c>
      <c r="AH4" s="813" t="str">
        <f>IFERROR(__xludf.DUMMYFUNCTION("""COMPUTED_VALUE"""),"2025 2026")</f>
        <v>2025 2026</v>
      </c>
      <c r="AI4" s="813" t="str">
        <f>IFERROR(__xludf.DUMMYFUNCTION("""COMPUTED_VALUE"""),"Purwakarta, 22 Desember 2025")</f>
        <v>Purwakarta, 22 Desember 2025</v>
      </c>
      <c r="AJ4" s="816" t="s">
        <v>570</v>
      </c>
      <c r="AK4" s="817" t="b">
        <f t="shared" ref="AK4:AL4" si="2">IF(H4:H137&lt;&gt;"",ISNUMBER(match(CONCATENATE(AK$2,"_",$C$4,"_",$C$3,"_",$C$2,"_",$H4,".pdf"),$AJ$3:$AJ137,0)))</f>
        <v>0</v>
      </c>
      <c r="AL4" s="817" t="b">
        <f t="shared" si="2"/>
        <v>1</v>
      </c>
      <c r="AM4" s="817" t="b">
        <f t="shared" si="3"/>
        <v>1</v>
      </c>
      <c r="AN4" s="353"/>
      <c r="AO4" s="353"/>
      <c r="AP4" s="353"/>
      <c r="AQ4" s="353"/>
      <c r="AR4" s="353"/>
      <c r="AS4" s="353"/>
      <c r="AT4" s="353"/>
      <c r="AU4" s="353"/>
      <c r="AV4" s="353"/>
      <c r="AW4" s="353"/>
      <c r="AX4" s="353"/>
      <c r="AY4" s="353"/>
      <c r="AZ4" s="353"/>
      <c r="BA4" s="353"/>
      <c r="BB4" s="353"/>
      <c r="BC4" s="353"/>
      <c r="BD4" s="353"/>
      <c r="BE4" s="353"/>
      <c r="BF4" s="353"/>
      <c r="BG4" s="353"/>
      <c r="BH4" s="353"/>
      <c r="BI4" s="353"/>
      <c r="BJ4" s="353"/>
      <c r="BK4" s="353"/>
      <c r="BL4" s="353"/>
      <c r="BM4" s="353"/>
      <c r="BN4" s="353"/>
      <c r="BO4" s="353"/>
      <c r="BP4" s="353"/>
      <c r="BQ4" s="353"/>
      <c r="BR4" s="353"/>
      <c r="BS4" s="353"/>
      <c r="BT4" s="353"/>
      <c r="BU4" s="353"/>
      <c r="BV4" s="353"/>
      <c r="BW4" s="353"/>
      <c r="BX4" s="353"/>
      <c r="BY4" s="353"/>
      <c r="BZ4" s="353"/>
    </row>
    <row r="5" ht="18.75" customHeight="1">
      <c r="A5" s="809" t="s">
        <v>339</v>
      </c>
      <c r="B5" s="810" t="s">
        <v>336</v>
      </c>
      <c r="C5" s="818" t="s">
        <v>394</v>
      </c>
      <c r="D5" s="819"/>
      <c r="E5" s="222">
        <f>IFERROR(__xludf.DUMMYFUNCTION("""COMPUTED_VALUE"""),3.0)</f>
        <v>3</v>
      </c>
      <c r="F5" s="813" t="str">
        <f>IFERROR(__xludf.DUMMYFUNCTION("""COMPUTED_VALUE"""),"2526100416")</f>
        <v>2526100416</v>
      </c>
      <c r="G5" s="813" t="str">
        <f>IFERROR(__xludf.DUMMYFUNCTION("""COMPUTED_VALUE"""),"0095885037")</f>
        <v>0095885037</v>
      </c>
      <c r="H5" s="813" t="str">
        <f>IFERROR(__xludf.DUMMYFUNCTION("""COMPUTED_VALUE"""),"ALGI FALGIAN")</f>
        <v>ALGI FALGIAN</v>
      </c>
      <c r="I5" s="813" t="str">
        <f>IFERROR(__xludf.DUMMYFUNCTION("""COMPUTED_VALUE"""),"X TO 4")</f>
        <v>X TO 4</v>
      </c>
      <c r="J5" s="813" t="str">
        <f>IFERROR(__xludf.DUMMYFUNCTION("""COMPUTED_VALUE"""),"Purwakarta")</f>
        <v>Purwakarta</v>
      </c>
      <c r="K5" s="815">
        <f>IFERROR(__xludf.DUMMYFUNCTION("""COMPUTED_VALUE"""),40096.0)</f>
        <v>40096</v>
      </c>
      <c r="L5" s="813" t="str">
        <f>IFERROR(__xludf.DUMMYFUNCTION("""COMPUTED_VALUE"""),"Laki-Laki")</f>
        <v>Laki-Laki</v>
      </c>
      <c r="M5" s="813" t="str">
        <f>IFERROR(__xludf.DUMMYFUNCTION("""COMPUTED_VALUE"""),"Islam")</f>
        <v>Islam</v>
      </c>
      <c r="N5" s="813" t="str">
        <f>IFERROR(__xludf.DUMMYFUNCTION("""COMPUTED_VALUE"""),"Anak Kandung")</f>
        <v>Anak Kandung</v>
      </c>
      <c r="O5" s="813" t="str">
        <f>IFERROR(__xludf.DUMMYFUNCTION("""COMPUTED_VALUE"""),"1 (Satu)")</f>
        <v>1 (Satu)</v>
      </c>
      <c r="P5" s="813" t="str">
        <f>IFERROR(__xludf.DUMMYFUNCTION("""COMPUTED_VALUE"""),"Kp. Babakan Jati RT/RW 014/007 Desa Cibogohilir Kec. Plered Kab. Purwakarta")</f>
        <v>Kp. Babakan Jati RT/RW 014/007 Desa Cibogohilir Kec. Plered Kab. Purwakarta</v>
      </c>
      <c r="Q5" s="813" t="str">
        <f>IFERROR(__xludf.DUMMYFUNCTION("""COMPUTED_VALUE"""),"-")</f>
        <v>-</v>
      </c>
      <c r="R5" s="813" t="str">
        <f>IFERROR(__xludf.DUMMYFUNCTION("""COMPUTED_VALUE"""),"SMP Negeri 2 Plered")</f>
        <v>SMP Negeri 2 Plered</v>
      </c>
      <c r="S5" s="813" t="str">
        <f>IFERROR(__xludf.DUMMYFUNCTION("""COMPUTED_VALUE"""),"X TO 4")</f>
        <v>X TO 4</v>
      </c>
      <c r="T5" s="813" t="str">
        <f>IFERROR(__xludf.DUMMYFUNCTION("""COMPUTED_VALUE"""),"14 Juli 2025")</f>
        <v>14 Juli 2025</v>
      </c>
      <c r="U5" s="813" t="str">
        <f>IFERROR(__xludf.DUMMYFUNCTION("""COMPUTED_VALUE"""),"Ganda")</f>
        <v>Ganda</v>
      </c>
      <c r="V5" s="813" t="str">
        <f>IFERROR(__xludf.DUMMYFUNCTION("""COMPUTED_VALUE"""),"Juariah")</f>
        <v>Juariah</v>
      </c>
      <c r="W5" s="813" t="str">
        <f>IFERROR(__xludf.DUMMYFUNCTION("""COMPUTED_VALUE"""),"Kp. Babakan Jati RT 014/007 Desa Cibogohilir Kec. Plered Kab. Purwakarta")</f>
        <v>Kp. Babakan Jati RT 014/007 Desa Cibogohilir Kec. Plered Kab. Purwakarta</v>
      </c>
      <c r="X5" s="813" t="str">
        <f>IFERROR(__xludf.DUMMYFUNCTION("""COMPUTED_VALUE"""),"-")</f>
        <v>-</v>
      </c>
      <c r="Y5" s="813" t="str">
        <f>IFERROR(__xludf.DUMMYFUNCTION("""COMPUTED_VALUE"""),"Buruh")</f>
        <v>Buruh</v>
      </c>
      <c r="Z5" s="813" t="str">
        <f>IFERROR(__xludf.DUMMYFUNCTION("""COMPUTED_VALUE"""),"Rumah Tangga")</f>
        <v>Rumah Tangga</v>
      </c>
      <c r="AA5" s="813" t="str">
        <f>IFERROR(__xludf.DUMMYFUNCTION("""COMPUTED_VALUE"""),"-")</f>
        <v>-</v>
      </c>
      <c r="AB5" s="813" t="str">
        <f>IFERROR(__xludf.DUMMYFUNCTION("""COMPUTED_VALUE"""),"-")</f>
        <v>-</v>
      </c>
      <c r="AC5" s="813" t="str">
        <f>IFERROR(__xludf.DUMMYFUNCTION("""COMPUTED_VALUE"""),"-")</f>
        <v>-</v>
      </c>
      <c r="AD5" s="813"/>
      <c r="AE5" s="813" t="str">
        <f>IFERROR(__xludf.DUMMYFUNCTION("""COMPUTED_VALUE"""),"20229659")</f>
        <v>20229659</v>
      </c>
      <c r="AF5" s="813"/>
      <c r="AG5" s="813" t="str">
        <f>IFERROR(__xludf.DUMMYFUNCTION("""COMPUTED_VALUE"""),"/appsheet/data/InputBiodataRaportX-3328125/FilePDF/ALGI FALGIAN-0cef3d3a.PDF")</f>
        <v>/appsheet/data/InputBiodataRaportX-3328125/FilePDF/ALGI FALGIAN-0cef3d3a.PDF</v>
      </c>
      <c r="AH5" s="813" t="str">
        <f>IFERROR(__xludf.DUMMYFUNCTION("""COMPUTED_VALUE"""),"2025 2026")</f>
        <v>2025 2026</v>
      </c>
      <c r="AI5" s="813" t="str">
        <f>IFERROR(__xludf.DUMMYFUNCTION("""COMPUTED_VALUE"""),"Purwakarta, 22 Desember 2025")</f>
        <v>Purwakarta, 22 Desember 2025</v>
      </c>
      <c r="AJ5" s="816" t="s">
        <v>571</v>
      </c>
      <c r="AK5" s="817" t="b">
        <f t="shared" ref="AK5:AL5" si="4">IF(H5:H137&lt;&gt;"",ISNUMBER(match(CONCATENATE(AK$2,"_",$C$4,"_",$C$3,"_",$C$2,"_",$H5,".pdf"),$AJ$3:$AJ137,0)))</f>
        <v>0</v>
      </c>
      <c r="AL5" s="817" t="b">
        <f t="shared" si="4"/>
        <v>0</v>
      </c>
      <c r="AM5" s="817" t="b">
        <f t="shared" si="3"/>
        <v>1</v>
      </c>
      <c r="AN5" s="353"/>
      <c r="AO5" s="353"/>
      <c r="AP5" s="353"/>
      <c r="AQ5" s="353"/>
      <c r="AR5" s="353"/>
      <c r="AS5" s="353"/>
      <c r="AT5" s="353"/>
      <c r="AU5" s="353"/>
      <c r="AV5" s="353"/>
      <c r="AW5" s="353"/>
      <c r="AX5" s="353"/>
      <c r="AY5" s="353"/>
      <c r="AZ5" s="353"/>
      <c r="BA5" s="353"/>
      <c r="BB5" s="353"/>
      <c r="BC5" s="353"/>
      <c r="BD5" s="353"/>
      <c r="BE5" s="353"/>
      <c r="BF5" s="353"/>
      <c r="BG5" s="353"/>
      <c r="BH5" s="353"/>
      <c r="BI5" s="353"/>
      <c r="BJ5" s="353"/>
      <c r="BK5" s="353"/>
      <c r="BL5" s="353"/>
      <c r="BM5" s="353"/>
      <c r="BN5" s="353"/>
      <c r="BO5" s="353"/>
      <c r="BP5" s="353"/>
      <c r="BQ5" s="353"/>
      <c r="BR5" s="353"/>
      <c r="BS5" s="353"/>
      <c r="BT5" s="353"/>
      <c r="BU5" s="353"/>
      <c r="BV5" s="353"/>
      <c r="BW5" s="353"/>
      <c r="BX5" s="353"/>
      <c r="BY5" s="353"/>
      <c r="BZ5" s="353"/>
    </row>
    <row r="6" ht="18.75" customHeight="1">
      <c r="A6" s="823" t="s">
        <v>376</v>
      </c>
      <c r="B6" s="810" t="s">
        <v>336</v>
      </c>
      <c r="C6" s="824" t="str">
        <f t="array" ref="C6">INDEX(MASTER!$AM$4:$AM$30,MATCH($C$2,MASTER!$AL$4:$AL$30,0))</f>
        <v>Teknik Sepeda Motor</v>
      </c>
      <c r="E6" s="825">
        <f>IFERROR(__xludf.DUMMYFUNCTION("""COMPUTED_VALUE"""),4.0)</f>
        <v>4</v>
      </c>
      <c r="F6" s="813" t="str">
        <f>IFERROR(__xludf.DUMMYFUNCTION("""COMPUTED_VALUE"""),"2526100417")</f>
        <v>2526100417</v>
      </c>
      <c r="G6" s="813" t="str">
        <f>IFERROR(__xludf.DUMMYFUNCTION("""COMPUTED_VALUE"""),"0095141993")</f>
        <v>0095141993</v>
      </c>
      <c r="H6" s="813" t="str">
        <f>IFERROR(__xludf.DUMMYFUNCTION("""COMPUTED_VALUE"""),"ALI PERMANA")</f>
        <v>ALI PERMANA</v>
      </c>
      <c r="I6" s="813" t="str">
        <f>IFERROR(__xludf.DUMMYFUNCTION("""COMPUTED_VALUE"""),"X TO 4")</f>
        <v>X TO 4</v>
      </c>
      <c r="J6" s="813"/>
      <c r="K6" s="815"/>
      <c r="L6" s="813"/>
      <c r="M6" s="813"/>
      <c r="N6" s="813"/>
      <c r="O6" s="813"/>
      <c r="P6" s="813"/>
      <c r="Q6" s="813"/>
      <c r="R6" s="813"/>
      <c r="S6" s="813"/>
      <c r="T6" s="813" t="str">
        <f>IFERROR(__xludf.DUMMYFUNCTION("""COMPUTED_VALUE"""),"14 Juli 2025")</f>
        <v>14 Juli 2025</v>
      </c>
      <c r="U6" s="813"/>
      <c r="V6" s="813"/>
      <c r="W6" s="813"/>
      <c r="X6" s="813"/>
      <c r="Y6" s="813"/>
      <c r="Z6" s="813"/>
      <c r="AA6" s="813"/>
      <c r="AB6" s="813"/>
      <c r="AC6" s="813"/>
      <c r="AD6" s="813"/>
      <c r="AE6" s="813"/>
      <c r="AF6" s="813"/>
      <c r="AG6" s="813"/>
      <c r="AH6" s="813" t="str">
        <f>IFERROR(__xludf.DUMMYFUNCTION("""COMPUTED_VALUE"""),"2025 2026")</f>
        <v>2025 2026</v>
      </c>
      <c r="AI6" s="813" t="str">
        <f>IFERROR(__xludf.DUMMYFUNCTION("""COMPUTED_VALUE"""),"Purwakarta, 22 Desember 2025")</f>
        <v>Purwakarta, 22 Desember 2025</v>
      </c>
      <c r="AJ6" s="816" t="s">
        <v>572</v>
      </c>
      <c r="AK6" s="817" t="b">
        <f t="shared" ref="AK6:AL6" si="5">IF(H6:H137&lt;&gt;"",ISNUMBER(match(CONCATENATE(AK$2,"_",$C$4,"_",$C$3,"_",$C$2,"_",$H6,".pdf"),$AJ$3:$AJ137,0)))</f>
        <v>0</v>
      </c>
      <c r="AL6" s="817" t="b">
        <f t="shared" si="5"/>
        <v>0</v>
      </c>
      <c r="AM6" s="817" t="b">
        <f t="shared" si="3"/>
        <v>0</v>
      </c>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row>
    <row r="7" ht="18.75" customHeight="1">
      <c r="A7" s="823" t="s">
        <v>400</v>
      </c>
      <c r="B7" s="810" t="s">
        <v>336</v>
      </c>
      <c r="C7" s="824" t="str">
        <f t="array" ref="C7">INDEX(MASTER!$AN$4:$AN$30,MATCH($C$2,MASTER!$AL$4:$AL$30,0))</f>
        <v>Teknik Otomotif</v>
      </c>
      <c r="E7" s="825">
        <f>IFERROR(__xludf.DUMMYFUNCTION("""COMPUTED_VALUE"""),5.0)</f>
        <v>5</v>
      </c>
      <c r="F7" s="813" t="str">
        <f>IFERROR(__xludf.DUMMYFUNCTION("""COMPUTED_VALUE"""),"2526100418")</f>
        <v>2526100418</v>
      </c>
      <c r="G7" s="813" t="str">
        <f>IFERROR(__xludf.DUMMYFUNCTION("""COMPUTED_VALUE"""),"0107198266")</f>
        <v>0107198266</v>
      </c>
      <c r="H7" s="813" t="str">
        <f>IFERROR(__xludf.DUMMYFUNCTION("""COMPUTED_VALUE"""),"AZRIL EKA NUGRAHA")</f>
        <v>AZRIL EKA NUGRAHA</v>
      </c>
      <c r="I7" s="813" t="str">
        <f>IFERROR(__xludf.DUMMYFUNCTION("""COMPUTED_VALUE"""),"X TO 4")</f>
        <v>X TO 4</v>
      </c>
      <c r="J7" s="813" t="str">
        <f>IFERROR(__xludf.DUMMYFUNCTION("""COMPUTED_VALUE"""),"Purwakarta")</f>
        <v>Purwakarta</v>
      </c>
      <c r="K7" s="815">
        <f>IFERROR(__xludf.DUMMYFUNCTION("""COMPUTED_VALUE"""),40179.0)</f>
        <v>40179</v>
      </c>
      <c r="L7" s="813" t="str">
        <f>IFERROR(__xludf.DUMMYFUNCTION("""COMPUTED_VALUE"""),"Laki-Laki")</f>
        <v>Laki-Laki</v>
      </c>
      <c r="M7" s="813" t="str">
        <f>IFERROR(__xludf.DUMMYFUNCTION("""COMPUTED_VALUE"""),"Islam")</f>
        <v>Islam</v>
      </c>
      <c r="N7" s="813" t="str">
        <f>IFERROR(__xludf.DUMMYFUNCTION("""COMPUTED_VALUE"""),"Anak Kandung")</f>
        <v>Anak Kandung</v>
      </c>
      <c r="O7" s="813" t="str">
        <f>IFERROR(__xludf.DUMMYFUNCTION("""COMPUTED_VALUE"""),"1 (Satu)")</f>
        <v>1 (Satu)</v>
      </c>
      <c r="P7" s="813" t="str">
        <f>IFERROR(__xludf.DUMMYFUNCTION("""COMPUTED_VALUE"""),"Kp. Batutumpang RT/W 001/001 Desa Tegalsari, Kecamatan Tegalwaru")</f>
        <v>Kp. Batutumpang RT/W 001/001 Desa Tegalsari, Kecamatan Tegalwaru</v>
      </c>
      <c r="Q7" s="813" t="str">
        <f>IFERROR(__xludf.DUMMYFUNCTION("""COMPUTED_VALUE"""),"-")</f>
        <v>-</v>
      </c>
      <c r="R7" s="813" t="str">
        <f>IFERROR(__xludf.DUMMYFUNCTION("""COMPUTED_VALUE"""),"MTsS Nurul Huda")</f>
        <v>MTsS Nurul Huda</v>
      </c>
      <c r="S7" s="813" t="str">
        <f>IFERROR(__xludf.DUMMYFUNCTION("""COMPUTED_VALUE"""),"X TO 4")</f>
        <v>X TO 4</v>
      </c>
      <c r="T7" s="813" t="str">
        <f>IFERROR(__xludf.DUMMYFUNCTION("""COMPUTED_VALUE"""),"14 Juli 2025")</f>
        <v>14 Juli 2025</v>
      </c>
      <c r="U7" s="813" t="str">
        <f>IFERROR(__xludf.DUMMYFUNCTION("""COMPUTED_VALUE"""),"Opa Mustopa")</f>
        <v>Opa Mustopa</v>
      </c>
      <c r="V7" s="813" t="str">
        <f>IFERROR(__xludf.DUMMYFUNCTION("""COMPUTED_VALUE"""),"Ade Nani")</f>
        <v>Ade Nani</v>
      </c>
      <c r="W7" s="813" t="str">
        <f>IFERROR(__xludf.DUMMYFUNCTION("""COMPUTED_VALUE"""),"Kp. Batutumpang RT/W 001/001 Desa Tegalsari, Kecamatan Tegalwaru")</f>
        <v>Kp. Batutumpang RT/W 001/001 Desa Tegalsari, Kecamatan Tegalwaru</v>
      </c>
      <c r="X7" s="813" t="str">
        <f>IFERROR(__xludf.DUMMYFUNCTION("""COMPUTED_VALUE"""),"-")</f>
        <v>-</v>
      </c>
      <c r="Y7" s="813" t="str">
        <f>IFERROR(__xludf.DUMMYFUNCTION("""COMPUTED_VALUE"""),"Wiraswasta")</f>
        <v>Wiraswasta</v>
      </c>
      <c r="Z7" s="813" t="str">
        <f>IFERROR(__xludf.DUMMYFUNCTION("""COMPUTED_VALUE"""),"Rumah Tangga")</f>
        <v>Rumah Tangga</v>
      </c>
      <c r="AA7" s="813" t="str">
        <f>IFERROR(__xludf.DUMMYFUNCTION("""COMPUTED_VALUE"""),"-")</f>
        <v>-</v>
      </c>
      <c r="AB7" s="813" t="str">
        <f>IFERROR(__xludf.DUMMYFUNCTION("""COMPUTED_VALUE"""),"-")</f>
        <v>-</v>
      </c>
      <c r="AC7" s="813" t="str">
        <f>IFERROR(__xludf.DUMMYFUNCTION("""COMPUTED_VALUE"""),"-")</f>
        <v>-</v>
      </c>
      <c r="AD7" s="813"/>
      <c r="AE7" s="813" t="str">
        <f>IFERROR(__xludf.DUMMYFUNCTION("""COMPUTED_VALUE"""),"20229659")</f>
        <v>20229659</v>
      </c>
      <c r="AF7" s="813"/>
      <c r="AG7" s="813" t="str">
        <f>IFERROR(__xludf.DUMMYFUNCTION("""COMPUTED_VALUE"""),"/appsheet/data/InputBiodataRaportX-3328125/FilePDF/AZRIL EKA NUGRAHA-1e6df1b7.PDF")</f>
        <v>/appsheet/data/InputBiodataRaportX-3328125/FilePDF/AZRIL EKA NUGRAHA-1e6df1b7.PDF</v>
      </c>
      <c r="AH7" s="813" t="str">
        <f>IFERROR(__xludf.DUMMYFUNCTION("""COMPUTED_VALUE"""),"2025 2026")</f>
        <v>2025 2026</v>
      </c>
      <c r="AI7" s="813" t="str">
        <f>IFERROR(__xludf.DUMMYFUNCTION("""COMPUTED_VALUE"""),"Purwakarta, 22 Desember 2025")</f>
        <v>Purwakarta, 22 Desember 2025</v>
      </c>
      <c r="AJ7" s="816" t="s">
        <v>573</v>
      </c>
      <c r="AK7" s="817" t="b">
        <f t="shared" ref="AK7:AL7" si="6">IF(H7:H137&lt;&gt;"",ISNUMBER(match(CONCATENATE(AK$2,"_",$C$4,"_",$C$3,"_",$C$2,"_",$H7,".pdf"),$AJ$3:$AJ137,0)))</f>
        <v>0</v>
      </c>
      <c r="AL7" s="817" t="b">
        <f t="shared" si="6"/>
        <v>0</v>
      </c>
      <c r="AM7" s="817" t="b">
        <f t="shared" si="3"/>
        <v>1</v>
      </c>
      <c r="AN7" s="353"/>
      <c r="AO7" s="353"/>
      <c r="AP7" s="353"/>
      <c r="AQ7" s="353"/>
      <c r="AR7" s="353"/>
      <c r="AS7" s="353"/>
      <c r="AT7" s="353"/>
      <c r="AU7" s="353"/>
      <c r="AV7" s="353"/>
      <c r="AW7" s="353"/>
      <c r="AX7" s="353"/>
      <c r="AY7" s="353"/>
      <c r="AZ7" s="353"/>
      <c r="BA7" s="353"/>
      <c r="BB7" s="353"/>
      <c r="BC7" s="353"/>
      <c r="BD7" s="353"/>
      <c r="BE7" s="353"/>
      <c r="BF7" s="353"/>
      <c r="BG7" s="353"/>
      <c r="BH7" s="353"/>
      <c r="BI7" s="353"/>
      <c r="BJ7" s="353"/>
      <c r="BK7" s="353"/>
      <c r="BL7" s="353"/>
      <c r="BM7" s="353"/>
      <c r="BN7" s="353"/>
      <c r="BO7" s="353"/>
      <c r="BP7" s="353"/>
      <c r="BQ7" s="353"/>
      <c r="BR7" s="353"/>
      <c r="BS7" s="353"/>
      <c r="BT7" s="353"/>
      <c r="BU7" s="353"/>
      <c r="BV7" s="353"/>
      <c r="BW7" s="353"/>
      <c r="BX7" s="353"/>
      <c r="BY7" s="353"/>
      <c r="BZ7" s="353"/>
    </row>
    <row r="8" ht="18.75" customHeight="1">
      <c r="A8" s="823" t="s">
        <v>416</v>
      </c>
      <c r="B8" s="810" t="s">
        <v>336</v>
      </c>
      <c r="C8" s="824" t="str">
        <f t="array" ref="C8">INDEX(MASTER!$AO$4:$AO$30,MATCH($C$2,MASTER!$AL$4:$AL$30,0))</f>
        <v>Teknologi Manufaktur dan Rekayasa</v>
      </c>
      <c r="E8" s="825">
        <f>IFERROR(__xludf.DUMMYFUNCTION("""COMPUTED_VALUE"""),6.0)</f>
        <v>6</v>
      </c>
      <c r="F8" s="813" t="str">
        <f>IFERROR(__xludf.DUMMYFUNCTION("""COMPUTED_VALUE"""),"2526100419")</f>
        <v>2526100419</v>
      </c>
      <c r="G8" s="813" t="str">
        <f>IFERROR(__xludf.DUMMYFUNCTION("""COMPUTED_VALUE"""),"0096198310")</f>
        <v>0096198310</v>
      </c>
      <c r="H8" s="813" t="str">
        <f>IFERROR(__xludf.DUMMYFUNCTION("""COMPUTED_VALUE"""),"DIKA MUSTIKA SAPUTRA")</f>
        <v>DIKA MUSTIKA SAPUTRA</v>
      </c>
      <c r="I8" s="813" t="str">
        <f>IFERROR(__xludf.DUMMYFUNCTION("""COMPUTED_VALUE"""),"X TO 4")</f>
        <v>X TO 4</v>
      </c>
      <c r="J8" s="813" t="str">
        <f>IFERROR(__xludf.DUMMYFUNCTION("""COMPUTED_VALUE"""),"Purwakarta")</f>
        <v>Purwakarta</v>
      </c>
      <c r="K8" s="815">
        <f>IFERROR(__xludf.DUMMYFUNCTION("""COMPUTED_VALUE"""),40024.0)</f>
        <v>40024</v>
      </c>
      <c r="L8" s="813" t="str">
        <f>IFERROR(__xludf.DUMMYFUNCTION("""COMPUTED_VALUE"""),"Laki-Laki")</f>
        <v>Laki-Laki</v>
      </c>
      <c r="M8" s="813" t="str">
        <f>IFERROR(__xludf.DUMMYFUNCTION("""COMPUTED_VALUE"""),"Islam")</f>
        <v>Islam</v>
      </c>
      <c r="N8" s="813" t="str">
        <f>IFERROR(__xludf.DUMMYFUNCTION("""COMPUTED_VALUE"""),"Anak Kandung")</f>
        <v>Anak Kandung</v>
      </c>
      <c r="O8" s="813" t="str">
        <f>IFERROR(__xludf.DUMMYFUNCTION("""COMPUTED_VALUE"""),"2 (Dua)")</f>
        <v>2 (Dua)</v>
      </c>
      <c r="P8" s="813" t="str">
        <f>IFERROR(__xludf.DUMMYFUNCTION("""COMPUTED_VALUE"""),"Kp. Sukasari RT/RW 003/002 Desa Cibogohilir Kec. Plered Kab. Purwakarta")</f>
        <v>Kp. Sukasari RT/RW 003/002 Desa Cibogohilir Kec. Plered Kab. Purwakarta</v>
      </c>
      <c r="Q8" s="813" t="str">
        <f>IFERROR(__xludf.DUMMYFUNCTION("""COMPUTED_VALUE"""),"-")</f>
        <v>-</v>
      </c>
      <c r="R8" s="813" t="str">
        <f>IFERROR(__xludf.DUMMYFUNCTION("""COMPUTED_VALUE"""),"MTsS As Salam")</f>
        <v>MTsS As Salam</v>
      </c>
      <c r="S8" s="813" t="str">
        <f>IFERROR(__xludf.DUMMYFUNCTION("""COMPUTED_VALUE"""),"X TO 4")</f>
        <v>X TO 4</v>
      </c>
      <c r="T8" s="813" t="str">
        <f>IFERROR(__xludf.DUMMYFUNCTION("""COMPUTED_VALUE"""),"14 Juli 2025")</f>
        <v>14 Juli 2025</v>
      </c>
      <c r="U8" s="813" t="str">
        <f>IFERROR(__xludf.DUMMYFUNCTION("""COMPUTED_VALUE"""),"Emus Mustopa")</f>
        <v>Emus Mustopa</v>
      </c>
      <c r="V8" s="813" t="str">
        <f>IFERROR(__xludf.DUMMYFUNCTION("""COMPUTED_VALUE"""),"Sari Hartati")</f>
        <v>Sari Hartati</v>
      </c>
      <c r="W8" s="813" t="str">
        <f>IFERROR(__xludf.DUMMYFUNCTION("""COMPUTED_VALUE"""),"Kp. Sukasari RT 003/002 Desa Cibogohilir Kec. Plered Kab. Purwakarta")</f>
        <v>Kp. Sukasari RT 003/002 Desa Cibogohilir Kec. Plered Kab. Purwakarta</v>
      </c>
      <c r="X8" s="813" t="str">
        <f>IFERROR(__xludf.DUMMYFUNCTION("""COMPUTED_VALUE"""),"-")</f>
        <v>-</v>
      </c>
      <c r="Y8" s="813" t="str">
        <f>IFERROR(__xludf.DUMMYFUNCTION("""COMPUTED_VALUE"""),"Buruh")</f>
        <v>Buruh</v>
      </c>
      <c r="Z8" s="813" t="str">
        <f>IFERROR(__xludf.DUMMYFUNCTION("""COMPUTED_VALUE"""),"Rumah Tangga")</f>
        <v>Rumah Tangga</v>
      </c>
      <c r="AA8" s="813" t="str">
        <f>IFERROR(__xludf.DUMMYFUNCTION("""COMPUTED_VALUE"""),"-")</f>
        <v>-</v>
      </c>
      <c r="AB8" s="813" t="str">
        <f>IFERROR(__xludf.DUMMYFUNCTION("""COMPUTED_VALUE"""),"-")</f>
        <v>-</v>
      </c>
      <c r="AC8" s="813" t="str">
        <f>IFERROR(__xludf.DUMMYFUNCTION("""COMPUTED_VALUE"""),"-")</f>
        <v>-</v>
      </c>
      <c r="AD8" s="813"/>
      <c r="AE8" s="813" t="str">
        <f>IFERROR(__xludf.DUMMYFUNCTION("""COMPUTED_VALUE"""),"20229659")</f>
        <v>20229659</v>
      </c>
      <c r="AF8" s="813"/>
      <c r="AG8" s="813" t="str">
        <f>IFERROR(__xludf.DUMMYFUNCTION("""COMPUTED_VALUE"""),"/appsheet/data/InputBiodataRaportX-3328125/FilePDF/DIKA MUSTIKA SAPUTRA-98bec75a.PDF")</f>
        <v>/appsheet/data/InputBiodataRaportX-3328125/FilePDF/DIKA MUSTIKA SAPUTRA-98bec75a.PDF</v>
      </c>
      <c r="AH8" s="813" t="str">
        <f>IFERROR(__xludf.DUMMYFUNCTION("""COMPUTED_VALUE"""),"2025 2026")</f>
        <v>2025 2026</v>
      </c>
      <c r="AI8" s="813" t="str">
        <f>IFERROR(__xludf.DUMMYFUNCTION("""COMPUTED_VALUE"""),"Purwakarta, 22 Desember 2025")</f>
        <v>Purwakarta, 22 Desember 2025</v>
      </c>
      <c r="AJ8" s="816" t="s">
        <v>575</v>
      </c>
      <c r="AK8" s="817"/>
      <c r="AL8" s="817"/>
      <c r="AM8" s="817"/>
      <c r="AN8" s="353"/>
      <c r="AO8" s="353"/>
      <c r="AP8" s="353"/>
      <c r="AQ8" s="353"/>
      <c r="AR8" s="353"/>
      <c r="AS8" s="353"/>
      <c r="AT8" s="353"/>
      <c r="AU8" s="353"/>
      <c r="AV8" s="353"/>
      <c r="AW8" s="353"/>
      <c r="AX8" s="353"/>
      <c r="AY8" s="353"/>
      <c r="AZ8" s="353"/>
      <c r="BA8" s="353"/>
      <c r="BB8" s="353"/>
      <c r="BC8" s="353"/>
      <c r="BD8" s="353"/>
      <c r="BE8" s="353"/>
      <c r="BF8" s="353"/>
      <c r="BG8" s="353"/>
      <c r="BH8" s="353"/>
      <c r="BI8" s="353"/>
      <c r="BJ8" s="353"/>
      <c r="BK8" s="353"/>
      <c r="BL8" s="353"/>
      <c r="BM8" s="353"/>
      <c r="BN8" s="353"/>
      <c r="BO8" s="353"/>
      <c r="BP8" s="353"/>
      <c r="BQ8" s="353"/>
      <c r="BR8" s="353"/>
      <c r="BS8" s="353"/>
      <c r="BT8" s="353"/>
      <c r="BU8" s="353"/>
      <c r="BV8" s="353"/>
      <c r="BW8" s="353"/>
      <c r="BX8" s="353"/>
      <c r="BY8" s="353"/>
      <c r="BZ8" s="353"/>
    </row>
    <row r="9" ht="18.75" customHeight="1">
      <c r="A9" s="823" t="s">
        <v>576</v>
      </c>
      <c r="B9" s="810" t="s">
        <v>336</v>
      </c>
      <c r="C9" s="827" t="str">
        <f t="array" ref="C9">INDEX(NamaWalas,MATCH($C$2,KelasWalas,0))</f>
        <v>ASEP SANDIANA AZHAR, S.T.</v>
      </c>
      <c r="E9" s="825">
        <f>IFERROR(__xludf.DUMMYFUNCTION("""COMPUTED_VALUE"""),7.0)</f>
        <v>7</v>
      </c>
      <c r="F9" s="813" t="str">
        <f>IFERROR(__xludf.DUMMYFUNCTION("""COMPUTED_VALUE"""),"2526100420")</f>
        <v>2526100420</v>
      </c>
      <c r="G9" s="813" t="str">
        <f>IFERROR(__xludf.DUMMYFUNCTION("""COMPUTED_VALUE"""),"0092542662")</f>
        <v>0092542662</v>
      </c>
      <c r="H9" s="813" t="str">
        <f>IFERROR(__xludf.DUMMYFUNCTION("""COMPUTED_VALUE"""),"FAWAZ NAUPAL ALFATIR")</f>
        <v>FAWAZ NAUPAL ALFATIR</v>
      </c>
      <c r="I9" s="813" t="str">
        <f>IFERROR(__xludf.DUMMYFUNCTION("""COMPUTED_VALUE"""),"X TO 4")</f>
        <v>X TO 4</v>
      </c>
      <c r="J9" s="813" t="str">
        <f>IFERROR(__xludf.DUMMYFUNCTION("""COMPUTED_VALUE"""),"Purwakarta")</f>
        <v>Purwakarta</v>
      </c>
      <c r="K9" s="815">
        <f>IFERROR(__xludf.DUMMYFUNCTION("""COMPUTED_VALUE"""),39823.0)</f>
        <v>39823</v>
      </c>
      <c r="L9" s="813" t="str">
        <f>IFERROR(__xludf.DUMMYFUNCTION("""COMPUTED_VALUE"""),"Laki-Laki")</f>
        <v>Laki-Laki</v>
      </c>
      <c r="M9" s="813" t="str">
        <f>IFERROR(__xludf.DUMMYFUNCTION("""COMPUTED_VALUE"""),"Islam")</f>
        <v>Islam</v>
      </c>
      <c r="N9" s="813" t="str">
        <f>IFERROR(__xludf.DUMMYFUNCTION("""COMPUTED_VALUE"""),"Anak Kandung")</f>
        <v>Anak Kandung</v>
      </c>
      <c r="O9" s="813" t="str">
        <f>IFERROR(__xludf.DUMMYFUNCTION("""COMPUTED_VALUE"""),"2 (Dua)")</f>
        <v>2 (Dua)</v>
      </c>
      <c r="P9" s="813" t="str">
        <f>IFERROR(__xludf.DUMMYFUNCTION("""COMPUTED_VALUE"""),"Cilipa RT/RW 003/002 Desa Sukasari Kec. Sukasari Kab. Purwakarta")</f>
        <v>Cilipa RT/RW 003/002 Desa Sukasari Kec. Sukasari Kab. Purwakarta</v>
      </c>
      <c r="Q9" s="813" t="str">
        <f>IFERROR(__xludf.DUMMYFUNCTION("""COMPUTED_VALUE"""),"-")</f>
        <v>-</v>
      </c>
      <c r="R9" s="813" t="str">
        <f>IFERROR(__xludf.DUMMYFUNCTION("""COMPUTED_VALUE"""),"SMPN 2 Sukasari")</f>
        <v>SMPN 2 Sukasari</v>
      </c>
      <c r="S9" s="813" t="str">
        <f>IFERROR(__xludf.DUMMYFUNCTION("""COMPUTED_VALUE"""),"X TO 4")</f>
        <v>X TO 4</v>
      </c>
      <c r="T9" s="813" t="str">
        <f>IFERROR(__xludf.DUMMYFUNCTION("""COMPUTED_VALUE"""),"14 Juli 2025")</f>
        <v>14 Juli 2025</v>
      </c>
      <c r="U9" s="813"/>
      <c r="V9" s="813" t="str">
        <f>IFERROR(__xludf.DUMMYFUNCTION("""COMPUTED_VALUE"""),"Nina Nurlaela")</f>
        <v>Nina Nurlaela</v>
      </c>
      <c r="W9" s="813" t="str">
        <f>IFERROR(__xludf.DUMMYFUNCTION("""COMPUTED_VALUE"""),"Cilipa RT 003/002 Desa Sukasari Kec. Sukasari Kab. Purwakarta")</f>
        <v>Cilipa RT 003/002 Desa Sukasari Kec. Sukasari Kab. Purwakarta</v>
      </c>
      <c r="X9" s="813" t="str">
        <f>IFERROR(__xludf.DUMMYFUNCTION("""COMPUTED_VALUE"""),"-")</f>
        <v>-</v>
      </c>
      <c r="Y9" s="813"/>
      <c r="Z9" s="813" t="str">
        <f>IFERROR(__xludf.DUMMYFUNCTION("""COMPUTED_VALUE"""),"Rumah Tangga")</f>
        <v>Rumah Tangga</v>
      </c>
      <c r="AA9" s="813" t="str">
        <f>IFERROR(__xludf.DUMMYFUNCTION("""COMPUTED_VALUE"""),"-")</f>
        <v>-</v>
      </c>
      <c r="AB9" s="813" t="str">
        <f>IFERROR(__xludf.DUMMYFUNCTION("""COMPUTED_VALUE"""),"-")</f>
        <v>-</v>
      </c>
      <c r="AC9" s="813" t="str">
        <f>IFERROR(__xludf.DUMMYFUNCTION("""COMPUTED_VALUE"""),"-")</f>
        <v>-</v>
      </c>
      <c r="AD9" s="813"/>
      <c r="AE9" s="813" t="str">
        <f>IFERROR(__xludf.DUMMYFUNCTION("""COMPUTED_VALUE"""),"20229659")</f>
        <v>20229659</v>
      </c>
      <c r="AF9" s="813"/>
      <c r="AG9" s="813" t="str">
        <f>IFERROR(__xludf.DUMMYFUNCTION("""COMPUTED_VALUE"""),"/appsheet/data/InputBiodataRaportX-3328125/FilePDF/FAWAZ NAUPAL ALFATIR-d3730a69.PDF")</f>
        <v>/appsheet/data/InputBiodataRaportX-3328125/FilePDF/FAWAZ NAUPAL ALFATIR-d3730a69.PDF</v>
      </c>
      <c r="AH9" s="813" t="str">
        <f>IFERROR(__xludf.DUMMYFUNCTION("""COMPUTED_VALUE"""),"2025 2026")</f>
        <v>2025 2026</v>
      </c>
      <c r="AI9" s="813" t="str">
        <f>IFERROR(__xludf.DUMMYFUNCTION("""COMPUTED_VALUE"""),"Purwakarta, 22 Desember 2025")</f>
        <v>Purwakarta, 22 Desember 2025</v>
      </c>
      <c r="AJ9" s="816" t="s">
        <v>577</v>
      </c>
      <c r="AK9" s="817" t="b">
        <f t="shared" ref="AK9:AL9" si="7">IF(H9:H137&lt;&gt;"",ISNUMBER(match(CONCATENATE(AK$2,"_",$C$4,"_",$C$3,"_",$C$2,"_",$H9,".pdf"),$AJ$3:$AJ137,0)))</f>
        <v>0</v>
      </c>
      <c r="AL9" s="817" t="b">
        <f t="shared" si="7"/>
        <v>0</v>
      </c>
      <c r="AM9" s="817" t="b">
        <f t="shared" ref="AM9:AM15" si="9">IF(AJ9:AJ137&lt;&gt;"",ISNUMBER(match(CONCATENATE(AM$2,"_",$C$4,"_",$C$3,"_",$C$2,"_",$H9,".pdf"),$AJ$3:$AJ137,0)))</f>
        <v>1</v>
      </c>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row>
    <row r="10" ht="18.75" customHeight="1">
      <c r="A10" s="836" t="s">
        <v>578</v>
      </c>
      <c r="B10" s="810" t="s">
        <v>336</v>
      </c>
      <c r="C10" s="827" t="str">
        <f t="array" ref="C10">INDEX(NIPWalas,MATCH($C$9,NamaWalas,))</f>
        <v>NIP. 199203032025211186</v>
      </c>
      <c r="E10" s="825">
        <f>IFERROR(__xludf.DUMMYFUNCTION("""COMPUTED_VALUE"""),8.0)</f>
        <v>8</v>
      </c>
      <c r="F10" s="813" t="str">
        <f>IFERROR(__xludf.DUMMYFUNCTION("""COMPUTED_VALUE"""),"2526100421")</f>
        <v>2526100421</v>
      </c>
      <c r="G10" s="813" t="str">
        <f>IFERROR(__xludf.DUMMYFUNCTION("""COMPUTED_VALUE"""),"0107343620")</f>
        <v>0107343620</v>
      </c>
      <c r="H10" s="813" t="str">
        <f>IFERROR(__xludf.DUMMYFUNCTION("""COMPUTED_VALUE"""),"FIKRI AHMAD NAWAWI")</f>
        <v>FIKRI AHMAD NAWAWI</v>
      </c>
      <c r="I10" s="813" t="str">
        <f>IFERROR(__xludf.DUMMYFUNCTION("""COMPUTED_VALUE"""),"X TO 4")</f>
        <v>X TO 4</v>
      </c>
      <c r="J10" s="813" t="str">
        <f>IFERROR(__xludf.DUMMYFUNCTION("""COMPUTED_VALUE"""),"Purwakarta")</f>
        <v>Purwakarta</v>
      </c>
      <c r="K10" s="815">
        <f>IFERROR(__xludf.DUMMYFUNCTION("""COMPUTED_VALUE"""),40233.0)</f>
        <v>40233</v>
      </c>
      <c r="L10" s="813" t="str">
        <f>IFERROR(__xludf.DUMMYFUNCTION("""COMPUTED_VALUE"""),"Laki-Laki")</f>
        <v>Laki-Laki</v>
      </c>
      <c r="M10" s="813" t="str">
        <f>IFERROR(__xludf.DUMMYFUNCTION("""COMPUTED_VALUE"""),"Islam")</f>
        <v>Islam</v>
      </c>
      <c r="N10" s="813" t="str">
        <f>IFERROR(__xludf.DUMMYFUNCTION("""COMPUTED_VALUE"""),"Anak Kandung")</f>
        <v>Anak Kandung</v>
      </c>
      <c r="O10" s="813" t="str">
        <f>IFERROR(__xludf.DUMMYFUNCTION("""COMPUTED_VALUE"""),"3 (Tiga)")</f>
        <v>3 (Tiga)</v>
      </c>
      <c r="P10" s="813" t="str">
        <f>IFERROR(__xludf.DUMMYFUNCTION("""COMPUTED_VALUE"""),"Kp. Pangkalan RT/RW 002/001 Desa Palinggihan Kec. Plered Kab. Purwakarta")</f>
        <v>Kp. Pangkalan RT/RW 002/001 Desa Palinggihan Kec. Plered Kab. Purwakarta</v>
      </c>
      <c r="Q10" s="813" t="str">
        <f>IFERROR(__xludf.DUMMYFUNCTION("""COMPUTED_VALUE"""),"-")</f>
        <v>-</v>
      </c>
      <c r="R10" s="813" t="str">
        <f>IFERROR(__xludf.DUMMYFUNCTION("""COMPUTED_VALUE"""),"SMP Negeri 1 Plered")</f>
        <v>SMP Negeri 1 Plered</v>
      </c>
      <c r="S10" s="813" t="str">
        <f>IFERROR(__xludf.DUMMYFUNCTION("""COMPUTED_VALUE"""),"X TO 4")</f>
        <v>X TO 4</v>
      </c>
      <c r="T10" s="813" t="str">
        <f>IFERROR(__xludf.DUMMYFUNCTION("""COMPUTED_VALUE"""),"14 Juli 2025")</f>
        <v>14 Juli 2025</v>
      </c>
      <c r="U10" s="813" t="str">
        <f>IFERROR(__xludf.DUMMYFUNCTION("""COMPUTED_VALUE"""),"H. Amin Nurdin")</f>
        <v>H. Amin Nurdin</v>
      </c>
      <c r="V10" s="813" t="str">
        <f>IFERROR(__xludf.DUMMYFUNCTION("""COMPUTED_VALUE"""),"Hj. Rosidah")</f>
        <v>Hj. Rosidah</v>
      </c>
      <c r="W10" s="813" t="str">
        <f>IFERROR(__xludf.DUMMYFUNCTION("""COMPUTED_VALUE"""),"Kp. Pangkalan RT 002/001 Desa Palinggihan Kec. Plered Kab. Purwakarta")</f>
        <v>Kp. Pangkalan RT 002/001 Desa Palinggihan Kec. Plered Kab. Purwakarta</v>
      </c>
      <c r="X10" s="813" t="str">
        <f>IFERROR(__xludf.DUMMYFUNCTION("""COMPUTED_VALUE"""),"-")</f>
        <v>-</v>
      </c>
      <c r="Y10" s="813" t="str">
        <f>IFERROR(__xludf.DUMMYFUNCTION("""COMPUTED_VALUE"""),"Wiraswasta")</f>
        <v>Wiraswasta</v>
      </c>
      <c r="Z10" s="813" t="str">
        <f>IFERROR(__xludf.DUMMYFUNCTION("""COMPUTED_VALUE"""),"Rumah Tangga")</f>
        <v>Rumah Tangga</v>
      </c>
      <c r="AA10" s="813" t="str">
        <f>IFERROR(__xludf.DUMMYFUNCTION("""COMPUTED_VALUE"""),"-")</f>
        <v>-</v>
      </c>
      <c r="AB10" s="813" t="str">
        <f>IFERROR(__xludf.DUMMYFUNCTION("""COMPUTED_VALUE"""),"-")</f>
        <v>-</v>
      </c>
      <c r="AC10" s="813" t="str">
        <f>IFERROR(__xludf.DUMMYFUNCTION("""COMPUTED_VALUE"""),"-")</f>
        <v>-</v>
      </c>
      <c r="AD10" s="813"/>
      <c r="AE10" s="813" t="str">
        <f>IFERROR(__xludf.DUMMYFUNCTION("""COMPUTED_VALUE"""),"20229659")</f>
        <v>20229659</v>
      </c>
      <c r="AF10" s="813"/>
      <c r="AG10" s="813" t="str">
        <f>IFERROR(__xludf.DUMMYFUNCTION("""COMPUTED_VALUE"""),"/appsheet/data/InputBiodataRaportX-3328125/FilePDF/FIKRI AHMAD NAWAWI-565aeefb.PDF")</f>
        <v>/appsheet/data/InputBiodataRaportX-3328125/FilePDF/FIKRI AHMAD NAWAWI-565aeefb.PDF</v>
      </c>
      <c r="AH10" s="813" t="str">
        <f>IFERROR(__xludf.DUMMYFUNCTION("""COMPUTED_VALUE"""),"2025 2026")</f>
        <v>2025 2026</v>
      </c>
      <c r="AI10" s="813" t="str">
        <f>IFERROR(__xludf.DUMMYFUNCTION("""COMPUTED_VALUE"""),"Purwakarta, 22 Desember 2025")</f>
        <v>Purwakarta, 22 Desember 2025</v>
      </c>
      <c r="AJ10" s="816" t="s">
        <v>581</v>
      </c>
      <c r="AK10" s="817" t="b">
        <f t="shared" ref="AK10:AL10" si="8">IF(H10:H137&lt;&gt;"",ISNUMBER(match(CONCATENATE(AK$2,"_",$C$4,"_",$C$3,"_",$C$2,"_",$H10,".pdf"),$AJ$3:$AJ137,0)))</f>
        <v>0</v>
      </c>
      <c r="AL10" s="817" t="b">
        <f t="shared" si="8"/>
        <v>0</v>
      </c>
      <c r="AM10" s="817" t="b">
        <f t="shared" si="9"/>
        <v>1</v>
      </c>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3"/>
      <c r="BW10" s="353"/>
      <c r="BX10" s="353"/>
      <c r="BY10" s="353"/>
      <c r="BZ10" s="353"/>
    </row>
    <row r="11" ht="18.75" customHeight="1">
      <c r="A11" s="848" t="s">
        <v>583</v>
      </c>
      <c r="B11" s="810" t="s">
        <v>336</v>
      </c>
      <c r="C11" s="850" t="s">
        <v>587</v>
      </c>
      <c r="E11" s="825">
        <f>IFERROR(__xludf.DUMMYFUNCTION("""COMPUTED_VALUE"""),9.0)</f>
        <v>9</v>
      </c>
      <c r="F11" s="813" t="str">
        <f>IFERROR(__xludf.DUMMYFUNCTION("""COMPUTED_VALUE"""),"2526100422")</f>
        <v>2526100422</v>
      </c>
      <c r="G11" s="813" t="str">
        <f>IFERROR(__xludf.DUMMYFUNCTION("""COMPUTED_VALUE"""),"0076614788")</f>
        <v>0076614788</v>
      </c>
      <c r="H11" s="813" t="str">
        <f>IFERROR(__xludf.DUMMYFUNCTION("""COMPUTED_VALUE"""),"HADI NURYADI")</f>
        <v>HADI NURYADI</v>
      </c>
      <c r="I11" s="813" t="str">
        <f>IFERROR(__xludf.DUMMYFUNCTION("""COMPUTED_VALUE"""),"X TO 4")</f>
        <v>X TO 4</v>
      </c>
      <c r="J11" s="813" t="str">
        <f>IFERROR(__xludf.DUMMYFUNCTION("""COMPUTED_VALUE"""),"Purwakarta")</f>
        <v>Purwakarta</v>
      </c>
      <c r="K11" s="815">
        <f>IFERROR(__xludf.DUMMYFUNCTION("""COMPUTED_VALUE"""),40342.0)</f>
        <v>40342</v>
      </c>
      <c r="L11" s="813" t="str">
        <f>IFERROR(__xludf.DUMMYFUNCTION("""COMPUTED_VALUE"""),"Laki-Laki")</f>
        <v>Laki-Laki</v>
      </c>
      <c r="M11" s="813" t="str">
        <f>IFERROR(__xludf.DUMMYFUNCTION("""COMPUTED_VALUE"""),"Islam")</f>
        <v>Islam</v>
      </c>
      <c r="N11" s="813" t="str">
        <f>IFERROR(__xludf.DUMMYFUNCTION("""COMPUTED_VALUE"""),"Anak Kandung")</f>
        <v>Anak Kandung</v>
      </c>
      <c r="O11" s="813" t="str">
        <f>IFERROR(__xludf.DUMMYFUNCTION("""COMPUTED_VALUE"""),"1 (Satu)")</f>
        <v>1 (Satu)</v>
      </c>
      <c r="P11" s="813" t="str">
        <f>IFERROR(__xludf.DUMMYFUNCTION("""COMPUTED_VALUE"""),"Kp. Cikondang RT/W 009/004, Desa Mekarsari, Kecamatan Darangdan, Kabupaten Purwakarta")</f>
        <v>Kp. Cikondang RT/W 009/004, Desa Mekarsari, Kecamatan Darangdan, Kabupaten Purwakarta</v>
      </c>
      <c r="Q11" s="813" t="str">
        <f>IFERROR(__xludf.DUMMYFUNCTION("""COMPUTED_VALUE"""),"-")</f>
        <v>-</v>
      </c>
      <c r="R11" s="813" t="str">
        <f>IFERROR(__xludf.DUMMYFUNCTION("""COMPUTED_VALUE"""),"SMP Negeri 2 Darangdan")</f>
        <v>SMP Negeri 2 Darangdan</v>
      </c>
      <c r="S11" s="813" t="str">
        <f>IFERROR(__xludf.DUMMYFUNCTION("""COMPUTED_VALUE"""),"X TO 4")</f>
        <v>X TO 4</v>
      </c>
      <c r="T11" s="813" t="str">
        <f>IFERROR(__xludf.DUMMYFUNCTION("""COMPUTED_VALUE"""),"14 Juli 2025")</f>
        <v>14 Juli 2025</v>
      </c>
      <c r="U11" s="813" t="str">
        <f>IFERROR(__xludf.DUMMYFUNCTION("""COMPUTED_VALUE"""),"Adih Sutiono")</f>
        <v>Adih Sutiono</v>
      </c>
      <c r="V11" s="813" t="str">
        <f>IFERROR(__xludf.DUMMYFUNCTION("""COMPUTED_VALUE"""),"Lili Jamaliah")</f>
        <v>Lili Jamaliah</v>
      </c>
      <c r="W11" s="813" t="str">
        <f>IFERROR(__xludf.DUMMYFUNCTION("""COMPUTED_VALUE"""),"Kp. Cikondang RT/W 009/004, Desa Mekarsari, Kecamatan Darangdan, Kabupaten Purwakarta")</f>
        <v>Kp. Cikondang RT/W 009/004, Desa Mekarsari, Kecamatan Darangdan, Kabupaten Purwakarta</v>
      </c>
      <c r="X11" s="813" t="str">
        <f>IFERROR(__xludf.DUMMYFUNCTION("""COMPUTED_VALUE"""),"-")</f>
        <v>-</v>
      </c>
      <c r="Y11" s="813" t="str">
        <f>IFERROR(__xludf.DUMMYFUNCTION("""COMPUTED_VALUE"""),"Buruh")</f>
        <v>Buruh</v>
      </c>
      <c r="Z11" s="813" t="str">
        <f>IFERROR(__xludf.DUMMYFUNCTION("""COMPUTED_VALUE"""),"Rumah Tangga")</f>
        <v>Rumah Tangga</v>
      </c>
      <c r="AA11" s="813" t="str">
        <f>IFERROR(__xludf.DUMMYFUNCTION("""COMPUTED_VALUE"""),"-")</f>
        <v>-</v>
      </c>
      <c r="AB11" s="813" t="str">
        <f>IFERROR(__xludf.DUMMYFUNCTION("""COMPUTED_VALUE"""),"-")</f>
        <v>-</v>
      </c>
      <c r="AC11" s="813" t="str">
        <f>IFERROR(__xludf.DUMMYFUNCTION("""COMPUTED_VALUE"""),"-")</f>
        <v>-</v>
      </c>
      <c r="AD11" s="813"/>
      <c r="AE11" s="813" t="str">
        <f>IFERROR(__xludf.DUMMYFUNCTION("""COMPUTED_VALUE"""),"20229659")</f>
        <v>20229659</v>
      </c>
      <c r="AF11" s="813"/>
      <c r="AG11" s="813" t="str">
        <f>IFERROR(__xludf.DUMMYFUNCTION("""COMPUTED_VALUE"""),"/appsheet/data/InputBiodataRaportX-3328125/FilePDF/HADI NURYADI-c3aba1ae.PDF")</f>
        <v>/appsheet/data/InputBiodataRaportX-3328125/FilePDF/HADI NURYADI-c3aba1ae.PDF</v>
      </c>
      <c r="AH11" s="813" t="str">
        <f>IFERROR(__xludf.DUMMYFUNCTION("""COMPUTED_VALUE"""),"2025 2026")</f>
        <v>2025 2026</v>
      </c>
      <c r="AI11" s="813" t="str">
        <f>IFERROR(__xludf.DUMMYFUNCTION("""COMPUTED_VALUE"""),"Purwakarta, 22 Desember 2025")</f>
        <v>Purwakarta, 22 Desember 2025</v>
      </c>
      <c r="AJ11" s="816" t="s">
        <v>588</v>
      </c>
      <c r="AK11" s="817" t="b">
        <f t="shared" ref="AK11:AL11" si="10">IF(H11:H137&lt;&gt;"",ISNUMBER(match(CONCATENATE(AK$2,"_",$C$4,"_",$C$3,"_",$C$2,"_",$H11,".pdf"),$AJ$3:$AJ137,0)))</f>
        <v>0</v>
      </c>
      <c r="AL11" s="817" t="b">
        <f t="shared" si="10"/>
        <v>0</v>
      </c>
      <c r="AM11" s="817" t="b">
        <f t="shared" si="9"/>
        <v>1</v>
      </c>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3"/>
      <c r="BW11" s="353"/>
      <c r="BX11" s="353"/>
      <c r="BY11" s="353"/>
      <c r="BZ11" s="353"/>
    </row>
    <row r="12" ht="18.75" customHeight="1">
      <c r="A12" s="848" t="s">
        <v>590</v>
      </c>
      <c r="B12" s="810" t="s">
        <v>336</v>
      </c>
      <c r="C12" s="850" t="s">
        <v>213</v>
      </c>
      <c r="E12" s="825">
        <f>IFERROR(__xludf.DUMMYFUNCTION("""COMPUTED_VALUE"""),10.0)</f>
        <v>10</v>
      </c>
      <c r="F12" s="813" t="str">
        <f>IFERROR(__xludf.DUMMYFUNCTION("""COMPUTED_VALUE"""),"2526100423")</f>
        <v>2526100423</v>
      </c>
      <c r="G12" s="813" t="str">
        <f>IFERROR(__xludf.DUMMYFUNCTION("""COMPUTED_VALUE"""),"0093759169")</f>
        <v>0093759169</v>
      </c>
      <c r="H12" s="813" t="str">
        <f>IFERROR(__xludf.DUMMYFUNCTION("""COMPUTED_VALUE"""),"IBNU WANALI")</f>
        <v>IBNU WANALI</v>
      </c>
      <c r="I12" s="813" t="str">
        <f>IFERROR(__xludf.DUMMYFUNCTION("""COMPUTED_VALUE"""),"X TO 4")</f>
        <v>X TO 4</v>
      </c>
      <c r="J12" s="813" t="str">
        <f>IFERROR(__xludf.DUMMYFUNCTION("""COMPUTED_VALUE"""),"Purwakarta")</f>
        <v>Purwakarta</v>
      </c>
      <c r="K12" s="815">
        <f>IFERROR(__xludf.DUMMYFUNCTION("""COMPUTED_VALUE"""),39966.0)</f>
        <v>39966</v>
      </c>
      <c r="L12" s="813" t="str">
        <f>IFERROR(__xludf.DUMMYFUNCTION("""COMPUTED_VALUE"""),"Laki-Laki")</f>
        <v>Laki-Laki</v>
      </c>
      <c r="M12" s="813" t="str">
        <f>IFERROR(__xludf.DUMMYFUNCTION("""COMPUTED_VALUE"""),"Islam")</f>
        <v>Islam</v>
      </c>
      <c r="N12" s="813" t="str">
        <f>IFERROR(__xludf.DUMMYFUNCTION("""COMPUTED_VALUE"""),"Anak Kandung")</f>
        <v>Anak Kandung</v>
      </c>
      <c r="O12" s="813" t="str">
        <f>IFERROR(__xludf.DUMMYFUNCTION("""COMPUTED_VALUE"""),"1 (Satu)")</f>
        <v>1 (Satu)</v>
      </c>
      <c r="P12" s="813" t="str">
        <f>IFERROR(__xludf.DUMMYFUNCTION("""COMPUTED_VALUE"""),"Kp. Gandaria RT/W 017/008, Desa Nagrak, Kecamatan Darangdan, Kabupaten Purwakarta")</f>
        <v>Kp. Gandaria RT/W 017/008, Desa Nagrak, Kecamatan Darangdan, Kabupaten Purwakarta</v>
      </c>
      <c r="Q12" s="813" t="str">
        <f>IFERROR(__xludf.DUMMYFUNCTION("""COMPUTED_VALUE"""),"-")</f>
        <v>-</v>
      </c>
      <c r="R12" s="813" t="str">
        <f>IFERROR(__xludf.DUMMYFUNCTION("""COMPUTED_VALUE"""),"Ibnu Wanali")</f>
        <v>Ibnu Wanali</v>
      </c>
      <c r="S12" s="813" t="str">
        <f>IFERROR(__xludf.DUMMYFUNCTION("""COMPUTED_VALUE"""),"X TO 4")</f>
        <v>X TO 4</v>
      </c>
      <c r="T12" s="813" t="str">
        <f>IFERROR(__xludf.DUMMYFUNCTION("""COMPUTED_VALUE"""),"14 Juli 2025")</f>
        <v>14 Juli 2025</v>
      </c>
      <c r="U12" s="813" t="str">
        <f>IFERROR(__xludf.DUMMYFUNCTION("""COMPUTED_VALUE"""),"Ujang Warmin")</f>
        <v>Ujang Warmin</v>
      </c>
      <c r="V12" s="813" t="str">
        <f>IFERROR(__xludf.DUMMYFUNCTION("""COMPUTED_VALUE"""),"Jamilatunisa")</f>
        <v>Jamilatunisa</v>
      </c>
      <c r="W12" s="813" t="str">
        <f>IFERROR(__xludf.DUMMYFUNCTION("""COMPUTED_VALUE"""),"Kp. Gandaria RT/W 017/008, Desa Nagrak, Kecamatan Darangdan, Kabupaten Purwakarta")</f>
        <v>Kp. Gandaria RT/W 017/008, Desa Nagrak, Kecamatan Darangdan, Kabupaten Purwakarta</v>
      </c>
      <c r="X12" s="813" t="str">
        <f>IFERROR(__xludf.DUMMYFUNCTION("""COMPUTED_VALUE"""),"-")</f>
        <v>-</v>
      </c>
      <c r="Y12" s="813" t="str">
        <f>IFERROR(__xludf.DUMMYFUNCTION("""COMPUTED_VALUE"""),"Buruh")</f>
        <v>Buruh</v>
      </c>
      <c r="Z12" s="813" t="str">
        <f>IFERROR(__xludf.DUMMYFUNCTION("""COMPUTED_VALUE"""),"Rumah Tangga")</f>
        <v>Rumah Tangga</v>
      </c>
      <c r="AA12" s="813" t="str">
        <f>IFERROR(__xludf.DUMMYFUNCTION("""COMPUTED_VALUE"""),"-")</f>
        <v>-</v>
      </c>
      <c r="AB12" s="813" t="str">
        <f>IFERROR(__xludf.DUMMYFUNCTION("""COMPUTED_VALUE"""),"-")</f>
        <v>-</v>
      </c>
      <c r="AC12" s="813" t="str">
        <f>IFERROR(__xludf.DUMMYFUNCTION("""COMPUTED_VALUE"""),"-")</f>
        <v>-</v>
      </c>
      <c r="AD12" s="813"/>
      <c r="AE12" s="813" t="str">
        <f>IFERROR(__xludf.DUMMYFUNCTION("""COMPUTED_VALUE"""),"20229659")</f>
        <v>20229659</v>
      </c>
      <c r="AF12" s="813"/>
      <c r="AG12" s="813" t="str">
        <f>IFERROR(__xludf.DUMMYFUNCTION("""COMPUTED_VALUE"""),"/appsheet/data/InputBiodataRaportX-3328125/FilePDF/IBNU WANALI-f7a690b3.PDF")</f>
        <v>/appsheet/data/InputBiodataRaportX-3328125/FilePDF/IBNU WANALI-f7a690b3.PDF</v>
      </c>
      <c r="AH12" s="813" t="str">
        <f>IFERROR(__xludf.DUMMYFUNCTION("""COMPUTED_VALUE"""),"2025 2026")</f>
        <v>2025 2026</v>
      </c>
      <c r="AI12" s="813" t="str">
        <f>IFERROR(__xludf.DUMMYFUNCTION("""COMPUTED_VALUE"""),"Purwakarta, 22 Desember 2025")</f>
        <v>Purwakarta, 22 Desember 2025</v>
      </c>
      <c r="AJ12" s="816" t="s">
        <v>591</v>
      </c>
      <c r="AK12" s="817" t="b">
        <f t="shared" ref="AK12:AL12" si="11">IF(H12:H137&lt;&gt;"",ISNUMBER(match(CONCATENATE(AK$2,"_",$C$4,"_",$C$3,"_",$C$2,"_",$H12,".pdf"),$AJ$3:$AJ137,0)))</f>
        <v>0</v>
      </c>
      <c r="AL12" s="817" t="b">
        <f t="shared" si="11"/>
        <v>0</v>
      </c>
      <c r="AM12" s="817" t="b">
        <f t="shared" si="9"/>
        <v>1</v>
      </c>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3"/>
      <c r="BW12" s="353"/>
      <c r="BX12" s="353"/>
      <c r="BY12" s="353"/>
      <c r="BZ12" s="353"/>
    </row>
    <row r="13" ht="18.75" customHeight="1">
      <c r="A13" s="848" t="s">
        <v>592</v>
      </c>
      <c r="B13" s="810" t="s">
        <v>336</v>
      </c>
      <c r="C13" s="850" t="s">
        <v>593</v>
      </c>
      <c r="E13" s="825">
        <f>IFERROR(__xludf.DUMMYFUNCTION("""COMPUTED_VALUE"""),11.0)</f>
        <v>11</v>
      </c>
      <c r="F13" s="813" t="str">
        <f>IFERROR(__xludf.DUMMYFUNCTION("""COMPUTED_VALUE"""),"2526100424")</f>
        <v>2526100424</v>
      </c>
      <c r="G13" s="813" t="str">
        <f>IFERROR(__xludf.DUMMYFUNCTION("""COMPUTED_VALUE"""),"0095752965")</f>
        <v>0095752965</v>
      </c>
      <c r="H13" s="813" t="str">
        <f>IFERROR(__xludf.DUMMYFUNCTION("""COMPUTED_VALUE"""),"IHSAN ABDULOH ")</f>
        <v>IHSAN ABDULOH </v>
      </c>
      <c r="I13" s="813" t="str">
        <f>IFERROR(__xludf.DUMMYFUNCTION("""COMPUTED_VALUE"""),"X TO 4")</f>
        <v>X TO 4</v>
      </c>
      <c r="J13" s="813" t="str">
        <f>IFERROR(__xludf.DUMMYFUNCTION("""COMPUTED_VALUE"""),"Purwakarta")</f>
        <v>Purwakarta</v>
      </c>
      <c r="K13" s="815">
        <f>IFERROR(__xludf.DUMMYFUNCTION("""COMPUTED_VALUE"""),40097.0)</f>
        <v>40097</v>
      </c>
      <c r="L13" s="813" t="str">
        <f>IFERROR(__xludf.DUMMYFUNCTION("""COMPUTED_VALUE"""),"Laki-Laki")</f>
        <v>Laki-Laki</v>
      </c>
      <c r="M13" s="813" t="str">
        <f>IFERROR(__xludf.DUMMYFUNCTION("""COMPUTED_VALUE"""),"Islam")</f>
        <v>Islam</v>
      </c>
      <c r="N13" s="813" t="str">
        <f>IFERROR(__xludf.DUMMYFUNCTION("""COMPUTED_VALUE"""),"Anak Kandung")</f>
        <v>Anak Kandung</v>
      </c>
      <c r="O13" s="813" t="str">
        <f>IFERROR(__xludf.DUMMYFUNCTION("""COMPUTED_VALUE"""),"1 (Satu)")</f>
        <v>1 (Satu)</v>
      </c>
      <c r="P13" s="813" t="str">
        <f>IFERROR(__xludf.DUMMYFUNCTION("""COMPUTED_VALUE"""),"Kp. Depok RT/RW 013/005 Desa Depok Kec. Darangdan Kab. Purwakarta")</f>
        <v>Kp. Depok RT/RW 013/005 Desa Depok Kec. Darangdan Kab. Purwakarta</v>
      </c>
      <c r="Q13" s="813" t="str">
        <f>IFERROR(__xludf.DUMMYFUNCTION("""COMPUTED_VALUE"""),"-")</f>
        <v>-</v>
      </c>
      <c r="R13" s="813" t="str">
        <f>IFERROR(__xludf.DUMMYFUNCTION("""COMPUTED_VALUE"""),"SMP Negeri 6 Darangdan")</f>
        <v>SMP Negeri 6 Darangdan</v>
      </c>
      <c r="S13" s="813" t="str">
        <f>IFERROR(__xludf.DUMMYFUNCTION("""COMPUTED_VALUE"""),"X TO 4")</f>
        <v>X TO 4</v>
      </c>
      <c r="T13" s="813" t="str">
        <f>IFERROR(__xludf.DUMMYFUNCTION("""COMPUTED_VALUE"""),"14 Juli 2025")</f>
        <v>14 Juli 2025</v>
      </c>
      <c r="U13" s="813" t="str">
        <f>IFERROR(__xludf.DUMMYFUNCTION("""COMPUTED_VALUE"""),"Hasanudin")</f>
        <v>Hasanudin</v>
      </c>
      <c r="V13" s="813" t="str">
        <f>IFERROR(__xludf.DUMMYFUNCTION("""COMPUTED_VALUE"""),"Ade Oyoh")</f>
        <v>Ade Oyoh</v>
      </c>
      <c r="W13" s="813" t="str">
        <f>IFERROR(__xludf.DUMMYFUNCTION("""COMPUTED_VALUE"""),"Kp. Depok RT/RW 013/005 Desa Depok Kec. Darangdan Kab. Purwakarta")</f>
        <v>Kp. Depok RT/RW 013/005 Desa Depok Kec. Darangdan Kab. Purwakarta</v>
      </c>
      <c r="X13" s="813" t="str">
        <f>IFERROR(__xludf.DUMMYFUNCTION("""COMPUTED_VALUE"""),"-")</f>
        <v>-</v>
      </c>
      <c r="Y13" s="813" t="str">
        <f>IFERROR(__xludf.DUMMYFUNCTION("""COMPUTED_VALUE"""),"Buruh")</f>
        <v>Buruh</v>
      </c>
      <c r="Z13" s="813" t="str">
        <f>IFERROR(__xludf.DUMMYFUNCTION("""COMPUTED_VALUE"""),"Rumah Tangga")</f>
        <v>Rumah Tangga</v>
      </c>
      <c r="AA13" s="813"/>
      <c r="AB13" s="813"/>
      <c r="AC13" s="813"/>
      <c r="AD13" s="813"/>
      <c r="AE13" s="813" t="str">
        <f>IFERROR(__xludf.DUMMYFUNCTION("""COMPUTED_VALUE"""),"20229659")</f>
        <v>20229659</v>
      </c>
      <c r="AF13" s="813"/>
      <c r="AG13" s="813" t="str">
        <f>IFERROR(__xludf.DUMMYFUNCTION("""COMPUTED_VALUE"""),"/appsheet/data/InputBiodataRaportX-3328125/FilePDF/IHSAN ABDULOH-df4db7c5.PDF")</f>
        <v>/appsheet/data/InputBiodataRaportX-3328125/FilePDF/IHSAN ABDULOH-df4db7c5.PDF</v>
      </c>
      <c r="AH13" s="813" t="str">
        <f>IFERROR(__xludf.DUMMYFUNCTION("""COMPUTED_VALUE"""),"2025 2026")</f>
        <v>2025 2026</v>
      </c>
      <c r="AI13" s="813" t="str">
        <f>IFERROR(__xludf.DUMMYFUNCTION("""COMPUTED_VALUE"""),"Purwakarta, 22 Desember 2025")</f>
        <v>Purwakarta, 22 Desember 2025</v>
      </c>
      <c r="AJ13" s="816" t="s">
        <v>594</v>
      </c>
      <c r="AK13" s="817" t="b">
        <f t="shared" ref="AK13:AL13" si="12">IF(H13:H137&lt;&gt;"",ISNUMBER(match(CONCATENATE(AK$2,"_",$C$4,"_",$C$3,"_",$C$2,"_",$H13,".pdf"),$AJ$3:$AJ137,0)))</f>
        <v>0</v>
      </c>
      <c r="AL13" s="817" t="b">
        <f t="shared" si="12"/>
        <v>0</v>
      </c>
      <c r="AM13" s="817" t="b">
        <f t="shared" si="9"/>
        <v>1</v>
      </c>
      <c r="AN13" s="353"/>
      <c r="AO13" s="353"/>
      <c r="AP13" s="353"/>
      <c r="AQ13" s="353"/>
      <c r="AR13" s="353"/>
      <c r="AS13" s="353"/>
      <c r="AT13" s="353"/>
      <c r="AU13" s="353"/>
      <c r="AV13" s="353"/>
      <c r="AW13" s="353"/>
      <c r="AX13" s="353"/>
      <c r="AY13" s="353"/>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c r="BW13" s="353"/>
      <c r="BX13" s="353"/>
      <c r="BY13" s="353"/>
      <c r="BZ13" s="353"/>
    </row>
    <row r="14" ht="18.75" customHeight="1">
      <c r="A14" s="848" t="s">
        <v>595</v>
      </c>
      <c r="B14" s="810" t="s">
        <v>336</v>
      </c>
      <c r="C14" s="900" t="str">
        <f t="array" ref="C14">INDEX(MASTER!$AP$4:$AP$30,MATCH($C$2,MASTER!$AL$4:$AL$30,0))</f>
        <v>https://script.google.com/macros/s/AKfycbxiGOJIScu6TFOPdZ1AEFDNLiZhbUPz-yQ1b8j-thDYqTrdS9mM2ipsbBGfXWy17XrMFQ/exec</v>
      </c>
      <c r="E14" s="825">
        <f>IFERROR(__xludf.DUMMYFUNCTION("""COMPUTED_VALUE"""),12.0)</f>
        <v>12</v>
      </c>
      <c r="F14" s="813" t="str">
        <f>IFERROR(__xludf.DUMMYFUNCTION("""COMPUTED_VALUE"""),"2526100425")</f>
        <v>2526100425</v>
      </c>
      <c r="G14" s="813" t="str">
        <f>IFERROR(__xludf.DUMMYFUNCTION("""COMPUTED_VALUE"""),"0095318140")</f>
        <v>0095318140</v>
      </c>
      <c r="H14" s="813" t="str">
        <f>IFERROR(__xludf.DUMMYFUNCTION("""COMPUTED_VALUE"""),"INDRA NURMAN")</f>
        <v>INDRA NURMAN</v>
      </c>
      <c r="I14" s="813" t="str">
        <f>IFERROR(__xludf.DUMMYFUNCTION("""COMPUTED_VALUE"""),"X TO 4")</f>
        <v>X TO 4</v>
      </c>
      <c r="J14" s="813" t="str">
        <f>IFERROR(__xludf.DUMMYFUNCTION("""COMPUTED_VALUE"""),"Purwakarta")</f>
        <v>Purwakarta</v>
      </c>
      <c r="K14" s="815">
        <f>IFERROR(__xludf.DUMMYFUNCTION("""COMPUTED_VALUE"""),39885.0)</f>
        <v>39885</v>
      </c>
      <c r="L14" s="813" t="str">
        <f>IFERROR(__xludf.DUMMYFUNCTION("""COMPUTED_VALUE"""),"Laki-Laki")</f>
        <v>Laki-Laki</v>
      </c>
      <c r="M14" s="813" t="str">
        <f>IFERROR(__xludf.DUMMYFUNCTION("""COMPUTED_VALUE"""),"Islam")</f>
        <v>Islam</v>
      </c>
      <c r="N14" s="813" t="str">
        <f>IFERROR(__xludf.DUMMYFUNCTION("""COMPUTED_VALUE"""),"Anak Kandung")</f>
        <v>Anak Kandung</v>
      </c>
      <c r="O14" s="813" t="str">
        <f>IFERROR(__xludf.DUMMYFUNCTION("""COMPUTED_VALUE"""),"2 (Dua)")</f>
        <v>2 (Dua)</v>
      </c>
      <c r="P14" s="813" t="str">
        <f>IFERROR(__xludf.DUMMYFUNCTION("""COMPUTED_VALUE"""),"Kp. Pasir Peuteuy RT/RW 010/003 Desa Pamoyanan Kec. Plered Kab. Purwakarta")</f>
        <v>Kp. Pasir Peuteuy RT/RW 010/003 Desa Pamoyanan Kec. Plered Kab. Purwakarta</v>
      </c>
      <c r="Q14" s="813" t="str">
        <f>IFERROR(__xludf.DUMMYFUNCTION("""COMPUTED_VALUE"""),"-")</f>
        <v>-</v>
      </c>
      <c r="R14" s="813" t="str">
        <f>IFERROR(__xludf.DUMMYFUNCTION("""COMPUTED_VALUE"""),"SMPN Satu Atap Terpadu 2 Pamoyanan")</f>
        <v>SMPN Satu Atap Terpadu 2 Pamoyanan</v>
      </c>
      <c r="S14" s="813" t="str">
        <f>IFERROR(__xludf.DUMMYFUNCTION("""COMPUTED_VALUE"""),"X TO 4")</f>
        <v>X TO 4</v>
      </c>
      <c r="T14" s="813" t="str">
        <f>IFERROR(__xludf.DUMMYFUNCTION("""COMPUTED_VALUE"""),"14 Juli 2025")</f>
        <v>14 Juli 2025</v>
      </c>
      <c r="U14" s="813" t="str">
        <f>IFERROR(__xludf.DUMMYFUNCTION("""COMPUTED_VALUE"""),"-")</f>
        <v>-</v>
      </c>
      <c r="V14" s="813" t="str">
        <f>IFERROR(__xludf.DUMMYFUNCTION("""COMPUTED_VALUE"""),"Lina Marlina")</f>
        <v>Lina Marlina</v>
      </c>
      <c r="W14" s="813" t="str">
        <f>IFERROR(__xludf.DUMMYFUNCTION("""COMPUTED_VALUE"""),"Kp. Pasir Peuteuy RT 010/003 Desa Pamoyanan Kec. Plered Kab. Purwakarta")</f>
        <v>Kp. Pasir Peuteuy RT 010/003 Desa Pamoyanan Kec. Plered Kab. Purwakarta</v>
      </c>
      <c r="X14" s="813" t="str">
        <f>IFERROR(__xludf.DUMMYFUNCTION("""COMPUTED_VALUE"""),"-")</f>
        <v>-</v>
      </c>
      <c r="Y14" s="813"/>
      <c r="Z14" s="813" t="str">
        <f>IFERROR(__xludf.DUMMYFUNCTION("""COMPUTED_VALUE"""),"Rumah Tangga")</f>
        <v>Rumah Tangga</v>
      </c>
      <c r="AA14" s="813" t="str">
        <f>IFERROR(__xludf.DUMMYFUNCTION("""COMPUTED_VALUE"""),"-")</f>
        <v>-</v>
      </c>
      <c r="AB14" s="813" t="str">
        <f>IFERROR(__xludf.DUMMYFUNCTION("""COMPUTED_VALUE"""),"-")</f>
        <v>-</v>
      </c>
      <c r="AC14" s="813" t="str">
        <f>IFERROR(__xludf.DUMMYFUNCTION("""COMPUTED_VALUE"""),"-")</f>
        <v>-</v>
      </c>
      <c r="AD14" s="813"/>
      <c r="AE14" s="813" t="str">
        <f>IFERROR(__xludf.DUMMYFUNCTION("""COMPUTED_VALUE"""),"20229659")</f>
        <v>20229659</v>
      </c>
      <c r="AF14" s="813"/>
      <c r="AG14" s="813" t="str">
        <f>IFERROR(__xludf.DUMMYFUNCTION("""COMPUTED_VALUE"""),"/appsheet/data/InputBiodataRaportX-3328125/FilePDF/INDRA NURMAN-d52a892a.PDF")</f>
        <v>/appsheet/data/InputBiodataRaportX-3328125/FilePDF/INDRA NURMAN-d52a892a.PDF</v>
      </c>
      <c r="AH14" s="813" t="str">
        <f>IFERROR(__xludf.DUMMYFUNCTION("""COMPUTED_VALUE"""),"2025 2026")</f>
        <v>2025 2026</v>
      </c>
      <c r="AI14" s="813" t="str">
        <f>IFERROR(__xludf.DUMMYFUNCTION("""COMPUTED_VALUE"""),"Purwakarta, 22 Desember 2025")</f>
        <v>Purwakarta, 22 Desember 2025</v>
      </c>
      <c r="AJ14" s="816" t="s">
        <v>597</v>
      </c>
      <c r="AK14" s="817" t="b">
        <f t="shared" ref="AK14:AL14" si="13">IF(H14:H137&lt;&gt;"",ISNUMBER(match(CONCATENATE(AK$2,"_",$C$4,"_",$C$3,"_",$C$2,"_",$H14,".pdf"),$AJ$3:$AJ137,0)))</f>
        <v>0</v>
      </c>
      <c r="AL14" s="817" t="b">
        <f t="shared" si="13"/>
        <v>0</v>
      </c>
      <c r="AM14" s="817" t="b">
        <f t="shared" si="9"/>
        <v>1</v>
      </c>
      <c r="AN14" s="353"/>
      <c r="AO14" s="353"/>
      <c r="AP14" s="353"/>
      <c r="AQ14" s="353"/>
      <c r="AR14" s="353"/>
      <c r="AS14" s="353"/>
      <c r="AT14" s="353"/>
      <c r="AU14" s="353"/>
      <c r="AV14" s="353"/>
      <c r="AW14" s="353"/>
      <c r="AX14" s="353"/>
      <c r="AY14" s="353"/>
      <c r="AZ14" s="353"/>
      <c r="BA14" s="353"/>
      <c r="BB14" s="353"/>
      <c r="BC14" s="353"/>
      <c r="BD14" s="353"/>
      <c r="BE14" s="353"/>
      <c r="BF14" s="353"/>
      <c r="BG14" s="353"/>
      <c r="BH14" s="353"/>
      <c r="BI14" s="353"/>
      <c r="BJ14" s="353"/>
      <c r="BK14" s="353"/>
      <c r="BL14" s="353"/>
      <c r="BM14" s="353"/>
      <c r="BN14" s="353"/>
      <c r="BO14" s="353"/>
      <c r="BP14" s="353"/>
      <c r="BQ14" s="353"/>
      <c r="BR14" s="353"/>
      <c r="BS14" s="353"/>
      <c r="BT14" s="353"/>
      <c r="BU14" s="353"/>
      <c r="BV14" s="353"/>
      <c r="BW14" s="353"/>
      <c r="BX14" s="353"/>
      <c r="BY14" s="353"/>
      <c r="BZ14" s="353"/>
    </row>
    <row r="15" ht="18.75" customHeight="1">
      <c r="A15" s="910" t="s">
        <v>598</v>
      </c>
      <c r="B15" s="848" t="s">
        <v>599</v>
      </c>
      <c r="C15" s="912" t="s">
        <v>600</v>
      </c>
      <c r="D15" s="801"/>
      <c r="E15" s="222">
        <f>IFERROR(__xludf.DUMMYFUNCTION("""COMPUTED_VALUE"""),13.0)</f>
        <v>13</v>
      </c>
      <c r="F15" s="813" t="str">
        <f>IFERROR(__xludf.DUMMYFUNCTION("""COMPUTED_VALUE"""),"2526100426")</f>
        <v>2526100426</v>
      </c>
      <c r="G15" s="813" t="str">
        <f>IFERROR(__xludf.DUMMYFUNCTION("""COMPUTED_VALUE"""),"3109448408")</f>
        <v>3109448408</v>
      </c>
      <c r="H15" s="813" t="str">
        <f>IFERROR(__xludf.DUMMYFUNCTION("""COMPUTED_VALUE"""),"IWAN SOPYAN")</f>
        <v>IWAN SOPYAN</v>
      </c>
      <c r="I15" s="813" t="str">
        <f>IFERROR(__xludf.DUMMYFUNCTION("""COMPUTED_VALUE"""),"X TO 4")</f>
        <v>X TO 4</v>
      </c>
      <c r="J15" s="813" t="str">
        <f>IFERROR(__xludf.DUMMYFUNCTION("""COMPUTED_VALUE"""),"Purwakarta")</f>
        <v>Purwakarta</v>
      </c>
      <c r="K15" s="815">
        <f>IFERROR(__xludf.DUMMYFUNCTION("""COMPUTED_VALUE"""),40529.0)</f>
        <v>40529</v>
      </c>
      <c r="L15" s="813" t="str">
        <f>IFERROR(__xludf.DUMMYFUNCTION("""COMPUTED_VALUE"""),"Laki-Laki")</f>
        <v>Laki-Laki</v>
      </c>
      <c r="M15" s="813" t="str">
        <f>IFERROR(__xludf.DUMMYFUNCTION("""COMPUTED_VALUE"""),"Islam")</f>
        <v>Islam</v>
      </c>
      <c r="N15" s="813" t="str">
        <f>IFERROR(__xludf.DUMMYFUNCTION("""COMPUTED_VALUE"""),"Anak Kandung")</f>
        <v>Anak Kandung</v>
      </c>
      <c r="O15" s="813" t="str">
        <f>IFERROR(__xludf.DUMMYFUNCTION("""COMPUTED_VALUE"""),"1 (Satu)")</f>
        <v>1 (Satu)</v>
      </c>
      <c r="P15" s="813" t="str">
        <f>IFERROR(__xludf.DUMMYFUNCTION("""COMPUTED_VALUE"""),"Kp. Cilangkap RT/RW 008/004 Desa Cadassari Kec. Tegalwaru Kab. Purwakarta")</f>
        <v>Kp. Cilangkap RT/RW 008/004 Desa Cadassari Kec. Tegalwaru Kab. Purwakarta</v>
      </c>
      <c r="Q15" s="813" t="str">
        <f>IFERROR(__xludf.DUMMYFUNCTION("""COMPUTED_VALUE"""),"-")</f>
        <v>-</v>
      </c>
      <c r="R15" s="813" t="str">
        <f>IFERROR(__xludf.DUMMYFUNCTION("""COMPUTED_VALUE"""),"SMPN Satu Atap Terpadu 1 Cadassari")</f>
        <v>SMPN Satu Atap Terpadu 1 Cadassari</v>
      </c>
      <c r="S15" s="813" t="str">
        <f>IFERROR(__xludf.DUMMYFUNCTION("""COMPUTED_VALUE"""),"X TO 4")</f>
        <v>X TO 4</v>
      </c>
      <c r="T15" s="813" t="str">
        <f>IFERROR(__xludf.DUMMYFUNCTION("""COMPUTED_VALUE"""),"14 Juli 2025")</f>
        <v>14 Juli 2025</v>
      </c>
      <c r="U15" s="813" t="str">
        <f>IFERROR(__xludf.DUMMYFUNCTION("""COMPUTED_VALUE"""),"Udin Rukmana")</f>
        <v>Udin Rukmana</v>
      </c>
      <c r="V15" s="813" t="str">
        <f>IFERROR(__xludf.DUMMYFUNCTION("""COMPUTED_VALUE"""),"Enen")</f>
        <v>Enen</v>
      </c>
      <c r="W15" s="813" t="str">
        <f>IFERROR(__xludf.DUMMYFUNCTION("""COMPUTED_VALUE"""),"Kp. Cilangkap RT 008/004 Desa Cadassari Kec. Tegalwaru Kab. Purwakarta")</f>
        <v>Kp. Cilangkap RT 008/004 Desa Cadassari Kec. Tegalwaru Kab. Purwakarta</v>
      </c>
      <c r="X15" s="813" t="str">
        <f>IFERROR(__xludf.DUMMYFUNCTION("""COMPUTED_VALUE"""),"-")</f>
        <v>-</v>
      </c>
      <c r="Y15" s="813" t="str">
        <f>IFERROR(__xludf.DUMMYFUNCTION("""COMPUTED_VALUE"""),"Buruh")</f>
        <v>Buruh</v>
      </c>
      <c r="Z15" s="813" t="str">
        <f>IFERROR(__xludf.DUMMYFUNCTION("""COMPUTED_VALUE"""),"Rumah Tangga")</f>
        <v>Rumah Tangga</v>
      </c>
      <c r="AA15" s="813" t="str">
        <f>IFERROR(__xludf.DUMMYFUNCTION("""COMPUTED_VALUE"""),"-")</f>
        <v>-</v>
      </c>
      <c r="AB15" s="813" t="str">
        <f>IFERROR(__xludf.DUMMYFUNCTION("""COMPUTED_VALUE"""),"-")</f>
        <v>-</v>
      </c>
      <c r="AC15" s="813" t="str">
        <f>IFERROR(__xludf.DUMMYFUNCTION("""COMPUTED_VALUE"""),"-")</f>
        <v>-</v>
      </c>
      <c r="AD15" s="813"/>
      <c r="AE15" s="813" t="str">
        <f>IFERROR(__xludf.DUMMYFUNCTION("""COMPUTED_VALUE"""),"20229659")</f>
        <v>20229659</v>
      </c>
      <c r="AF15" s="813"/>
      <c r="AG15" s="813" t="str">
        <f>IFERROR(__xludf.DUMMYFUNCTION("""COMPUTED_VALUE"""),"/appsheet/data/InputBiodataRaportX-3328125/FilePDF/IWAN SOPYAN-64c551bc.PDF")</f>
        <v>/appsheet/data/InputBiodataRaportX-3328125/FilePDF/IWAN SOPYAN-64c551bc.PDF</v>
      </c>
      <c r="AH15" s="813" t="str">
        <f>IFERROR(__xludf.DUMMYFUNCTION("""COMPUTED_VALUE"""),"2025 2026")</f>
        <v>2025 2026</v>
      </c>
      <c r="AI15" s="813" t="str">
        <f>IFERROR(__xludf.DUMMYFUNCTION("""COMPUTED_VALUE"""),"Purwakarta, 22 Desember 2025")</f>
        <v>Purwakarta, 22 Desember 2025</v>
      </c>
      <c r="AJ15" s="816" t="s">
        <v>601</v>
      </c>
      <c r="AK15" s="817" t="b">
        <f t="shared" ref="AK15:AL15" si="14">IF(H15:H137&lt;&gt;"",ISNUMBER(match(CONCATENATE(AK$2,"_",$C$4,"_",$C$3,"_",$C$2,"_",$H15,".pdf"),$AJ$3:$AJ137,0)))</f>
        <v>0</v>
      </c>
      <c r="AL15" s="817" t="b">
        <f t="shared" si="14"/>
        <v>0</v>
      </c>
      <c r="AM15" s="817" t="b">
        <f t="shared" si="9"/>
        <v>1</v>
      </c>
      <c r="AN15" s="353"/>
      <c r="AO15" s="353"/>
      <c r="AP15" s="353"/>
      <c r="AQ15" s="353"/>
      <c r="AR15" s="353"/>
      <c r="AS15" s="353"/>
      <c r="AT15" s="353"/>
      <c r="AU15" s="353"/>
      <c r="AV15" s="353"/>
      <c r="AW15" s="353"/>
      <c r="AX15" s="353"/>
      <c r="AY15" s="353"/>
      <c r="AZ15" s="353"/>
      <c r="BA15" s="353"/>
      <c r="BB15" s="353"/>
      <c r="BC15" s="353"/>
      <c r="BD15" s="353"/>
      <c r="BE15" s="353"/>
      <c r="BF15" s="353"/>
      <c r="BG15" s="353"/>
      <c r="BH15" s="353"/>
      <c r="BI15" s="353"/>
      <c r="BJ15" s="353"/>
      <c r="BK15" s="353"/>
      <c r="BL15" s="353"/>
      <c r="BM15" s="353"/>
      <c r="BN15" s="353"/>
      <c r="BO15" s="353"/>
      <c r="BP15" s="353"/>
      <c r="BQ15" s="353"/>
      <c r="BR15" s="353"/>
      <c r="BS15" s="353"/>
      <c r="BT15" s="353"/>
      <c r="BU15" s="353"/>
      <c r="BV15" s="353"/>
      <c r="BW15" s="353"/>
      <c r="BX15" s="353"/>
      <c r="BY15" s="353"/>
      <c r="BZ15" s="353"/>
    </row>
    <row r="16" ht="18.75" customHeight="1">
      <c r="A16" s="917"/>
      <c r="B16" s="848" t="s">
        <v>599</v>
      </c>
      <c r="C16" s="918"/>
      <c r="D16" s="919"/>
      <c r="E16" s="222">
        <f>IFERROR(__xludf.DUMMYFUNCTION("""COMPUTED_VALUE"""),14.0)</f>
        <v>14</v>
      </c>
      <c r="F16" s="813" t="str">
        <f>IFERROR(__xludf.DUMMYFUNCTION("""COMPUTED_VALUE"""),"2526100427")</f>
        <v>2526100427</v>
      </c>
      <c r="G16" s="813" t="str">
        <f>IFERROR(__xludf.DUMMYFUNCTION("""COMPUTED_VALUE"""),"0097319943")</f>
        <v>0097319943</v>
      </c>
      <c r="H16" s="813" t="str">
        <f>IFERROR(__xludf.DUMMYFUNCTION("""COMPUTED_VALUE"""),"JEJEN JAENI")</f>
        <v>JEJEN JAENI</v>
      </c>
      <c r="I16" s="813" t="str">
        <f>IFERROR(__xludf.DUMMYFUNCTION("""COMPUTED_VALUE"""),"X TO 4")</f>
        <v>X TO 4</v>
      </c>
      <c r="J16" s="813" t="str">
        <f>IFERROR(__xludf.DUMMYFUNCTION("""COMPUTED_VALUE"""),"Purwakarta")</f>
        <v>Purwakarta</v>
      </c>
      <c r="K16" s="815">
        <f>IFERROR(__xludf.DUMMYFUNCTION("""COMPUTED_VALUE"""),39815.0)</f>
        <v>39815</v>
      </c>
      <c r="L16" s="813" t="str">
        <f>IFERROR(__xludf.DUMMYFUNCTION("""COMPUTED_VALUE"""),"Laki-Laki")</f>
        <v>Laki-Laki</v>
      </c>
      <c r="M16" s="813" t="str">
        <f>IFERROR(__xludf.DUMMYFUNCTION("""COMPUTED_VALUE"""),"Islam")</f>
        <v>Islam</v>
      </c>
      <c r="N16" s="813" t="str">
        <f>IFERROR(__xludf.DUMMYFUNCTION("""COMPUTED_VALUE"""),"Anak Kandung")</f>
        <v>Anak Kandung</v>
      </c>
      <c r="O16" s="813" t="str">
        <f>IFERROR(__xludf.DUMMYFUNCTION("""COMPUTED_VALUE"""),"2 (Dua)")</f>
        <v>2 (Dua)</v>
      </c>
      <c r="P16" s="813" t="str">
        <f>IFERROR(__xludf.DUMMYFUNCTION("""COMPUTED_VALUE"""),"Kp. Babakan Sawah RT/RW 009/003 Desa Ganda Mekar Kec. Plered Kab.Purwakarta")</f>
        <v>Kp. Babakan Sawah RT/RW 009/003 Desa Ganda Mekar Kec. Plered Kab.Purwakarta</v>
      </c>
      <c r="Q16" s="813" t="str">
        <f>IFERROR(__xludf.DUMMYFUNCTION("""COMPUTED_VALUE"""),"-")</f>
        <v>-</v>
      </c>
      <c r="R16" s="813" t="str">
        <f>IFERROR(__xludf.DUMMYFUNCTION("""COMPUTED_VALUE"""),"SMP Negeri 2 Darangdan")</f>
        <v>SMP Negeri 2 Darangdan</v>
      </c>
      <c r="S16" s="813" t="str">
        <f>IFERROR(__xludf.DUMMYFUNCTION("""COMPUTED_VALUE"""),"X TO 4")</f>
        <v>X TO 4</v>
      </c>
      <c r="T16" s="813" t="str">
        <f>IFERROR(__xludf.DUMMYFUNCTION("""COMPUTED_VALUE"""),"14 Juli 2025")</f>
        <v>14 Juli 2025</v>
      </c>
      <c r="U16" s="813" t="str">
        <f>IFERROR(__xludf.DUMMYFUNCTION("""COMPUTED_VALUE"""),"Baban")</f>
        <v>Baban</v>
      </c>
      <c r="V16" s="813" t="str">
        <f>IFERROR(__xludf.DUMMYFUNCTION("""COMPUTED_VALUE"""),"Ucu Nia Kurniawati")</f>
        <v>Ucu Nia Kurniawati</v>
      </c>
      <c r="W16" s="813" t="str">
        <f>IFERROR(__xludf.DUMMYFUNCTION("""COMPUTED_VALUE"""),"Kp. Babakan Sawah RT 009/003 Desa Ganda Mekar Kec. Plered Kab.Purwakarta")</f>
        <v>Kp. Babakan Sawah RT 009/003 Desa Ganda Mekar Kec. Plered Kab.Purwakarta</v>
      </c>
      <c r="X16" s="813" t="str">
        <f>IFERROR(__xludf.DUMMYFUNCTION("""COMPUTED_VALUE"""),"-")</f>
        <v>-</v>
      </c>
      <c r="Y16" s="813" t="str">
        <f>IFERROR(__xludf.DUMMYFUNCTION("""COMPUTED_VALUE"""),"Buruh")</f>
        <v>Buruh</v>
      </c>
      <c r="Z16" s="813" t="str">
        <f>IFERROR(__xludf.DUMMYFUNCTION("""COMPUTED_VALUE"""),"Rumah Tangga")</f>
        <v>Rumah Tangga</v>
      </c>
      <c r="AA16" s="813" t="str">
        <f>IFERROR(__xludf.DUMMYFUNCTION("""COMPUTED_VALUE"""),"-")</f>
        <v>-</v>
      </c>
      <c r="AB16" s="813" t="str">
        <f>IFERROR(__xludf.DUMMYFUNCTION("""COMPUTED_VALUE"""),"-")</f>
        <v>-</v>
      </c>
      <c r="AC16" s="813" t="str">
        <f>IFERROR(__xludf.DUMMYFUNCTION("""COMPUTED_VALUE"""),"-")</f>
        <v>-</v>
      </c>
      <c r="AD16" s="813"/>
      <c r="AE16" s="813" t="str">
        <f>IFERROR(__xludf.DUMMYFUNCTION("""COMPUTED_VALUE"""),"20229659")</f>
        <v>20229659</v>
      </c>
      <c r="AF16" s="813"/>
      <c r="AG16" s="813" t="str">
        <f>IFERROR(__xludf.DUMMYFUNCTION("""COMPUTED_VALUE"""),"/appsheet/data/InputBiodataRaportX-3328125/FilePDF/JEJEN JAENI-9f94df6f.PDF")</f>
        <v>/appsheet/data/InputBiodataRaportX-3328125/FilePDF/JEJEN JAENI-9f94df6f.PDF</v>
      </c>
      <c r="AH16" s="813" t="str">
        <f>IFERROR(__xludf.DUMMYFUNCTION("""COMPUTED_VALUE"""),"2025 2026")</f>
        <v>2025 2026</v>
      </c>
      <c r="AI16" s="813" t="str">
        <f>IFERROR(__xludf.DUMMYFUNCTION("""COMPUTED_VALUE"""),"Purwakarta, 22 Desember 2025")</f>
        <v>Purwakarta, 22 Desember 2025</v>
      </c>
      <c r="AJ16" s="816" t="s">
        <v>602</v>
      </c>
      <c r="AK16" s="817"/>
      <c r="AL16" s="817"/>
      <c r="AM16" s="817"/>
      <c r="AN16" s="353"/>
      <c r="AO16" s="353"/>
      <c r="AP16" s="353"/>
      <c r="AQ16" s="353"/>
      <c r="AR16" s="353"/>
      <c r="AS16" s="353"/>
      <c r="AT16" s="353"/>
      <c r="AU16" s="353"/>
      <c r="AV16" s="353"/>
      <c r="AW16" s="353"/>
      <c r="AX16" s="353"/>
      <c r="AY16" s="353"/>
      <c r="AZ16" s="353"/>
      <c r="BA16" s="353"/>
      <c r="BB16" s="353"/>
      <c r="BC16" s="353"/>
      <c r="BD16" s="353"/>
      <c r="BE16" s="353"/>
      <c r="BF16" s="353"/>
      <c r="BG16" s="353"/>
      <c r="BH16" s="353"/>
      <c r="BI16" s="353"/>
      <c r="BJ16" s="353"/>
      <c r="BK16" s="353"/>
      <c r="BL16" s="353"/>
      <c r="BM16" s="353"/>
      <c r="BN16" s="353"/>
      <c r="BO16" s="353"/>
      <c r="BP16" s="353"/>
      <c r="BQ16" s="353"/>
      <c r="BR16" s="353"/>
      <c r="BS16" s="353"/>
      <c r="BT16" s="353"/>
      <c r="BU16" s="353"/>
      <c r="BV16" s="353"/>
      <c r="BW16" s="353"/>
      <c r="BX16" s="353"/>
      <c r="BY16" s="353"/>
      <c r="BZ16" s="353"/>
    </row>
    <row r="17" ht="18.75" customHeight="1">
      <c r="A17" s="917"/>
      <c r="B17" s="848" t="s">
        <v>599</v>
      </c>
      <c r="C17" s="921" t="s">
        <v>603</v>
      </c>
      <c r="D17" s="812"/>
      <c r="E17" s="222">
        <f>IFERROR(__xludf.DUMMYFUNCTION("""COMPUTED_VALUE"""),15.0)</f>
        <v>15</v>
      </c>
      <c r="F17" s="813" t="str">
        <f>IFERROR(__xludf.DUMMYFUNCTION("""COMPUTED_VALUE"""),"2526100428")</f>
        <v>2526100428</v>
      </c>
      <c r="G17" s="813" t="str">
        <f>IFERROR(__xludf.DUMMYFUNCTION("""COMPUTED_VALUE"""),"0093753099")</f>
        <v>0093753099</v>
      </c>
      <c r="H17" s="813" t="str">
        <f>IFERROR(__xludf.DUMMYFUNCTION("""COMPUTED_VALUE"""),"M.HASAN ASARI")</f>
        <v>M.HASAN ASARI</v>
      </c>
      <c r="I17" s="813" t="str">
        <f>IFERROR(__xludf.DUMMYFUNCTION("""COMPUTED_VALUE"""),"X TO 4")</f>
        <v>X TO 4</v>
      </c>
      <c r="J17" s="813" t="str">
        <f>IFERROR(__xludf.DUMMYFUNCTION("""COMPUTED_VALUE"""),"Purwakarta")</f>
        <v>Purwakarta</v>
      </c>
      <c r="K17" s="815">
        <f>IFERROR(__xludf.DUMMYFUNCTION("""COMPUTED_VALUE"""),39816.0)</f>
        <v>39816</v>
      </c>
      <c r="L17" s="813" t="str">
        <f>IFERROR(__xludf.DUMMYFUNCTION("""COMPUTED_VALUE"""),"Laki-Laki")</f>
        <v>Laki-Laki</v>
      </c>
      <c r="M17" s="813" t="str">
        <f>IFERROR(__xludf.DUMMYFUNCTION("""COMPUTED_VALUE"""),"Islam")</f>
        <v>Islam</v>
      </c>
      <c r="N17" s="813" t="str">
        <f>IFERROR(__xludf.DUMMYFUNCTION("""COMPUTED_VALUE"""),"Anak Kandung")</f>
        <v>Anak Kandung</v>
      </c>
      <c r="O17" s="813" t="str">
        <f>IFERROR(__xludf.DUMMYFUNCTION("""COMPUTED_VALUE"""),"2 (Dua)")</f>
        <v>2 (Dua)</v>
      </c>
      <c r="P17" s="813" t="str">
        <f>IFERROR(__xludf.DUMMYFUNCTION("""COMPUTED_VALUE"""),"Kp. Nanggeleng RT/W 007/003, Desa Depok, Kecamatan Darangdan, Kabupaten Purwakarta")</f>
        <v>Kp. Nanggeleng RT/W 007/003, Desa Depok, Kecamatan Darangdan, Kabupaten Purwakarta</v>
      </c>
      <c r="Q17" s="813" t="str">
        <f>IFERROR(__xludf.DUMMYFUNCTION("""COMPUTED_VALUE"""),"-")</f>
        <v>-</v>
      </c>
      <c r="R17" s="813" t="str">
        <f>IFERROR(__xludf.DUMMYFUNCTION("""COMPUTED_VALUE"""),"MTs. Al fatah")</f>
        <v>MTs. Al fatah</v>
      </c>
      <c r="S17" s="813" t="str">
        <f>IFERROR(__xludf.DUMMYFUNCTION("""COMPUTED_VALUE"""),"X TO 4")</f>
        <v>X TO 4</v>
      </c>
      <c r="T17" s="813" t="str">
        <f>IFERROR(__xludf.DUMMYFUNCTION("""COMPUTED_VALUE"""),"14 Juli 2025")</f>
        <v>14 Juli 2025</v>
      </c>
      <c r="U17" s="813" t="str">
        <f>IFERROR(__xludf.DUMMYFUNCTION("""COMPUTED_VALUE"""),"Jakaria")</f>
        <v>Jakaria</v>
      </c>
      <c r="V17" s="813" t="str">
        <f>IFERROR(__xludf.DUMMYFUNCTION("""COMPUTED_VALUE"""),"Iyan Inayah")</f>
        <v>Iyan Inayah</v>
      </c>
      <c r="W17" s="813" t="str">
        <f>IFERROR(__xludf.DUMMYFUNCTION("""COMPUTED_VALUE"""),"Kp. Nanggeleng RT/W 007/003, Desa Depok, Kecamatan Darangdan, Kabupaten Purwakarta")</f>
        <v>Kp. Nanggeleng RT/W 007/003, Desa Depok, Kecamatan Darangdan, Kabupaten Purwakarta</v>
      </c>
      <c r="X17" s="813" t="str">
        <f>IFERROR(__xludf.DUMMYFUNCTION("""COMPUTED_VALUE"""),"-")</f>
        <v>-</v>
      </c>
      <c r="Y17" s="813" t="str">
        <f>IFERROR(__xludf.DUMMYFUNCTION("""COMPUTED_VALUE"""),"Buruh")</f>
        <v>Buruh</v>
      </c>
      <c r="Z17" s="813" t="str">
        <f>IFERROR(__xludf.DUMMYFUNCTION("""COMPUTED_VALUE"""),"Rumah Tangga")</f>
        <v>Rumah Tangga</v>
      </c>
      <c r="AA17" s="813" t="str">
        <f>IFERROR(__xludf.DUMMYFUNCTION("""COMPUTED_VALUE"""),"-")</f>
        <v>-</v>
      </c>
      <c r="AB17" s="813" t="str">
        <f>IFERROR(__xludf.DUMMYFUNCTION("""COMPUTED_VALUE"""),"-")</f>
        <v>-</v>
      </c>
      <c r="AC17" s="813" t="str">
        <f>IFERROR(__xludf.DUMMYFUNCTION("""COMPUTED_VALUE"""),"-")</f>
        <v>-</v>
      </c>
      <c r="AD17" s="813"/>
      <c r="AE17" s="813" t="str">
        <f>IFERROR(__xludf.DUMMYFUNCTION("""COMPUTED_VALUE"""),"20229659")</f>
        <v>20229659</v>
      </c>
      <c r="AF17" s="813"/>
      <c r="AG17" s="813" t="str">
        <f>IFERROR(__xludf.DUMMYFUNCTION("""COMPUTED_VALUE"""),"/appsheet/data/InputBiodataRaportX-3328125/FilePDF/M.HASAN ASARI-4b637458.PDF")</f>
        <v>/appsheet/data/InputBiodataRaportX-3328125/FilePDF/M.HASAN ASARI-4b637458.PDF</v>
      </c>
      <c r="AH17" s="813" t="str">
        <f>IFERROR(__xludf.DUMMYFUNCTION("""COMPUTED_VALUE"""),"2025 2026")</f>
        <v>2025 2026</v>
      </c>
      <c r="AI17" s="813" t="str">
        <f>IFERROR(__xludf.DUMMYFUNCTION("""COMPUTED_VALUE"""),"Purwakarta, 22 Desember 2025")</f>
        <v>Purwakarta, 22 Desember 2025</v>
      </c>
      <c r="AJ17" s="816" t="s">
        <v>604</v>
      </c>
      <c r="AK17" s="817" t="b">
        <f t="shared" ref="AK17:AL17" si="15">IF(H17:H137&lt;&gt;"",ISNUMBER(match(CONCATENATE(AK$2,"_",$C$4,"_",$C$3,"_",$C$2,"_",$H17,".pdf"),$AJ$3:$AJ137,0)))</f>
        <v>0</v>
      </c>
      <c r="AL17" s="817" t="b">
        <f t="shared" si="15"/>
        <v>0</v>
      </c>
      <c r="AM17" s="817" t="b">
        <f t="shared" ref="AM17:AM20" si="17">IF(AJ17:AJ137&lt;&gt;"",ISNUMBER(match(CONCATENATE(AM$2,"_",$C$4,"_",$C$3,"_",$C$2,"_",$H17,".pdf"),$AJ$3:$AJ137,0)))</f>
        <v>1</v>
      </c>
      <c r="AN17" s="353"/>
      <c r="AO17" s="353"/>
      <c r="AP17" s="353"/>
      <c r="AQ17" s="353"/>
      <c r="AR17" s="353"/>
      <c r="AS17" s="353"/>
      <c r="AT17" s="353"/>
      <c r="AU17" s="353"/>
      <c r="AV17" s="353"/>
      <c r="AW17" s="353"/>
      <c r="AX17" s="353"/>
      <c r="AY17" s="353"/>
      <c r="AZ17" s="353"/>
      <c r="BA17" s="353"/>
      <c r="BB17" s="353"/>
      <c r="BC17" s="353"/>
      <c r="BD17" s="353"/>
      <c r="BE17" s="353"/>
      <c r="BF17" s="353"/>
      <c r="BG17" s="353"/>
      <c r="BH17" s="353"/>
      <c r="BI17" s="353"/>
      <c r="BJ17" s="353"/>
      <c r="BK17" s="353"/>
      <c r="BL17" s="353"/>
      <c r="BM17" s="353"/>
      <c r="BN17" s="353"/>
      <c r="BO17" s="353"/>
      <c r="BP17" s="353"/>
      <c r="BQ17" s="353"/>
      <c r="BR17" s="353"/>
      <c r="BS17" s="353"/>
      <c r="BT17" s="353"/>
      <c r="BU17" s="353"/>
      <c r="BV17" s="353"/>
      <c r="BW17" s="353"/>
      <c r="BX17" s="353"/>
      <c r="BY17" s="353"/>
      <c r="BZ17" s="353"/>
    </row>
    <row r="18" ht="18.75" customHeight="1">
      <c r="A18" s="917"/>
      <c r="B18" s="848" t="s">
        <v>599</v>
      </c>
      <c r="C18" s="922" t="s">
        <v>605</v>
      </c>
      <c r="D18" s="812"/>
      <c r="E18" s="222">
        <f>IFERROR(__xludf.DUMMYFUNCTION("""COMPUTED_VALUE"""),16.0)</f>
        <v>16</v>
      </c>
      <c r="F18" s="813" t="str">
        <f>IFERROR(__xludf.DUMMYFUNCTION("""COMPUTED_VALUE"""),"2526100429")</f>
        <v>2526100429</v>
      </c>
      <c r="G18" s="813" t="str">
        <f>IFERROR(__xludf.DUMMYFUNCTION("""COMPUTED_VALUE"""),"0105910447")</f>
        <v>0105910447</v>
      </c>
      <c r="H18" s="813" t="str">
        <f>IFERROR(__xludf.DUMMYFUNCTION("""COMPUTED_VALUE"""),"MUHAMAD ABIB RIZAL")</f>
        <v>MUHAMAD ABIB RIZAL</v>
      </c>
      <c r="I18" s="813" t="str">
        <f>IFERROR(__xludf.DUMMYFUNCTION("""COMPUTED_VALUE"""),"X TO 4")</f>
        <v>X TO 4</v>
      </c>
      <c r="J18" s="813" t="str">
        <f>IFERROR(__xludf.DUMMYFUNCTION("""COMPUTED_VALUE"""),"Purwakarta")</f>
        <v>Purwakarta</v>
      </c>
      <c r="K18" s="815">
        <f>IFERROR(__xludf.DUMMYFUNCTION("""COMPUTED_VALUE"""),40265.0)</f>
        <v>40265</v>
      </c>
      <c r="L18" s="813" t="str">
        <f>IFERROR(__xludf.DUMMYFUNCTION("""COMPUTED_VALUE"""),"Laki-Laki")</f>
        <v>Laki-Laki</v>
      </c>
      <c r="M18" s="813" t="str">
        <f>IFERROR(__xludf.DUMMYFUNCTION("""COMPUTED_VALUE"""),"Islam")</f>
        <v>Islam</v>
      </c>
      <c r="N18" s="813" t="str">
        <f>IFERROR(__xludf.DUMMYFUNCTION("""COMPUTED_VALUE"""),"Anak Kandung")</f>
        <v>Anak Kandung</v>
      </c>
      <c r="O18" s="813" t="str">
        <f>IFERROR(__xludf.DUMMYFUNCTION("""COMPUTED_VALUE"""),"3 (Tiga)")</f>
        <v>3 (Tiga)</v>
      </c>
      <c r="P18" s="813" t="str">
        <f>IFERROR(__xludf.DUMMYFUNCTION("""COMPUTED_VALUE"""),"Kp. Cihuni RT/RW 015/003 Desa Sukamulya Kec. Tegalwaru Kab. Purwakarta")</f>
        <v>Kp. Cihuni RT/RW 015/003 Desa Sukamulya Kec. Tegalwaru Kab. Purwakarta</v>
      </c>
      <c r="Q18" s="813" t="str">
        <f>IFERROR(__xludf.DUMMYFUNCTION("""COMPUTED_VALUE"""),"-")</f>
        <v>-</v>
      </c>
      <c r="R18" s="813" t="str">
        <f>IFERROR(__xludf.DUMMYFUNCTION("""COMPUTED_VALUE"""),"SMP Negeri 2 Tegalwaru")</f>
        <v>SMP Negeri 2 Tegalwaru</v>
      </c>
      <c r="S18" s="813" t="str">
        <f>IFERROR(__xludf.DUMMYFUNCTION("""COMPUTED_VALUE"""),"X TO 4")</f>
        <v>X TO 4</v>
      </c>
      <c r="T18" s="813" t="str">
        <f>IFERROR(__xludf.DUMMYFUNCTION("""COMPUTED_VALUE"""),"14 Juli 2025")</f>
        <v>14 Juli 2025</v>
      </c>
      <c r="U18" s="813" t="str">
        <f>IFERROR(__xludf.DUMMYFUNCTION("""COMPUTED_VALUE"""),"Odi Suryadi")</f>
        <v>Odi Suryadi</v>
      </c>
      <c r="V18" s="813" t="str">
        <f>IFERROR(__xludf.DUMMYFUNCTION("""COMPUTED_VALUE"""),"Yayah Sobariah")</f>
        <v>Yayah Sobariah</v>
      </c>
      <c r="W18" s="813" t="str">
        <f>IFERROR(__xludf.DUMMYFUNCTION("""COMPUTED_VALUE"""),"Kp. Cihuni RT/RW 015/003 Desa Sukamulya Kec. Tegalwaru Kab. Purwakarta")</f>
        <v>Kp. Cihuni RT/RW 015/003 Desa Sukamulya Kec. Tegalwaru Kab. Purwakarta</v>
      </c>
      <c r="X18" s="813" t="str">
        <f>IFERROR(__xludf.DUMMYFUNCTION("""COMPUTED_VALUE"""),"-")</f>
        <v>-</v>
      </c>
      <c r="Y18" s="813" t="str">
        <f>IFERROR(__xludf.DUMMYFUNCTION("""COMPUTED_VALUE"""),"Buruh")</f>
        <v>Buruh</v>
      </c>
      <c r="Z18" s="813" t="str">
        <f>IFERROR(__xludf.DUMMYFUNCTION("""COMPUTED_VALUE"""),"Rumah Tangga")</f>
        <v>Rumah Tangga</v>
      </c>
      <c r="AA18" s="813"/>
      <c r="AB18" s="813"/>
      <c r="AC18" s="813"/>
      <c r="AD18" s="813"/>
      <c r="AE18" s="813" t="str">
        <f>IFERROR(__xludf.DUMMYFUNCTION("""COMPUTED_VALUE"""),"20229659")</f>
        <v>20229659</v>
      </c>
      <c r="AF18" s="813"/>
      <c r="AG18" s="813" t="str">
        <f>IFERROR(__xludf.DUMMYFUNCTION("""COMPUTED_VALUE"""),"/appsheet/data/InputBiodataRaportX-3328125/FilePDF/MUHAMAD ABIB RIZAL-69d64c11.PDF")</f>
        <v>/appsheet/data/InputBiodataRaportX-3328125/FilePDF/MUHAMAD ABIB RIZAL-69d64c11.PDF</v>
      </c>
      <c r="AH18" s="813" t="str">
        <f>IFERROR(__xludf.DUMMYFUNCTION("""COMPUTED_VALUE"""),"2025 2026")</f>
        <v>2025 2026</v>
      </c>
      <c r="AI18" s="813" t="str">
        <f>IFERROR(__xludf.DUMMYFUNCTION("""COMPUTED_VALUE"""),"Purwakarta, 22 Desember 2025")</f>
        <v>Purwakarta, 22 Desember 2025</v>
      </c>
      <c r="AJ18" s="816" t="s">
        <v>606</v>
      </c>
      <c r="AK18" s="817" t="b">
        <f t="shared" ref="AK18:AL18" si="16">IF(H18:H137&lt;&gt;"",ISNUMBER(match(CONCATENATE(AK$2,"_",$C$4,"_",$C$3,"_",$C$2,"_",$H18,".pdf"),$AJ$3:$AJ137,0)))</f>
        <v>0</v>
      </c>
      <c r="AL18" s="817" t="b">
        <f t="shared" si="16"/>
        <v>0</v>
      </c>
      <c r="AM18" s="817" t="b">
        <f t="shared" si="17"/>
        <v>1</v>
      </c>
      <c r="AN18" s="353"/>
      <c r="AO18" s="353"/>
      <c r="AP18" s="353"/>
      <c r="AQ18" s="353"/>
      <c r="AR18" s="353"/>
      <c r="AS18" s="353"/>
      <c r="AT18" s="353"/>
      <c r="AU18" s="353"/>
      <c r="AV18" s="353"/>
      <c r="AW18" s="353"/>
      <c r="AX18" s="353"/>
      <c r="AY18" s="353"/>
      <c r="AZ18" s="353"/>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c r="BW18" s="353"/>
      <c r="BX18" s="353"/>
      <c r="BY18" s="353"/>
      <c r="BZ18" s="353"/>
    </row>
    <row r="19" ht="18.75" customHeight="1">
      <c r="A19" s="926"/>
      <c r="B19" s="848" t="s">
        <v>599</v>
      </c>
      <c r="C19" s="927" t="s">
        <v>607</v>
      </c>
      <c r="D19" s="928"/>
      <c r="E19" s="222">
        <f>IFERROR(__xludf.DUMMYFUNCTION("""COMPUTED_VALUE"""),17.0)</f>
        <v>17</v>
      </c>
      <c r="F19" s="813" t="str">
        <f>IFERROR(__xludf.DUMMYFUNCTION("""COMPUTED_VALUE"""),"2526100430")</f>
        <v>2526100430</v>
      </c>
      <c r="G19" s="813" t="str">
        <f>IFERROR(__xludf.DUMMYFUNCTION("""COMPUTED_VALUE"""),"0099084784")</f>
        <v>0099084784</v>
      </c>
      <c r="H19" s="813" t="str">
        <f>IFERROR(__xludf.DUMMYFUNCTION("""COMPUTED_VALUE"""),"MUHAMAD AL FARIZ")</f>
        <v>MUHAMAD AL FARIZ</v>
      </c>
      <c r="I19" s="813" t="str">
        <f>IFERROR(__xludf.DUMMYFUNCTION("""COMPUTED_VALUE"""),"X TO 4")</f>
        <v>X TO 4</v>
      </c>
      <c r="J19" s="813" t="str">
        <f>IFERROR(__xludf.DUMMYFUNCTION("""COMPUTED_VALUE"""),"Purwakarta")</f>
        <v>Purwakarta</v>
      </c>
      <c r="K19" s="815">
        <f>IFERROR(__xludf.DUMMYFUNCTION("""COMPUTED_VALUE"""),40075.0)</f>
        <v>40075</v>
      </c>
      <c r="L19" s="813" t="str">
        <f>IFERROR(__xludf.DUMMYFUNCTION("""COMPUTED_VALUE"""),"Laki-Laki")</f>
        <v>Laki-Laki</v>
      </c>
      <c r="M19" s="813" t="str">
        <f>IFERROR(__xludf.DUMMYFUNCTION("""COMPUTED_VALUE"""),"Islam")</f>
        <v>Islam</v>
      </c>
      <c r="N19" s="813" t="str">
        <f>IFERROR(__xludf.DUMMYFUNCTION("""COMPUTED_VALUE"""),"Anak Kandung")</f>
        <v>Anak Kandung</v>
      </c>
      <c r="O19" s="813" t="str">
        <f>IFERROR(__xludf.DUMMYFUNCTION("""COMPUTED_VALUE"""),"1 (Satu)")</f>
        <v>1 (Satu)</v>
      </c>
      <c r="P19" s="813" t="str">
        <f>IFERROR(__xludf.DUMMYFUNCTION("""COMPUTED_VALUE"""),"Kp. Tegal Astana RT/RW 020/006 Desa Liunggunung Kec.Plered Kab. Purwakarta")</f>
        <v>Kp. Tegal Astana RT/RW 020/006 Desa Liunggunung Kec.Plered Kab. Purwakarta</v>
      </c>
      <c r="Q19" s="813" t="str">
        <f>IFERROR(__xludf.DUMMYFUNCTION("""COMPUTED_VALUE"""),"-")</f>
        <v>-</v>
      </c>
      <c r="R19" s="813" t="str">
        <f>IFERROR(__xludf.DUMMYFUNCTION("""COMPUTED_VALUE"""),"SMPN Satu Atap Terpadu 1 Linggarsari")</f>
        <v>SMPN Satu Atap Terpadu 1 Linggarsari</v>
      </c>
      <c r="S19" s="813" t="str">
        <f>IFERROR(__xludf.DUMMYFUNCTION("""COMPUTED_VALUE"""),"X TO 4")</f>
        <v>X TO 4</v>
      </c>
      <c r="T19" s="813" t="str">
        <f>IFERROR(__xludf.DUMMYFUNCTION("""COMPUTED_VALUE"""),"14 Juli 2025")</f>
        <v>14 Juli 2025</v>
      </c>
      <c r="U19" s="813" t="str">
        <f>IFERROR(__xludf.DUMMYFUNCTION("""COMPUTED_VALUE"""),"Agus Muharam Budiansah")</f>
        <v>Agus Muharam Budiansah</v>
      </c>
      <c r="V19" s="813" t="str">
        <f>IFERROR(__xludf.DUMMYFUNCTION("""COMPUTED_VALUE"""),"RD Liry Nurul Qolby Ridhoyani")</f>
        <v>RD Liry Nurul Qolby Ridhoyani</v>
      </c>
      <c r="W19" s="813" t="str">
        <f>IFERROR(__xludf.DUMMYFUNCTION("""COMPUTED_VALUE"""),"Kp. Tegal Astana RT 020/006 Desa Liunggunung Kec.Plered Kab. Purwakarta")</f>
        <v>Kp. Tegal Astana RT 020/006 Desa Liunggunung Kec.Plered Kab. Purwakarta</v>
      </c>
      <c r="X19" s="813" t="str">
        <f>IFERROR(__xludf.DUMMYFUNCTION("""COMPUTED_VALUE"""),"-")</f>
        <v>-</v>
      </c>
      <c r="Y19" s="813" t="str">
        <f>IFERROR(__xludf.DUMMYFUNCTION("""COMPUTED_VALUE"""),"Pegawai Swasta")</f>
        <v>Pegawai Swasta</v>
      </c>
      <c r="Z19" s="813" t="str">
        <f>IFERROR(__xludf.DUMMYFUNCTION("""COMPUTED_VALUE"""),"Rumah Tangga")</f>
        <v>Rumah Tangga</v>
      </c>
      <c r="AA19" s="813" t="str">
        <f>IFERROR(__xludf.DUMMYFUNCTION("""COMPUTED_VALUE"""),"-")</f>
        <v>-</v>
      </c>
      <c r="AB19" s="813" t="str">
        <f>IFERROR(__xludf.DUMMYFUNCTION("""COMPUTED_VALUE"""),"-")</f>
        <v>-</v>
      </c>
      <c r="AC19" s="813" t="str">
        <f>IFERROR(__xludf.DUMMYFUNCTION("""COMPUTED_VALUE"""),"-")</f>
        <v>-</v>
      </c>
      <c r="AD19" s="813"/>
      <c r="AE19" s="813" t="str">
        <f>IFERROR(__xludf.DUMMYFUNCTION("""COMPUTED_VALUE"""),"20229659")</f>
        <v>20229659</v>
      </c>
      <c r="AF19" s="813"/>
      <c r="AG19" s="813" t="str">
        <f>IFERROR(__xludf.DUMMYFUNCTION("""COMPUTED_VALUE"""),"/appsheet/data/InputBiodataRaportX-3328125/FilePDF/MUHAMAD AL FARIZ-a823e995.PDF")</f>
        <v>/appsheet/data/InputBiodataRaportX-3328125/FilePDF/MUHAMAD AL FARIZ-a823e995.PDF</v>
      </c>
      <c r="AH19" s="813" t="str">
        <f>IFERROR(__xludf.DUMMYFUNCTION("""COMPUTED_VALUE"""),"2025 2026")</f>
        <v>2025 2026</v>
      </c>
      <c r="AI19" s="813" t="str">
        <f>IFERROR(__xludf.DUMMYFUNCTION("""COMPUTED_VALUE"""),"Purwakarta, 22 Desember 2025")</f>
        <v>Purwakarta, 22 Desember 2025</v>
      </c>
      <c r="AJ19" s="816" t="s">
        <v>608</v>
      </c>
      <c r="AK19" s="817" t="b">
        <f t="shared" ref="AK19:AL19" si="18">IF(H19:H137&lt;&gt;"",ISNUMBER(match(CONCATENATE(AK$2,"_",$C$4,"_",$C$3,"_",$C$2,"_",$H19,".pdf"),$AJ$3:$AJ137,0)))</f>
        <v>0</v>
      </c>
      <c r="AL19" s="817" t="b">
        <f t="shared" si="18"/>
        <v>0</v>
      </c>
      <c r="AM19" s="817" t="b">
        <f t="shared" si="17"/>
        <v>1</v>
      </c>
      <c r="AN19" s="353"/>
      <c r="AO19" s="353"/>
      <c r="AP19" s="353"/>
      <c r="AQ19" s="353"/>
      <c r="AR19" s="353"/>
      <c r="AS19" s="353"/>
      <c r="AT19" s="353"/>
      <c r="AU19" s="353"/>
      <c r="AV19" s="353"/>
      <c r="AW19" s="353"/>
      <c r="AX19" s="353"/>
      <c r="AY19" s="353"/>
      <c r="AZ19" s="353"/>
      <c r="BA19" s="353"/>
      <c r="BB19" s="353"/>
      <c r="BC19" s="353"/>
      <c r="BD19" s="353"/>
      <c r="BE19" s="353"/>
      <c r="BF19" s="353"/>
      <c r="BG19" s="353"/>
      <c r="BH19" s="353"/>
      <c r="BI19" s="353"/>
      <c r="BJ19" s="353"/>
      <c r="BK19" s="353"/>
      <c r="BL19" s="353"/>
      <c r="BM19" s="353"/>
      <c r="BN19" s="353"/>
      <c r="BO19" s="353"/>
      <c r="BP19" s="353"/>
      <c r="BQ19" s="353"/>
      <c r="BR19" s="353"/>
      <c r="BS19" s="353"/>
      <c r="BT19" s="353"/>
      <c r="BU19" s="353"/>
      <c r="BV19" s="353"/>
      <c r="BW19" s="353"/>
      <c r="BX19" s="353"/>
      <c r="BY19" s="353"/>
      <c r="BZ19" s="353"/>
    </row>
    <row r="20" ht="18.75" customHeight="1">
      <c r="A20" s="910" t="s">
        <v>609</v>
      </c>
      <c r="B20" s="848" t="s">
        <v>610</v>
      </c>
      <c r="C20" s="929" t="s">
        <v>600</v>
      </c>
      <c r="D20" s="930"/>
      <c r="E20" s="222">
        <f>IFERROR(__xludf.DUMMYFUNCTION("""COMPUTED_VALUE"""),18.0)</f>
        <v>18</v>
      </c>
      <c r="F20" s="813" t="str">
        <f>IFERROR(__xludf.DUMMYFUNCTION("""COMPUTED_VALUE"""),"2526100431")</f>
        <v>2526100431</v>
      </c>
      <c r="G20" s="813" t="str">
        <f>IFERROR(__xludf.DUMMYFUNCTION("""COMPUTED_VALUE"""),"0092469837")</f>
        <v>0092469837</v>
      </c>
      <c r="H20" s="813" t="str">
        <f>IFERROR(__xludf.DUMMYFUNCTION("""COMPUTED_VALUE"""),"MUHAMAD ASRUL")</f>
        <v>MUHAMAD ASRUL</v>
      </c>
      <c r="I20" s="813" t="str">
        <f>IFERROR(__xludf.DUMMYFUNCTION("""COMPUTED_VALUE"""),"X TO 4")</f>
        <v>X TO 4</v>
      </c>
      <c r="J20" s="813" t="str">
        <f>IFERROR(__xludf.DUMMYFUNCTION("""COMPUTED_VALUE"""),"Purwakarta")</f>
        <v>Purwakarta</v>
      </c>
      <c r="K20" s="815">
        <f>IFERROR(__xludf.DUMMYFUNCTION("""COMPUTED_VALUE"""),40041.0)</f>
        <v>40041</v>
      </c>
      <c r="L20" s="813" t="str">
        <f>IFERROR(__xludf.DUMMYFUNCTION("""COMPUTED_VALUE"""),"Laki-Laki")</f>
        <v>Laki-Laki</v>
      </c>
      <c r="M20" s="813" t="str">
        <f>IFERROR(__xludf.DUMMYFUNCTION("""COMPUTED_VALUE"""),"Islam")</f>
        <v>Islam</v>
      </c>
      <c r="N20" s="813" t="str">
        <f>IFERROR(__xludf.DUMMYFUNCTION("""COMPUTED_VALUE"""),"Anak Kandung")</f>
        <v>Anak Kandung</v>
      </c>
      <c r="O20" s="813" t="str">
        <f>IFERROR(__xludf.DUMMYFUNCTION("""COMPUTED_VALUE"""),"1 (Satu)")</f>
        <v>1 (Satu)</v>
      </c>
      <c r="P20" s="813" t="str">
        <f>IFERROR(__xludf.DUMMYFUNCTION("""COMPUTED_VALUE"""),"Kp. Baru RT/W 005/003, Desa Citeko, Kecamatan Plered, Kabupaten Purwakarta")</f>
        <v>Kp. Baru RT/W 005/003, Desa Citeko, Kecamatan Plered, Kabupaten Purwakarta</v>
      </c>
      <c r="Q20" s="813" t="str">
        <f>IFERROR(__xludf.DUMMYFUNCTION("""COMPUTED_VALUE"""),"-")</f>
        <v>-</v>
      </c>
      <c r="R20" s="813" t="str">
        <f>IFERROR(__xludf.DUMMYFUNCTION("""COMPUTED_VALUE"""),"SMP Negeri 1 Plered")</f>
        <v>SMP Negeri 1 Plered</v>
      </c>
      <c r="S20" s="813" t="str">
        <f>IFERROR(__xludf.DUMMYFUNCTION("""COMPUTED_VALUE"""),"X TO 4")</f>
        <v>X TO 4</v>
      </c>
      <c r="T20" s="813" t="str">
        <f>IFERROR(__xludf.DUMMYFUNCTION("""COMPUTED_VALUE"""),"14 Juli 2025")</f>
        <v>14 Juli 2025</v>
      </c>
      <c r="U20" s="813" t="str">
        <f>IFERROR(__xludf.DUMMYFUNCTION("""COMPUTED_VALUE"""),"Ade Indra")</f>
        <v>Ade Indra</v>
      </c>
      <c r="V20" s="813" t="str">
        <f>IFERROR(__xludf.DUMMYFUNCTION("""COMPUTED_VALUE"""),"Ratna Juwita")</f>
        <v>Ratna Juwita</v>
      </c>
      <c r="W20" s="813" t="str">
        <f>IFERROR(__xludf.DUMMYFUNCTION("""COMPUTED_VALUE"""),"Kp. Baru RT/W 005/003, Desa Citeko, Kecamatan Plered, Kabupaten Purwakarta")</f>
        <v>Kp. Baru RT/W 005/003, Desa Citeko, Kecamatan Plered, Kabupaten Purwakarta</v>
      </c>
      <c r="X20" s="813" t="str">
        <f>IFERROR(__xludf.DUMMYFUNCTION("""COMPUTED_VALUE"""),"-")</f>
        <v>-</v>
      </c>
      <c r="Y20" s="813"/>
      <c r="Z20" s="813" t="str">
        <f>IFERROR(__xludf.DUMMYFUNCTION("""COMPUTED_VALUE"""),"Rumah Tangga")</f>
        <v>Rumah Tangga</v>
      </c>
      <c r="AA20" s="813" t="str">
        <f>IFERROR(__xludf.DUMMYFUNCTION("""COMPUTED_VALUE"""),"-")</f>
        <v>-</v>
      </c>
      <c r="AB20" s="813" t="str">
        <f>IFERROR(__xludf.DUMMYFUNCTION("""COMPUTED_VALUE"""),"-")</f>
        <v>-</v>
      </c>
      <c r="AC20" s="813" t="str">
        <f>IFERROR(__xludf.DUMMYFUNCTION("""COMPUTED_VALUE"""),"-")</f>
        <v>-</v>
      </c>
      <c r="AD20" s="813"/>
      <c r="AE20" s="813" t="str">
        <f>IFERROR(__xludf.DUMMYFUNCTION("""COMPUTED_VALUE"""),"20229659")</f>
        <v>20229659</v>
      </c>
      <c r="AF20" s="813"/>
      <c r="AG20" s="813" t="str">
        <f>IFERROR(__xludf.DUMMYFUNCTION("""COMPUTED_VALUE"""),"/appsheet/data/InputBiodataRaportX-3328125/FilePDF/MUHAMAD ASRUL-7577e93c.PDF")</f>
        <v>/appsheet/data/InputBiodataRaportX-3328125/FilePDF/MUHAMAD ASRUL-7577e93c.PDF</v>
      </c>
      <c r="AH20" s="813" t="str">
        <f>IFERROR(__xludf.DUMMYFUNCTION("""COMPUTED_VALUE"""),"2025 2026")</f>
        <v>2025 2026</v>
      </c>
      <c r="AI20" s="813" t="str">
        <f>IFERROR(__xludf.DUMMYFUNCTION("""COMPUTED_VALUE"""),"Purwakarta, 22 Desember 2025")</f>
        <v>Purwakarta, 22 Desember 2025</v>
      </c>
      <c r="AJ20" s="816" t="s">
        <v>612</v>
      </c>
      <c r="AK20" s="817" t="b">
        <f t="shared" ref="AK20:AL20" si="19">IF(H20:H137&lt;&gt;"",ISNUMBER(match(CONCATENATE(AK$2,"_",$C$4,"_",$C$3,"_",$C$2,"_",$H20,".pdf"),$AJ$3:$AJ137,0)))</f>
        <v>0</v>
      </c>
      <c r="AL20" s="817" t="b">
        <f t="shared" si="19"/>
        <v>0</v>
      </c>
      <c r="AM20" s="817" t="b">
        <f t="shared" si="17"/>
        <v>1</v>
      </c>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3"/>
      <c r="BK20" s="353"/>
      <c r="BL20" s="353"/>
      <c r="BM20" s="353"/>
      <c r="BN20" s="353"/>
      <c r="BO20" s="353"/>
      <c r="BP20" s="353"/>
      <c r="BQ20" s="353"/>
      <c r="BR20" s="353"/>
      <c r="BS20" s="353"/>
      <c r="BT20" s="353"/>
      <c r="BU20" s="353"/>
      <c r="BV20" s="353"/>
      <c r="BW20" s="353"/>
      <c r="BX20" s="353"/>
      <c r="BY20" s="353"/>
      <c r="BZ20" s="353"/>
    </row>
    <row r="21" ht="18.75" customHeight="1">
      <c r="A21" s="917"/>
      <c r="B21" s="848" t="s">
        <v>610</v>
      </c>
      <c r="C21" s="918"/>
      <c r="D21" s="919"/>
      <c r="E21" s="222">
        <f>IFERROR(__xludf.DUMMYFUNCTION("""COMPUTED_VALUE"""),19.0)</f>
        <v>19</v>
      </c>
      <c r="F21" s="813" t="str">
        <f>IFERROR(__xludf.DUMMYFUNCTION("""COMPUTED_VALUE"""),"2526100432")</f>
        <v>2526100432</v>
      </c>
      <c r="G21" s="813" t="str">
        <f>IFERROR(__xludf.DUMMYFUNCTION("""COMPUTED_VALUE"""),"0099940282")</f>
        <v>0099940282</v>
      </c>
      <c r="H21" s="813" t="str">
        <f>IFERROR(__xludf.DUMMYFUNCTION("""COMPUTED_VALUE"""),"MUHAMAD FARHAN")</f>
        <v>MUHAMAD FARHAN</v>
      </c>
      <c r="I21" s="813" t="str">
        <f>IFERROR(__xludf.DUMMYFUNCTION("""COMPUTED_VALUE"""),"X TO 4")</f>
        <v>X TO 4</v>
      </c>
      <c r="J21" s="813" t="str">
        <f>IFERROR(__xludf.DUMMYFUNCTION("""COMPUTED_VALUE"""),"Purwakarta")</f>
        <v>Purwakarta</v>
      </c>
      <c r="K21" s="815">
        <f>IFERROR(__xludf.DUMMYFUNCTION("""COMPUTED_VALUE"""),40022.0)</f>
        <v>40022</v>
      </c>
      <c r="L21" s="813" t="str">
        <f>IFERROR(__xludf.DUMMYFUNCTION("""COMPUTED_VALUE"""),"Laki-Laki")</f>
        <v>Laki-Laki</v>
      </c>
      <c r="M21" s="813" t="str">
        <f>IFERROR(__xludf.DUMMYFUNCTION("""COMPUTED_VALUE"""),"Islam")</f>
        <v>Islam</v>
      </c>
      <c r="N21" s="813" t="str">
        <f>IFERROR(__xludf.DUMMYFUNCTION("""COMPUTED_VALUE"""),"Anak Kandung")</f>
        <v>Anak Kandung</v>
      </c>
      <c r="O21" s="813" t="str">
        <f>IFERROR(__xludf.DUMMYFUNCTION("""COMPUTED_VALUE"""),"1 (Satu)")</f>
        <v>1 (Satu)</v>
      </c>
      <c r="P21" s="813" t="str">
        <f>IFERROR(__xludf.DUMMYFUNCTION("""COMPUTED_VALUE"""),"Kp. Ciwarengwetan RT/RW 015/006 Desa Cibogogirang Kec. Plered Kab. Purwakarta")</f>
        <v>Kp. Ciwarengwetan RT/RW 015/006 Desa Cibogogirang Kec. Plered Kab. Purwakarta</v>
      </c>
      <c r="Q21" s="813" t="str">
        <f>IFERROR(__xludf.DUMMYFUNCTION("""COMPUTED_VALUE"""),"-")</f>
        <v>-</v>
      </c>
      <c r="R21" s="813" t="str">
        <f>IFERROR(__xludf.DUMMYFUNCTION("""COMPUTED_VALUE"""),"MTsS As Salam")</f>
        <v>MTsS As Salam</v>
      </c>
      <c r="S21" s="813" t="str">
        <f>IFERROR(__xludf.DUMMYFUNCTION("""COMPUTED_VALUE"""),"X TO 4")</f>
        <v>X TO 4</v>
      </c>
      <c r="T21" s="813" t="str">
        <f>IFERROR(__xludf.DUMMYFUNCTION("""COMPUTED_VALUE"""),"14 Juli 2025")</f>
        <v>14 Juli 2025</v>
      </c>
      <c r="U21" s="813" t="str">
        <f>IFERROR(__xludf.DUMMYFUNCTION("""COMPUTED_VALUE"""),"Pandi")</f>
        <v>Pandi</v>
      </c>
      <c r="V21" s="813" t="str">
        <f>IFERROR(__xludf.DUMMYFUNCTION("""COMPUTED_VALUE"""),"Hj. Siti Sutinah")</f>
        <v>Hj. Siti Sutinah</v>
      </c>
      <c r="W21" s="813" t="str">
        <f>IFERROR(__xludf.DUMMYFUNCTION("""COMPUTED_VALUE"""),"Kp. Ciwarengwetan RT 015/006 Desa Cibogogirang Kec. Plered Kab. Purwakarta")</f>
        <v>Kp. Ciwarengwetan RT 015/006 Desa Cibogogirang Kec. Plered Kab. Purwakarta</v>
      </c>
      <c r="X21" s="813" t="str">
        <f>IFERROR(__xludf.DUMMYFUNCTION("""COMPUTED_VALUE"""),"-")</f>
        <v>-</v>
      </c>
      <c r="Y21" s="813" t="str">
        <f>IFERROR(__xludf.DUMMYFUNCTION("""COMPUTED_VALUE"""),"Wiraswasta")</f>
        <v>Wiraswasta</v>
      </c>
      <c r="Z21" s="813" t="str">
        <f>IFERROR(__xludf.DUMMYFUNCTION("""COMPUTED_VALUE"""),"Rumah Tangga")</f>
        <v>Rumah Tangga</v>
      </c>
      <c r="AA21" s="813" t="str">
        <f>IFERROR(__xludf.DUMMYFUNCTION("""COMPUTED_VALUE"""),"-")</f>
        <v>-</v>
      </c>
      <c r="AB21" s="813" t="str">
        <f>IFERROR(__xludf.DUMMYFUNCTION("""COMPUTED_VALUE"""),"-")</f>
        <v>-</v>
      </c>
      <c r="AC21" s="813" t="str">
        <f>IFERROR(__xludf.DUMMYFUNCTION("""COMPUTED_VALUE"""),"-")</f>
        <v>-</v>
      </c>
      <c r="AD21" s="813"/>
      <c r="AE21" s="813" t="str">
        <f>IFERROR(__xludf.DUMMYFUNCTION("""COMPUTED_VALUE"""),"20229659")</f>
        <v>20229659</v>
      </c>
      <c r="AF21" s="813"/>
      <c r="AG21" s="813" t="str">
        <f>IFERROR(__xludf.DUMMYFUNCTION("""COMPUTED_VALUE"""),"/appsheet/data/InputBiodataRaportX-3328125/FilePDF/MUHAMAD FARHAN-ece04962.PDF")</f>
        <v>/appsheet/data/InputBiodataRaportX-3328125/FilePDF/MUHAMAD FARHAN-ece04962.PDF</v>
      </c>
      <c r="AH21" s="813" t="str">
        <f>IFERROR(__xludf.DUMMYFUNCTION("""COMPUTED_VALUE"""),"2025 2026")</f>
        <v>2025 2026</v>
      </c>
      <c r="AI21" s="813" t="str">
        <f>IFERROR(__xludf.DUMMYFUNCTION("""COMPUTED_VALUE"""),"Purwakarta, 22 Desember 2025")</f>
        <v>Purwakarta, 22 Desember 2025</v>
      </c>
      <c r="AJ21" s="816" t="s">
        <v>614</v>
      </c>
      <c r="AK21" s="817"/>
      <c r="AL21" s="817"/>
      <c r="AM21" s="817"/>
      <c r="AN21" s="353"/>
      <c r="AO21" s="353"/>
      <c r="AP21" s="353"/>
      <c r="AQ21" s="353"/>
      <c r="AR21" s="353"/>
      <c r="AS21" s="353"/>
      <c r="AT21" s="353"/>
      <c r="AU21" s="353"/>
      <c r="AV21" s="353"/>
      <c r="AW21" s="353"/>
      <c r="AX21" s="353"/>
      <c r="AY21" s="353"/>
      <c r="AZ21" s="353"/>
      <c r="BA21" s="353"/>
      <c r="BB21" s="353"/>
      <c r="BC21" s="353"/>
      <c r="BD21" s="353"/>
      <c r="BE21" s="353"/>
      <c r="BF21" s="353"/>
      <c r="BG21" s="353"/>
      <c r="BH21" s="353"/>
      <c r="BI21" s="353"/>
      <c r="BJ21" s="353"/>
      <c r="BK21" s="353"/>
      <c r="BL21" s="353"/>
      <c r="BM21" s="353"/>
      <c r="BN21" s="353"/>
      <c r="BO21" s="353"/>
      <c r="BP21" s="353"/>
      <c r="BQ21" s="353"/>
      <c r="BR21" s="353"/>
      <c r="BS21" s="353"/>
      <c r="BT21" s="353"/>
      <c r="BU21" s="353"/>
      <c r="BV21" s="353"/>
      <c r="BW21" s="353"/>
      <c r="BX21" s="353"/>
      <c r="BY21" s="353"/>
      <c r="BZ21" s="353"/>
    </row>
    <row r="22" ht="18.75" customHeight="1">
      <c r="A22" s="917"/>
      <c r="B22" s="848" t="s">
        <v>610</v>
      </c>
      <c r="C22" s="921" t="s">
        <v>603</v>
      </c>
      <c r="D22" s="812"/>
      <c r="E22" s="222">
        <f>IFERROR(__xludf.DUMMYFUNCTION("""COMPUTED_VALUE"""),20.0)</f>
        <v>20</v>
      </c>
      <c r="F22" s="813" t="str">
        <f>IFERROR(__xludf.DUMMYFUNCTION("""COMPUTED_VALUE"""),"2526100433")</f>
        <v>2526100433</v>
      </c>
      <c r="G22" s="813" t="str">
        <f>IFERROR(__xludf.DUMMYFUNCTION("""COMPUTED_VALUE"""),"0088633294")</f>
        <v>0088633294</v>
      </c>
      <c r="H22" s="813" t="str">
        <f>IFERROR(__xludf.DUMMYFUNCTION("""COMPUTED_VALUE"""),"MUHAMAD MIFTAH NASHIRUDIN")</f>
        <v>MUHAMAD MIFTAH NASHIRUDIN</v>
      </c>
      <c r="I22" s="813" t="str">
        <f>IFERROR(__xludf.DUMMYFUNCTION("""COMPUTED_VALUE"""),"X TO 4")</f>
        <v>X TO 4</v>
      </c>
      <c r="J22" s="813" t="str">
        <f>IFERROR(__xludf.DUMMYFUNCTION("""COMPUTED_VALUE"""),"Purwakarta")</f>
        <v>Purwakarta</v>
      </c>
      <c r="K22" s="815">
        <f>IFERROR(__xludf.DUMMYFUNCTION("""COMPUTED_VALUE"""),39808.0)</f>
        <v>39808</v>
      </c>
      <c r="L22" s="813" t="str">
        <f>IFERROR(__xludf.DUMMYFUNCTION("""COMPUTED_VALUE"""),"Laki-Laki")</f>
        <v>Laki-Laki</v>
      </c>
      <c r="M22" s="813" t="str">
        <f>IFERROR(__xludf.DUMMYFUNCTION("""COMPUTED_VALUE"""),"Islam")</f>
        <v>Islam</v>
      </c>
      <c r="N22" s="813" t="str">
        <f>IFERROR(__xludf.DUMMYFUNCTION("""COMPUTED_VALUE"""),"Anak Kandung")</f>
        <v>Anak Kandung</v>
      </c>
      <c r="O22" s="813" t="str">
        <f>IFERROR(__xludf.DUMMYFUNCTION("""COMPUTED_VALUE"""),"2 (Dua)")</f>
        <v>2 (Dua)</v>
      </c>
      <c r="P22" s="813" t="str">
        <f>IFERROR(__xludf.DUMMYFUNCTION("""COMPUTED_VALUE"""),"Kp. Legokwaru RT/RW 006/003 Desa Legoksari Kec. Darangdan Kab. Purwakarta")</f>
        <v>Kp. Legokwaru RT/RW 006/003 Desa Legoksari Kec. Darangdan Kab. Purwakarta</v>
      </c>
      <c r="Q22" s="813" t="str">
        <f>IFERROR(__xludf.DUMMYFUNCTION("""COMPUTED_VALUE"""),"-")</f>
        <v>-</v>
      </c>
      <c r="R22" s="813" t="str">
        <f>IFERROR(__xludf.DUMMYFUNCTION("""COMPUTED_VALUE"""),"SMP Negeri 2 Darangdan")</f>
        <v>SMP Negeri 2 Darangdan</v>
      </c>
      <c r="S22" s="813" t="str">
        <f>IFERROR(__xludf.DUMMYFUNCTION("""COMPUTED_VALUE"""),"X TO 4")</f>
        <v>X TO 4</v>
      </c>
      <c r="T22" s="813" t="str">
        <f>IFERROR(__xludf.DUMMYFUNCTION("""COMPUTED_VALUE"""),"14 Juli 2025")</f>
        <v>14 Juli 2025</v>
      </c>
      <c r="U22" s="813" t="str">
        <f>IFERROR(__xludf.DUMMYFUNCTION("""COMPUTED_VALUE"""),"Didin")</f>
        <v>Didin</v>
      </c>
      <c r="V22" s="813" t="str">
        <f>IFERROR(__xludf.DUMMYFUNCTION("""COMPUTED_VALUE"""),"Mumu Maemunah")</f>
        <v>Mumu Maemunah</v>
      </c>
      <c r="W22" s="813" t="str">
        <f>IFERROR(__xludf.DUMMYFUNCTION("""COMPUTED_VALUE"""),"Kp. Legokwaru RT 006/003 Desa Legoksari Kec. Darangdan Kab. Purwakarta")</f>
        <v>Kp. Legokwaru RT 006/003 Desa Legoksari Kec. Darangdan Kab. Purwakarta</v>
      </c>
      <c r="X22" s="813" t="str">
        <f>IFERROR(__xludf.DUMMYFUNCTION("""COMPUTED_VALUE"""),"-")</f>
        <v>-</v>
      </c>
      <c r="Y22" s="813" t="str">
        <f>IFERROR(__xludf.DUMMYFUNCTION("""COMPUTED_VALUE"""),"Buruh")</f>
        <v>Buruh</v>
      </c>
      <c r="Z22" s="813" t="str">
        <f>IFERROR(__xludf.DUMMYFUNCTION("""COMPUTED_VALUE"""),"Rumah Tangga")</f>
        <v>Rumah Tangga</v>
      </c>
      <c r="AA22" s="813" t="str">
        <f>IFERROR(__xludf.DUMMYFUNCTION("""COMPUTED_VALUE"""),"-")</f>
        <v>-</v>
      </c>
      <c r="AB22" s="813" t="str">
        <f>IFERROR(__xludf.DUMMYFUNCTION("""COMPUTED_VALUE"""),"-")</f>
        <v>-</v>
      </c>
      <c r="AC22" s="813" t="str">
        <f>IFERROR(__xludf.DUMMYFUNCTION("""COMPUTED_VALUE"""),"-")</f>
        <v>-</v>
      </c>
      <c r="AD22" s="813"/>
      <c r="AE22" s="813" t="str">
        <f>IFERROR(__xludf.DUMMYFUNCTION("""COMPUTED_VALUE"""),"20229659")</f>
        <v>20229659</v>
      </c>
      <c r="AF22" s="813"/>
      <c r="AG22" s="813" t="str">
        <f>IFERROR(__xludf.DUMMYFUNCTION("""COMPUTED_VALUE"""),"/appsheet/data/InputBiodataRaportX-3328125/FilePDF/MUHAMAD MIFTAH NASHIRUDIN-4fc16567.PDF")</f>
        <v>/appsheet/data/InputBiodataRaportX-3328125/FilePDF/MUHAMAD MIFTAH NASHIRUDIN-4fc16567.PDF</v>
      </c>
      <c r="AH22" s="813" t="str">
        <f>IFERROR(__xludf.DUMMYFUNCTION("""COMPUTED_VALUE"""),"2025 2026")</f>
        <v>2025 2026</v>
      </c>
      <c r="AI22" s="813" t="str">
        <f>IFERROR(__xludf.DUMMYFUNCTION("""COMPUTED_VALUE"""),"Purwakarta, 22 Desember 2025")</f>
        <v>Purwakarta, 22 Desember 2025</v>
      </c>
      <c r="AJ22" s="816" t="s">
        <v>615</v>
      </c>
      <c r="AK22" s="817" t="b">
        <f t="shared" ref="AK22:AL22" si="20">IF(H22:H137&lt;&gt;"",ISNUMBER(match(CONCATENATE(AK$2,"_",$C$4,"_",$C$3,"_",$C$2,"_",$H22,".pdf"),$AJ$3:$AJ137,0)))</f>
        <v>0</v>
      </c>
      <c r="AL22" s="817" t="b">
        <f t="shared" si="20"/>
        <v>0</v>
      </c>
      <c r="AM22" s="817" t="b">
        <f t="shared" ref="AM22:AM25" si="22">IF(AJ22:AJ137&lt;&gt;"",ISNUMBER(match(CONCATENATE(AM$2,"_",$C$4,"_",$C$3,"_",$C$2,"_",$H22,".pdf"),$AJ$3:$AJ137,0)))</f>
        <v>1</v>
      </c>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3"/>
      <c r="BK22" s="353"/>
      <c r="BL22" s="353"/>
      <c r="BM22" s="353"/>
      <c r="BN22" s="353"/>
      <c r="BO22" s="353"/>
      <c r="BP22" s="353"/>
      <c r="BQ22" s="353"/>
      <c r="BR22" s="353"/>
      <c r="BS22" s="353"/>
      <c r="BT22" s="353"/>
      <c r="BU22" s="353"/>
      <c r="BV22" s="353"/>
      <c r="BW22" s="353"/>
      <c r="BX22" s="353"/>
      <c r="BY22" s="353"/>
      <c r="BZ22" s="353"/>
    </row>
    <row r="23" ht="18.75" customHeight="1">
      <c r="A23" s="917"/>
      <c r="B23" s="848" t="s">
        <v>610</v>
      </c>
      <c r="C23" s="922" t="s">
        <v>616</v>
      </c>
      <c r="D23" s="812"/>
      <c r="E23" s="222">
        <f>IFERROR(__xludf.DUMMYFUNCTION("""COMPUTED_VALUE"""),21.0)</f>
        <v>21</v>
      </c>
      <c r="F23" s="813" t="str">
        <f>IFERROR(__xludf.DUMMYFUNCTION("""COMPUTED_VALUE"""),"2526100434")</f>
        <v>2526100434</v>
      </c>
      <c r="G23" s="813" t="str">
        <f>IFERROR(__xludf.DUMMYFUNCTION("""COMPUTED_VALUE"""),"0094805329")</f>
        <v>0094805329</v>
      </c>
      <c r="H23" s="813" t="str">
        <f>IFERROR(__xludf.DUMMYFUNCTION("""COMPUTED_VALUE"""),"MUHAMAD NUR KHOLIS ROMDONI")</f>
        <v>MUHAMAD NUR KHOLIS ROMDONI</v>
      </c>
      <c r="I23" s="813" t="str">
        <f>IFERROR(__xludf.DUMMYFUNCTION("""COMPUTED_VALUE"""),"X TO 4")</f>
        <v>X TO 4</v>
      </c>
      <c r="J23" s="813" t="str">
        <f>IFERROR(__xludf.DUMMYFUNCTION("""COMPUTED_VALUE"""),"Purwakarta")</f>
        <v>Purwakarta</v>
      </c>
      <c r="K23" s="815">
        <f>IFERROR(__xludf.DUMMYFUNCTION("""COMPUTED_VALUE"""),40065.0)</f>
        <v>40065</v>
      </c>
      <c r="L23" s="813" t="str">
        <f>IFERROR(__xludf.DUMMYFUNCTION("""COMPUTED_VALUE"""),"Laki-Laki")</f>
        <v>Laki-Laki</v>
      </c>
      <c r="M23" s="813" t="str">
        <f>IFERROR(__xludf.DUMMYFUNCTION("""COMPUTED_VALUE"""),"Islam")</f>
        <v>Islam</v>
      </c>
      <c r="N23" s="813" t="str">
        <f>IFERROR(__xludf.DUMMYFUNCTION("""COMPUTED_VALUE"""),"Anak Kandung")</f>
        <v>Anak Kandung</v>
      </c>
      <c r="O23" s="813" t="str">
        <f>IFERROR(__xludf.DUMMYFUNCTION("""COMPUTED_VALUE"""),"1 (Satu)")</f>
        <v>1 (Satu)</v>
      </c>
      <c r="P23" s="813" t="str">
        <f>IFERROR(__xludf.DUMMYFUNCTION("""COMPUTED_VALUE"""),"Kp. Cibeurih RT/W 007/004, Desa Galumpit, Kecamatan Tegalwaru, Kabupaten Purwakarta")</f>
        <v>Kp. Cibeurih RT/W 007/004, Desa Galumpit, Kecamatan Tegalwaru, Kabupaten Purwakarta</v>
      </c>
      <c r="Q23" s="813" t="str">
        <f>IFERROR(__xludf.DUMMYFUNCTION("""COMPUTED_VALUE"""),"-")</f>
        <v>-</v>
      </c>
      <c r="R23" s="813" t="str">
        <f>IFERROR(__xludf.DUMMYFUNCTION("""COMPUTED_VALUE"""),"SMPN Satu Atap Terpadu 1 Warung Jeruk")</f>
        <v>SMPN Satu Atap Terpadu 1 Warung Jeruk</v>
      </c>
      <c r="S23" s="813" t="str">
        <f>IFERROR(__xludf.DUMMYFUNCTION("""COMPUTED_VALUE"""),"X TO 4")</f>
        <v>X TO 4</v>
      </c>
      <c r="T23" s="813" t="str">
        <f>IFERROR(__xludf.DUMMYFUNCTION("""COMPUTED_VALUE"""),"14 Juli 2025")</f>
        <v>14 Juli 2025</v>
      </c>
      <c r="U23" s="813" t="str">
        <f>IFERROR(__xludf.DUMMYFUNCTION("""COMPUTED_VALUE"""),"Ayi Sholehudin")</f>
        <v>Ayi Sholehudin</v>
      </c>
      <c r="V23" s="813" t="str">
        <f>IFERROR(__xludf.DUMMYFUNCTION("""COMPUTED_VALUE"""),"Aidah")</f>
        <v>Aidah</v>
      </c>
      <c r="W23" s="813" t="str">
        <f>IFERROR(__xludf.DUMMYFUNCTION("""COMPUTED_VALUE"""),"Kp. Cibeurih RT/W 007/004, Desa Galumpit, Kecamatan Tegalwaru, Kabupaten Purwakarta")</f>
        <v>Kp. Cibeurih RT/W 007/004, Desa Galumpit, Kecamatan Tegalwaru, Kabupaten Purwakarta</v>
      </c>
      <c r="X23" s="813" t="str">
        <f>IFERROR(__xludf.DUMMYFUNCTION("""COMPUTED_VALUE"""),"-")</f>
        <v>-</v>
      </c>
      <c r="Y23" s="813" t="str">
        <f>IFERROR(__xludf.DUMMYFUNCTION("""COMPUTED_VALUE"""),"Wiraswasta")</f>
        <v>Wiraswasta</v>
      </c>
      <c r="Z23" s="813" t="str">
        <f>IFERROR(__xludf.DUMMYFUNCTION("""COMPUTED_VALUE"""),"Rumah Tangga")</f>
        <v>Rumah Tangga</v>
      </c>
      <c r="AA23" s="813" t="str">
        <f>IFERROR(__xludf.DUMMYFUNCTION("""COMPUTED_VALUE"""),"-")</f>
        <v>-</v>
      </c>
      <c r="AB23" s="813" t="str">
        <f>IFERROR(__xludf.DUMMYFUNCTION("""COMPUTED_VALUE"""),"-")</f>
        <v>-</v>
      </c>
      <c r="AC23" s="813" t="str">
        <f>IFERROR(__xludf.DUMMYFUNCTION("""COMPUTED_VALUE"""),"-")</f>
        <v>-</v>
      </c>
      <c r="AD23" s="813"/>
      <c r="AE23" s="813" t="str">
        <f>IFERROR(__xludf.DUMMYFUNCTION("""COMPUTED_VALUE"""),"20229659")</f>
        <v>20229659</v>
      </c>
      <c r="AF23" s="813"/>
      <c r="AG23" s="813" t="str">
        <f>IFERROR(__xludf.DUMMYFUNCTION("""COMPUTED_VALUE"""),"/appsheet/data/InputBiodataRaportX-3328125/FilePDF/MUHAMAD NUR KHOLIS ROMDONI-e5136d0f.PDF")</f>
        <v>/appsheet/data/InputBiodataRaportX-3328125/FilePDF/MUHAMAD NUR KHOLIS ROMDONI-e5136d0f.PDF</v>
      </c>
      <c r="AH23" s="813" t="str">
        <f>IFERROR(__xludf.DUMMYFUNCTION("""COMPUTED_VALUE"""),"2025 2026")</f>
        <v>2025 2026</v>
      </c>
      <c r="AI23" s="813" t="str">
        <f>IFERROR(__xludf.DUMMYFUNCTION("""COMPUTED_VALUE"""),"Purwakarta, 22 Desember 2025")</f>
        <v>Purwakarta, 22 Desember 2025</v>
      </c>
      <c r="AJ23" s="816" t="s">
        <v>617</v>
      </c>
      <c r="AK23" s="817" t="b">
        <f t="shared" ref="AK23:AL23" si="21">IF(H23:H137&lt;&gt;"",ISNUMBER(match(CONCATENATE(AK$2,"_",$C$4,"_",$C$3,"_",$C$2,"_",$H23,".pdf"),$AJ$3:$AJ137,0)))</f>
        <v>0</v>
      </c>
      <c r="AL23" s="817" t="b">
        <f t="shared" si="21"/>
        <v>0</v>
      </c>
      <c r="AM23" s="817" t="b">
        <f t="shared" si="22"/>
        <v>1</v>
      </c>
      <c r="AN23" s="353"/>
      <c r="AO23" s="353"/>
      <c r="AP23" s="353"/>
      <c r="AQ23" s="353"/>
      <c r="AR23" s="353"/>
      <c r="AS23" s="353"/>
      <c r="AT23" s="353"/>
      <c r="AU23" s="353"/>
      <c r="AV23" s="353"/>
      <c r="AW23" s="353"/>
      <c r="AX23" s="353"/>
      <c r="AY23" s="353"/>
      <c r="AZ23" s="353"/>
      <c r="BA23" s="353"/>
      <c r="BB23" s="353"/>
      <c r="BC23" s="353"/>
      <c r="BD23" s="353"/>
      <c r="BE23" s="353"/>
      <c r="BF23" s="353"/>
      <c r="BG23" s="353"/>
      <c r="BH23" s="353"/>
      <c r="BI23" s="353"/>
      <c r="BJ23" s="353"/>
      <c r="BK23" s="353"/>
      <c r="BL23" s="353"/>
      <c r="BM23" s="353"/>
      <c r="BN23" s="353"/>
      <c r="BO23" s="353"/>
      <c r="BP23" s="353"/>
      <c r="BQ23" s="353"/>
      <c r="BR23" s="353"/>
      <c r="BS23" s="353"/>
      <c r="BT23" s="353"/>
      <c r="BU23" s="353"/>
      <c r="BV23" s="353"/>
      <c r="BW23" s="353"/>
      <c r="BX23" s="353"/>
      <c r="BY23" s="353"/>
      <c r="BZ23" s="353"/>
    </row>
    <row r="24" ht="18.75" customHeight="1">
      <c r="A24" s="926"/>
      <c r="B24" s="848" t="s">
        <v>610</v>
      </c>
      <c r="C24" s="927" t="s">
        <v>618</v>
      </c>
      <c r="D24" s="928"/>
      <c r="E24" s="222">
        <f>IFERROR(__xludf.DUMMYFUNCTION("""COMPUTED_VALUE"""),22.0)</f>
        <v>22</v>
      </c>
      <c r="F24" s="813" t="str">
        <f>IFERROR(__xludf.DUMMYFUNCTION("""COMPUTED_VALUE"""),"2526100435")</f>
        <v>2526100435</v>
      </c>
      <c r="G24" s="813" t="str">
        <f>IFERROR(__xludf.DUMMYFUNCTION("""COMPUTED_VALUE"""),"0098562523")</f>
        <v>0098562523</v>
      </c>
      <c r="H24" s="813" t="str">
        <f>IFERROR(__xludf.DUMMYFUNCTION("""COMPUTED_VALUE"""),"MUHAMAD RIDWAN")</f>
        <v>MUHAMAD RIDWAN</v>
      </c>
      <c r="I24" s="813" t="str">
        <f>IFERROR(__xludf.DUMMYFUNCTION("""COMPUTED_VALUE"""),"X TO 4")</f>
        <v>X TO 4</v>
      </c>
      <c r="J24" s="813" t="str">
        <f>IFERROR(__xludf.DUMMYFUNCTION("""COMPUTED_VALUE"""),"Purwakarta")</f>
        <v>Purwakarta</v>
      </c>
      <c r="K24" s="815">
        <f>IFERROR(__xludf.DUMMYFUNCTION("""COMPUTED_VALUE"""),40103.0)</f>
        <v>40103</v>
      </c>
      <c r="L24" s="813" t="str">
        <f>IFERROR(__xludf.DUMMYFUNCTION("""COMPUTED_VALUE"""),"Laki-Laki")</f>
        <v>Laki-Laki</v>
      </c>
      <c r="M24" s="813" t="str">
        <f>IFERROR(__xludf.DUMMYFUNCTION("""COMPUTED_VALUE"""),"Islam")</f>
        <v>Islam</v>
      </c>
      <c r="N24" s="813" t="str">
        <f>IFERROR(__xludf.DUMMYFUNCTION("""COMPUTED_VALUE"""),"Anak Kandung")</f>
        <v>Anak Kandung</v>
      </c>
      <c r="O24" s="813" t="str">
        <f>IFERROR(__xludf.DUMMYFUNCTION("""COMPUTED_VALUE"""),"3 (Tiga)")</f>
        <v>3 (Tiga)</v>
      </c>
      <c r="P24" s="813" t="str">
        <f>IFERROR(__xludf.DUMMYFUNCTION("""COMPUTED_VALUE"""),"Kp. Ciwareng Wetan RT/RW 014/005 Desa Cibogogirang Kec. Plered Kab. Purwakarta")</f>
        <v>Kp. Ciwareng Wetan RT/RW 014/005 Desa Cibogogirang Kec. Plered Kab. Purwakarta</v>
      </c>
      <c r="Q24" s="813" t="str">
        <f>IFERROR(__xludf.DUMMYFUNCTION("""COMPUTED_VALUE"""),"-")</f>
        <v>-</v>
      </c>
      <c r="R24" s="813" t="str">
        <f>IFERROR(__xludf.DUMMYFUNCTION("""COMPUTED_VALUE"""),"SMP Islam Al Falah")</f>
        <v>SMP Islam Al Falah</v>
      </c>
      <c r="S24" s="813" t="str">
        <f>IFERROR(__xludf.DUMMYFUNCTION("""COMPUTED_VALUE"""),"X TO 4")</f>
        <v>X TO 4</v>
      </c>
      <c r="T24" s="813" t="str">
        <f>IFERROR(__xludf.DUMMYFUNCTION("""COMPUTED_VALUE"""),"14 Juli 2025")</f>
        <v>14 Juli 2025</v>
      </c>
      <c r="U24" s="813"/>
      <c r="V24" s="813" t="str">
        <f>IFERROR(__xludf.DUMMYFUNCTION("""COMPUTED_VALUE"""),"Hj. Ade Hotimah")</f>
        <v>Hj. Ade Hotimah</v>
      </c>
      <c r="W24" s="813" t="str">
        <f>IFERROR(__xludf.DUMMYFUNCTION("""COMPUTED_VALUE"""),"Kp. Ciwareng Wetan RT 014/005 Desa Cibogogirang Kec. Plered Kab. Purwakarta")</f>
        <v>Kp. Ciwareng Wetan RT 014/005 Desa Cibogogirang Kec. Plered Kab. Purwakarta</v>
      </c>
      <c r="X24" s="813" t="str">
        <f>IFERROR(__xludf.DUMMYFUNCTION("""COMPUTED_VALUE"""),"-")</f>
        <v>-</v>
      </c>
      <c r="Y24" s="813"/>
      <c r="Z24" s="813" t="str">
        <f>IFERROR(__xludf.DUMMYFUNCTION("""COMPUTED_VALUE"""),"Rumah Tangga")</f>
        <v>Rumah Tangga</v>
      </c>
      <c r="AA24" s="813" t="str">
        <f>IFERROR(__xludf.DUMMYFUNCTION("""COMPUTED_VALUE"""),"-")</f>
        <v>-</v>
      </c>
      <c r="AB24" s="813" t="str">
        <f>IFERROR(__xludf.DUMMYFUNCTION("""COMPUTED_VALUE"""),"-")</f>
        <v>-</v>
      </c>
      <c r="AC24" s="813" t="str">
        <f>IFERROR(__xludf.DUMMYFUNCTION("""COMPUTED_VALUE"""),"-")</f>
        <v>-</v>
      </c>
      <c r="AD24" s="813"/>
      <c r="AE24" s="813" t="str">
        <f>IFERROR(__xludf.DUMMYFUNCTION("""COMPUTED_VALUE"""),"20229659")</f>
        <v>20229659</v>
      </c>
      <c r="AF24" s="813"/>
      <c r="AG24" s="813" t="str">
        <f>IFERROR(__xludf.DUMMYFUNCTION("""COMPUTED_VALUE"""),"/appsheet/data/InputBiodataRaportX-3328125/FilePDF/MUHAMAD RIDWAN-5ff59ddd.PDF")</f>
        <v>/appsheet/data/InputBiodataRaportX-3328125/FilePDF/MUHAMAD RIDWAN-5ff59ddd.PDF</v>
      </c>
      <c r="AH24" s="813" t="str">
        <f>IFERROR(__xludf.DUMMYFUNCTION("""COMPUTED_VALUE"""),"2025 2026")</f>
        <v>2025 2026</v>
      </c>
      <c r="AI24" s="813" t="str">
        <f>IFERROR(__xludf.DUMMYFUNCTION("""COMPUTED_VALUE"""),"Purwakarta, 22 Desember 2025")</f>
        <v>Purwakarta, 22 Desember 2025</v>
      </c>
      <c r="AJ24" s="816" t="s">
        <v>619</v>
      </c>
      <c r="AK24" s="817" t="b">
        <f t="shared" ref="AK24:AL24" si="23">IF(H24:H137&lt;&gt;"",ISNUMBER(match(CONCATENATE(AK$2,"_",$C$4,"_",$C$3,"_",$C$2,"_",$H24,".pdf"),$AJ$3:$AJ137,0)))</f>
        <v>0</v>
      </c>
      <c r="AL24" s="817" t="b">
        <f t="shared" si="23"/>
        <v>0</v>
      </c>
      <c r="AM24" s="817" t="b">
        <f t="shared" si="22"/>
        <v>1</v>
      </c>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3"/>
      <c r="BK24" s="353"/>
      <c r="BL24" s="353"/>
      <c r="BM24" s="353"/>
      <c r="BN24" s="353"/>
      <c r="BO24" s="353"/>
      <c r="BP24" s="353"/>
      <c r="BQ24" s="353"/>
      <c r="BR24" s="353"/>
      <c r="BS24" s="353"/>
      <c r="BT24" s="353"/>
      <c r="BU24" s="353"/>
      <c r="BV24" s="353"/>
      <c r="BW24" s="353"/>
      <c r="BX24" s="353"/>
      <c r="BY24" s="353"/>
      <c r="BZ24" s="353"/>
    </row>
    <row r="25" ht="18.75" customHeight="1">
      <c r="A25" s="910" t="s">
        <v>620</v>
      </c>
      <c r="B25" s="848" t="s">
        <v>621</v>
      </c>
      <c r="C25" s="929" t="s">
        <v>600</v>
      </c>
      <c r="D25" s="930"/>
      <c r="E25" s="222">
        <f>IFERROR(__xludf.DUMMYFUNCTION("""COMPUTED_VALUE"""),23.0)</f>
        <v>23</v>
      </c>
      <c r="F25" s="813" t="str">
        <f>IFERROR(__xludf.DUMMYFUNCTION("""COMPUTED_VALUE"""),"2526100436")</f>
        <v>2526100436</v>
      </c>
      <c r="G25" s="813" t="str">
        <f>IFERROR(__xludf.DUMMYFUNCTION("""COMPUTED_VALUE"""),"0095384573")</f>
        <v>0095384573</v>
      </c>
      <c r="H25" s="813" t="str">
        <f>IFERROR(__xludf.DUMMYFUNCTION("""COMPUTED_VALUE"""),"MUHAMAD RUDI RIVIANSYAH")</f>
        <v>MUHAMAD RUDI RIVIANSYAH</v>
      </c>
      <c r="I25" s="813" t="str">
        <f>IFERROR(__xludf.DUMMYFUNCTION("""COMPUTED_VALUE"""),"X TO 4")</f>
        <v>X TO 4</v>
      </c>
      <c r="J25" s="813" t="str">
        <f>IFERROR(__xludf.DUMMYFUNCTION("""COMPUTED_VALUE"""),"Purwakarta")</f>
        <v>Purwakarta</v>
      </c>
      <c r="K25" s="815">
        <f>IFERROR(__xludf.DUMMYFUNCTION("""COMPUTED_VALUE"""),39984.0)</f>
        <v>39984</v>
      </c>
      <c r="L25" s="813" t="str">
        <f>IFERROR(__xludf.DUMMYFUNCTION("""COMPUTED_VALUE"""),"Laki-Laki")</f>
        <v>Laki-Laki</v>
      </c>
      <c r="M25" s="813" t="str">
        <f>IFERROR(__xludf.DUMMYFUNCTION("""COMPUTED_VALUE"""),"Islam")</f>
        <v>Islam</v>
      </c>
      <c r="N25" s="813" t="str">
        <f>IFERROR(__xludf.DUMMYFUNCTION("""COMPUTED_VALUE"""),"Anak Kandung")</f>
        <v>Anak Kandung</v>
      </c>
      <c r="O25" s="813" t="str">
        <f>IFERROR(__xludf.DUMMYFUNCTION("""COMPUTED_VALUE"""),"1 (Satu)")</f>
        <v>1 (Satu)</v>
      </c>
      <c r="P25" s="813" t="str">
        <f>IFERROR(__xludf.DUMMYFUNCTION("""COMPUTED_VALUE"""),"Kp. Rawabelut RT/RW 001/001 Desa Rawasari Kec. Plered Kab. Purwakarta")</f>
        <v>Kp. Rawabelut RT/RW 001/001 Desa Rawasari Kec. Plered Kab. Purwakarta</v>
      </c>
      <c r="Q25" s="813" t="str">
        <f>IFERROR(__xludf.DUMMYFUNCTION("""COMPUTED_VALUE"""),"-")</f>
        <v>-</v>
      </c>
      <c r="R25" s="813" t="str">
        <f>IFERROR(__xludf.DUMMYFUNCTION("""COMPUTED_VALUE"""),"SMPN Satu Atap Terpadu Rawasari")</f>
        <v>SMPN Satu Atap Terpadu Rawasari</v>
      </c>
      <c r="S25" s="813" t="str">
        <f>IFERROR(__xludf.DUMMYFUNCTION("""COMPUTED_VALUE"""),"X TO 4")</f>
        <v>X TO 4</v>
      </c>
      <c r="T25" s="813" t="str">
        <f>IFERROR(__xludf.DUMMYFUNCTION("""COMPUTED_VALUE"""),"14 Juli 2025")</f>
        <v>14 Juli 2025</v>
      </c>
      <c r="U25" s="813" t="str">
        <f>IFERROR(__xludf.DUMMYFUNCTION("""COMPUTED_VALUE"""),"Dadan Prasetio")</f>
        <v>Dadan Prasetio</v>
      </c>
      <c r="V25" s="813" t="str">
        <f>IFERROR(__xludf.DUMMYFUNCTION("""COMPUTED_VALUE"""),"Siti")</f>
        <v>Siti</v>
      </c>
      <c r="W25" s="813" t="str">
        <f>IFERROR(__xludf.DUMMYFUNCTION("""COMPUTED_VALUE"""),"Kp. Rawabelut RT 001/001 Desa Rawasari Kec. Plered Kab. Purwakarta")</f>
        <v>Kp. Rawabelut RT 001/001 Desa Rawasari Kec. Plered Kab. Purwakarta</v>
      </c>
      <c r="X25" s="813" t="str">
        <f>IFERROR(__xludf.DUMMYFUNCTION("""COMPUTED_VALUE"""),"-")</f>
        <v>-</v>
      </c>
      <c r="Y25" s="813" t="str">
        <f>IFERROR(__xludf.DUMMYFUNCTION("""COMPUTED_VALUE"""),"Buruh")</f>
        <v>Buruh</v>
      </c>
      <c r="Z25" s="813" t="str">
        <f>IFERROR(__xludf.DUMMYFUNCTION("""COMPUTED_VALUE"""),"Rumah Tangga")</f>
        <v>Rumah Tangga</v>
      </c>
      <c r="AA25" s="813" t="str">
        <f>IFERROR(__xludf.DUMMYFUNCTION("""COMPUTED_VALUE"""),"-")</f>
        <v>-</v>
      </c>
      <c r="AB25" s="813" t="str">
        <f>IFERROR(__xludf.DUMMYFUNCTION("""COMPUTED_VALUE"""),"-")</f>
        <v>-</v>
      </c>
      <c r="AC25" s="813" t="str">
        <f>IFERROR(__xludf.DUMMYFUNCTION("""COMPUTED_VALUE"""),"-")</f>
        <v>-</v>
      </c>
      <c r="AD25" s="813"/>
      <c r="AE25" s="813" t="str">
        <f>IFERROR(__xludf.DUMMYFUNCTION("""COMPUTED_VALUE"""),"20229659")</f>
        <v>20229659</v>
      </c>
      <c r="AF25" s="813"/>
      <c r="AG25" s="813" t="str">
        <f>IFERROR(__xludf.DUMMYFUNCTION("""COMPUTED_VALUE"""),"/appsheet/data/InputBiodataRaportX-3328125/FilePDF/MUHAMAD RUDI RIVIANSYAH-b0e54b2b.PDF")</f>
        <v>/appsheet/data/InputBiodataRaportX-3328125/FilePDF/MUHAMAD RUDI RIVIANSYAH-b0e54b2b.PDF</v>
      </c>
      <c r="AH25" s="813" t="str">
        <f>IFERROR(__xludf.DUMMYFUNCTION("""COMPUTED_VALUE"""),"2025 2026")</f>
        <v>2025 2026</v>
      </c>
      <c r="AI25" s="813" t="str">
        <f>IFERROR(__xludf.DUMMYFUNCTION("""COMPUTED_VALUE"""),"Purwakarta, 22 Desember 2025")</f>
        <v>Purwakarta, 22 Desember 2025</v>
      </c>
      <c r="AJ25" s="816" t="s">
        <v>622</v>
      </c>
      <c r="AK25" s="817" t="b">
        <f t="shared" ref="AK25:AL25" si="24">IF(H25:H137&lt;&gt;"",ISNUMBER(match(CONCATENATE(AK$2,"_",$C$4,"_",$C$3,"_",$C$2,"_",$H25,".pdf"),$AJ$3:$AJ137,0)))</f>
        <v>0</v>
      </c>
      <c r="AL25" s="817" t="b">
        <f t="shared" si="24"/>
        <v>0</v>
      </c>
      <c r="AM25" s="817" t="b">
        <f t="shared" si="22"/>
        <v>1</v>
      </c>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3"/>
      <c r="BK25" s="353"/>
      <c r="BL25" s="353"/>
      <c r="BM25" s="353"/>
      <c r="BN25" s="353"/>
      <c r="BO25" s="353"/>
      <c r="BP25" s="353"/>
      <c r="BQ25" s="353"/>
      <c r="BR25" s="353"/>
      <c r="BS25" s="353"/>
      <c r="BT25" s="353"/>
      <c r="BU25" s="353"/>
      <c r="BV25" s="353"/>
      <c r="BW25" s="353"/>
      <c r="BX25" s="353"/>
      <c r="BY25" s="353"/>
      <c r="BZ25" s="353"/>
    </row>
    <row r="26" ht="18.75" customHeight="1">
      <c r="A26" s="917"/>
      <c r="B26" s="848" t="s">
        <v>610</v>
      </c>
      <c r="C26" s="918"/>
      <c r="D26" s="919"/>
      <c r="E26" s="222">
        <f>IFERROR(__xludf.DUMMYFUNCTION("""COMPUTED_VALUE"""),24.0)</f>
        <v>24</v>
      </c>
      <c r="F26" s="813" t="str">
        <f>IFERROR(__xludf.DUMMYFUNCTION("""COMPUTED_VALUE"""),"2526100437")</f>
        <v>2526100437</v>
      </c>
      <c r="G26" s="813" t="str">
        <f>IFERROR(__xludf.DUMMYFUNCTION("""COMPUTED_VALUE"""),"3098503903")</f>
        <v>3098503903</v>
      </c>
      <c r="H26" s="813" t="str">
        <f>IFERROR(__xludf.DUMMYFUNCTION("""COMPUTED_VALUE"""),"MUHAMAD SALMAN")</f>
        <v>MUHAMAD SALMAN</v>
      </c>
      <c r="I26" s="813" t="str">
        <f>IFERROR(__xludf.DUMMYFUNCTION("""COMPUTED_VALUE"""),"X TO 4")</f>
        <v>X TO 4</v>
      </c>
      <c r="J26" s="813" t="str">
        <f>IFERROR(__xludf.DUMMYFUNCTION("""COMPUTED_VALUE"""),"Purwakarta")</f>
        <v>Purwakarta</v>
      </c>
      <c r="K26" s="815">
        <f>IFERROR(__xludf.DUMMYFUNCTION("""COMPUTED_VALUE"""),39960.0)</f>
        <v>39960</v>
      </c>
      <c r="L26" s="813" t="str">
        <f>IFERROR(__xludf.DUMMYFUNCTION("""COMPUTED_VALUE"""),"Laki-Laki")</f>
        <v>Laki-Laki</v>
      </c>
      <c r="M26" s="813" t="str">
        <f>IFERROR(__xludf.DUMMYFUNCTION("""COMPUTED_VALUE"""),"Islam")</f>
        <v>Islam</v>
      </c>
      <c r="N26" s="813" t="str">
        <f>IFERROR(__xludf.DUMMYFUNCTION("""COMPUTED_VALUE"""),"Anak Kandung")</f>
        <v>Anak Kandung</v>
      </c>
      <c r="O26" s="813" t="str">
        <f>IFERROR(__xludf.DUMMYFUNCTION("""COMPUTED_VALUE"""),"2 (Dua)")</f>
        <v>2 (Dua)</v>
      </c>
      <c r="P26" s="813" t="str">
        <f>IFERROR(__xludf.DUMMYFUNCTION("""COMPUTED_VALUE"""),"Kp. Cicadas RT/W 005/003, Desa Cadasmekar, Kecamatan Tegalwaru, Kabupaten Purwakarta")</f>
        <v>Kp. Cicadas RT/W 005/003, Desa Cadasmekar, Kecamatan Tegalwaru, Kabupaten Purwakarta</v>
      </c>
      <c r="Q26" s="813" t="str">
        <f>IFERROR(__xludf.DUMMYFUNCTION("""COMPUTED_VALUE"""),"-")</f>
        <v>-</v>
      </c>
      <c r="R26" s="813" t="str">
        <f>IFERROR(__xludf.DUMMYFUNCTION("""COMPUTED_VALUE"""),"MTsS Nurul Fata")</f>
        <v>MTsS Nurul Fata</v>
      </c>
      <c r="S26" s="813" t="str">
        <f>IFERROR(__xludf.DUMMYFUNCTION("""COMPUTED_VALUE"""),"X TO 4")</f>
        <v>X TO 4</v>
      </c>
      <c r="T26" s="813" t="str">
        <f>IFERROR(__xludf.DUMMYFUNCTION("""COMPUTED_VALUE"""),"14 Juli 2025")</f>
        <v>14 Juli 2025</v>
      </c>
      <c r="U26" s="813" t="str">
        <f>IFERROR(__xludf.DUMMYFUNCTION("""COMPUTED_VALUE"""),"-")</f>
        <v>-</v>
      </c>
      <c r="V26" s="813" t="str">
        <f>IFERROR(__xludf.DUMMYFUNCTION("""COMPUTED_VALUE"""),"Robiah")</f>
        <v>Robiah</v>
      </c>
      <c r="W26" s="813" t="str">
        <f>IFERROR(__xludf.DUMMYFUNCTION("""COMPUTED_VALUE"""),"Kp. Cicadas RT/W 005/003, Desa Cadasmekar, Kecamatan Tegalwaru, Kabupaten Purwakarta")</f>
        <v>Kp. Cicadas RT/W 005/003, Desa Cadasmekar, Kecamatan Tegalwaru, Kabupaten Purwakarta</v>
      </c>
      <c r="X26" s="813" t="str">
        <f>IFERROR(__xludf.DUMMYFUNCTION("""COMPUTED_VALUE"""),"-")</f>
        <v>-</v>
      </c>
      <c r="Y26" s="813"/>
      <c r="Z26" s="813" t="str">
        <f>IFERROR(__xludf.DUMMYFUNCTION("""COMPUTED_VALUE"""),"Rumah Tangga")</f>
        <v>Rumah Tangga</v>
      </c>
      <c r="AA26" s="813" t="str">
        <f>IFERROR(__xludf.DUMMYFUNCTION("""COMPUTED_VALUE"""),"-")</f>
        <v>-</v>
      </c>
      <c r="AB26" s="813" t="str">
        <f>IFERROR(__xludf.DUMMYFUNCTION("""COMPUTED_VALUE"""),"-")</f>
        <v>-</v>
      </c>
      <c r="AC26" s="813" t="str">
        <f>IFERROR(__xludf.DUMMYFUNCTION("""COMPUTED_VALUE"""),"-")</f>
        <v>-</v>
      </c>
      <c r="AD26" s="813"/>
      <c r="AE26" s="813" t="str">
        <f>IFERROR(__xludf.DUMMYFUNCTION("""COMPUTED_VALUE"""),"20229659")</f>
        <v>20229659</v>
      </c>
      <c r="AF26" s="813"/>
      <c r="AG26" s="813" t="str">
        <f>IFERROR(__xludf.DUMMYFUNCTION("""COMPUTED_VALUE"""),"/appsheet/data/InputBiodataRaportX-3328125/FilePDF/MUHAMAD SALMAN-b1e7a539.PDF")</f>
        <v>/appsheet/data/InputBiodataRaportX-3328125/FilePDF/MUHAMAD SALMAN-b1e7a539.PDF</v>
      </c>
      <c r="AH26" s="813" t="str">
        <f>IFERROR(__xludf.DUMMYFUNCTION("""COMPUTED_VALUE"""),"2025 2026")</f>
        <v>2025 2026</v>
      </c>
      <c r="AI26" s="813" t="str">
        <f>IFERROR(__xludf.DUMMYFUNCTION("""COMPUTED_VALUE"""),"Purwakarta, 22 Desember 2025")</f>
        <v>Purwakarta, 22 Desember 2025</v>
      </c>
      <c r="AJ26" s="816" t="s">
        <v>623</v>
      </c>
      <c r="AK26" s="817"/>
      <c r="AL26" s="817"/>
      <c r="AM26" s="817"/>
      <c r="AN26" s="353"/>
      <c r="AO26" s="353"/>
      <c r="AP26" s="353"/>
      <c r="AQ26" s="353"/>
      <c r="AR26" s="353"/>
      <c r="AS26" s="353"/>
      <c r="AT26" s="353"/>
      <c r="AU26" s="353"/>
      <c r="AV26" s="353"/>
      <c r="AW26" s="353"/>
      <c r="AX26" s="353"/>
      <c r="AY26" s="353"/>
      <c r="AZ26" s="353"/>
      <c r="BA26" s="353"/>
      <c r="BB26" s="353"/>
      <c r="BC26" s="353"/>
      <c r="BD26" s="353"/>
      <c r="BE26" s="353"/>
      <c r="BF26" s="353"/>
      <c r="BG26" s="353"/>
      <c r="BH26" s="353"/>
      <c r="BI26" s="353"/>
      <c r="BJ26" s="353"/>
      <c r="BK26" s="353"/>
      <c r="BL26" s="353"/>
      <c r="BM26" s="353"/>
      <c r="BN26" s="353"/>
      <c r="BO26" s="353"/>
      <c r="BP26" s="353"/>
      <c r="BQ26" s="353"/>
      <c r="BR26" s="353"/>
      <c r="BS26" s="353"/>
      <c r="BT26" s="353"/>
      <c r="BU26" s="353"/>
      <c r="BV26" s="353"/>
      <c r="BW26" s="353"/>
      <c r="BX26" s="353"/>
      <c r="BY26" s="353"/>
      <c r="BZ26" s="353"/>
    </row>
    <row r="27" ht="18.75" customHeight="1">
      <c r="A27" s="917"/>
      <c r="B27" s="848" t="s">
        <v>621</v>
      </c>
      <c r="C27" s="921" t="s">
        <v>603</v>
      </c>
      <c r="D27" s="812"/>
      <c r="E27" s="222">
        <f>IFERROR(__xludf.DUMMYFUNCTION("""COMPUTED_VALUE"""),25.0)</f>
        <v>25</v>
      </c>
      <c r="F27" s="813" t="str">
        <f>IFERROR(__xludf.DUMMYFUNCTION("""COMPUTED_VALUE"""),"2526100438")</f>
        <v>2526100438</v>
      </c>
      <c r="G27" s="813" t="str">
        <f>IFERROR(__xludf.DUMMYFUNCTION("""COMPUTED_VALUE"""),"0096750607")</f>
        <v>0096750607</v>
      </c>
      <c r="H27" s="813" t="str">
        <f>IFERROR(__xludf.DUMMYFUNCTION("""COMPUTED_VALUE"""),"MUHAMAD SUTIAWAN ALI")</f>
        <v>MUHAMAD SUTIAWAN ALI</v>
      </c>
      <c r="I27" s="813" t="str">
        <f>IFERROR(__xludf.DUMMYFUNCTION("""COMPUTED_VALUE"""),"X TO 4")</f>
        <v>X TO 4</v>
      </c>
      <c r="J27" s="813"/>
      <c r="K27" s="815"/>
      <c r="L27" s="813"/>
      <c r="M27" s="813"/>
      <c r="N27" s="813"/>
      <c r="O27" s="813"/>
      <c r="P27" s="813"/>
      <c r="Q27" s="813"/>
      <c r="R27" s="813"/>
      <c r="S27" s="813"/>
      <c r="T27" s="813" t="str">
        <f>IFERROR(__xludf.DUMMYFUNCTION("""COMPUTED_VALUE"""),"14 Juli 2025")</f>
        <v>14 Juli 2025</v>
      </c>
      <c r="U27" s="813"/>
      <c r="V27" s="813"/>
      <c r="W27" s="813"/>
      <c r="X27" s="813"/>
      <c r="Y27" s="813"/>
      <c r="Z27" s="813"/>
      <c r="AA27" s="813"/>
      <c r="AB27" s="813"/>
      <c r="AC27" s="813"/>
      <c r="AD27" s="813"/>
      <c r="AE27" s="813"/>
      <c r="AF27" s="813"/>
      <c r="AG27" s="813"/>
      <c r="AH27" s="813" t="str">
        <f>IFERROR(__xludf.DUMMYFUNCTION("""COMPUTED_VALUE"""),"2025 2026")</f>
        <v>2025 2026</v>
      </c>
      <c r="AI27" s="813" t="str">
        <f>IFERROR(__xludf.DUMMYFUNCTION("""COMPUTED_VALUE"""),"Purwakarta, 22 Desember 2025")</f>
        <v>Purwakarta, 22 Desember 2025</v>
      </c>
      <c r="AJ27" s="816" t="s">
        <v>624</v>
      </c>
      <c r="AK27" s="817" t="b">
        <f t="shared" ref="AK27:AL27" si="25">IF(H27:H137&lt;&gt;"",ISNUMBER(match(CONCATENATE(AK$2,"_",$C$4,"_",$C$3,"_",$C$2,"_",$H27,".pdf"),$AJ$3:$AJ137,0)))</f>
        <v>0</v>
      </c>
      <c r="AL27" s="817" t="b">
        <f t="shared" si="25"/>
        <v>0</v>
      </c>
      <c r="AM27" s="817" t="b">
        <f t="shared" ref="AM27:AM46" si="27">IF(AJ27:AJ137&lt;&gt;"",ISNUMBER(match(CONCATENATE(AM$2,"_",$C$4,"_",$C$3,"_",$C$2,"_",$H27,".pdf"),$AJ$3:$AJ137,0)))</f>
        <v>0</v>
      </c>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3"/>
      <c r="BK27" s="353"/>
      <c r="BL27" s="353"/>
      <c r="BM27" s="353"/>
      <c r="BN27" s="353"/>
      <c r="BO27" s="353"/>
      <c r="BP27" s="353"/>
      <c r="BQ27" s="353"/>
      <c r="BR27" s="353"/>
      <c r="BS27" s="353"/>
      <c r="BT27" s="353"/>
      <c r="BU27" s="353"/>
      <c r="BV27" s="353"/>
      <c r="BW27" s="353"/>
      <c r="BX27" s="353"/>
      <c r="BY27" s="353"/>
      <c r="BZ27" s="353"/>
    </row>
    <row r="28" ht="18.75" customHeight="1">
      <c r="A28" s="926"/>
      <c r="B28" s="848" t="s">
        <v>621</v>
      </c>
      <c r="C28" s="955" t="s">
        <v>626</v>
      </c>
      <c r="D28" s="956" t="s">
        <v>627</v>
      </c>
      <c r="E28" s="222">
        <f>IFERROR(__xludf.DUMMYFUNCTION("""COMPUTED_VALUE"""),26.0)</f>
        <v>26</v>
      </c>
      <c r="F28" s="813" t="str">
        <f>IFERROR(__xludf.DUMMYFUNCTION("""COMPUTED_VALUE"""),"2526100439")</f>
        <v>2526100439</v>
      </c>
      <c r="G28" s="813" t="str">
        <f>IFERROR(__xludf.DUMMYFUNCTION("""COMPUTED_VALUE"""),"0094990767")</f>
        <v>0094990767</v>
      </c>
      <c r="H28" s="813" t="str">
        <f>IFERROR(__xludf.DUMMYFUNCTION("""COMPUTED_VALUE"""),"MUHAMMAD FAHRI MAULANA")</f>
        <v>MUHAMMAD FAHRI MAULANA</v>
      </c>
      <c r="I28" s="813" t="str">
        <f>IFERROR(__xludf.DUMMYFUNCTION("""COMPUTED_VALUE"""),"X TO 4")</f>
        <v>X TO 4</v>
      </c>
      <c r="J28" s="813" t="str">
        <f>IFERROR(__xludf.DUMMYFUNCTION("""COMPUTED_VALUE"""),"Purwakarta")</f>
        <v>Purwakarta</v>
      </c>
      <c r="K28" s="815">
        <f>IFERROR(__xludf.DUMMYFUNCTION("""COMPUTED_VALUE"""),39922.0)</f>
        <v>39922</v>
      </c>
      <c r="L28" s="813" t="str">
        <f>IFERROR(__xludf.DUMMYFUNCTION("""COMPUTED_VALUE"""),"Laki-Laki")</f>
        <v>Laki-Laki</v>
      </c>
      <c r="M28" s="813" t="str">
        <f>IFERROR(__xludf.DUMMYFUNCTION("""COMPUTED_VALUE"""),"Islam")</f>
        <v>Islam</v>
      </c>
      <c r="N28" s="813" t="str">
        <f>IFERROR(__xludf.DUMMYFUNCTION("""COMPUTED_VALUE"""),"Anak Kandung")</f>
        <v>Anak Kandung</v>
      </c>
      <c r="O28" s="813" t="str">
        <f>IFERROR(__xludf.DUMMYFUNCTION("""COMPUTED_VALUE"""),"2 (Dua)")</f>
        <v>2 (Dua)</v>
      </c>
      <c r="P28" s="813" t="str">
        <f>IFERROR(__xludf.DUMMYFUNCTION("""COMPUTED_VALUE"""),"Kp. Warung Kandang RT/RW 013/003 Desa Sindangsari Kec. Plered Kab. Purwakarta")</f>
        <v>Kp. Warung Kandang RT/RW 013/003 Desa Sindangsari Kec. Plered Kab. Purwakarta</v>
      </c>
      <c r="Q28" s="813" t="str">
        <f>IFERROR(__xludf.DUMMYFUNCTION("""COMPUTED_VALUE"""),"-")</f>
        <v>-</v>
      </c>
      <c r="R28" s="813" t="str">
        <f>IFERROR(__xludf.DUMMYFUNCTION("""COMPUTED_VALUE"""),"MTsN 2 Purwakarta")</f>
        <v>MTsN 2 Purwakarta</v>
      </c>
      <c r="S28" s="813" t="str">
        <f>IFERROR(__xludf.DUMMYFUNCTION("""COMPUTED_VALUE"""),"X TO 4")</f>
        <v>X TO 4</v>
      </c>
      <c r="T28" s="813" t="str">
        <f>IFERROR(__xludf.DUMMYFUNCTION("""COMPUTED_VALUE"""),"14 Juli 2025")</f>
        <v>14 Juli 2025</v>
      </c>
      <c r="U28" s="813" t="str">
        <f>IFERROR(__xludf.DUMMYFUNCTION("""COMPUTED_VALUE"""),"Nasrul")</f>
        <v>Nasrul</v>
      </c>
      <c r="V28" s="813" t="str">
        <f>IFERROR(__xludf.DUMMYFUNCTION("""COMPUTED_VALUE"""),"Suhaemi")</f>
        <v>Suhaemi</v>
      </c>
      <c r="W28" s="813" t="str">
        <f>IFERROR(__xludf.DUMMYFUNCTION("""COMPUTED_VALUE"""),"Kp. Warung Kandang RT/RW 013/003 Desa Sindangsari Kec. Plered Kab. Purwakarta")</f>
        <v>Kp. Warung Kandang RT/RW 013/003 Desa Sindangsari Kec. Plered Kab. Purwakarta</v>
      </c>
      <c r="X28" s="813" t="str">
        <f>IFERROR(__xludf.DUMMYFUNCTION("""COMPUTED_VALUE"""),"-")</f>
        <v>-</v>
      </c>
      <c r="Y28" s="813" t="str">
        <f>IFERROR(__xludf.DUMMYFUNCTION("""COMPUTED_VALUE"""),"Buruh")</f>
        <v>Buruh</v>
      </c>
      <c r="Z28" s="813" t="str">
        <f>IFERROR(__xludf.DUMMYFUNCTION("""COMPUTED_VALUE"""),"Rumah Tangga")</f>
        <v>Rumah Tangga</v>
      </c>
      <c r="AA28" s="813"/>
      <c r="AB28" s="813"/>
      <c r="AC28" s="813"/>
      <c r="AD28" s="813"/>
      <c r="AE28" s="813" t="str">
        <f>IFERROR(__xludf.DUMMYFUNCTION("""COMPUTED_VALUE"""),"20229659")</f>
        <v>20229659</v>
      </c>
      <c r="AF28" s="813"/>
      <c r="AG28" s="813" t="str">
        <f>IFERROR(__xludf.DUMMYFUNCTION("""COMPUTED_VALUE"""),"/appsheet/data/InputBiodataRaportX-3328125/FilePDF/MUHAMMAD FAHRI MAULANA-42231486.PDF")</f>
        <v>/appsheet/data/InputBiodataRaportX-3328125/FilePDF/MUHAMMAD FAHRI MAULANA-42231486.PDF</v>
      </c>
      <c r="AH28" s="813" t="str">
        <f>IFERROR(__xludf.DUMMYFUNCTION("""COMPUTED_VALUE"""),"2025 2026")</f>
        <v>2025 2026</v>
      </c>
      <c r="AI28" s="813" t="str">
        <f>IFERROR(__xludf.DUMMYFUNCTION("""COMPUTED_VALUE"""),"Purwakarta, 22 Desember 2025")</f>
        <v>Purwakarta, 22 Desember 2025</v>
      </c>
      <c r="AJ28" s="816" t="s">
        <v>628</v>
      </c>
      <c r="AK28" s="817" t="b">
        <f t="shared" ref="AK28:AL28" si="26">IF(H28:H137&lt;&gt;"",ISNUMBER(match(CONCATENATE(AK$2,"_",$C$4,"_",$C$3,"_",$C$2,"_",$H28,".pdf"),$AJ$3:$AJ137,0)))</f>
        <v>0</v>
      </c>
      <c r="AL28" s="817" t="b">
        <f t="shared" si="26"/>
        <v>0</v>
      </c>
      <c r="AM28" s="817" t="b">
        <f t="shared" si="27"/>
        <v>1</v>
      </c>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3"/>
      <c r="BK28" s="353"/>
      <c r="BL28" s="353"/>
      <c r="BM28" s="353"/>
      <c r="BN28" s="353"/>
      <c r="BO28" s="353"/>
      <c r="BP28" s="353"/>
      <c r="BQ28" s="353"/>
      <c r="BR28" s="353"/>
      <c r="BS28" s="353"/>
      <c r="BT28" s="353"/>
      <c r="BU28" s="353"/>
      <c r="BV28" s="353"/>
      <c r="BW28" s="353"/>
      <c r="BX28" s="353"/>
      <c r="BY28" s="353"/>
      <c r="BZ28" s="353"/>
    </row>
    <row r="29" ht="18.75" customHeight="1">
      <c r="A29" s="958" t="str">
        <f>IFERROR(__xludf.DUMMYFUNCTION("IMPORTRANGE($C$11,C1&amp;""!$AV$1:$AY"")"),"Profil Sekolah")</f>
        <v>Profil Sekolah</v>
      </c>
      <c r="B29" s="810" t="str">
        <f>IFERROR(__xludf.DUMMYFUNCTION("""COMPUTED_VALUE"""),":")</f>
        <v>:</v>
      </c>
      <c r="C29" s="959"/>
      <c r="D29" s="960"/>
      <c r="E29" s="222">
        <f>IFERROR(__xludf.DUMMYFUNCTION("""COMPUTED_VALUE"""),27.0)</f>
        <v>27</v>
      </c>
      <c r="F29" s="813" t="str">
        <f>IFERROR(__xludf.DUMMYFUNCTION("""COMPUTED_VALUE"""),"2526100440")</f>
        <v>2526100440</v>
      </c>
      <c r="G29" s="813" t="str">
        <f>IFERROR(__xludf.DUMMYFUNCTION("""COMPUTED_VALUE"""),"0105005356")</f>
        <v>0105005356</v>
      </c>
      <c r="H29" s="813" t="str">
        <f>IFERROR(__xludf.DUMMYFUNCTION("""COMPUTED_VALUE"""),"MUHAMMAD GALANG GUNAWAN")</f>
        <v>MUHAMMAD GALANG GUNAWAN</v>
      </c>
      <c r="I29" s="813" t="str">
        <f>IFERROR(__xludf.DUMMYFUNCTION("""COMPUTED_VALUE"""),"X TO 4")</f>
        <v>X TO 4</v>
      </c>
      <c r="J29" s="813" t="str">
        <f>IFERROR(__xludf.DUMMYFUNCTION("""COMPUTED_VALUE"""),"Purwakarta")</f>
        <v>Purwakarta</v>
      </c>
      <c r="K29" s="815">
        <f>IFERROR(__xludf.DUMMYFUNCTION("""COMPUTED_VALUE"""),40459.0)</f>
        <v>40459</v>
      </c>
      <c r="L29" s="813" t="str">
        <f>IFERROR(__xludf.DUMMYFUNCTION("""COMPUTED_VALUE"""),"Laki-Laki")</f>
        <v>Laki-Laki</v>
      </c>
      <c r="M29" s="813" t="str">
        <f>IFERROR(__xludf.DUMMYFUNCTION("""COMPUTED_VALUE"""),"Islam")</f>
        <v>Islam</v>
      </c>
      <c r="N29" s="813" t="str">
        <f>IFERROR(__xludf.DUMMYFUNCTION("""COMPUTED_VALUE"""),"Anak Kandung")</f>
        <v>Anak Kandung</v>
      </c>
      <c r="O29" s="813" t="str">
        <f>IFERROR(__xludf.DUMMYFUNCTION("""COMPUTED_VALUE"""),"1 (Satu)")</f>
        <v>1 (Satu)</v>
      </c>
      <c r="P29" s="813" t="str">
        <f>IFERROR(__xludf.DUMMYFUNCTION("""COMPUTED_VALUE"""),"Gang Sekolah RT 09/03, Desa Plered, Kecamatan Plered, Kabupaten Purwakarta")</f>
        <v>Gang Sekolah RT 09/03, Desa Plered, Kecamatan Plered, Kabupaten Purwakarta</v>
      </c>
      <c r="Q29" s="813"/>
      <c r="R29" s="813" t="str">
        <f>IFERROR(__xludf.DUMMYFUNCTION("""COMPUTED_VALUE"""),"MTsN 2 Purwakarta")</f>
        <v>MTsN 2 Purwakarta</v>
      </c>
      <c r="S29" s="813" t="str">
        <f>IFERROR(__xludf.DUMMYFUNCTION("""COMPUTED_VALUE"""),"X TO 4")</f>
        <v>X TO 4</v>
      </c>
      <c r="T29" s="813" t="str">
        <f>IFERROR(__xludf.DUMMYFUNCTION("""COMPUTED_VALUE"""),"14 Juli 2025")</f>
        <v>14 Juli 2025</v>
      </c>
      <c r="U29" s="813" t="str">
        <f>IFERROR(__xludf.DUMMYFUNCTION("""COMPUTED_VALUE"""),"Egi Pria Gunawan")</f>
        <v>Egi Pria Gunawan</v>
      </c>
      <c r="V29" s="813" t="str">
        <f>IFERROR(__xludf.DUMMYFUNCTION("""COMPUTED_VALUE"""),"Ika Liskawati")</f>
        <v>Ika Liskawati</v>
      </c>
      <c r="W29" s="813" t="str">
        <f>IFERROR(__xludf.DUMMYFUNCTION("""COMPUTED_VALUE"""),"Gang Sekolah RT 09/03, Desa Plered, Kecamatan Plered, Kabupaten Purwakarta")</f>
        <v>Gang Sekolah RT 09/03, Desa Plered, Kecamatan Plered, Kabupaten Purwakarta</v>
      </c>
      <c r="X29" s="813"/>
      <c r="Y29" s="813" t="str">
        <f>IFERROR(__xludf.DUMMYFUNCTION("""COMPUTED_VALUE"""),"Wiraswasta")</f>
        <v>Wiraswasta</v>
      </c>
      <c r="Z29" s="813" t="str">
        <f>IFERROR(__xludf.DUMMYFUNCTION("""COMPUTED_VALUE"""),"Wiraswasta")</f>
        <v>Wiraswasta</v>
      </c>
      <c r="AA29" s="813"/>
      <c r="AB29" s="813"/>
      <c r="AC29" s="813"/>
      <c r="AD29" s="813"/>
      <c r="AE29" s="813" t="str">
        <f>IFERROR(__xludf.DUMMYFUNCTION("""COMPUTED_VALUE"""),"20229659")</f>
        <v>20229659</v>
      </c>
      <c r="AF29" s="813"/>
      <c r="AG29" s="813" t="str">
        <f>IFERROR(__xludf.DUMMYFUNCTION("""COMPUTED_VALUE"""),"/appsheet/data/InputBiodataRaportX-3328125/FilePDF/MUHAMMAD GALANG GUNAWAN-944bd526.PDF")</f>
        <v>/appsheet/data/InputBiodataRaportX-3328125/FilePDF/MUHAMMAD GALANG GUNAWAN-944bd526.PDF</v>
      </c>
      <c r="AH29" s="813" t="str">
        <f>IFERROR(__xludf.DUMMYFUNCTION("""COMPUTED_VALUE"""),"2025 2026")</f>
        <v>2025 2026</v>
      </c>
      <c r="AI29" s="813" t="str">
        <f>IFERROR(__xludf.DUMMYFUNCTION("""COMPUTED_VALUE"""),"Purwakarta, 22 Desember 2025")</f>
        <v>Purwakarta, 22 Desember 2025</v>
      </c>
      <c r="AJ29" s="816" t="s">
        <v>629</v>
      </c>
      <c r="AK29" s="817" t="b">
        <f t="shared" ref="AK29:AL29" si="28">IF(H29:H137&lt;&gt;"",ISNUMBER(match(CONCATENATE(AK$2,"_",$C$4,"_",$C$3,"_",$C$2,"_",$H29,".pdf"),$AJ$3:$AJ137,0)))</f>
        <v>0</v>
      </c>
      <c r="AL29" s="817" t="b">
        <f t="shared" si="28"/>
        <v>0</v>
      </c>
      <c r="AM29" s="817" t="b">
        <f t="shared" si="27"/>
        <v>0</v>
      </c>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c r="BW29" s="353"/>
      <c r="BX29" s="353"/>
      <c r="BY29" s="353"/>
      <c r="BZ29" s="353"/>
    </row>
    <row r="30" ht="18.75" customHeight="1">
      <c r="A30" s="809" t="str">
        <f>IFERROR(__xludf.DUMMYFUNCTION("""COMPUTED_VALUE"""),"Nama Sekolah")</f>
        <v>Nama Sekolah</v>
      </c>
      <c r="B30" s="810" t="str">
        <f>IFERROR(__xludf.DUMMYFUNCTION("""COMPUTED_VALUE"""),":")</f>
        <v>:</v>
      </c>
      <c r="C30" s="824" t="str">
        <f>IFERROR(__xludf.DUMMYFUNCTION("""COMPUTED_VALUE"""),"SMKN 1 PLERED")</f>
        <v>SMKN 1 PLERED</v>
      </c>
      <c r="D30" s="961"/>
      <c r="E30" s="222">
        <f>IFERROR(__xludf.DUMMYFUNCTION("""COMPUTED_VALUE"""),28.0)</f>
        <v>28</v>
      </c>
      <c r="F30" s="813" t="str">
        <f>IFERROR(__xludf.DUMMYFUNCTION("""COMPUTED_VALUE"""),"2526100441")</f>
        <v>2526100441</v>
      </c>
      <c r="G30" s="813" t="str">
        <f>IFERROR(__xludf.DUMMYFUNCTION("""COMPUTED_VALUE"""),"0089904752")</f>
        <v>0089904752</v>
      </c>
      <c r="H30" s="813" t="str">
        <f>IFERROR(__xludf.DUMMYFUNCTION("""COMPUTED_VALUE"""),"MUHAMMAD GOZALI")</f>
        <v>MUHAMMAD GOZALI</v>
      </c>
      <c r="I30" s="813" t="str">
        <f>IFERROR(__xludf.DUMMYFUNCTION("""COMPUTED_VALUE"""),"X TO 4")</f>
        <v>X TO 4</v>
      </c>
      <c r="J30" s="813" t="str">
        <f>IFERROR(__xludf.DUMMYFUNCTION("""COMPUTED_VALUE"""),"Purwakarta")</f>
        <v>Purwakarta</v>
      </c>
      <c r="K30" s="815">
        <f>IFERROR(__xludf.DUMMYFUNCTION("""COMPUTED_VALUE"""),39807.0)</f>
        <v>39807</v>
      </c>
      <c r="L30" s="813" t="str">
        <f>IFERROR(__xludf.DUMMYFUNCTION("""COMPUTED_VALUE"""),"Laki-Laki")</f>
        <v>Laki-Laki</v>
      </c>
      <c r="M30" s="813" t="str">
        <f>IFERROR(__xludf.DUMMYFUNCTION("""COMPUTED_VALUE"""),"Islam")</f>
        <v>Islam</v>
      </c>
      <c r="N30" s="813" t="str">
        <f>IFERROR(__xludf.DUMMYFUNCTION("""COMPUTED_VALUE"""),"Anak Kandung")</f>
        <v>Anak Kandung</v>
      </c>
      <c r="O30" s="813" t="str">
        <f>IFERROR(__xludf.DUMMYFUNCTION("""COMPUTED_VALUE"""),"5 (Lima)")</f>
        <v>5 (Lima)</v>
      </c>
      <c r="P30" s="813" t="str">
        <f>IFERROR(__xludf.DUMMYFUNCTION("""COMPUTED_VALUE"""),"Kp. Ciwareng Wetan RT/RW 015/006 Desa Cibogo Girang Kec. Plered Kab. Purwakarta")</f>
        <v>Kp. Ciwareng Wetan RT/RW 015/006 Desa Cibogo Girang Kec. Plered Kab. Purwakarta</v>
      </c>
      <c r="Q30" s="813" t="str">
        <f>IFERROR(__xludf.DUMMYFUNCTION("""COMPUTED_VALUE"""),"-")</f>
        <v>-</v>
      </c>
      <c r="R30" s="813" t="str">
        <f>IFERROR(__xludf.DUMMYFUNCTION("""COMPUTED_VALUE"""),"MTsS As Salam")</f>
        <v>MTsS As Salam</v>
      </c>
      <c r="S30" s="813" t="str">
        <f>IFERROR(__xludf.DUMMYFUNCTION("""COMPUTED_VALUE"""),"X TO 4")</f>
        <v>X TO 4</v>
      </c>
      <c r="T30" s="813" t="str">
        <f>IFERROR(__xludf.DUMMYFUNCTION("""COMPUTED_VALUE"""),"14 Juli 2025")</f>
        <v>14 Juli 2025</v>
      </c>
      <c r="U30" s="813" t="str">
        <f>IFERROR(__xludf.DUMMYFUNCTION("""COMPUTED_VALUE"""),"Endang Sukanda")</f>
        <v>Endang Sukanda</v>
      </c>
      <c r="V30" s="813" t="str">
        <f>IFERROR(__xludf.DUMMYFUNCTION("""COMPUTED_VALUE"""),"Nolis Holisoh")</f>
        <v>Nolis Holisoh</v>
      </c>
      <c r="W30" s="813" t="str">
        <f>IFERROR(__xludf.DUMMYFUNCTION("""COMPUTED_VALUE"""),"Kp. Ciwareng Wetan RT 015/006 Desa Cibogo Girang Kec. Plered Kab. Purwakarta")</f>
        <v>Kp. Ciwareng Wetan RT 015/006 Desa Cibogo Girang Kec. Plered Kab. Purwakarta</v>
      </c>
      <c r="X30" s="813" t="str">
        <f>IFERROR(__xludf.DUMMYFUNCTION("""COMPUTED_VALUE"""),"-")</f>
        <v>-</v>
      </c>
      <c r="Y30" s="813" t="str">
        <f>IFERROR(__xludf.DUMMYFUNCTION("""COMPUTED_VALUE"""),"Buruh")</f>
        <v>Buruh</v>
      </c>
      <c r="Z30" s="813" t="str">
        <f>IFERROR(__xludf.DUMMYFUNCTION("""COMPUTED_VALUE"""),"Rumah Tangga")</f>
        <v>Rumah Tangga</v>
      </c>
      <c r="AA30" s="813" t="str">
        <f>IFERROR(__xludf.DUMMYFUNCTION("""COMPUTED_VALUE"""),"-")</f>
        <v>-</v>
      </c>
      <c r="AB30" s="813" t="str">
        <f>IFERROR(__xludf.DUMMYFUNCTION("""COMPUTED_VALUE"""),"-")</f>
        <v>-</v>
      </c>
      <c r="AC30" s="813" t="str">
        <f>IFERROR(__xludf.DUMMYFUNCTION("""COMPUTED_VALUE"""),"-")</f>
        <v>-</v>
      </c>
      <c r="AD30" s="813"/>
      <c r="AE30" s="813" t="str">
        <f>IFERROR(__xludf.DUMMYFUNCTION("""COMPUTED_VALUE"""),"20229659")</f>
        <v>20229659</v>
      </c>
      <c r="AF30" s="813"/>
      <c r="AG30" s="813" t="str">
        <f>IFERROR(__xludf.DUMMYFUNCTION("""COMPUTED_VALUE"""),"/appsheet/data/InputBiodataRaportX-3328125/FilePDF/MUHAMMAD GOZALI-d2ee8a27.PDF")</f>
        <v>/appsheet/data/InputBiodataRaportX-3328125/FilePDF/MUHAMMAD GOZALI-d2ee8a27.PDF</v>
      </c>
      <c r="AH30" s="813" t="str">
        <f>IFERROR(__xludf.DUMMYFUNCTION("""COMPUTED_VALUE"""),"2025 2026")</f>
        <v>2025 2026</v>
      </c>
      <c r="AI30" s="813" t="str">
        <f>IFERROR(__xludf.DUMMYFUNCTION("""COMPUTED_VALUE"""),"Purwakarta, 22 Desember 2025")</f>
        <v>Purwakarta, 22 Desember 2025</v>
      </c>
      <c r="AJ30" s="816" t="s">
        <v>630</v>
      </c>
      <c r="AK30" s="817" t="b">
        <f t="shared" ref="AK30:AL30" si="29">IF(H30:H137&lt;&gt;"",ISNUMBER(match(CONCATENATE(AK$2,"_",$C$4,"_",$C$3,"_",$C$2,"_",$H30,".pdf"),$AJ$3:$AJ137,0)))</f>
        <v>0</v>
      </c>
      <c r="AL30" s="817" t="b">
        <f t="shared" si="29"/>
        <v>0</v>
      </c>
      <c r="AM30" s="817" t="b">
        <f t="shared" si="27"/>
        <v>1</v>
      </c>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3"/>
      <c r="BK30" s="353"/>
      <c r="BL30" s="353"/>
      <c r="BM30" s="353"/>
      <c r="BN30" s="353"/>
      <c r="BO30" s="353"/>
      <c r="BP30" s="353"/>
      <c r="BQ30" s="353"/>
      <c r="BR30" s="353"/>
      <c r="BS30" s="353"/>
      <c r="BT30" s="353"/>
      <c r="BU30" s="353"/>
      <c r="BV30" s="353"/>
      <c r="BW30" s="353"/>
      <c r="BX30" s="353"/>
      <c r="BY30" s="353"/>
      <c r="BZ30" s="353"/>
    </row>
    <row r="31" ht="18.75" customHeight="1">
      <c r="A31" s="809" t="str">
        <f>IFERROR(__xludf.DUMMYFUNCTION("""COMPUTED_VALUE"""),"Alamat")</f>
        <v>Alamat</v>
      </c>
      <c r="B31" s="810" t="str">
        <f>IFERROR(__xludf.DUMMYFUNCTION("""COMPUTED_VALUE"""),":")</f>
        <v>:</v>
      </c>
      <c r="C31" s="824" t="str">
        <f>IFERROR(__xludf.DUMMYFUNCTION("""COMPUTED_VALUE"""),"Jl.Rawasari, Plered")</f>
        <v>Jl.Rawasari, Plered</v>
      </c>
      <c r="D31" s="961"/>
      <c r="E31" s="222">
        <f>IFERROR(__xludf.DUMMYFUNCTION("""COMPUTED_VALUE"""),29.0)</f>
        <v>29</v>
      </c>
      <c r="F31" s="813" t="str">
        <f>IFERROR(__xludf.DUMMYFUNCTION("""COMPUTED_VALUE"""),"2526100442")</f>
        <v>2526100442</v>
      </c>
      <c r="G31" s="813" t="str">
        <f>IFERROR(__xludf.DUMMYFUNCTION("""COMPUTED_VALUE"""),"0093764470")</f>
        <v>0093764470</v>
      </c>
      <c r="H31" s="813" t="str">
        <f>IFERROR(__xludf.DUMMYFUNCTION("""COMPUTED_VALUE"""),"MUHAMMAD HADAD AT'TOILLAH")</f>
        <v>MUHAMMAD HADAD AT'TOILLAH</v>
      </c>
      <c r="I31" s="813" t="str">
        <f>IFERROR(__xludf.DUMMYFUNCTION("""COMPUTED_VALUE"""),"X TO 4")</f>
        <v>X TO 4</v>
      </c>
      <c r="J31" s="813" t="str">
        <f>IFERROR(__xludf.DUMMYFUNCTION("""COMPUTED_VALUE"""),"Purwakarta")</f>
        <v>Purwakarta</v>
      </c>
      <c r="K31" s="815">
        <f>IFERROR(__xludf.DUMMYFUNCTION("""COMPUTED_VALUE"""),39964.0)</f>
        <v>39964</v>
      </c>
      <c r="L31" s="813" t="str">
        <f>IFERROR(__xludf.DUMMYFUNCTION("""COMPUTED_VALUE"""),"Laki-Laki")</f>
        <v>Laki-Laki</v>
      </c>
      <c r="M31" s="813" t="str">
        <f>IFERROR(__xludf.DUMMYFUNCTION("""COMPUTED_VALUE"""),"Islam")</f>
        <v>Islam</v>
      </c>
      <c r="N31" s="813" t="str">
        <f>IFERROR(__xludf.DUMMYFUNCTION("""COMPUTED_VALUE"""),"Anak Kandung")</f>
        <v>Anak Kandung</v>
      </c>
      <c r="O31" s="813" t="str">
        <f>IFERROR(__xludf.DUMMYFUNCTION("""COMPUTED_VALUE"""),"2 (Dua)")</f>
        <v>2 (Dua)</v>
      </c>
      <c r="P31" s="813" t="str">
        <f>IFERROR(__xludf.DUMMYFUNCTION("""COMPUTED_VALUE"""),"Kp. Cinutug RT/W 008/003, Desa Depok, Kecamatan Darangdan, Kabupaten Purwakarta")</f>
        <v>Kp. Cinutug RT/W 008/003, Desa Depok, Kecamatan Darangdan, Kabupaten Purwakarta</v>
      </c>
      <c r="Q31" s="813" t="str">
        <f>IFERROR(__xludf.DUMMYFUNCTION("""COMPUTED_VALUE"""),"-")</f>
        <v>-</v>
      </c>
      <c r="R31" s="813" t="str">
        <f>IFERROR(__xludf.DUMMYFUNCTION("""COMPUTED_VALUE"""),"SMP Negeri 6 Darangdan")</f>
        <v>SMP Negeri 6 Darangdan</v>
      </c>
      <c r="S31" s="813" t="str">
        <f>IFERROR(__xludf.DUMMYFUNCTION("""COMPUTED_VALUE"""),"X TO 4")</f>
        <v>X TO 4</v>
      </c>
      <c r="T31" s="813" t="str">
        <f>IFERROR(__xludf.DUMMYFUNCTION("""COMPUTED_VALUE"""),"14 Juli 2025")</f>
        <v>14 Juli 2025</v>
      </c>
      <c r="U31" s="813" t="str">
        <f>IFERROR(__xludf.DUMMYFUNCTION("""COMPUTED_VALUE"""),"Cece Hidayat")</f>
        <v>Cece Hidayat</v>
      </c>
      <c r="V31" s="813" t="str">
        <f>IFERROR(__xludf.DUMMYFUNCTION("""COMPUTED_VALUE"""),"Dedah Siti Juariah")</f>
        <v>Dedah Siti Juariah</v>
      </c>
      <c r="W31" s="813" t="str">
        <f>IFERROR(__xludf.DUMMYFUNCTION("""COMPUTED_VALUE"""),"Kp. Cinutug RT/W 008/003, Desa Depok, Kecamatan Darangdan, Kabupaten Purwakarta")</f>
        <v>Kp. Cinutug RT/W 008/003, Desa Depok, Kecamatan Darangdan, Kabupaten Purwakarta</v>
      </c>
      <c r="X31" s="813" t="str">
        <f>IFERROR(__xludf.DUMMYFUNCTION("""COMPUTED_VALUE"""),"-")</f>
        <v>-</v>
      </c>
      <c r="Y31" s="813" t="str">
        <f>IFERROR(__xludf.DUMMYFUNCTION("""COMPUTED_VALUE"""),"Buruh")</f>
        <v>Buruh</v>
      </c>
      <c r="Z31" s="813" t="str">
        <f>IFERROR(__xludf.DUMMYFUNCTION("""COMPUTED_VALUE"""),"Rumah Tangga")</f>
        <v>Rumah Tangga</v>
      </c>
      <c r="AA31" s="813" t="str">
        <f>IFERROR(__xludf.DUMMYFUNCTION("""COMPUTED_VALUE"""),"-")</f>
        <v>-</v>
      </c>
      <c r="AB31" s="813" t="str">
        <f>IFERROR(__xludf.DUMMYFUNCTION("""COMPUTED_VALUE"""),"-")</f>
        <v>-</v>
      </c>
      <c r="AC31" s="813"/>
      <c r="AD31" s="813"/>
      <c r="AE31" s="813" t="str">
        <f>IFERROR(__xludf.DUMMYFUNCTION("""COMPUTED_VALUE"""),"20229659")</f>
        <v>20229659</v>
      </c>
      <c r="AF31" s="813"/>
      <c r="AG31" s="813" t="str">
        <f>IFERROR(__xludf.DUMMYFUNCTION("""COMPUTED_VALUE"""),"/appsheet/data/InputBiodataRaportX-3328125/FilePDF/MUHAMMAD HADAD AT'TOILLAH-6e29b70d.PDF")</f>
        <v>/appsheet/data/InputBiodataRaportX-3328125/FilePDF/MUHAMMAD HADAD AT'TOILLAH-6e29b70d.PDF</v>
      </c>
      <c r="AH31" s="813" t="str">
        <f>IFERROR(__xludf.DUMMYFUNCTION("""COMPUTED_VALUE"""),"2025 2026")</f>
        <v>2025 2026</v>
      </c>
      <c r="AI31" s="813" t="str">
        <f>IFERROR(__xludf.DUMMYFUNCTION("""COMPUTED_VALUE"""),"Purwakarta, 22 Desember 2025")</f>
        <v>Purwakarta, 22 Desember 2025</v>
      </c>
      <c r="AJ31" s="816" t="s">
        <v>631</v>
      </c>
      <c r="AK31" s="817" t="b">
        <f t="shared" ref="AK31:AL31" si="30">IF(H31:H137&lt;&gt;"",ISNUMBER(match(CONCATENATE(AK$2,"_",$C$4,"_",$C$3,"_",$C$2,"_",$H31,".pdf"),$AJ$3:$AJ137,0)))</f>
        <v>0</v>
      </c>
      <c r="AL31" s="817" t="b">
        <f t="shared" si="30"/>
        <v>0</v>
      </c>
      <c r="AM31" s="817" t="b">
        <f t="shared" si="27"/>
        <v>1</v>
      </c>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3"/>
      <c r="BK31" s="353"/>
      <c r="BL31" s="353"/>
      <c r="BM31" s="353"/>
      <c r="BN31" s="353"/>
      <c r="BO31" s="353"/>
      <c r="BP31" s="353"/>
      <c r="BQ31" s="353"/>
      <c r="BR31" s="353"/>
      <c r="BS31" s="353"/>
      <c r="BT31" s="353"/>
      <c r="BU31" s="353"/>
      <c r="BV31" s="353"/>
      <c r="BW31" s="353"/>
      <c r="BX31" s="353"/>
      <c r="BY31" s="353"/>
      <c r="BZ31" s="353"/>
    </row>
    <row r="32" ht="18.75" customHeight="1">
      <c r="A32" s="809" t="str">
        <f>IFERROR(__xludf.DUMMYFUNCTION("""COMPUTED_VALUE"""),"Nama Kepsek")</f>
        <v>Nama Kepsek</v>
      </c>
      <c r="B32" s="962" t="str">
        <f>IFERROR(__xludf.DUMMYFUNCTION("""COMPUTED_VALUE"""),":")</f>
        <v>:</v>
      </c>
      <c r="C32" s="824" t="str">
        <f>IFERROR(__xludf.DUMMYFUNCTION("""COMPUTED_VALUE"""),"WAHYU TAMIMBARKAH, S,Pd.")</f>
        <v>WAHYU TAMIMBARKAH, S,Pd.</v>
      </c>
      <c r="D32" s="961"/>
      <c r="E32" s="222">
        <f>IFERROR(__xludf.DUMMYFUNCTION("""COMPUTED_VALUE"""),30.0)</f>
        <v>30</v>
      </c>
      <c r="F32" s="813" t="str">
        <f>IFERROR(__xludf.DUMMYFUNCTION("""COMPUTED_VALUE"""),"2526100443")</f>
        <v>2526100443</v>
      </c>
      <c r="G32" s="813" t="str">
        <f>IFERROR(__xludf.DUMMYFUNCTION("""COMPUTED_VALUE"""),"0092995954")</f>
        <v>0092995954</v>
      </c>
      <c r="H32" s="813" t="str">
        <f>IFERROR(__xludf.DUMMYFUNCTION("""COMPUTED_VALUE"""),"MUHAMMAD ILHAM")</f>
        <v>MUHAMMAD ILHAM</v>
      </c>
      <c r="I32" s="813" t="str">
        <f>IFERROR(__xludf.DUMMYFUNCTION("""COMPUTED_VALUE"""),"X TO 4")</f>
        <v>X TO 4</v>
      </c>
      <c r="J32" s="813" t="str">
        <f>IFERROR(__xludf.DUMMYFUNCTION("""COMPUTED_VALUE"""),"Purwakarta")</f>
        <v>Purwakarta</v>
      </c>
      <c r="K32" s="815">
        <f>IFERROR(__xludf.DUMMYFUNCTION("""COMPUTED_VALUE"""),40176.0)</f>
        <v>40176</v>
      </c>
      <c r="L32" s="813" t="str">
        <f>IFERROR(__xludf.DUMMYFUNCTION("""COMPUTED_VALUE"""),"Laki-Laki")</f>
        <v>Laki-Laki</v>
      </c>
      <c r="M32" s="813" t="str">
        <f>IFERROR(__xludf.DUMMYFUNCTION("""COMPUTED_VALUE"""),"Islam")</f>
        <v>Islam</v>
      </c>
      <c r="N32" s="813" t="str">
        <f>IFERROR(__xludf.DUMMYFUNCTION("""COMPUTED_VALUE"""),"Anak Kandung")</f>
        <v>Anak Kandung</v>
      </c>
      <c r="O32" s="813" t="str">
        <f>IFERROR(__xludf.DUMMYFUNCTION("""COMPUTED_VALUE"""),"2 (Dua)")</f>
        <v>2 (Dua)</v>
      </c>
      <c r="P32" s="813" t="str">
        <f>IFERROR(__xludf.DUMMYFUNCTION("""COMPUTED_VALUE"""),"Kp. cileutak RT/RW 009/003 Desa Gandasoli Kec.Plered Kab.Purwakarta")</f>
        <v>Kp. cileutak RT/RW 009/003 Desa Gandasoli Kec.Plered Kab.Purwakarta</v>
      </c>
      <c r="Q32" s="813" t="str">
        <f>IFERROR(__xludf.DUMMYFUNCTION("""COMPUTED_VALUE"""),"-")</f>
        <v>-</v>
      </c>
      <c r="R32" s="813" t="str">
        <f>IFERROR(__xludf.DUMMYFUNCTION("""COMPUTED_VALUE"""),"SMP Negeri 2 Darangdan")</f>
        <v>SMP Negeri 2 Darangdan</v>
      </c>
      <c r="S32" s="813" t="str">
        <f>IFERROR(__xludf.DUMMYFUNCTION("""COMPUTED_VALUE"""),"X TO 4")</f>
        <v>X TO 4</v>
      </c>
      <c r="T32" s="813" t="str">
        <f>IFERROR(__xludf.DUMMYFUNCTION("""COMPUTED_VALUE"""),"14 Juli 2025")</f>
        <v>14 Juli 2025</v>
      </c>
      <c r="U32" s="813" t="str">
        <f>IFERROR(__xludf.DUMMYFUNCTION("""COMPUTED_VALUE"""),"Sarip Hidayat")</f>
        <v>Sarip Hidayat</v>
      </c>
      <c r="V32" s="813" t="str">
        <f>IFERROR(__xludf.DUMMYFUNCTION("""COMPUTED_VALUE"""),"Yayah")</f>
        <v>Yayah</v>
      </c>
      <c r="W32" s="813" t="str">
        <f>IFERROR(__xludf.DUMMYFUNCTION("""COMPUTED_VALUE"""),"Kp. cileutak RT 009/003 Desa Gandasoli Kec.Plered Kab.Purwakarta")</f>
        <v>Kp. cileutak RT 009/003 Desa Gandasoli Kec.Plered Kab.Purwakarta</v>
      </c>
      <c r="X32" s="813" t="str">
        <f>IFERROR(__xludf.DUMMYFUNCTION("""COMPUTED_VALUE"""),"-")</f>
        <v>-</v>
      </c>
      <c r="Y32" s="813" t="str">
        <f>IFERROR(__xludf.DUMMYFUNCTION("""COMPUTED_VALUE"""),"Buruh")</f>
        <v>Buruh</v>
      </c>
      <c r="Z32" s="813" t="str">
        <f>IFERROR(__xludf.DUMMYFUNCTION("""COMPUTED_VALUE"""),"Rumah Tangga")</f>
        <v>Rumah Tangga</v>
      </c>
      <c r="AA32" s="813" t="str">
        <f>IFERROR(__xludf.DUMMYFUNCTION("""COMPUTED_VALUE"""),"-")</f>
        <v>-</v>
      </c>
      <c r="AB32" s="813" t="str">
        <f>IFERROR(__xludf.DUMMYFUNCTION("""COMPUTED_VALUE"""),"-")</f>
        <v>-</v>
      </c>
      <c r="AC32" s="813" t="str">
        <f>IFERROR(__xludf.DUMMYFUNCTION("""COMPUTED_VALUE"""),"-")</f>
        <v>-</v>
      </c>
      <c r="AD32" s="813"/>
      <c r="AE32" s="813" t="str">
        <f>IFERROR(__xludf.DUMMYFUNCTION("""COMPUTED_VALUE"""),"20229659")</f>
        <v>20229659</v>
      </c>
      <c r="AF32" s="813"/>
      <c r="AG32" s="813" t="str">
        <f>IFERROR(__xludf.DUMMYFUNCTION("""COMPUTED_VALUE"""),"/appsheet/data/InputBiodataRaportX-3328125/FilePDF/MUHAMMAD ILHAM-65092203.PDF")</f>
        <v>/appsheet/data/InputBiodataRaportX-3328125/FilePDF/MUHAMMAD ILHAM-65092203.PDF</v>
      </c>
      <c r="AH32" s="813" t="str">
        <f>IFERROR(__xludf.DUMMYFUNCTION("""COMPUTED_VALUE"""),"2025 2026")</f>
        <v>2025 2026</v>
      </c>
      <c r="AI32" s="813" t="str">
        <f>IFERROR(__xludf.DUMMYFUNCTION("""COMPUTED_VALUE"""),"Purwakarta, 22 Desember 2025")</f>
        <v>Purwakarta, 22 Desember 2025</v>
      </c>
      <c r="AJ32" s="816" t="s">
        <v>632</v>
      </c>
      <c r="AK32" s="817" t="b">
        <f t="shared" ref="AK32:AL32" si="31">IF(H32:H137&lt;&gt;"",ISNUMBER(match(CONCATENATE(AK$2,"_",$C$4,"_",$C$3,"_",$C$2,"_",$H32,".pdf"),$AJ$3:$AJ137,0)))</f>
        <v>0</v>
      </c>
      <c r="AL32" s="817" t="b">
        <f t="shared" si="31"/>
        <v>0</v>
      </c>
      <c r="AM32" s="817" t="b">
        <f t="shared" si="27"/>
        <v>1</v>
      </c>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3"/>
      <c r="BK32" s="353"/>
      <c r="BL32" s="353"/>
      <c r="BM32" s="353"/>
      <c r="BN32" s="353"/>
      <c r="BO32" s="353"/>
      <c r="BP32" s="353"/>
      <c r="BQ32" s="353"/>
      <c r="BR32" s="353"/>
      <c r="BS32" s="353"/>
      <c r="BT32" s="353"/>
      <c r="BU32" s="353"/>
      <c r="BV32" s="353"/>
      <c r="BW32" s="353"/>
      <c r="BX32" s="353"/>
      <c r="BY32" s="353"/>
      <c r="BZ32" s="353"/>
    </row>
    <row r="33" ht="18.75" customHeight="1">
      <c r="A33" s="809" t="str">
        <f>IFERROR(__xludf.DUMMYFUNCTION("""COMPUTED_VALUE"""),"NIP Kepsek")</f>
        <v>NIP Kepsek</v>
      </c>
      <c r="B33" s="962" t="str">
        <f>IFERROR(__xludf.DUMMYFUNCTION("""COMPUTED_VALUE"""),":")</f>
        <v>:</v>
      </c>
      <c r="C33" s="824" t="str">
        <f>IFERROR(__xludf.DUMMYFUNCTION("""COMPUTED_VALUE"""),"NIP. 197111022008011001")</f>
        <v>NIP. 197111022008011001</v>
      </c>
      <c r="D33" s="961"/>
      <c r="E33" s="222">
        <f>IFERROR(__xludf.DUMMYFUNCTION("""COMPUTED_VALUE"""),31.0)</f>
        <v>31</v>
      </c>
      <c r="F33" s="813" t="str">
        <f>IFERROR(__xludf.DUMMYFUNCTION("""COMPUTED_VALUE"""),"2526100444")</f>
        <v>2526100444</v>
      </c>
      <c r="G33" s="813" t="str">
        <f>IFERROR(__xludf.DUMMYFUNCTION("""COMPUTED_VALUE"""),"0091433917")</f>
        <v>0091433917</v>
      </c>
      <c r="H33" s="813" t="str">
        <f>IFERROR(__xludf.DUMMYFUNCTION("""COMPUTED_VALUE"""),"M. IRPAN SAEPUL IBRAHIM ")</f>
        <v>M. IRPAN SAEPUL IBRAHIM </v>
      </c>
      <c r="I33" s="813" t="str">
        <f>IFERROR(__xludf.DUMMYFUNCTION("""COMPUTED_VALUE"""),"X TO 4")</f>
        <v>X TO 4</v>
      </c>
      <c r="J33" s="813" t="str">
        <f>IFERROR(__xludf.DUMMYFUNCTION("""COMPUTED_VALUE"""),"Purwakarta")</f>
        <v>Purwakarta</v>
      </c>
      <c r="K33" s="815">
        <f>IFERROR(__xludf.DUMMYFUNCTION("""COMPUTED_VALUE"""),40000.0)</f>
        <v>40000</v>
      </c>
      <c r="L33" s="813" t="str">
        <f>IFERROR(__xludf.DUMMYFUNCTION("""COMPUTED_VALUE"""),"Laki-Laki")</f>
        <v>Laki-Laki</v>
      </c>
      <c r="M33" s="813" t="str">
        <f>IFERROR(__xludf.DUMMYFUNCTION("""COMPUTED_VALUE"""),"Islam")</f>
        <v>Islam</v>
      </c>
      <c r="N33" s="813" t="str">
        <f>IFERROR(__xludf.DUMMYFUNCTION("""COMPUTED_VALUE"""),"Anak Kandung")</f>
        <v>Anak Kandung</v>
      </c>
      <c r="O33" s="813" t="str">
        <f>IFERROR(__xludf.DUMMYFUNCTION("""COMPUTED_VALUE"""),"2 (Dua)")</f>
        <v>2 (Dua)</v>
      </c>
      <c r="P33" s="813" t="str">
        <f>IFERROR(__xludf.DUMMYFUNCTION("""COMPUTED_VALUE"""),"Kp. Cijati No.06 RT/RW 020/010 Desa Warungjeruk Kec. Tegalwaru Kab. Purwakarta")</f>
        <v>Kp. Cijati No.06 RT/RW 020/010 Desa Warungjeruk Kec. Tegalwaru Kab. Purwakarta</v>
      </c>
      <c r="Q33" s="813" t="str">
        <f>IFERROR(__xludf.DUMMYFUNCTION("""COMPUTED_VALUE"""),"-")</f>
        <v>-</v>
      </c>
      <c r="R33" s="813" t="str">
        <f>IFERROR(__xludf.DUMMYFUNCTION("""COMPUTED_VALUE"""),"MTsS Nurul Huda")</f>
        <v>MTsS Nurul Huda</v>
      </c>
      <c r="S33" s="813" t="str">
        <f>IFERROR(__xludf.DUMMYFUNCTION("""COMPUTED_VALUE"""),"X TO 4")</f>
        <v>X TO 4</v>
      </c>
      <c r="T33" s="813" t="str">
        <f>IFERROR(__xludf.DUMMYFUNCTION("""COMPUTED_VALUE"""),"14 Juli 2025")</f>
        <v>14 Juli 2025</v>
      </c>
      <c r="U33" s="813" t="str">
        <f>IFERROR(__xludf.DUMMYFUNCTION("""COMPUTED_VALUE"""),"Dadi Wisnu")</f>
        <v>Dadi Wisnu</v>
      </c>
      <c r="V33" s="813" t="str">
        <f>IFERROR(__xludf.DUMMYFUNCTION("""COMPUTED_VALUE"""),"Farida")</f>
        <v>Farida</v>
      </c>
      <c r="W33" s="813" t="str">
        <f>IFERROR(__xludf.DUMMYFUNCTION("""COMPUTED_VALUE"""),"Kp. Cijati No.06 RT 020/010 Desa Warungjeruk Kec. Tegalwaru Kab. Purwakarta")</f>
        <v>Kp. Cijati No.06 RT 020/010 Desa Warungjeruk Kec. Tegalwaru Kab. Purwakarta</v>
      </c>
      <c r="X33" s="813" t="str">
        <f>IFERROR(__xludf.DUMMYFUNCTION("""COMPUTED_VALUE"""),"-")</f>
        <v>-</v>
      </c>
      <c r="Y33" s="813" t="str">
        <f>IFERROR(__xludf.DUMMYFUNCTION("""COMPUTED_VALUE"""),"Buruh")</f>
        <v>Buruh</v>
      </c>
      <c r="Z33" s="813" t="str">
        <f>IFERROR(__xludf.DUMMYFUNCTION("""COMPUTED_VALUE"""),"Rumah Tangga")</f>
        <v>Rumah Tangga</v>
      </c>
      <c r="AA33" s="813" t="str">
        <f>IFERROR(__xludf.DUMMYFUNCTION("""COMPUTED_VALUE"""),"-")</f>
        <v>-</v>
      </c>
      <c r="AB33" s="813" t="str">
        <f>IFERROR(__xludf.DUMMYFUNCTION("""COMPUTED_VALUE"""),"-")</f>
        <v>-</v>
      </c>
      <c r="AC33" s="813" t="str">
        <f>IFERROR(__xludf.DUMMYFUNCTION("""COMPUTED_VALUE"""),"-")</f>
        <v>-</v>
      </c>
      <c r="AD33" s="813"/>
      <c r="AE33" s="813" t="str">
        <f>IFERROR(__xludf.DUMMYFUNCTION("""COMPUTED_VALUE"""),"20229659")</f>
        <v>20229659</v>
      </c>
      <c r="AF33" s="813"/>
      <c r="AG33" s="813" t="str">
        <f>IFERROR(__xludf.DUMMYFUNCTION("""COMPUTED_VALUE"""),"/appsheet/data/InputBiodataRaportX-3328125/FilePDF/M. IRPAN SAEPUL IBRAHIM-c698c521.PDF")</f>
        <v>/appsheet/data/InputBiodataRaportX-3328125/FilePDF/M. IRPAN SAEPUL IBRAHIM-c698c521.PDF</v>
      </c>
      <c r="AH33" s="813" t="str">
        <f>IFERROR(__xludf.DUMMYFUNCTION("""COMPUTED_VALUE"""),"2025 2026")</f>
        <v>2025 2026</v>
      </c>
      <c r="AI33" s="813" t="str">
        <f>IFERROR(__xludf.DUMMYFUNCTION("""COMPUTED_VALUE"""),"Purwakarta, 22 Desember 2025")</f>
        <v>Purwakarta, 22 Desember 2025</v>
      </c>
      <c r="AJ33" s="816" t="s">
        <v>634</v>
      </c>
      <c r="AK33" s="817" t="b">
        <f t="shared" ref="AK33:AL33" si="32">IF(H33:H137&lt;&gt;"",ISNUMBER(match(CONCATENATE(AK$2,"_",$C$4,"_",$C$3,"_",$C$2,"_",$H33,".pdf"),$AJ$3:$AJ137,0)))</f>
        <v>0</v>
      </c>
      <c r="AL33" s="817" t="b">
        <f t="shared" si="32"/>
        <v>0</v>
      </c>
      <c r="AM33" s="817" t="b">
        <f t="shared" si="27"/>
        <v>1</v>
      </c>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3"/>
      <c r="BK33" s="353"/>
      <c r="BL33" s="353"/>
      <c r="BM33" s="353"/>
      <c r="BN33" s="353"/>
      <c r="BO33" s="353"/>
      <c r="BP33" s="353"/>
      <c r="BQ33" s="353"/>
      <c r="BR33" s="353"/>
      <c r="BS33" s="353"/>
      <c r="BT33" s="353"/>
      <c r="BU33" s="353"/>
      <c r="BV33" s="353"/>
      <c r="BW33" s="353"/>
      <c r="BX33" s="353"/>
      <c r="BY33" s="353"/>
      <c r="BZ33" s="353"/>
    </row>
    <row r="34" ht="18.75" customHeight="1">
      <c r="A34" s="809" t="str">
        <f>IFERROR(__xludf.DUMMYFUNCTION("""COMPUTED_VALUE"""),"Tgl. Titimangsa Ganjil")</f>
        <v>Tgl. Titimangsa Ganjil</v>
      </c>
      <c r="B34" s="962" t="str">
        <f>IFERROR(__xludf.DUMMYFUNCTION("""COMPUTED_VALUE"""),":")</f>
        <v>:</v>
      </c>
      <c r="C34" s="824" t="str">
        <f>IFERROR(__xludf.DUMMYFUNCTION("""COMPUTED_VALUE"""),"Purwakarta, 22 Desember 2025")</f>
        <v>Purwakarta, 22 Desember 2025</v>
      </c>
      <c r="D34" s="963" t="str">
        <f>IFERROR(__xludf.DUMMYFUNCTION("""COMPUTED_VALUE"""),"Ganjil")</f>
        <v>Ganjil</v>
      </c>
      <c r="E34" s="222">
        <f>IFERROR(__xludf.DUMMYFUNCTION("""COMPUTED_VALUE"""),32.0)</f>
        <v>32</v>
      </c>
      <c r="F34" s="813" t="str">
        <f>IFERROR(__xludf.DUMMYFUNCTION("""COMPUTED_VALUE"""),"2526100445")</f>
        <v>2526100445</v>
      </c>
      <c r="G34" s="813" t="str">
        <f>IFERROR(__xludf.DUMMYFUNCTION("""COMPUTED_VALUE"""),"0093505472")</f>
        <v>0093505472</v>
      </c>
      <c r="H34" s="813" t="str">
        <f>IFERROR(__xludf.DUMMYFUNCTION("""COMPUTED_VALUE"""),"MUHAMMAD NAZIL SIBTHURRIDHO")</f>
        <v>MUHAMMAD NAZIL SIBTHURRIDHO</v>
      </c>
      <c r="I34" s="813" t="str">
        <f>IFERROR(__xludf.DUMMYFUNCTION("""COMPUTED_VALUE"""),"X TO 4")</f>
        <v>X TO 4</v>
      </c>
      <c r="J34" s="813" t="str">
        <f>IFERROR(__xludf.DUMMYFUNCTION("""COMPUTED_VALUE"""),"Purwakarta")</f>
        <v>Purwakarta</v>
      </c>
      <c r="K34" s="815">
        <f>IFERROR(__xludf.DUMMYFUNCTION("""COMPUTED_VALUE"""),40177.0)</f>
        <v>40177</v>
      </c>
      <c r="L34" s="813" t="str">
        <f>IFERROR(__xludf.DUMMYFUNCTION("""COMPUTED_VALUE"""),"Laki-Laki")</f>
        <v>Laki-Laki</v>
      </c>
      <c r="M34" s="813" t="str">
        <f>IFERROR(__xludf.DUMMYFUNCTION("""COMPUTED_VALUE"""),"Islam")</f>
        <v>Islam</v>
      </c>
      <c r="N34" s="813" t="str">
        <f>IFERROR(__xludf.DUMMYFUNCTION("""COMPUTED_VALUE"""),"Anak Kandung")</f>
        <v>Anak Kandung</v>
      </c>
      <c r="O34" s="813" t="str">
        <f>IFERROR(__xludf.DUMMYFUNCTION("""COMPUTED_VALUE"""),"1 (Satu)")</f>
        <v>1 (Satu)</v>
      </c>
      <c r="P34" s="813" t="str">
        <f>IFERROR(__xludf.DUMMYFUNCTION("""COMPUTED_VALUE"""),"Kp. Kiaralawang RT/RW 015/009 Desa Cisarua Kec. Tegalwaru Kab. Purwakarta")</f>
        <v>Kp. Kiaralawang RT/RW 015/009 Desa Cisarua Kec. Tegalwaru Kab. Purwakarta</v>
      </c>
      <c r="Q34" s="813" t="str">
        <f>IFERROR(__xludf.DUMMYFUNCTION("""COMPUTED_VALUE"""),"-")</f>
        <v>-</v>
      </c>
      <c r="R34" s="813" t="str">
        <f>IFERROR(__xludf.DUMMYFUNCTION("""COMPUTED_VALUE"""),"MTsS Al Fatah")</f>
        <v>MTsS Al Fatah</v>
      </c>
      <c r="S34" s="813" t="str">
        <f>IFERROR(__xludf.DUMMYFUNCTION("""COMPUTED_VALUE"""),"X TO 4")</f>
        <v>X TO 4</v>
      </c>
      <c r="T34" s="813" t="str">
        <f>IFERROR(__xludf.DUMMYFUNCTION("""COMPUTED_VALUE"""),"14 Juli 2025")</f>
        <v>14 Juli 2025</v>
      </c>
      <c r="U34" s="813" t="str">
        <f>IFERROR(__xludf.DUMMYFUNCTION("""COMPUTED_VALUE"""),"Hendra")</f>
        <v>Hendra</v>
      </c>
      <c r="V34" s="813" t="str">
        <f>IFERROR(__xludf.DUMMYFUNCTION("""COMPUTED_VALUE"""),"Wini Najiah")</f>
        <v>Wini Najiah</v>
      </c>
      <c r="W34" s="813" t="str">
        <f>IFERROR(__xludf.DUMMYFUNCTION("""COMPUTED_VALUE"""),"Kp. Kiaralawang RT 015/009 Desa Cisarua Kec. Tegalwaru Kab. Purwakarta")</f>
        <v>Kp. Kiaralawang RT 015/009 Desa Cisarua Kec. Tegalwaru Kab. Purwakarta</v>
      </c>
      <c r="X34" s="813" t="str">
        <f>IFERROR(__xludf.DUMMYFUNCTION("""COMPUTED_VALUE"""),"-")</f>
        <v>-</v>
      </c>
      <c r="Y34" s="813" t="str">
        <f>IFERROR(__xludf.DUMMYFUNCTION("""COMPUTED_VALUE"""),"PNS (Guru)")</f>
        <v>PNS (Guru)</v>
      </c>
      <c r="Z34" s="813" t="str">
        <f>IFERROR(__xludf.DUMMYFUNCTION("""COMPUTED_VALUE"""),"Guru Non PNS")</f>
        <v>Guru Non PNS</v>
      </c>
      <c r="AA34" s="813" t="str">
        <f>IFERROR(__xludf.DUMMYFUNCTION("""COMPUTED_VALUE"""),"-")</f>
        <v>-</v>
      </c>
      <c r="AB34" s="813" t="str">
        <f>IFERROR(__xludf.DUMMYFUNCTION("""COMPUTED_VALUE"""),"-")</f>
        <v>-</v>
      </c>
      <c r="AC34" s="813" t="str">
        <f>IFERROR(__xludf.DUMMYFUNCTION("""COMPUTED_VALUE"""),"-")</f>
        <v>-</v>
      </c>
      <c r="AD34" s="813"/>
      <c r="AE34" s="813" t="str">
        <f>IFERROR(__xludf.DUMMYFUNCTION("""COMPUTED_VALUE"""),"20229659")</f>
        <v>20229659</v>
      </c>
      <c r="AF34" s="813"/>
      <c r="AG34" s="813" t="str">
        <f>IFERROR(__xludf.DUMMYFUNCTION("""COMPUTED_VALUE"""),"/appsheet/data/InputBiodataRaportX-3328125/FilePDF/MUHAMMAD NAZIL SIBTHURRIDHO-616b63bc.PDF")</f>
        <v>/appsheet/data/InputBiodataRaportX-3328125/FilePDF/MUHAMMAD NAZIL SIBTHURRIDHO-616b63bc.PDF</v>
      </c>
      <c r="AH34" s="813" t="str">
        <f>IFERROR(__xludf.DUMMYFUNCTION("""COMPUTED_VALUE"""),"2025 2026")</f>
        <v>2025 2026</v>
      </c>
      <c r="AI34" s="813" t="str">
        <f>IFERROR(__xludf.DUMMYFUNCTION("""COMPUTED_VALUE"""),"Purwakarta, 22 Desember 2025")</f>
        <v>Purwakarta, 22 Desember 2025</v>
      </c>
      <c r="AJ34" s="816" t="s">
        <v>645</v>
      </c>
      <c r="AK34" s="817" t="b">
        <f t="shared" ref="AK34:AL34" si="33">IF(H34:H137&lt;&gt;"",ISNUMBER(match(CONCATENATE(AK$2,"_",$C$4,"_",$C$3,"_",$C$2,"_",$H34,".pdf"),$AJ$3:$AJ137,0)))</f>
        <v>0</v>
      </c>
      <c r="AL34" s="817" t="b">
        <f t="shared" si="33"/>
        <v>0</v>
      </c>
      <c r="AM34" s="817" t="b">
        <f t="shared" si="27"/>
        <v>1</v>
      </c>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3"/>
      <c r="BK34" s="353"/>
      <c r="BL34" s="353"/>
      <c r="BM34" s="353"/>
      <c r="BN34" s="353"/>
      <c r="BO34" s="353"/>
      <c r="BP34" s="353"/>
      <c r="BQ34" s="353"/>
      <c r="BR34" s="353"/>
      <c r="BS34" s="353"/>
      <c r="BT34" s="353"/>
      <c r="BU34" s="353"/>
      <c r="BV34" s="353"/>
      <c r="BW34" s="353"/>
      <c r="BX34" s="353"/>
      <c r="BY34" s="353"/>
      <c r="BZ34" s="353"/>
    </row>
    <row r="35" ht="18.75" customHeight="1">
      <c r="A35" s="967" t="str">
        <f>IFERROR(__xludf.DUMMYFUNCTION("""COMPUTED_VALUE"""),"Tgl. Titimangsa Genap")</f>
        <v>Tgl. Titimangsa Genap</v>
      </c>
      <c r="B35" s="968" t="str">
        <f>IFERROR(__xludf.DUMMYFUNCTION("""COMPUTED_VALUE"""),":")</f>
        <v>:</v>
      </c>
      <c r="C35" s="969" t="str">
        <f>IFERROR(__xludf.DUMMYFUNCTION("""COMPUTED_VALUE"""),"Purwakarta, 24 Juni 2026")</f>
        <v>Purwakarta, 24 Juni 2026</v>
      </c>
      <c r="D35" s="970" t="str">
        <f>IFERROR(__xludf.DUMMYFUNCTION("""COMPUTED_VALUE"""),"Genap")</f>
        <v>Genap</v>
      </c>
      <c r="E35" s="222">
        <f>IFERROR(__xludf.DUMMYFUNCTION("""COMPUTED_VALUE"""),33.0)</f>
        <v>33</v>
      </c>
      <c r="F35" s="813" t="str">
        <f>IFERROR(__xludf.DUMMYFUNCTION("""COMPUTED_VALUE"""),"2526100446")</f>
        <v>2526100446</v>
      </c>
      <c r="G35" s="813" t="str">
        <f>IFERROR(__xludf.DUMMYFUNCTION("""COMPUTED_VALUE"""),"0078810983")</f>
        <v>0078810983</v>
      </c>
      <c r="H35" s="813" t="str">
        <f>IFERROR(__xludf.DUMMYFUNCTION("""COMPUTED_VALUE"""),"MUHAMMAD RAGIL")</f>
        <v>MUHAMMAD RAGIL</v>
      </c>
      <c r="I35" s="813" t="str">
        <f>IFERROR(__xludf.DUMMYFUNCTION("""COMPUTED_VALUE"""),"X TO 4")</f>
        <v>X TO 4</v>
      </c>
      <c r="J35" s="813" t="str">
        <f>IFERROR(__xludf.DUMMYFUNCTION("""COMPUTED_VALUE"""),"Purwakarta")</f>
        <v>Purwakarta</v>
      </c>
      <c r="K35" s="815">
        <f>IFERROR(__xludf.DUMMYFUNCTION("""COMPUTED_VALUE"""),39157.0)</f>
        <v>39157</v>
      </c>
      <c r="L35" s="813" t="str">
        <f>IFERROR(__xludf.DUMMYFUNCTION("""COMPUTED_VALUE"""),"Laki-Laki")</f>
        <v>Laki-Laki</v>
      </c>
      <c r="M35" s="813" t="str">
        <f>IFERROR(__xludf.DUMMYFUNCTION("""COMPUTED_VALUE"""),"Islam")</f>
        <v>Islam</v>
      </c>
      <c r="N35" s="813" t="str">
        <f>IFERROR(__xludf.DUMMYFUNCTION("""COMPUTED_VALUE"""),"Anak Kandung")</f>
        <v>Anak Kandung</v>
      </c>
      <c r="O35" s="813" t="str">
        <f>IFERROR(__xludf.DUMMYFUNCTION("""COMPUTED_VALUE"""),"1 (Satu)")</f>
        <v>1 (Satu)</v>
      </c>
      <c r="P35" s="813" t="str">
        <f>IFERROR(__xludf.DUMMYFUNCTION("""COMPUTED_VALUE"""),"Kp. Cihamerang RT/RW 021/008 Desa Cibogo Girang Kec. Plered Kab. Purwakarta")</f>
        <v>Kp. Cihamerang RT/RW 021/008 Desa Cibogo Girang Kec. Plered Kab. Purwakarta</v>
      </c>
      <c r="Q35" s="813" t="str">
        <f>IFERROR(__xludf.DUMMYFUNCTION("""COMPUTED_VALUE"""),"-")</f>
        <v>-</v>
      </c>
      <c r="R35" s="813" t="str">
        <f>IFERROR(__xludf.DUMMYFUNCTION("""COMPUTED_VALUE"""),"MTsS Islahul Aqidah")</f>
        <v>MTsS Islahul Aqidah</v>
      </c>
      <c r="S35" s="813" t="str">
        <f>IFERROR(__xludf.DUMMYFUNCTION("""COMPUTED_VALUE"""),"X TO 4")</f>
        <v>X TO 4</v>
      </c>
      <c r="T35" s="813" t="str">
        <f>IFERROR(__xludf.DUMMYFUNCTION("""COMPUTED_VALUE"""),"14 Juli 2025")</f>
        <v>14 Juli 2025</v>
      </c>
      <c r="U35" s="813" t="str">
        <f>IFERROR(__xludf.DUMMYFUNCTION("""COMPUTED_VALUE"""),"Jajang")</f>
        <v>Jajang</v>
      </c>
      <c r="V35" s="813" t="str">
        <f>IFERROR(__xludf.DUMMYFUNCTION("""COMPUTED_VALUE"""),"Ai Enen")</f>
        <v>Ai Enen</v>
      </c>
      <c r="W35" s="813" t="str">
        <f>IFERROR(__xludf.DUMMYFUNCTION("""COMPUTED_VALUE"""),"Kp. Cihamerang RT 021/008 Desa Cibogo Girang Kec. Plered Kab. Purwakarta")</f>
        <v>Kp. Cihamerang RT 021/008 Desa Cibogo Girang Kec. Plered Kab. Purwakarta</v>
      </c>
      <c r="X35" s="813" t="str">
        <f>IFERROR(__xludf.DUMMYFUNCTION("""COMPUTED_VALUE"""),"-")</f>
        <v>-</v>
      </c>
      <c r="Y35" s="813" t="str">
        <f>IFERROR(__xludf.DUMMYFUNCTION("""COMPUTED_VALUE"""),"Lainnya")</f>
        <v>Lainnya</v>
      </c>
      <c r="Z35" s="813" t="str">
        <f>IFERROR(__xludf.DUMMYFUNCTION("""COMPUTED_VALUE"""),"Rumah Tangga")</f>
        <v>Rumah Tangga</v>
      </c>
      <c r="AA35" s="813" t="str">
        <f>IFERROR(__xludf.DUMMYFUNCTION("""COMPUTED_VALUE"""),"-")</f>
        <v>-</v>
      </c>
      <c r="AB35" s="813" t="str">
        <f>IFERROR(__xludf.DUMMYFUNCTION("""COMPUTED_VALUE"""),"-")</f>
        <v>-</v>
      </c>
      <c r="AC35" s="813" t="str">
        <f>IFERROR(__xludf.DUMMYFUNCTION("""COMPUTED_VALUE"""),"-")</f>
        <v>-</v>
      </c>
      <c r="AD35" s="813"/>
      <c r="AE35" s="813" t="str">
        <f>IFERROR(__xludf.DUMMYFUNCTION("""COMPUTED_VALUE"""),"20229659")</f>
        <v>20229659</v>
      </c>
      <c r="AF35" s="813"/>
      <c r="AG35" s="813" t="str">
        <f>IFERROR(__xludf.DUMMYFUNCTION("""COMPUTED_VALUE"""),"/appsheet/data/InputBiodataRaportX-3328125/FilePDF/MUHAMMAD RAGIL-26759ae1.PDF")</f>
        <v>/appsheet/data/InputBiodataRaportX-3328125/FilePDF/MUHAMMAD RAGIL-26759ae1.PDF</v>
      </c>
      <c r="AH35" s="813" t="str">
        <f>IFERROR(__xludf.DUMMYFUNCTION("""COMPUTED_VALUE"""),"2025 2026")</f>
        <v>2025 2026</v>
      </c>
      <c r="AI35" s="813" t="str">
        <f>IFERROR(__xludf.DUMMYFUNCTION("""COMPUTED_VALUE"""),"Purwakarta, 22 Desember 2025")</f>
        <v>Purwakarta, 22 Desember 2025</v>
      </c>
      <c r="AJ35" s="816" t="s">
        <v>674</v>
      </c>
      <c r="AK35" s="817" t="b">
        <f t="shared" ref="AK35:AL35" si="34">IF(H35:H137&lt;&gt;"",ISNUMBER(match(CONCATENATE(AK$2,"_",$C$4,"_",$C$3,"_",$C$2,"_",$H35,".pdf"),$AJ$3:$AJ137,0)))</f>
        <v>0</v>
      </c>
      <c r="AL35" s="817" t="b">
        <f t="shared" si="34"/>
        <v>0</v>
      </c>
      <c r="AM35" s="817" t="b">
        <f t="shared" si="27"/>
        <v>1</v>
      </c>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3"/>
      <c r="BK35" s="353"/>
      <c r="BL35" s="353"/>
      <c r="BM35" s="353"/>
      <c r="BN35" s="353"/>
      <c r="BO35" s="353"/>
      <c r="BP35" s="353"/>
      <c r="BQ35" s="353"/>
      <c r="BR35" s="353"/>
      <c r="BS35" s="353"/>
      <c r="BT35" s="353"/>
      <c r="BU35" s="353"/>
      <c r="BV35" s="353"/>
      <c r="BW35" s="353"/>
      <c r="BX35" s="353"/>
      <c r="BY35" s="353"/>
      <c r="BZ35" s="353"/>
    </row>
    <row r="36" ht="18.75" customHeight="1">
      <c r="A36" s="971"/>
      <c r="B36" s="971"/>
      <c r="C36" s="972"/>
      <c r="D36" s="971"/>
      <c r="E36" s="825">
        <f>IFERROR(__xludf.DUMMYFUNCTION("""COMPUTED_VALUE"""),34.0)</f>
        <v>34</v>
      </c>
      <c r="F36" s="813" t="str">
        <f>IFERROR(__xludf.DUMMYFUNCTION("""COMPUTED_VALUE"""),"2526100447")</f>
        <v>2526100447</v>
      </c>
      <c r="G36" s="813" t="str">
        <f>IFERROR(__xludf.DUMMYFUNCTION("""COMPUTED_VALUE"""),"0098041660")</f>
        <v>0098041660</v>
      </c>
      <c r="H36" s="813" t="str">
        <f>IFERROR(__xludf.DUMMYFUNCTION("""COMPUTED_VALUE"""),"NAJMI ERIANA")</f>
        <v>NAJMI ERIANA</v>
      </c>
      <c r="I36" s="813" t="str">
        <f>IFERROR(__xludf.DUMMYFUNCTION("""COMPUTED_VALUE"""),"X TO 4")</f>
        <v>X TO 4</v>
      </c>
      <c r="J36" s="813" t="str">
        <f>IFERROR(__xludf.DUMMYFUNCTION("""COMPUTED_VALUE"""),"Purwakarta")</f>
        <v>Purwakarta</v>
      </c>
      <c r="K36" s="815">
        <f>IFERROR(__xludf.DUMMYFUNCTION("""COMPUTED_VALUE"""),40081.0)</f>
        <v>40081</v>
      </c>
      <c r="L36" s="813" t="str">
        <f>IFERROR(__xludf.DUMMYFUNCTION("""COMPUTED_VALUE"""),"Laki-Laki")</f>
        <v>Laki-Laki</v>
      </c>
      <c r="M36" s="813" t="str">
        <f>IFERROR(__xludf.DUMMYFUNCTION("""COMPUTED_VALUE"""),"Islam")</f>
        <v>Islam</v>
      </c>
      <c r="N36" s="813" t="str">
        <f>IFERROR(__xludf.DUMMYFUNCTION("""COMPUTED_VALUE"""),"Anak Kandung")</f>
        <v>Anak Kandung</v>
      </c>
      <c r="O36" s="813" t="str">
        <f>IFERROR(__xludf.DUMMYFUNCTION("""COMPUTED_VALUE"""),"2 (Dua)")</f>
        <v>2 (Dua)</v>
      </c>
      <c r="P36" s="813" t="str">
        <f>IFERROR(__xludf.DUMMYFUNCTION("""COMPUTED_VALUE"""),"Kp. Pasanggrahan RT/RW 013/005 Desa Pasanggrahan Kec. Tegalwaru Kab. Purwakarta")</f>
        <v>Kp. Pasanggrahan RT/RW 013/005 Desa Pasanggrahan Kec. Tegalwaru Kab. Purwakarta</v>
      </c>
      <c r="Q36" s="813" t="str">
        <f>IFERROR(__xludf.DUMMYFUNCTION("""COMPUTED_VALUE"""),"-")</f>
        <v>-</v>
      </c>
      <c r="R36" s="813" t="str">
        <f>IFERROR(__xludf.DUMMYFUNCTION("""COMPUTED_VALUE"""),"SMP Negeri 3 Tegalwaru")</f>
        <v>SMP Negeri 3 Tegalwaru</v>
      </c>
      <c r="S36" s="813" t="str">
        <f>IFERROR(__xludf.DUMMYFUNCTION("""COMPUTED_VALUE"""),"X TO 4")</f>
        <v>X TO 4</v>
      </c>
      <c r="T36" s="813" t="str">
        <f>IFERROR(__xludf.DUMMYFUNCTION("""COMPUTED_VALUE"""),"14 Juli 2025")</f>
        <v>14 Juli 2025</v>
      </c>
      <c r="U36" s="813" t="str">
        <f>IFERROR(__xludf.DUMMYFUNCTION("""COMPUTED_VALUE"""),"Usup")</f>
        <v>Usup</v>
      </c>
      <c r="V36" s="813" t="str">
        <f>IFERROR(__xludf.DUMMYFUNCTION("""COMPUTED_VALUE"""),"Yeyeh")</f>
        <v>Yeyeh</v>
      </c>
      <c r="W36" s="813" t="str">
        <f>IFERROR(__xludf.DUMMYFUNCTION("""COMPUTED_VALUE"""),"Kp. Pasanggrahan RT/RW 013/005 Desa Pasanggrahan Kec. Tegalwaru Kab. Purwakarta")</f>
        <v>Kp. Pasanggrahan RT/RW 013/005 Desa Pasanggrahan Kec. Tegalwaru Kab. Purwakarta</v>
      </c>
      <c r="X36" s="813" t="str">
        <f>IFERROR(__xludf.DUMMYFUNCTION("""COMPUTED_VALUE"""),"-")</f>
        <v>-</v>
      </c>
      <c r="Y36" s="813" t="str">
        <f>IFERROR(__xludf.DUMMYFUNCTION("""COMPUTED_VALUE"""),"Buruh")</f>
        <v>Buruh</v>
      </c>
      <c r="Z36" s="813" t="str">
        <f>IFERROR(__xludf.DUMMYFUNCTION("""COMPUTED_VALUE"""),"Rumah Tangga")</f>
        <v>Rumah Tangga</v>
      </c>
      <c r="AA36" s="813"/>
      <c r="AB36" s="813"/>
      <c r="AC36" s="813"/>
      <c r="AD36" s="813"/>
      <c r="AE36" s="813" t="str">
        <f>IFERROR(__xludf.DUMMYFUNCTION("""COMPUTED_VALUE"""),"20229659")</f>
        <v>20229659</v>
      </c>
      <c r="AF36" s="813"/>
      <c r="AG36" s="813" t="str">
        <f>IFERROR(__xludf.DUMMYFUNCTION("""COMPUTED_VALUE"""),"/appsheet/data/InputBiodataRaportX-3328125/FilePDF/NAJMI ERIANA-26c8f395.PDF")</f>
        <v>/appsheet/data/InputBiodataRaportX-3328125/FilePDF/NAJMI ERIANA-26c8f395.PDF</v>
      </c>
      <c r="AH36" s="813" t="str">
        <f>IFERROR(__xludf.DUMMYFUNCTION("""COMPUTED_VALUE"""),"2025 2026")</f>
        <v>2025 2026</v>
      </c>
      <c r="AI36" s="813" t="str">
        <f>IFERROR(__xludf.DUMMYFUNCTION("""COMPUTED_VALUE"""),"Purwakarta, 22 Desember 2025")</f>
        <v>Purwakarta, 22 Desember 2025</v>
      </c>
      <c r="AJ36" s="816" t="s">
        <v>714</v>
      </c>
      <c r="AK36" s="817" t="b">
        <f t="shared" ref="AK36:AL36" si="35">IF(H36:H137&lt;&gt;"",ISNUMBER(match(CONCATENATE(AK$2,"_",$C$4,"_",$C$3,"_",$C$2,"_",$H36,".pdf"),$AJ$3:$AJ137,0)))</f>
        <v>0</v>
      </c>
      <c r="AL36" s="817" t="b">
        <f t="shared" si="35"/>
        <v>0</v>
      </c>
      <c r="AM36" s="817" t="b">
        <f t="shared" si="27"/>
        <v>1</v>
      </c>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3"/>
      <c r="BW36" s="353"/>
      <c r="BX36" s="353"/>
      <c r="BY36" s="353"/>
      <c r="BZ36" s="353"/>
    </row>
    <row r="37" ht="18.75" customHeight="1">
      <c r="A37" s="971" t="str">
        <f>IFERROR(__xludf.DUMMYFUNCTION("""COMPUTED_VALUE"""),"Nama Sekolah")</f>
        <v>Nama Sekolah</v>
      </c>
      <c r="B37" s="973" t="str">
        <f>IFERROR(__xludf.DUMMYFUNCTION("""COMPUTED_VALUE"""),"SMK NEGERI 1 PLERED")</f>
        <v>SMK NEGERI 1 PLERED</v>
      </c>
      <c r="C37" s="971"/>
      <c r="D37" s="971"/>
      <c r="E37" s="825">
        <f>IFERROR(__xludf.DUMMYFUNCTION("""COMPUTED_VALUE"""),35.0)</f>
        <v>35</v>
      </c>
      <c r="F37" s="813" t="str">
        <f>IFERROR(__xludf.DUMMYFUNCTION("""COMPUTED_VALUE"""),"2526100448")</f>
        <v>2526100448</v>
      </c>
      <c r="G37" s="813" t="str">
        <f>IFERROR(__xludf.DUMMYFUNCTION("""COMPUTED_VALUE"""),"0094411174")</f>
        <v>0094411174</v>
      </c>
      <c r="H37" s="813" t="str">
        <f>IFERROR(__xludf.DUMMYFUNCTION("""COMPUTED_VALUE"""),"PANO PAIZAL")</f>
        <v>PANO PAIZAL</v>
      </c>
      <c r="I37" s="813" t="str">
        <f>IFERROR(__xludf.DUMMYFUNCTION("""COMPUTED_VALUE"""),"X TO 4")</f>
        <v>X TO 4</v>
      </c>
      <c r="J37" s="813" t="str">
        <f>IFERROR(__xludf.DUMMYFUNCTION("""COMPUTED_VALUE"""),"Kab. Bandung Barat")</f>
        <v>Kab. Bandung Barat</v>
      </c>
      <c r="K37" s="815">
        <f>IFERROR(__xludf.DUMMYFUNCTION("""COMPUTED_VALUE"""),39966.0)</f>
        <v>39966</v>
      </c>
      <c r="L37" s="813" t="str">
        <f>IFERROR(__xludf.DUMMYFUNCTION("""COMPUTED_VALUE"""),"Laki-Laki")</f>
        <v>Laki-Laki</v>
      </c>
      <c r="M37" s="813" t="str">
        <f>IFERROR(__xludf.DUMMYFUNCTION("""COMPUTED_VALUE"""),"Islam")</f>
        <v>Islam</v>
      </c>
      <c r="N37" s="813" t="str">
        <f>IFERROR(__xludf.DUMMYFUNCTION("""COMPUTED_VALUE"""),"Anak Kandung")</f>
        <v>Anak Kandung</v>
      </c>
      <c r="O37" s="813" t="str">
        <f>IFERROR(__xludf.DUMMYFUNCTION("""COMPUTED_VALUE"""),"1 (Satu)")</f>
        <v>1 (Satu)</v>
      </c>
      <c r="P37" s="813" t="str">
        <f>IFERROR(__xludf.DUMMYFUNCTION("""COMPUTED_VALUE"""),"Kp. Cilumber RT/RW 002/009 Desa Cibogo Kec. Lembang Kab. Bandung Barat")</f>
        <v>Kp. Cilumber RT/RW 002/009 Desa Cibogo Kec. Lembang Kab. Bandung Barat</v>
      </c>
      <c r="Q37" s="813" t="str">
        <f>IFERROR(__xludf.DUMMYFUNCTION("""COMPUTED_VALUE"""),"-")</f>
        <v>-</v>
      </c>
      <c r="R37" s="813" t="str">
        <f>IFERROR(__xludf.DUMMYFUNCTION("""COMPUTED_VALUE"""),"MTsS Nurul Huda Lembang")</f>
        <v>MTsS Nurul Huda Lembang</v>
      </c>
      <c r="S37" s="813" t="str">
        <f>IFERROR(__xludf.DUMMYFUNCTION("""COMPUTED_VALUE"""),"X TO 4")</f>
        <v>X TO 4</v>
      </c>
      <c r="T37" s="813" t="str">
        <f>IFERROR(__xludf.DUMMYFUNCTION("""COMPUTED_VALUE"""),"14 Juli 2025")</f>
        <v>14 Juli 2025</v>
      </c>
      <c r="U37" s="813"/>
      <c r="V37" s="813" t="str">
        <f>IFERROR(__xludf.DUMMYFUNCTION("""COMPUTED_VALUE"""),"Euneng Irna")</f>
        <v>Euneng Irna</v>
      </c>
      <c r="W37" s="813" t="str">
        <f>IFERROR(__xludf.DUMMYFUNCTION("""COMPUTED_VALUE"""),"Kp. Cilumber RT/RW 002/009 Desa Cibogo Kec. Lembang Kab. Bandung Barat")</f>
        <v>Kp. Cilumber RT/RW 002/009 Desa Cibogo Kec. Lembang Kab. Bandung Barat</v>
      </c>
      <c r="X37" s="813" t="str">
        <f>IFERROR(__xludf.DUMMYFUNCTION("""COMPUTED_VALUE"""),"-")</f>
        <v>-</v>
      </c>
      <c r="Y37" s="813"/>
      <c r="Z37" s="813" t="str">
        <f>IFERROR(__xludf.DUMMYFUNCTION("""COMPUTED_VALUE"""),"Rumah Tangga")</f>
        <v>Rumah Tangga</v>
      </c>
      <c r="AA37" s="813" t="str">
        <f>IFERROR(__xludf.DUMMYFUNCTION("""COMPUTED_VALUE"""),"-")</f>
        <v>-</v>
      </c>
      <c r="AB37" s="813" t="str">
        <f>IFERROR(__xludf.DUMMYFUNCTION("""COMPUTED_VALUE"""),"-")</f>
        <v>-</v>
      </c>
      <c r="AC37" s="813" t="str">
        <f>IFERROR(__xludf.DUMMYFUNCTION("""COMPUTED_VALUE"""),"-")</f>
        <v>-</v>
      </c>
      <c r="AD37" s="813"/>
      <c r="AE37" s="813" t="str">
        <f>IFERROR(__xludf.DUMMYFUNCTION("""COMPUTED_VALUE"""),"20229659")</f>
        <v>20229659</v>
      </c>
      <c r="AF37" s="813"/>
      <c r="AG37" s="813" t="str">
        <f>IFERROR(__xludf.DUMMYFUNCTION("""COMPUTED_VALUE"""),"/appsheet/data/InputBiodataRaportX-3328125/FilePDF/PANO PAIZAL-c328ba2c.PDF")</f>
        <v>/appsheet/data/InputBiodataRaportX-3328125/FilePDF/PANO PAIZAL-c328ba2c.PDF</v>
      </c>
      <c r="AH37" s="813" t="str">
        <f>IFERROR(__xludf.DUMMYFUNCTION("""COMPUTED_VALUE"""),"2025 2026")</f>
        <v>2025 2026</v>
      </c>
      <c r="AI37" s="813" t="str">
        <f>IFERROR(__xludf.DUMMYFUNCTION("""COMPUTED_VALUE"""),"Purwakarta, 22 Desember 2025")</f>
        <v>Purwakarta, 22 Desember 2025</v>
      </c>
      <c r="AJ37" s="816" t="s">
        <v>745</v>
      </c>
      <c r="AK37" s="817" t="b">
        <f t="shared" ref="AK37:AL37" si="36">IF(H37:H137&lt;&gt;"",ISNUMBER(match(CONCATENATE(AK$2,"_",$C$4,"_",$C$3,"_",$C$2,"_",$H37,".pdf"),$AJ$3:$AJ137,0)))</f>
        <v>0</v>
      </c>
      <c r="AL37" s="817" t="b">
        <f t="shared" si="36"/>
        <v>0</v>
      </c>
      <c r="AM37" s="817" t="b">
        <f t="shared" si="27"/>
        <v>1</v>
      </c>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c r="BW37" s="353"/>
      <c r="BX37" s="353"/>
      <c r="BY37" s="353"/>
      <c r="BZ37" s="353"/>
    </row>
    <row r="38" ht="18.75" customHeight="1">
      <c r="A38" s="971" t="str">
        <f>IFERROR(__xludf.DUMMYFUNCTION("""COMPUTED_VALUE"""),"NPSN")</f>
        <v>NPSN</v>
      </c>
      <c r="B38" s="973" t="str">
        <f>IFERROR(__xludf.DUMMYFUNCTION("""COMPUTED_VALUE"""),"20229659")</f>
        <v>20229659</v>
      </c>
      <c r="C38" s="971"/>
      <c r="D38" s="971"/>
      <c r="E38" s="825">
        <f>IFERROR(__xludf.DUMMYFUNCTION("""COMPUTED_VALUE"""),36.0)</f>
        <v>36</v>
      </c>
      <c r="F38" s="813" t="str">
        <f>IFERROR(__xludf.DUMMYFUNCTION("""COMPUTED_VALUE"""),"2526100449")</f>
        <v>2526100449</v>
      </c>
      <c r="G38" s="813" t="str">
        <f>IFERROR(__xludf.DUMMYFUNCTION("""COMPUTED_VALUE"""),"3104749923")</f>
        <v>3104749923</v>
      </c>
      <c r="H38" s="813" t="str">
        <f>IFERROR(__xludf.DUMMYFUNCTION("""COMPUTED_VALUE"""),"PIRMAN ADRIYANI PUTRA")</f>
        <v>PIRMAN ADRIYANI PUTRA</v>
      </c>
      <c r="I38" s="813" t="str">
        <f>IFERROR(__xludf.DUMMYFUNCTION("""COMPUTED_VALUE"""),"X TO 4")</f>
        <v>X TO 4</v>
      </c>
      <c r="J38" s="813" t="str">
        <f>IFERROR(__xludf.DUMMYFUNCTION("""COMPUTED_VALUE"""),"Purwakarta")</f>
        <v>Purwakarta</v>
      </c>
      <c r="K38" s="815">
        <f>IFERROR(__xludf.DUMMYFUNCTION("""COMPUTED_VALUE"""),40339.0)</f>
        <v>40339</v>
      </c>
      <c r="L38" s="813" t="str">
        <f>IFERROR(__xludf.DUMMYFUNCTION("""COMPUTED_VALUE"""),"Laki-Laki")</f>
        <v>Laki-Laki</v>
      </c>
      <c r="M38" s="813" t="str">
        <f>IFERROR(__xludf.DUMMYFUNCTION("""COMPUTED_VALUE"""),"Islam")</f>
        <v>Islam</v>
      </c>
      <c r="N38" s="813" t="str">
        <f>IFERROR(__xludf.DUMMYFUNCTION("""COMPUTED_VALUE"""),"Anak Kandung")</f>
        <v>Anak Kandung</v>
      </c>
      <c r="O38" s="813" t="str">
        <f>IFERROR(__xludf.DUMMYFUNCTION("""COMPUTED_VALUE"""),"1 (Satu)")</f>
        <v>1 (Satu)</v>
      </c>
      <c r="P38" s="813" t="str">
        <f>IFERROR(__xludf.DUMMYFUNCTION("""COMPUTED_VALUE"""),"Kp. Cihuni RT/RW 006/003 Desa Sukamulya Kec. Tegalwaru Kab. Purwakarta")</f>
        <v>Kp. Cihuni RT/RW 006/003 Desa Sukamulya Kec. Tegalwaru Kab. Purwakarta</v>
      </c>
      <c r="Q38" s="813" t="str">
        <f>IFERROR(__xludf.DUMMYFUNCTION("""COMPUTED_VALUE"""),"-")</f>
        <v>-</v>
      </c>
      <c r="R38" s="813" t="str">
        <f>IFERROR(__xludf.DUMMYFUNCTION("""COMPUTED_VALUE"""),"SMP Negeri 2 Tegalwaru")</f>
        <v>SMP Negeri 2 Tegalwaru</v>
      </c>
      <c r="S38" s="813" t="str">
        <f>IFERROR(__xludf.DUMMYFUNCTION("""COMPUTED_VALUE"""),"X TO 4")</f>
        <v>X TO 4</v>
      </c>
      <c r="T38" s="813" t="str">
        <f>IFERROR(__xludf.DUMMYFUNCTION("""COMPUTED_VALUE"""),"14 Juli 2025")</f>
        <v>14 Juli 2025</v>
      </c>
      <c r="U38" s="813" t="str">
        <f>IFERROR(__xludf.DUMMYFUNCTION("""COMPUTED_VALUE"""),"Yahya Supriatna")</f>
        <v>Yahya Supriatna</v>
      </c>
      <c r="V38" s="813" t="str">
        <f>IFERROR(__xludf.DUMMYFUNCTION("""COMPUTED_VALUE"""),"Marini")</f>
        <v>Marini</v>
      </c>
      <c r="W38" s="813" t="str">
        <f>IFERROR(__xludf.DUMMYFUNCTION("""COMPUTED_VALUE"""),"Kp. Cihuni RT/RW 006/003 Desa Sukamulya Kec. Tegalwaru Kab. Purwakarta")</f>
        <v>Kp. Cihuni RT/RW 006/003 Desa Sukamulya Kec. Tegalwaru Kab. Purwakarta</v>
      </c>
      <c r="X38" s="813" t="str">
        <f>IFERROR(__xludf.DUMMYFUNCTION("""COMPUTED_VALUE"""),"-")</f>
        <v>-</v>
      </c>
      <c r="Y38" s="813" t="str">
        <f>IFERROR(__xludf.DUMMYFUNCTION("""COMPUTED_VALUE"""),"Buruh")</f>
        <v>Buruh</v>
      </c>
      <c r="Z38" s="813" t="str">
        <f>IFERROR(__xludf.DUMMYFUNCTION("""COMPUTED_VALUE"""),"Rumah Tangga")</f>
        <v>Rumah Tangga</v>
      </c>
      <c r="AA38" s="813"/>
      <c r="AB38" s="813"/>
      <c r="AC38" s="813"/>
      <c r="AD38" s="813"/>
      <c r="AE38" s="813" t="str">
        <f>IFERROR(__xludf.DUMMYFUNCTION("""COMPUTED_VALUE"""),"20229659")</f>
        <v>20229659</v>
      </c>
      <c r="AF38" s="813"/>
      <c r="AG38" s="813" t="str">
        <f>IFERROR(__xludf.DUMMYFUNCTION("""COMPUTED_VALUE"""),"/appsheet/data/InputBiodataRaportX-3328125/FilePDF/PIRMAN ADRIYANI PUTRA-c18f6690.PDF")</f>
        <v>/appsheet/data/InputBiodataRaportX-3328125/FilePDF/PIRMAN ADRIYANI PUTRA-c18f6690.PDF</v>
      </c>
      <c r="AH38" s="813" t="str">
        <f>IFERROR(__xludf.DUMMYFUNCTION("""COMPUTED_VALUE"""),"2025 2026")</f>
        <v>2025 2026</v>
      </c>
      <c r="AI38" s="813" t="str">
        <f>IFERROR(__xludf.DUMMYFUNCTION("""COMPUTED_VALUE"""),"Purwakarta, 22 Desember 2025")</f>
        <v>Purwakarta, 22 Desember 2025</v>
      </c>
      <c r="AJ38" s="816" t="s">
        <v>763</v>
      </c>
      <c r="AK38" s="817" t="b">
        <f t="shared" ref="AK38:AL38" si="37">IF(H38:H137&lt;&gt;"",ISNUMBER(match(CONCATENATE(AK$2,"_",$C$4,"_",$C$3,"_",$C$2,"_",$H38,".pdf"),$AJ$3:$AJ137,0)))</f>
        <v>0</v>
      </c>
      <c r="AL38" s="817" t="b">
        <f t="shared" si="37"/>
        <v>0</v>
      </c>
      <c r="AM38" s="817" t="b">
        <f t="shared" si="27"/>
        <v>1</v>
      </c>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3"/>
      <c r="BK38" s="353"/>
      <c r="BL38" s="353"/>
      <c r="BM38" s="353"/>
      <c r="BN38" s="353"/>
      <c r="BO38" s="353"/>
      <c r="BP38" s="353"/>
      <c r="BQ38" s="353"/>
      <c r="BR38" s="353"/>
      <c r="BS38" s="353"/>
      <c r="BT38" s="353"/>
      <c r="BU38" s="353"/>
      <c r="BV38" s="353"/>
      <c r="BW38" s="353"/>
      <c r="BX38" s="353"/>
      <c r="BY38" s="353"/>
      <c r="BZ38" s="353"/>
    </row>
    <row r="39" ht="18.75" customHeight="1">
      <c r="A39" s="971" t="str">
        <f>IFERROR(__xludf.DUMMYFUNCTION("""COMPUTED_VALUE"""),"NIS/NSS/NDS")</f>
        <v>NIS/NSS/NDS</v>
      </c>
      <c r="B39" s="973" t="str">
        <f>IFERROR(__xludf.DUMMYFUNCTION("""COMPUTED_VALUE"""),"321020201500")</f>
        <v>321020201500</v>
      </c>
      <c r="C39" s="971"/>
      <c r="D39" s="971"/>
      <c r="E39" s="825">
        <f>IFERROR(__xludf.DUMMYFUNCTION("""COMPUTED_VALUE"""),37.0)</f>
        <v>37</v>
      </c>
      <c r="F39" s="813" t="str">
        <f>IFERROR(__xludf.DUMMYFUNCTION("""COMPUTED_VALUE"""),"2526100450")</f>
        <v>2526100450</v>
      </c>
      <c r="G39" s="813" t="str">
        <f>IFERROR(__xludf.DUMMYFUNCTION("""COMPUTED_VALUE"""),"0106511353")</f>
        <v>0106511353</v>
      </c>
      <c r="H39" s="813" t="str">
        <f>IFERROR(__xludf.DUMMYFUNCTION("""COMPUTED_VALUE"""),"RAFFA RAMADHAN")</f>
        <v>RAFFA RAMADHAN</v>
      </c>
      <c r="I39" s="813" t="str">
        <f>IFERROR(__xludf.DUMMYFUNCTION("""COMPUTED_VALUE"""),"X TO 4")</f>
        <v>X TO 4</v>
      </c>
      <c r="J39" s="813" t="str">
        <f>IFERROR(__xludf.DUMMYFUNCTION("""COMPUTED_VALUE"""),"Bandung Barat")</f>
        <v>Bandung Barat</v>
      </c>
      <c r="K39" s="815">
        <f>IFERROR(__xludf.DUMMYFUNCTION("""COMPUTED_VALUE"""),40411.0)</f>
        <v>40411</v>
      </c>
      <c r="L39" s="813" t="str">
        <f>IFERROR(__xludf.DUMMYFUNCTION("""COMPUTED_VALUE"""),"Laki-Laki")</f>
        <v>Laki-Laki</v>
      </c>
      <c r="M39" s="813" t="str">
        <f>IFERROR(__xludf.DUMMYFUNCTION("""COMPUTED_VALUE"""),"Islam")</f>
        <v>Islam</v>
      </c>
      <c r="N39" s="813" t="str">
        <f>IFERROR(__xludf.DUMMYFUNCTION("""COMPUTED_VALUE"""),"Anak Kandung")</f>
        <v>Anak Kandung</v>
      </c>
      <c r="O39" s="813" t="str">
        <f>IFERROR(__xludf.DUMMYFUNCTION("""COMPUTED_VALUE"""),"3 (Tiga)")</f>
        <v>3 (Tiga)</v>
      </c>
      <c r="P39" s="813" t="str">
        <f>IFERROR(__xludf.DUMMYFUNCTION("""COMPUTED_VALUE"""),"Kp. Cibitung RT/RW 008/003 Desa Ciroyom Kec. Cipeundeuy Kab. Bandung Barat")</f>
        <v>Kp. Cibitung RT/RW 008/003 Desa Ciroyom Kec. Cipeundeuy Kab. Bandung Barat</v>
      </c>
      <c r="Q39" s="813" t="str">
        <f>IFERROR(__xludf.DUMMYFUNCTION("""COMPUTED_VALUE"""),"-")</f>
        <v>-</v>
      </c>
      <c r="R39" s="813" t="str">
        <f>IFERROR(__xludf.DUMMYFUNCTION("""COMPUTED_VALUE"""),"SMP Negeri 3 Cipeundeuy")</f>
        <v>SMP Negeri 3 Cipeundeuy</v>
      </c>
      <c r="S39" s="813" t="str">
        <f>IFERROR(__xludf.DUMMYFUNCTION("""COMPUTED_VALUE"""),"X TO 4")</f>
        <v>X TO 4</v>
      </c>
      <c r="T39" s="813" t="str">
        <f>IFERROR(__xludf.DUMMYFUNCTION("""COMPUTED_VALUE"""),"14 Juli 2025")</f>
        <v>14 Juli 2025</v>
      </c>
      <c r="U39" s="813" t="str">
        <f>IFERROR(__xludf.DUMMYFUNCTION("""COMPUTED_VALUE"""),"Saepudin")</f>
        <v>Saepudin</v>
      </c>
      <c r="V39" s="813" t="str">
        <f>IFERROR(__xludf.DUMMYFUNCTION("""COMPUTED_VALUE"""),"Neng Sri Susmiati")</f>
        <v>Neng Sri Susmiati</v>
      </c>
      <c r="W39" s="813" t="str">
        <f>IFERROR(__xludf.DUMMYFUNCTION("""COMPUTED_VALUE"""),"Kp. Cibitung RT 008/003 Desa Ciroyom Kec. Cipeundeuy Kab. Bandung Barat")</f>
        <v>Kp. Cibitung RT 008/003 Desa Ciroyom Kec. Cipeundeuy Kab. Bandung Barat</v>
      </c>
      <c r="X39" s="813" t="str">
        <f>IFERROR(__xludf.DUMMYFUNCTION("""COMPUTED_VALUE"""),"-")</f>
        <v>-</v>
      </c>
      <c r="Y39" s="813" t="str">
        <f>IFERROR(__xludf.DUMMYFUNCTION("""COMPUTED_VALUE"""),"Pegawai Swasta")</f>
        <v>Pegawai Swasta</v>
      </c>
      <c r="Z39" s="813" t="str">
        <f>IFERROR(__xludf.DUMMYFUNCTION("""COMPUTED_VALUE"""),"Rumah Tangga")</f>
        <v>Rumah Tangga</v>
      </c>
      <c r="AA39" s="813" t="str">
        <f>IFERROR(__xludf.DUMMYFUNCTION("""COMPUTED_VALUE"""),"-")</f>
        <v>-</v>
      </c>
      <c r="AB39" s="813" t="str">
        <f>IFERROR(__xludf.DUMMYFUNCTION("""COMPUTED_VALUE"""),"-")</f>
        <v>-</v>
      </c>
      <c r="AC39" s="813" t="str">
        <f>IFERROR(__xludf.DUMMYFUNCTION("""COMPUTED_VALUE"""),"-")</f>
        <v>-</v>
      </c>
      <c r="AD39" s="813"/>
      <c r="AE39" s="813" t="str">
        <f>IFERROR(__xludf.DUMMYFUNCTION("""COMPUTED_VALUE"""),"20229659")</f>
        <v>20229659</v>
      </c>
      <c r="AF39" s="813"/>
      <c r="AG39" s="813" t="str">
        <f>IFERROR(__xludf.DUMMYFUNCTION("""COMPUTED_VALUE"""),"/appsheet/data/InputBiodataRaportX-3328125/FilePDF/RAFFA RAMADHAN-533a0022.PDF")</f>
        <v>/appsheet/data/InputBiodataRaportX-3328125/FilePDF/RAFFA RAMADHAN-533a0022.PDF</v>
      </c>
      <c r="AH39" s="813" t="str">
        <f>IFERROR(__xludf.DUMMYFUNCTION("""COMPUTED_VALUE"""),"2025 2026")</f>
        <v>2025 2026</v>
      </c>
      <c r="AI39" s="813" t="str">
        <f>IFERROR(__xludf.DUMMYFUNCTION("""COMPUTED_VALUE"""),"Purwakarta, 22 Desember 2025")</f>
        <v>Purwakarta, 22 Desember 2025</v>
      </c>
      <c r="AJ39" s="816" t="s">
        <v>765</v>
      </c>
      <c r="AK39" s="817" t="b">
        <f t="shared" ref="AK39:AL39" si="38">IF(H39:H137&lt;&gt;"",ISNUMBER(match(CONCATENATE(AK$2,"_",$C$4,"_",$C$3,"_",$C$2,"_",$H39,".pdf"),$AJ$3:$AJ137,0)))</f>
        <v>0</v>
      </c>
      <c r="AL39" s="817" t="b">
        <f t="shared" si="38"/>
        <v>0</v>
      </c>
      <c r="AM39" s="817" t="b">
        <f t="shared" si="27"/>
        <v>1</v>
      </c>
      <c r="AN39" s="353"/>
      <c r="AO39" s="353"/>
      <c r="AP39" s="353"/>
      <c r="AQ39" s="353"/>
      <c r="AR39" s="353"/>
      <c r="AS39" s="353"/>
      <c r="AT39" s="353"/>
      <c r="AU39" s="353"/>
      <c r="AV39" s="353"/>
      <c r="AW39" s="353"/>
      <c r="AX39" s="353"/>
      <c r="AY39" s="353"/>
      <c r="AZ39" s="353"/>
      <c r="BA39" s="353"/>
      <c r="BB39" s="353"/>
      <c r="BC39" s="353"/>
      <c r="BD39" s="353"/>
      <c r="BE39" s="353"/>
      <c r="BF39" s="353"/>
      <c r="BG39" s="353"/>
      <c r="BH39" s="353"/>
      <c r="BI39" s="353"/>
      <c r="BJ39" s="353"/>
      <c r="BK39" s="353"/>
      <c r="BL39" s="353"/>
      <c r="BM39" s="353"/>
      <c r="BN39" s="353"/>
      <c r="BO39" s="353"/>
      <c r="BP39" s="353"/>
      <c r="BQ39" s="353"/>
      <c r="BR39" s="353"/>
      <c r="BS39" s="353"/>
      <c r="BT39" s="353"/>
      <c r="BU39" s="353"/>
      <c r="BV39" s="353"/>
      <c r="BW39" s="353"/>
      <c r="BX39" s="353"/>
      <c r="BY39" s="353"/>
      <c r="BZ39" s="353"/>
    </row>
    <row r="40" ht="18.75" customHeight="1">
      <c r="A40" s="353" t="str">
        <f>IFERROR(__xludf.DUMMYFUNCTION("""COMPUTED_VALUE"""),"Alamat Sekolah Baris 1")</f>
        <v>Alamat Sekolah Baris 1</v>
      </c>
      <c r="B40" s="974" t="str">
        <f>IFERROR(__xludf.DUMMYFUNCTION("""COMPUTED_VALUE"""),"Jl. Rawasari, Kec. Plered - Purwakarta")</f>
        <v>Jl. Rawasari, Kec. Plered - Purwakarta</v>
      </c>
      <c r="C40" s="353"/>
      <c r="D40" s="353"/>
      <c r="E40" s="825">
        <f>IFERROR(__xludf.DUMMYFUNCTION("""COMPUTED_VALUE"""),38.0)</f>
        <v>38</v>
      </c>
      <c r="F40" s="813" t="str">
        <f>IFERROR(__xludf.DUMMYFUNCTION("""COMPUTED_VALUE"""),"2526100451")</f>
        <v>2526100451</v>
      </c>
      <c r="G40" s="813" t="str">
        <f>IFERROR(__xludf.DUMMYFUNCTION("""COMPUTED_VALUE"""),"3100673583")</f>
        <v>3100673583</v>
      </c>
      <c r="H40" s="813" t="str">
        <f>IFERROR(__xludf.DUMMYFUNCTION("""COMPUTED_VALUE"""),"RAFQA NUZULUL AKBAR SETIANA")</f>
        <v>RAFQA NUZULUL AKBAR SETIANA</v>
      </c>
      <c r="I40" s="813" t="str">
        <f>IFERROR(__xludf.DUMMYFUNCTION("""COMPUTED_VALUE"""),"X TO 4")</f>
        <v>X TO 4</v>
      </c>
      <c r="J40" s="813" t="str">
        <f>IFERROR(__xludf.DUMMYFUNCTION("""COMPUTED_VALUE"""),"Purwakarta")</f>
        <v>Purwakarta</v>
      </c>
      <c r="K40" s="815">
        <f>IFERROR(__xludf.DUMMYFUNCTION("""COMPUTED_VALUE"""),40265.0)</f>
        <v>40265</v>
      </c>
      <c r="L40" s="813" t="str">
        <f>IFERROR(__xludf.DUMMYFUNCTION("""COMPUTED_VALUE"""),"Laki-Laki")</f>
        <v>Laki-Laki</v>
      </c>
      <c r="M40" s="813" t="str">
        <f>IFERROR(__xludf.DUMMYFUNCTION("""COMPUTED_VALUE"""),"Islam")</f>
        <v>Islam</v>
      </c>
      <c r="N40" s="813" t="str">
        <f>IFERROR(__xludf.DUMMYFUNCTION("""COMPUTED_VALUE"""),"Anak Kandung")</f>
        <v>Anak Kandung</v>
      </c>
      <c r="O40" s="813" t="str">
        <f>IFERROR(__xludf.DUMMYFUNCTION("""COMPUTED_VALUE"""),"1 (Satu)")</f>
        <v>1 (Satu)</v>
      </c>
      <c r="P40" s="813" t="str">
        <f>IFERROR(__xludf.DUMMYFUNCTION("""COMPUTED_VALUE"""),"Kp. Pamoyanan RT/W 001/001, Kecamatan Plered, Kabupaten Purwakarta")</f>
        <v>Kp. Pamoyanan RT/W 001/001, Kecamatan Plered, Kabupaten Purwakarta</v>
      </c>
      <c r="Q40" s="813" t="str">
        <f>IFERROR(__xludf.DUMMYFUNCTION("""COMPUTED_VALUE"""),"081287250605")</f>
        <v>081287250605</v>
      </c>
      <c r="R40" s="813" t="str">
        <f>IFERROR(__xludf.DUMMYFUNCTION("""COMPUTED_VALUE"""),"SMP Negeri 1 Plered")</f>
        <v>SMP Negeri 1 Plered</v>
      </c>
      <c r="S40" s="813" t="str">
        <f>IFERROR(__xludf.DUMMYFUNCTION("""COMPUTED_VALUE"""),"X TO 4")</f>
        <v>X TO 4</v>
      </c>
      <c r="T40" s="813" t="str">
        <f>IFERROR(__xludf.DUMMYFUNCTION("""COMPUTED_VALUE"""),"14 Juli 2025")</f>
        <v>14 Juli 2025</v>
      </c>
      <c r="U40" s="813" t="str">
        <f>IFERROR(__xludf.DUMMYFUNCTION("""COMPUTED_VALUE"""),"Yana Setiana")</f>
        <v>Yana Setiana</v>
      </c>
      <c r="V40" s="813" t="str">
        <f>IFERROR(__xludf.DUMMYFUNCTION("""COMPUTED_VALUE"""),"Astriliani Dadara")</f>
        <v>Astriliani Dadara</v>
      </c>
      <c r="W40" s="813" t="str">
        <f>IFERROR(__xludf.DUMMYFUNCTION("""COMPUTED_VALUE"""),"Kp. Pamoyanan RT/W 001/001, Kecamatan Plered, Kabupaten Purwakarta")</f>
        <v>Kp. Pamoyanan RT/W 001/001, Kecamatan Plered, Kabupaten Purwakarta</v>
      </c>
      <c r="X40" s="813" t="str">
        <f>IFERROR(__xludf.DUMMYFUNCTION("""COMPUTED_VALUE"""),"081321990139")</f>
        <v>081321990139</v>
      </c>
      <c r="Y40" s="813" t="str">
        <f>IFERROR(__xludf.DUMMYFUNCTION("""COMPUTED_VALUE"""),"PNS (Guru)")</f>
        <v>PNS (Guru)</v>
      </c>
      <c r="Z40" s="813" t="str">
        <f>IFERROR(__xludf.DUMMYFUNCTION("""COMPUTED_VALUE"""),"PNS (Guru)")</f>
        <v>PNS (Guru)</v>
      </c>
      <c r="AA40" s="813" t="str">
        <f>IFERROR(__xludf.DUMMYFUNCTION("""COMPUTED_VALUE"""),"-")</f>
        <v>-</v>
      </c>
      <c r="AB40" s="813" t="str">
        <f>IFERROR(__xludf.DUMMYFUNCTION("""COMPUTED_VALUE"""),"-")</f>
        <v>-</v>
      </c>
      <c r="AC40" s="813" t="str">
        <f>IFERROR(__xludf.DUMMYFUNCTION("""COMPUTED_VALUE"""),"-")</f>
        <v>-</v>
      </c>
      <c r="AD40" s="813"/>
      <c r="AE40" s="813" t="str">
        <f>IFERROR(__xludf.DUMMYFUNCTION("""COMPUTED_VALUE"""),"20229659")</f>
        <v>20229659</v>
      </c>
      <c r="AF40" s="813"/>
      <c r="AG40" s="813" t="str">
        <f>IFERROR(__xludf.DUMMYFUNCTION("""COMPUTED_VALUE"""),"/appsheet/data/InputBiodataRaportX-3328125/FilePDF/RAFQA NUZULUL AKBAR SETIANA-65f621db.PDF")</f>
        <v>/appsheet/data/InputBiodataRaportX-3328125/FilePDF/RAFQA NUZULUL AKBAR SETIANA-65f621db.PDF</v>
      </c>
      <c r="AH40" s="813" t="str">
        <f>IFERROR(__xludf.DUMMYFUNCTION("""COMPUTED_VALUE"""),"2025 2026")</f>
        <v>2025 2026</v>
      </c>
      <c r="AI40" s="813" t="str">
        <f>IFERROR(__xludf.DUMMYFUNCTION("""COMPUTED_VALUE"""),"Purwakarta, 22 Desember 2025")</f>
        <v>Purwakarta, 22 Desember 2025</v>
      </c>
      <c r="AJ40" s="816" t="s">
        <v>769</v>
      </c>
      <c r="AK40" s="817" t="b">
        <f t="shared" ref="AK40:AL40" si="39">IF(H40:H137&lt;&gt;"",ISNUMBER(match(CONCATENATE(AK$2,"_",$C$4,"_",$C$3,"_",$C$2,"_",$H40,".pdf"),$AJ$3:$AJ137,0)))</f>
        <v>0</v>
      </c>
      <c r="AL40" s="817" t="b">
        <f t="shared" si="39"/>
        <v>0</v>
      </c>
      <c r="AM40" s="817" t="b">
        <f t="shared" si="27"/>
        <v>1</v>
      </c>
      <c r="AN40" s="353"/>
      <c r="AO40" s="353"/>
      <c r="AP40" s="353"/>
      <c r="AQ40" s="353"/>
      <c r="AR40" s="353"/>
      <c r="AS40" s="353"/>
      <c r="AT40" s="353"/>
      <c r="AU40" s="353"/>
      <c r="AV40" s="353"/>
      <c r="AW40" s="353"/>
      <c r="AX40" s="353"/>
      <c r="AY40" s="353"/>
      <c r="AZ40" s="353"/>
      <c r="BA40" s="353"/>
      <c r="BB40" s="353"/>
      <c r="BC40" s="353"/>
      <c r="BD40" s="353"/>
      <c r="BE40" s="353"/>
      <c r="BF40" s="353"/>
      <c r="BG40" s="353"/>
      <c r="BH40" s="353"/>
      <c r="BI40" s="353"/>
      <c r="BJ40" s="353"/>
      <c r="BK40" s="353"/>
      <c r="BL40" s="353"/>
      <c r="BM40" s="353"/>
      <c r="BN40" s="353"/>
      <c r="BO40" s="353"/>
      <c r="BP40" s="353"/>
      <c r="BQ40" s="353"/>
      <c r="BR40" s="353"/>
      <c r="BS40" s="353"/>
      <c r="BT40" s="353"/>
      <c r="BU40" s="353"/>
      <c r="BV40" s="353"/>
      <c r="BW40" s="353"/>
      <c r="BX40" s="353"/>
      <c r="BY40" s="353"/>
      <c r="BZ40" s="353"/>
    </row>
    <row r="41" ht="18.75" customHeight="1">
      <c r="A41" s="971" t="str">
        <f>IFERROR(__xludf.DUMMYFUNCTION("""COMPUTED_VALUE"""),"Alamat Sekolah Baris 2")</f>
        <v>Alamat Sekolah Baris 2</v>
      </c>
      <c r="B41" s="973" t="str">
        <f>IFERROR(__xludf.DUMMYFUNCTION("""COMPUTED_VALUE"""),"Kode Pos 41162, Telp. 0264-7504001")</f>
        <v>Kode Pos 41162, Telp. 0264-7504001</v>
      </c>
      <c r="C41" s="971"/>
      <c r="D41" s="971"/>
      <c r="E41" s="825">
        <f>IFERROR(__xludf.DUMMYFUNCTION("""COMPUTED_VALUE"""),39.0)</f>
        <v>39</v>
      </c>
      <c r="F41" s="813" t="str">
        <f>IFERROR(__xludf.DUMMYFUNCTION("""COMPUTED_VALUE"""),"2526100452")</f>
        <v>2526100452</v>
      </c>
      <c r="G41" s="813" t="str">
        <f>IFERROR(__xludf.DUMMYFUNCTION("""COMPUTED_VALUE"""),"0098144365")</f>
        <v>0098144365</v>
      </c>
      <c r="H41" s="813" t="str">
        <f>IFERROR(__xludf.DUMMYFUNCTION("""COMPUTED_VALUE"""),"RIDO MUHAMAD NUR FADILAH")</f>
        <v>RIDO MUHAMAD NUR FADILAH</v>
      </c>
      <c r="I41" s="813" t="str">
        <f>IFERROR(__xludf.DUMMYFUNCTION("""COMPUTED_VALUE"""),"X TO 4")</f>
        <v>X TO 4</v>
      </c>
      <c r="J41" s="813" t="str">
        <f>IFERROR(__xludf.DUMMYFUNCTION("""COMPUTED_VALUE"""),"Purwakarta")</f>
        <v>Purwakarta</v>
      </c>
      <c r="K41" s="815">
        <f>IFERROR(__xludf.DUMMYFUNCTION("""COMPUTED_VALUE"""),39917.0)</f>
        <v>39917</v>
      </c>
      <c r="L41" s="813" t="str">
        <f>IFERROR(__xludf.DUMMYFUNCTION("""COMPUTED_VALUE"""),"Laki-Laki")</f>
        <v>Laki-Laki</v>
      </c>
      <c r="M41" s="813" t="str">
        <f>IFERROR(__xludf.DUMMYFUNCTION("""COMPUTED_VALUE"""),"Islam")</f>
        <v>Islam</v>
      </c>
      <c r="N41" s="813" t="str">
        <f>IFERROR(__xludf.DUMMYFUNCTION("""COMPUTED_VALUE"""),"Anak Kandung")</f>
        <v>Anak Kandung</v>
      </c>
      <c r="O41" s="813" t="str">
        <f>IFERROR(__xludf.DUMMYFUNCTION("""COMPUTED_VALUE"""),"1 (Satu)")</f>
        <v>1 (Satu)</v>
      </c>
      <c r="P41" s="813" t="str">
        <f>IFERROR(__xludf.DUMMYFUNCTION("""COMPUTED_VALUE"""),"Kp. Cidadapan RT/RW 016/004 Desa Anjun Kec.Plered Kab. Purwakarta")</f>
        <v>Kp. Cidadapan RT/RW 016/004 Desa Anjun Kec.Plered Kab. Purwakarta</v>
      </c>
      <c r="Q41" s="813" t="str">
        <f>IFERROR(__xludf.DUMMYFUNCTION("""COMPUTED_VALUE"""),"-")</f>
        <v>-</v>
      </c>
      <c r="R41" s="813" t="str">
        <f>IFERROR(__xludf.DUMMYFUNCTION("""COMPUTED_VALUE"""),"SMP Negeri 2 Plered")</f>
        <v>SMP Negeri 2 Plered</v>
      </c>
      <c r="S41" s="813" t="str">
        <f>IFERROR(__xludf.DUMMYFUNCTION("""COMPUTED_VALUE"""),"X TO 4")</f>
        <v>X TO 4</v>
      </c>
      <c r="T41" s="813" t="str">
        <f>IFERROR(__xludf.DUMMYFUNCTION("""COMPUTED_VALUE"""),"14 Juli 2025")</f>
        <v>14 Juli 2025</v>
      </c>
      <c r="U41" s="813"/>
      <c r="V41" s="813" t="str">
        <f>IFERROR(__xludf.DUMMYFUNCTION("""COMPUTED_VALUE"""),"Kentik Rohayati")</f>
        <v>Kentik Rohayati</v>
      </c>
      <c r="W41" s="813" t="str">
        <f>IFERROR(__xludf.DUMMYFUNCTION("""COMPUTED_VALUE"""),"Kp. Cidadapan RT/RW 016/004 Desa Anjun Kec.Plered Kab. Purwakarta")</f>
        <v>Kp. Cidadapan RT/RW 016/004 Desa Anjun Kec.Plered Kab. Purwakarta</v>
      </c>
      <c r="X41" s="813" t="str">
        <f>IFERROR(__xludf.DUMMYFUNCTION("""COMPUTED_VALUE"""),"-")</f>
        <v>-</v>
      </c>
      <c r="Y41" s="813"/>
      <c r="Z41" s="813" t="str">
        <f>IFERROR(__xludf.DUMMYFUNCTION("""COMPUTED_VALUE"""),"Rumah Tangga")</f>
        <v>Rumah Tangga</v>
      </c>
      <c r="AA41" s="813"/>
      <c r="AB41" s="813"/>
      <c r="AC41" s="813"/>
      <c r="AD41" s="813"/>
      <c r="AE41" s="813" t="str">
        <f>IFERROR(__xludf.DUMMYFUNCTION("""COMPUTED_VALUE"""),"20229659")</f>
        <v>20229659</v>
      </c>
      <c r="AF41" s="813"/>
      <c r="AG41" s="813" t="str">
        <f>IFERROR(__xludf.DUMMYFUNCTION("""COMPUTED_VALUE"""),"/appsheet/data/InputBiodataRaportX-3328125/FilePDF/RIDO MUHAMAD NUR FADILAH-956db20e.PDF")</f>
        <v>/appsheet/data/InputBiodataRaportX-3328125/FilePDF/RIDO MUHAMAD NUR FADILAH-956db20e.PDF</v>
      </c>
      <c r="AH41" s="813" t="str">
        <f>IFERROR(__xludf.DUMMYFUNCTION("""COMPUTED_VALUE"""),"2025 2026")</f>
        <v>2025 2026</v>
      </c>
      <c r="AI41" s="813" t="str">
        <f>IFERROR(__xludf.DUMMYFUNCTION("""COMPUTED_VALUE"""),"Purwakarta, 22 Desember 2025")</f>
        <v>Purwakarta, 22 Desember 2025</v>
      </c>
      <c r="AJ41" s="816" t="s">
        <v>771</v>
      </c>
      <c r="AK41" s="817" t="b">
        <f t="shared" ref="AK41:AL41" si="40">IF(H41:H137&lt;&gt;"",ISNUMBER(match(CONCATENATE(AK$2,"_",$C$4,"_",$C$3,"_",$C$2,"_",$H41,".pdf"),$AJ$3:$AJ137,0)))</f>
        <v>0</v>
      </c>
      <c r="AL41" s="817" t="b">
        <f t="shared" si="40"/>
        <v>0</v>
      </c>
      <c r="AM41" s="817" t="b">
        <f t="shared" si="27"/>
        <v>1</v>
      </c>
      <c r="AN41" s="353"/>
      <c r="AO41" s="353"/>
      <c r="AP41" s="353"/>
      <c r="AQ41" s="353"/>
      <c r="AR41" s="353"/>
      <c r="AS41" s="353"/>
      <c r="AT41" s="353"/>
      <c r="AU41" s="353"/>
      <c r="AV41" s="353"/>
      <c r="AW41" s="353"/>
      <c r="AX41" s="353"/>
      <c r="AY41" s="353"/>
      <c r="AZ41" s="353"/>
      <c r="BA41" s="353"/>
      <c r="BB41" s="353"/>
      <c r="BC41" s="353"/>
      <c r="BD41" s="353"/>
      <c r="BE41" s="353"/>
      <c r="BF41" s="353"/>
      <c r="BG41" s="353"/>
      <c r="BH41" s="353"/>
      <c r="BI41" s="353"/>
      <c r="BJ41" s="353"/>
      <c r="BK41" s="353"/>
      <c r="BL41" s="353"/>
      <c r="BM41" s="353"/>
      <c r="BN41" s="353"/>
      <c r="BO41" s="353"/>
      <c r="BP41" s="353"/>
      <c r="BQ41" s="353"/>
      <c r="BR41" s="353"/>
      <c r="BS41" s="353"/>
      <c r="BT41" s="353"/>
      <c r="BU41" s="353"/>
      <c r="BV41" s="353"/>
      <c r="BW41" s="353"/>
      <c r="BX41" s="353"/>
      <c r="BY41" s="353"/>
      <c r="BZ41" s="353"/>
    </row>
    <row r="42" ht="18.75" customHeight="1">
      <c r="A42" s="971" t="str">
        <f>IFERROR(__xludf.DUMMYFUNCTION("""COMPUTED_VALUE"""),"Desa")</f>
        <v>Desa</v>
      </c>
      <c r="B42" s="973" t="str">
        <f>IFERROR(__xludf.DUMMYFUNCTION("""COMPUTED_VALUE"""),"Rawasari")</f>
        <v>Rawasari</v>
      </c>
      <c r="C42" s="971"/>
      <c r="D42" s="971"/>
      <c r="E42" s="825">
        <f>IFERROR(__xludf.DUMMYFUNCTION("""COMPUTED_VALUE"""),40.0)</f>
        <v>40</v>
      </c>
      <c r="F42" s="813" t="str">
        <f>IFERROR(__xludf.DUMMYFUNCTION("""COMPUTED_VALUE"""),"2526100453")</f>
        <v>2526100453</v>
      </c>
      <c r="G42" s="813" t="str">
        <f>IFERROR(__xludf.DUMMYFUNCTION("""COMPUTED_VALUE"""),"0101384399")</f>
        <v>0101384399</v>
      </c>
      <c r="H42" s="813" t="str">
        <f>IFERROR(__xludf.DUMMYFUNCTION("""COMPUTED_VALUE"""),"RIFAL KAMILUL AJHAR")</f>
        <v>RIFAL KAMILUL AJHAR</v>
      </c>
      <c r="I42" s="813" t="str">
        <f>IFERROR(__xludf.DUMMYFUNCTION("""COMPUTED_VALUE"""),"X TO 4")</f>
        <v>X TO 4</v>
      </c>
      <c r="J42" s="813" t="str">
        <f>IFERROR(__xludf.DUMMYFUNCTION("""COMPUTED_VALUE"""),"Purwakarta")</f>
        <v>Purwakarta</v>
      </c>
      <c r="K42" s="815">
        <f>IFERROR(__xludf.DUMMYFUNCTION("""COMPUTED_VALUE"""),40247.0)</f>
        <v>40247</v>
      </c>
      <c r="L42" s="813" t="str">
        <f>IFERROR(__xludf.DUMMYFUNCTION("""COMPUTED_VALUE"""),"Laki-Laki")</f>
        <v>Laki-Laki</v>
      </c>
      <c r="M42" s="813" t="str">
        <f>IFERROR(__xludf.DUMMYFUNCTION("""COMPUTED_VALUE"""),"Islam")</f>
        <v>Islam</v>
      </c>
      <c r="N42" s="813" t="str">
        <f>IFERROR(__xludf.DUMMYFUNCTION("""COMPUTED_VALUE"""),"Anak Kandung")</f>
        <v>Anak Kandung</v>
      </c>
      <c r="O42" s="813" t="str">
        <f>IFERROR(__xludf.DUMMYFUNCTION("""COMPUTED_VALUE"""),"1 (Satu)")</f>
        <v>1 (Satu)</v>
      </c>
      <c r="P42" s="813" t="str">
        <f>IFERROR(__xludf.DUMMYFUNCTION("""COMPUTED_VALUE"""),"Kp. Tegal Kalapa RT/RW 008/003 Desa Citeko Kec. Plered Kab. Purwakarta")</f>
        <v>Kp. Tegal Kalapa RT/RW 008/003 Desa Citeko Kec. Plered Kab. Purwakarta</v>
      </c>
      <c r="Q42" s="813" t="str">
        <f>IFERROR(__xludf.DUMMYFUNCTION("""COMPUTED_VALUE"""),"-")</f>
        <v>-</v>
      </c>
      <c r="R42" s="813" t="str">
        <f>IFERROR(__xludf.DUMMYFUNCTION("""COMPUTED_VALUE"""),"SMP Negeri 1 Plered")</f>
        <v>SMP Negeri 1 Plered</v>
      </c>
      <c r="S42" s="813" t="str">
        <f>IFERROR(__xludf.DUMMYFUNCTION("""COMPUTED_VALUE"""),"X TO 4")</f>
        <v>X TO 4</v>
      </c>
      <c r="T42" s="813" t="str">
        <f>IFERROR(__xludf.DUMMYFUNCTION("""COMPUTED_VALUE"""),"14 Juli 2025")</f>
        <v>14 Juli 2025</v>
      </c>
      <c r="U42" s="813" t="str">
        <f>IFERROR(__xludf.DUMMYFUNCTION("""COMPUTED_VALUE"""),"Aripin Ajhar")</f>
        <v>Aripin Ajhar</v>
      </c>
      <c r="V42" s="813" t="str">
        <f>IFERROR(__xludf.DUMMYFUNCTION("""COMPUTED_VALUE"""),"Tia Setiawati")</f>
        <v>Tia Setiawati</v>
      </c>
      <c r="W42" s="813" t="str">
        <f>IFERROR(__xludf.DUMMYFUNCTION("""COMPUTED_VALUE"""),"Kp. Tegal Kalapa RT 008/003 Desa Citeko Kec. Plered Kab. Purwakarta")</f>
        <v>Kp. Tegal Kalapa RT 008/003 Desa Citeko Kec. Plered Kab. Purwakarta</v>
      </c>
      <c r="X42" s="813" t="str">
        <f>IFERROR(__xludf.DUMMYFUNCTION("""COMPUTED_VALUE"""),"-")</f>
        <v>-</v>
      </c>
      <c r="Y42" s="813" t="str">
        <f>IFERROR(__xludf.DUMMYFUNCTION("""COMPUTED_VALUE"""),"Wiraswasta")</f>
        <v>Wiraswasta</v>
      </c>
      <c r="Z42" s="813" t="str">
        <f>IFERROR(__xludf.DUMMYFUNCTION("""COMPUTED_VALUE"""),"Rumah Tangga")</f>
        <v>Rumah Tangga</v>
      </c>
      <c r="AA42" s="813" t="str">
        <f>IFERROR(__xludf.DUMMYFUNCTION("""COMPUTED_VALUE"""),"-")</f>
        <v>-</v>
      </c>
      <c r="AB42" s="813" t="str">
        <f>IFERROR(__xludf.DUMMYFUNCTION("""COMPUTED_VALUE"""),"-")</f>
        <v>-</v>
      </c>
      <c r="AC42" s="813" t="str">
        <f>IFERROR(__xludf.DUMMYFUNCTION("""COMPUTED_VALUE"""),"-")</f>
        <v>-</v>
      </c>
      <c r="AD42" s="813"/>
      <c r="AE42" s="813" t="str">
        <f>IFERROR(__xludf.DUMMYFUNCTION("""COMPUTED_VALUE"""),"20229659")</f>
        <v>20229659</v>
      </c>
      <c r="AF42" s="813"/>
      <c r="AG42" s="813" t="str">
        <f>IFERROR(__xludf.DUMMYFUNCTION("""COMPUTED_VALUE"""),"/appsheet/data/InputBiodataRaportX-3328125/FilePDF/RIFAL KAMILUL AJHAR-a194c648.PDF")</f>
        <v>/appsheet/data/InputBiodataRaportX-3328125/FilePDF/RIFAL KAMILUL AJHAR-a194c648.PDF</v>
      </c>
      <c r="AH42" s="813" t="str">
        <f>IFERROR(__xludf.DUMMYFUNCTION("""COMPUTED_VALUE"""),"2025 2026")</f>
        <v>2025 2026</v>
      </c>
      <c r="AI42" s="813" t="str">
        <f>IFERROR(__xludf.DUMMYFUNCTION("""COMPUTED_VALUE"""),"Purwakarta, 22 Desember 2025")</f>
        <v>Purwakarta, 22 Desember 2025</v>
      </c>
      <c r="AJ42" s="816" t="s">
        <v>774</v>
      </c>
      <c r="AK42" s="817" t="b">
        <f t="shared" ref="AK42:AL42" si="41">IF(H42:H137&lt;&gt;"",ISNUMBER(match(CONCATENATE(AK$2,"_",$C$4,"_",$C$3,"_",$C$2,"_",$H42,".pdf"),$AJ$3:$AJ137,0)))</f>
        <v>0</v>
      </c>
      <c r="AL42" s="817" t="b">
        <f t="shared" si="41"/>
        <v>0</v>
      </c>
      <c r="AM42" s="817" t="b">
        <f t="shared" si="27"/>
        <v>1</v>
      </c>
      <c r="AN42" s="353"/>
      <c r="AO42" s="353"/>
      <c r="AP42" s="353"/>
      <c r="AQ42" s="353"/>
      <c r="AR42" s="353"/>
      <c r="AS42" s="353"/>
      <c r="AT42" s="353"/>
      <c r="AU42" s="353"/>
      <c r="AV42" s="353"/>
      <c r="AW42" s="353"/>
      <c r="AX42" s="353"/>
      <c r="AY42" s="353"/>
      <c r="AZ42" s="353"/>
      <c r="BA42" s="353"/>
      <c r="BB42" s="353"/>
      <c r="BC42" s="353"/>
      <c r="BD42" s="353"/>
      <c r="BE42" s="353"/>
      <c r="BF42" s="353"/>
      <c r="BG42" s="353"/>
      <c r="BH42" s="353"/>
      <c r="BI42" s="353"/>
      <c r="BJ42" s="353"/>
      <c r="BK42" s="353"/>
      <c r="BL42" s="353"/>
      <c r="BM42" s="353"/>
      <c r="BN42" s="353"/>
      <c r="BO42" s="353"/>
      <c r="BP42" s="353"/>
      <c r="BQ42" s="353"/>
      <c r="BR42" s="353"/>
      <c r="BS42" s="353"/>
      <c r="BT42" s="353"/>
      <c r="BU42" s="353"/>
      <c r="BV42" s="353"/>
      <c r="BW42" s="353"/>
      <c r="BX42" s="353"/>
      <c r="BY42" s="353"/>
      <c r="BZ42" s="353"/>
    </row>
    <row r="43" ht="20.25" customHeight="1">
      <c r="A43" s="971" t="str">
        <f>IFERROR(__xludf.DUMMYFUNCTION("""COMPUTED_VALUE"""),"Kecamatan")</f>
        <v>Kecamatan</v>
      </c>
      <c r="B43" s="971" t="str">
        <f>IFERROR(__xludf.DUMMYFUNCTION("""COMPUTED_VALUE"""),"Plered")</f>
        <v>Plered</v>
      </c>
      <c r="C43" s="971"/>
      <c r="D43" s="971"/>
      <c r="E43" s="825">
        <f>IFERROR(__xludf.DUMMYFUNCTION("""COMPUTED_VALUE"""),41.0)</f>
        <v>41</v>
      </c>
      <c r="F43" s="813" t="str">
        <f>IFERROR(__xludf.DUMMYFUNCTION("""COMPUTED_VALUE"""),"2526100454")</f>
        <v>2526100454</v>
      </c>
      <c r="G43" s="813" t="str">
        <f>IFERROR(__xludf.DUMMYFUNCTION("""COMPUTED_VALUE"""),"0095007656")</f>
        <v>0095007656</v>
      </c>
      <c r="H43" s="813" t="str">
        <f>IFERROR(__xludf.DUMMYFUNCTION("""COMPUTED_VALUE"""),"RIVALDI MAULANA")</f>
        <v>RIVALDI MAULANA</v>
      </c>
      <c r="I43" s="813" t="str">
        <f>IFERROR(__xludf.DUMMYFUNCTION("""COMPUTED_VALUE"""),"X TO 4")</f>
        <v>X TO 4</v>
      </c>
      <c r="J43" s="813"/>
      <c r="K43" s="815"/>
      <c r="L43" s="813"/>
      <c r="M43" s="813"/>
      <c r="N43" s="813"/>
      <c r="O43" s="813"/>
      <c r="P43" s="813"/>
      <c r="Q43" s="813"/>
      <c r="R43" s="813"/>
      <c r="S43" s="813"/>
      <c r="T43" s="813" t="str">
        <f>IFERROR(__xludf.DUMMYFUNCTION("""COMPUTED_VALUE"""),"14 Juli 2025")</f>
        <v>14 Juli 2025</v>
      </c>
      <c r="U43" s="813"/>
      <c r="V43" s="813"/>
      <c r="W43" s="813"/>
      <c r="X43" s="813"/>
      <c r="Y43" s="813"/>
      <c r="Z43" s="813"/>
      <c r="AA43" s="813"/>
      <c r="AB43" s="813"/>
      <c r="AC43" s="813"/>
      <c r="AD43" s="813"/>
      <c r="AE43" s="813"/>
      <c r="AF43" s="813"/>
      <c r="AG43" s="813"/>
      <c r="AH43" s="813" t="str">
        <f>IFERROR(__xludf.DUMMYFUNCTION("""COMPUTED_VALUE"""),"2025 2026")</f>
        <v>2025 2026</v>
      </c>
      <c r="AI43" s="813" t="str">
        <f>IFERROR(__xludf.DUMMYFUNCTION("""COMPUTED_VALUE"""),"Purwakarta, 22 Desember 2025")</f>
        <v>Purwakarta, 22 Desember 2025</v>
      </c>
      <c r="AJ43" s="816" t="s">
        <v>776</v>
      </c>
      <c r="AK43" s="817" t="b">
        <f t="shared" ref="AK43:AL43" si="42">IF(H43:H137&lt;&gt;"",ISNUMBER(match(CONCATENATE(AK$2,"_",$C$4,"_",$C$3,"_",$C$2,"_",$H43,".pdf"),$AJ$3:$AJ137,0)))</f>
        <v>0</v>
      </c>
      <c r="AL43" s="817" t="b">
        <f t="shared" si="42"/>
        <v>0</v>
      </c>
      <c r="AM43" s="817" t="b">
        <f t="shared" si="27"/>
        <v>0</v>
      </c>
      <c r="AN43" s="353"/>
      <c r="AO43" s="353"/>
      <c r="AP43" s="353"/>
      <c r="AQ43" s="353"/>
      <c r="AR43" s="353"/>
      <c r="AS43" s="353"/>
      <c r="AT43" s="353"/>
      <c r="AU43" s="353"/>
      <c r="AV43" s="353"/>
      <c r="AW43" s="353"/>
      <c r="AX43" s="353"/>
      <c r="AY43" s="353"/>
      <c r="AZ43" s="353"/>
      <c r="BA43" s="353"/>
      <c r="BB43" s="353"/>
      <c r="BC43" s="353"/>
      <c r="BD43" s="353"/>
      <c r="BE43" s="353"/>
      <c r="BF43" s="353"/>
      <c r="BG43" s="353"/>
      <c r="BH43" s="353"/>
      <c r="BI43" s="353"/>
      <c r="BJ43" s="353"/>
      <c r="BK43" s="353"/>
      <c r="BL43" s="353"/>
      <c r="BM43" s="353"/>
      <c r="BN43" s="353"/>
      <c r="BO43" s="353"/>
      <c r="BP43" s="353"/>
      <c r="BQ43" s="353"/>
      <c r="BR43" s="353"/>
      <c r="BS43" s="353"/>
      <c r="BT43" s="353"/>
      <c r="BU43" s="353"/>
      <c r="BV43" s="353"/>
      <c r="BW43" s="353"/>
      <c r="BX43" s="353"/>
      <c r="BY43" s="353"/>
      <c r="BZ43" s="353"/>
    </row>
    <row r="44" ht="20.25" customHeight="1">
      <c r="A44" s="353" t="str">
        <f>IFERROR(__xludf.DUMMYFUNCTION("""COMPUTED_VALUE"""),"Kabupaten")</f>
        <v>Kabupaten</v>
      </c>
      <c r="B44" s="974" t="str">
        <f>IFERROR(__xludf.DUMMYFUNCTION("""COMPUTED_VALUE"""),"Purwakarta")</f>
        <v>Purwakarta</v>
      </c>
      <c r="C44" s="353"/>
      <c r="D44" s="353"/>
      <c r="E44" s="975">
        <f>IFERROR(__xludf.DUMMYFUNCTION("""COMPUTED_VALUE"""),42.0)</f>
        <v>42</v>
      </c>
      <c r="F44" s="976" t="str">
        <f>IFERROR(__xludf.DUMMYFUNCTION("""COMPUTED_VALUE"""),"2526100455")</f>
        <v>2526100455</v>
      </c>
      <c r="G44" s="976" t="str">
        <f>IFERROR(__xludf.DUMMYFUNCTION("""COMPUTED_VALUE"""),"3095900062")</f>
        <v>3095900062</v>
      </c>
      <c r="H44" s="976" t="str">
        <f>IFERROR(__xludf.DUMMYFUNCTION("""COMPUTED_VALUE"""),"RIZAL RISMAYANDI")</f>
        <v>RIZAL RISMAYANDI</v>
      </c>
      <c r="I44" s="976" t="str">
        <f>IFERROR(__xludf.DUMMYFUNCTION("""COMPUTED_VALUE"""),"X TO 4")</f>
        <v>X TO 4</v>
      </c>
      <c r="J44" s="976" t="str">
        <f>IFERROR(__xludf.DUMMYFUNCTION("""COMPUTED_VALUE"""),"Purwakarta")</f>
        <v>Purwakarta</v>
      </c>
      <c r="K44" s="977">
        <f>IFERROR(__xludf.DUMMYFUNCTION("""COMPUTED_VALUE"""),40016.0)</f>
        <v>40016</v>
      </c>
      <c r="L44" s="976" t="str">
        <f>IFERROR(__xludf.DUMMYFUNCTION("""COMPUTED_VALUE"""),"Laki-Laki")</f>
        <v>Laki-Laki</v>
      </c>
      <c r="M44" s="976" t="str">
        <f>IFERROR(__xludf.DUMMYFUNCTION("""COMPUTED_VALUE"""),"Islam")</f>
        <v>Islam</v>
      </c>
      <c r="N44" s="976" t="str">
        <f>IFERROR(__xludf.DUMMYFUNCTION("""COMPUTED_VALUE"""),"Anak Kandung")</f>
        <v>Anak Kandung</v>
      </c>
      <c r="O44" s="976" t="str">
        <f>IFERROR(__xludf.DUMMYFUNCTION("""COMPUTED_VALUE"""),"3 (Tiga)")</f>
        <v>3 (Tiga)</v>
      </c>
      <c r="P44" s="976" t="str">
        <f>IFERROR(__xludf.DUMMYFUNCTION("""COMPUTED_VALUE"""),"Kp. Nagrak RT/RW 006/003 Desa Nagrak Kec. Darangdan Kab. Purwakarta")</f>
        <v>Kp. Nagrak RT/RW 006/003 Desa Nagrak Kec. Darangdan Kab. Purwakarta</v>
      </c>
      <c r="Q44" s="976" t="str">
        <f>IFERROR(__xludf.DUMMYFUNCTION("""COMPUTED_VALUE"""),"-")</f>
        <v>-</v>
      </c>
      <c r="R44" s="976" t="str">
        <f>IFERROR(__xludf.DUMMYFUNCTION("""COMPUTED_VALUE"""),"MTsS Al- Musyarofah")</f>
        <v>MTsS Al- Musyarofah</v>
      </c>
      <c r="S44" s="976" t="str">
        <f>IFERROR(__xludf.DUMMYFUNCTION("""COMPUTED_VALUE"""),"X TO 4")</f>
        <v>X TO 4</v>
      </c>
      <c r="T44" s="976" t="str">
        <f>IFERROR(__xludf.DUMMYFUNCTION("""COMPUTED_VALUE"""),"14 Juli 2025")</f>
        <v>14 Juli 2025</v>
      </c>
      <c r="U44" s="976" t="str">
        <f>IFERROR(__xludf.DUMMYFUNCTION("""COMPUTED_VALUE"""),"Rudi Supardi")</f>
        <v>Rudi Supardi</v>
      </c>
      <c r="V44" s="976" t="str">
        <f>IFERROR(__xludf.DUMMYFUNCTION("""COMPUTED_VALUE"""),"Maemunah")</f>
        <v>Maemunah</v>
      </c>
      <c r="W44" s="976" t="str">
        <f>IFERROR(__xludf.DUMMYFUNCTION("""COMPUTED_VALUE"""),"Kp. Nagrak RT 006/003 Desa Nagrak Kec. Darangdan Kab. Purwakarta")</f>
        <v>Kp. Nagrak RT 006/003 Desa Nagrak Kec. Darangdan Kab. Purwakarta</v>
      </c>
      <c r="X44" s="976" t="str">
        <f>IFERROR(__xludf.DUMMYFUNCTION("""COMPUTED_VALUE"""),"-")</f>
        <v>-</v>
      </c>
      <c r="Y44" s="976" t="str">
        <f>IFERROR(__xludf.DUMMYFUNCTION("""COMPUTED_VALUE"""),"Lainnya")</f>
        <v>Lainnya</v>
      </c>
      <c r="Z44" s="976" t="str">
        <f>IFERROR(__xludf.DUMMYFUNCTION("""COMPUTED_VALUE"""),"Rumah Tangga")</f>
        <v>Rumah Tangga</v>
      </c>
      <c r="AA44" s="976" t="str">
        <f>IFERROR(__xludf.DUMMYFUNCTION("""COMPUTED_VALUE"""),"-")</f>
        <v>-</v>
      </c>
      <c r="AB44" s="976" t="str">
        <f>IFERROR(__xludf.DUMMYFUNCTION("""COMPUTED_VALUE"""),"-")</f>
        <v>-</v>
      </c>
      <c r="AC44" s="976" t="str">
        <f>IFERROR(__xludf.DUMMYFUNCTION("""COMPUTED_VALUE"""),"-")</f>
        <v>-</v>
      </c>
      <c r="AD44" s="976"/>
      <c r="AE44" s="976" t="str">
        <f>IFERROR(__xludf.DUMMYFUNCTION("""COMPUTED_VALUE"""),"20229659")</f>
        <v>20229659</v>
      </c>
      <c r="AF44" s="976"/>
      <c r="AG44" s="976" t="str">
        <f>IFERROR(__xludf.DUMMYFUNCTION("""COMPUTED_VALUE"""),"/appsheet/data/InputBiodataRaportX-3328125/FilePDF/RIZAL RISMAYANDI-cd774c3d.PDF")</f>
        <v>/appsheet/data/InputBiodataRaportX-3328125/FilePDF/RIZAL RISMAYANDI-cd774c3d.PDF</v>
      </c>
      <c r="AH44" s="976" t="str">
        <f>IFERROR(__xludf.DUMMYFUNCTION("""COMPUTED_VALUE"""),"2025 2026")</f>
        <v>2025 2026</v>
      </c>
      <c r="AI44" s="813" t="str">
        <f>IFERROR(__xludf.DUMMYFUNCTION("""COMPUTED_VALUE"""),"Purwakarta, 22 Desember 2025")</f>
        <v>Purwakarta, 22 Desember 2025</v>
      </c>
      <c r="AJ44" s="816" t="s">
        <v>781</v>
      </c>
      <c r="AK44" s="817" t="b">
        <f t="shared" ref="AK44:AL44" si="43">IF(H44:H137&lt;&gt;"",ISNUMBER(match(CONCATENATE(AK$2,"_",$C$4,"_",$C$3,"_",$C$2,"_",$H44,".pdf"),$AJ$3:$AJ137,0)))</f>
        <v>0</v>
      </c>
      <c r="AL44" s="817" t="b">
        <f t="shared" si="43"/>
        <v>0</v>
      </c>
      <c r="AM44" s="817" t="b">
        <f t="shared" si="27"/>
        <v>1</v>
      </c>
      <c r="AN44" s="353"/>
      <c r="AO44" s="353"/>
      <c r="AP44" s="353"/>
      <c r="AQ44" s="353"/>
      <c r="AR44" s="353"/>
      <c r="AS44" s="353"/>
      <c r="AT44" s="353"/>
      <c r="AU44" s="353"/>
      <c r="AV44" s="353"/>
      <c r="AW44" s="353"/>
      <c r="AX44" s="353"/>
      <c r="AY44" s="353"/>
      <c r="AZ44" s="353"/>
      <c r="BA44" s="353"/>
      <c r="BB44" s="353"/>
      <c r="BC44" s="353"/>
      <c r="BD44" s="353"/>
      <c r="BE44" s="353"/>
      <c r="BF44" s="353"/>
      <c r="BG44" s="353"/>
      <c r="BH44" s="353"/>
      <c r="BI44" s="353"/>
      <c r="BJ44" s="353"/>
      <c r="BK44" s="353"/>
      <c r="BL44" s="353"/>
      <c r="BM44" s="353"/>
      <c r="BN44" s="353"/>
      <c r="BO44" s="353"/>
      <c r="BP44" s="353"/>
      <c r="BQ44" s="353"/>
      <c r="BR44" s="353"/>
      <c r="BS44" s="353"/>
      <c r="BT44" s="353"/>
      <c r="BU44" s="353"/>
      <c r="BV44" s="353"/>
      <c r="BW44" s="353"/>
      <c r="BX44" s="353"/>
      <c r="BY44" s="353"/>
      <c r="BZ44" s="353"/>
    </row>
    <row r="45" ht="20.25" customHeight="1">
      <c r="A45" s="2" t="str">
        <f>IFERROR(__xludf.DUMMYFUNCTION("""COMPUTED_VALUE"""),"Provinsi")</f>
        <v>Provinsi</v>
      </c>
      <c r="B45" s="1" t="str">
        <f>IFERROR(__xludf.DUMMYFUNCTION("""COMPUTED_VALUE"""),"Jawa Barat")</f>
        <v>Jawa Barat</v>
      </c>
      <c r="C45" s="2"/>
      <c r="D45" s="2"/>
      <c r="E45" s="825">
        <f>IFERROR(__xludf.DUMMYFUNCTION("""COMPUTED_VALUE"""),43.0)</f>
        <v>43</v>
      </c>
      <c r="F45" s="813" t="str">
        <f>IFERROR(__xludf.DUMMYFUNCTION("""COMPUTED_VALUE"""),"2526100456")</f>
        <v>2526100456</v>
      </c>
      <c r="G45" s="813" t="str">
        <f>IFERROR(__xludf.DUMMYFUNCTION("""COMPUTED_VALUE"""),"0097206975")</f>
        <v>0097206975</v>
      </c>
      <c r="H45" s="813" t="str">
        <f>IFERROR(__xludf.DUMMYFUNCTION("""COMPUTED_VALUE"""),"RIZKI ADITIA PRATAMA")</f>
        <v>RIZKI ADITIA PRATAMA</v>
      </c>
      <c r="I45" s="813" t="str">
        <f>IFERROR(__xludf.DUMMYFUNCTION("""COMPUTED_VALUE"""),"X TO 4")</f>
        <v>X TO 4</v>
      </c>
      <c r="J45" s="813" t="str">
        <f>IFERROR(__xludf.DUMMYFUNCTION("""COMPUTED_VALUE"""),"Bekasi")</f>
        <v>Bekasi</v>
      </c>
      <c r="K45" s="815">
        <f>IFERROR(__xludf.DUMMYFUNCTION("""COMPUTED_VALUE"""),39993.0)</f>
        <v>39993</v>
      </c>
      <c r="L45" s="813" t="str">
        <f>IFERROR(__xludf.DUMMYFUNCTION("""COMPUTED_VALUE"""),"Laki-Laki")</f>
        <v>Laki-Laki</v>
      </c>
      <c r="M45" s="813" t="str">
        <f>IFERROR(__xludf.DUMMYFUNCTION("""COMPUTED_VALUE"""),"Islam")</f>
        <v>Islam</v>
      </c>
      <c r="N45" s="813" t="str">
        <f>IFERROR(__xludf.DUMMYFUNCTION("""COMPUTED_VALUE"""),"Anak Kandung")</f>
        <v>Anak Kandung</v>
      </c>
      <c r="O45" s="813" t="str">
        <f>IFERROR(__xludf.DUMMYFUNCTION("""COMPUTED_VALUE"""),"1 (Satu)")</f>
        <v>1 (Satu)</v>
      </c>
      <c r="P45" s="813" t="str">
        <f>IFERROR(__xludf.DUMMYFUNCTION("""COMPUTED_VALUE"""),"Kp. Baru RT/RW 005/003 Desa Citeko Kec.Plered Kab.Purwakarta")</f>
        <v>Kp. Baru RT/RW 005/003 Desa Citeko Kec.Plered Kab.Purwakarta</v>
      </c>
      <c r="Q45" s="813" t="str">
        <f>IFERROR(__xludf.DUMMYFUNCTION("""COMPUTED_VALUE"""),"-")</f>
        <v>-</v>
      </c>
      <c r="R45" s="813" t="str">
        <f>IFERROR(__xludf.DUMMYFUNCTION("""COMPUTED_VALUE"""),"SMP Negeri 1 Plered")</f>
        <v>SMP Negeri 1 Plered</v>
      </c>
      <c r="S45" s="813" t="str">
        <f>IFERROR(__xludf.DUMMYFUNCTION("""COMPUTED_VALUE"""),"X TO 4")</f>
        <v>X TO 4</v>
      </c>
      <c r="T45" s="813" t="str">
        <f>IFERROR(__xludf.DUMMYFUNCTION("""COMPUTED_VALUE"""),"14 Juli 2025")</f>
        <v>14 Juli 2025</v>
      </c>
      <c r="U45" s="813" t="str">
        <f>IFERROR(__xludf.DUMMYFUNCTION("""COMPUTED_VALUE"""),"Asep Yandi Sentosa")</f>
        <v>Asep Yandi Sentosa</v>
      </c>
      <c r="V45" s="813" t="str">
        <f>IFERROR(__xludf.DUMMYFUNCTION("""COMPUTED_VALUE"""),"Fitri Sulastri")</f>
        <v>Fitri Sulastri</v>
      </c>
      <c r="W45" s="813" t="str">
        <f>IFERROR(__xludf.DUMMYFUNCTION("""COMPUTED_VALUE"""),"Kp. Baru RT 005/003 Desa Citeko Kec.Plered Kab. Purwakarta")</f>
        <v>Kp. Baru RT 005/003 Desa Citeko Kec.Plered Kab. Purwakarta</v>
      </c>
      <c r="X45" s="813" t="str">
        <f>IFERROR(__xludf.DUMMYFUNCTION("""COMPUTED_VALUE"""),"-")</f>
        <v>-</v>
      </c>
      <c r="Y45" s="813" t="str">
        <f>IFERROR(__xludf.DUMMYFUNCTION("""COMPUTED_VALUE"""),"Buruh")</f>
        <v>Buruh</v>
      </c>
      <c r="Z45" s="813" t="str">
        <f>IFERROR(__xludf.DUMMYFUNCTION("""COMPUTED_VALUE"""),"Rumah Tangga")</f>
        <v>Rumah Tangga</v>
      </c>
      <c r="AA45" s="813" t="str">
        <f>IFERROR(__xludf.DUMMYFUNCTION("""COMPUTED_VALUE"""),"-")</f>
        <v>-</v>
      </c>
      <c r="AB45" s="813" t="str">
        <f>IFERROR(__xludf.DUMMYFUNCTION("""COMPUTED_VALUE"""),"-")</f>
        <v>-</v>
      </c>
      <c r="AC45" s="813" t="str">
        <f>IFERROR(__xludf.DUMMYFUNCTION("""COMPUTED_VALUE"""),"-")</f>
        <v>-</v>
      </c>
      <c r="AD45" s="813"/>
      <c r="AE45" s="813" t="str">
        <f>IFERROR(__xludf.DUMMYFUNCTION("""COMPUTED_VALUE"""),"20229659")</f>
        <v>20229659</v>
      </c>
      <c r="AF45" s="813"/>
      <c r="AG45" s="813" t="str">
        <f>IFERROR(__xludf.DUMMYFUNCTION("""COMPUTED_VALUE"""),"/appsheet/data/InputBiodataRaportX-3328125/FilePDF/RIZKI ADITIA PRATAMA-1545462c.PDF")</f>
        <v>/appsheet/data/InputBiodataRaportX-3328125/FilePDF/RIZKI ADITIA PRATAMA-1545462c.PDF</v>
      </c>
      <c r="AH45" s="813" t="str">
        <f>IFERROR(__xludf.DUMMYFUNCTION("""COMPUTED_VALUE"""),"2025 2026")</f>
        <v>2025 2026</v>
      </c>
      <c r="AI45" s="813" t="str">
        <f>IFERROR(__xludf.DUMMYFUNCTION("""COMPUTED_VALUE"""),"Purwakarta, 22 Desember 2025")</f>
        <v>Purwakarta, 22 Desember 2025</v>
      </c>
      <c r="AJ45" s="978" t="s">
        <v>802</v>
      </c>
      <c r="AK45" s="817" t="b">
        <f t="shared" ref="AK45:AL45" si="44">IF(H45:H137&lt;&gt;"",ISNUMBER(match(CONCATENATE(AK$2,"_",$C$4,"_",$C$3,"_",$C$2,"_",$H45,".pdf"),$AJ$3:$AJ137,0)))</f>
        <v>0</v>
      </c>
      <c r="AL45" s="817" t="b">
        <f t="shared" si="44"/>
        <v>0</v>
      </c>
      <c r="AM45" s="817" t="b">
        <f t="shared" si="27"/>
        <v>1</v>
      </c>
    </row>
    <row r="46" ht="20.25" customHeight="1">
      <c r="A46" s="2" t="str">
        <f>IFERROR(__xludf.DUMMYFUNCTION("""COMPUTED_VALUE"""),"Website")</f>
        <v>Website</v>
      </c>
      <c r="B46" s="984" t="str">
        <f>IFERROR(__xludf.DUMMYFUNCTION("""COMPUTED_VALUE"""),"smknegeri1plered.sch.id")</f>
        <v>smknegeri1plered.sch.id</v>
      </c>
      <c r="C46" s="2"/>
      <c r="D46" s="2"/>
      <c r="E46" s="975">
        <f>IFERROR(__xludf.DUMMYFUNCTION("""COMPUTED_VALUE"""),44.0)</f>
        <v>44</v>
      </c>
      <c r="F46" s="976" t="str">
        <f>IFERROR(__xludf.DUMMYFUNCTION("""COMPUTED_VALUE"""),"2526100457")</f>
        <v>2526100457</v>
      </c>
      <c r="G46" s="976" t="str">
        <f>IFERROR(__xludf.DUMMYFUNCTION("""COMPUTED_VALUE"""),"0099911084")</f>
        <v>0099911084</v>
      </c>
      <c r="H46" s="976" t="str">
        <f>IFERROR(__xludf.DUMMYFUNCTION("""COMPUTED_VALUE"""),"SURYA BAGJA JUNIOR")</f>
        <v>SURYA BAGJA JUNIOR</v>
      </c>
      <c r="I46" s="976" t="str">
        <f>IFERROR(__xludf.DUMMYFUNCTION("""COMPUTED_VALUE"""),"X TO 4")</f>
        <v>X TO 4</v>
      </c>
      <c r="J46" s="976" t="str">
        <f>IFERROR(__xludf.DUMMYFUNCTION("""COMPUTED_VALUE"""),"Purwakarta")</f>
        <v>Purwakarta</v>
      </c>
      <c r="K46" s="977">
        <f>IFERROR(__xludf.DUMMYFUNCTION("""COMPUTED_VALUE"""),39994.0)</f>
        <v>39994</v>
      </c>
      <c r="L46" s="976" t="str">
        <f>IFERROR(__xludf.DUMMYFUNCTION("""COMPUTED_VALUE"""),"Laki-Laki")</f>
        <v>Laki-Laki</v>
      </c>
      <c r="M46" s="976" t="str">
        <f>IFERROR(__xludf.DUMMYFUNCTION("""COMPUTED_VALUE"""),"Islam")</f>
        <v>Islam</v>
      </c>
      <c r="N46" s="976" t="str">
        <f>IFERROR(__xludf.DUMMYFUNCTION("""COMPUTED_VALUE"""),"Anak Kandung")</f>
        <v>Anak Kandung</v>
      </c>
      <c r="O46" s="976" t="str">
        <f>IFERROR(__xludf.DUMMYFUNCTION("""COMPUTED_VALUE"""),"3 (Tiga)")</f>
        <v>3 (Tiga)</v>
      </c>
      <c r="P46" s="976" t="str">
        <f>IFERROR(__xludf.DUMMYFUNCTION("""COMPUTED_VALUE"""),"Kp. Cipadali RT/RW 002/002 Desa Babakansari Kec. Plered Kab. Purwakarta")</f>
        <v>Kp. Cipadali RT/RW 002/002 Desa Babakansari Kec. Plered Kab. Purwakarta</v>
      </c>
      <c r="Q46" s="976" t="str">
        <f>IFERROR(__xludf.DUMMYFUNCTION("""COMPUTED_VALUE"""),"-")</f>
        <v>-</v>
      </c>
      <c r="R46" s="976" t="str">
        <f>IFERROR(__xludf.DUMMYFUNCTION("""COMPUTED_VALUE"""),"SMP Negeri 1 Plered")</f>
        <v>SMP Negeri 1 Plered</v>
      </c>
      <c r="S46" s="976" t="str">
        <f>IFERROR(__xludf.DUMMYFUNCTION("""COMPUTED_VALUE"""),"X TO 4")</f>
        <v>X TO 4</v>
      </c>
      <c r="T46" s="976" t="str">
        <f>IFERROR(__xludf.DUMMYFUNCTION("""COMPUTED_VALUE"""),"14 Juli 2025")</f>
        <v>14 Juli 2025</v>
      </c>
      <c r="U46" s="976"/>
      <c r="V46" s="976" t="str">
        <f>IFERROR(__xludf.DUMMYFUNCTION("""COMPUTED_VALUE"""),"Yuli Susanti")</f>
        <v>Yuli Susanti</v>
      </c>
      <c r="W46" s="976" t="str">
        <f>IFERROR(__xludf.DUMMYFUNCTION("""COMPUTED_VALUE"""),"Kp. Cipadali RT 002/002 Desa Babakansari Kec. Plered Kab. Purwakarta")</f>
        <v>Kp. Cipadali RT 002/002 Desa Babakansari Kec. Plered Kab. Purwakarta</v>
      </c>
      <c r="X46" s="976" t="str">
        <f>IFERROR(__xludf.DUMMYFUNCTION("""COMPUTED_VALUE"""),"-")</f>
        <v>-</v>
      </c>
      <c r="Y46" s="976"/>
      <c r="Z46" s="976" t="str">
        <f>IFERROR(__xludf.DUMMYFUNCTION("""COMPUTED_VALUE"""),"Rumah Tangga")</f>
        <v>Rumah Tangga</v>
      </c>
      <c r="AA46" s="976" t="str">
        <f>IFERROR(__xludf.DUMMYFUNCTION("""COMPUTED_VALUE"""),"-")</f>
        <v>-</v>
      </c>
      <c r="AB46" s="976" t="str">
        <f>IFERROR(__xludf.DUMMYFUNCTION("""COMPUTED_VALUE"""),"-")</f>
        <v>-</v>
      </c>
      <c r="AC46" s="976" t="str">
        <f>IFERROR(__xludf.DUMMYFUNCTION("""COMPUTED_VALUE"""),"-")</f>
        <v>-</v>
      </c>
      <c r="AD46" s="976"/>
      <c r="AE46" s="976" t="str">
        <f>IFERROR(__xludf.DUMMYFUNCTION("""COMPUTED_VALUE"""),"20229659")</f>
        <v>20229659</v>
      </c>
      <c r="AF46" s="976"/>
      <c r="AG46" s="976" t="str">
        <f>IFERROR(__xludf.DUMMYFUNCTION("""COMPUTED_VALUE"""),"/appsheet/data/InputBiodataRaportX-3328125/FilePDF/SURYA BAGJA JUNIOR-d6cd486d.PDF")</f>
        <v>/appsheet/data/InputBiodataRaportX-3328125/FilePDF/SURYA BAGJA JUNIOR-d6cd486d.PDF</v>
      </c>
      <c r="AH46" s="976" t="str">
        <f>IFERROR(__xludf.DUMMYFUNCTION("""COMPUTED_VALUE"""),"2025 2026")</f>
        <v>2025 2026</v>
      </c>
      <c r="AI46" s="813" t="str">
        <f>IFERROR(__xludf.DUMMYFUNCTION("""COMPUTED_VALUE"""),"Purwakarta, 22 Desember 2025")</f>
        <v>Purwakarta, 22 Desember 2025</v>
      </c>
      <c r="AJ46" s="978" t="s">
        <v>860</v>
      </c>
      <c r="AK46" s="817" t="b">
        <f t="shared" ref="AK46:AL46" si="45">IF(H46:H137&lt;&gt;"",ISNUMBER(match(CONCATENATE(AK$2,"_",$C$4,"_",$C$3,"_",$C$2,"_",$H46,".pdf"),$AJ$3:$AJ137,0)))</f>
        <v>0</v>
      </c>
      <c r="AL46" s="817" t="b">
        <f t="shared" si="45"/>
        <v>0</v>
      </c>
      <c r="AM46" s="817" t="b">
        <f t="shared" si="27"/>
        <v>1</v>
      </c>
    </row>
    <row r="47" ht="20.25" customHeight="1">
      <c r="A47" s="2" t="str">
        <f>IFERROR(__xludf.DUMMYFUNCTION("""COMPUTED_VALUE"""),"Email")</f>
        <v>Email</v>
      </c>
      <c r="B47" s="1" t="str">
        <f>IFERROR(__xludf.DUMMYFUNCTION("""COMPUTED_VALUE"""),"smkneple@gmail.com")</f>
        <v>smkneple@gmail.com</v>
      </c>
      <c r="C47" s="2"/>
      <c r="D47" s="2"/>
      <c r="E47" s="825">
        <f>IFERROR(__xludf.DUMMYFUNCTION("""COMPUTED_VALUE"""),45.0)</f>
        <v>45</v>
      </c>
      <c r="F47" s="813" t="str">
        <f>IFERROR(__xludf.DUMMYFUNCTION("""COMPUTED_VALUE"""),"2526100458")</f>
        <v>2526100458</v>
      </c>
      <c r="G47" s="813" t="str">
        <f>IFERROR(__xludf.DUMMYFUNCTION("""COMPUTED_VALUE"""),"3096786504")</f>
        <v>3096786504</v>
      </c>
      <c r="H47" s="813" t="str">
        <f>IFERROR(__xludf.DUMMYFUNCTION("""COMPUTED_VALUE"""),"WILDAN RIPAI")</f>
        <v>WILDAN RIPAI</v>
      </c>
      <c r="I47" s="813" t="str">
        <f>IFERROR(__xludf.DUMMYFUNCTION("""COMPUTED_VALUE"""),"X TO 4")</f>
        <v>X TO 4</v>
      </c>
      <c r="J47" s="813" t="str">
        <f>IFERROR(__xludf.DUMMYFUNCTION("""COMPUTED_VALUE"""),"Purwakarta")</f>
        <v>Purwakarta</v>
      </c>
      <c r="K47" s="815">
        <f>IFERROR(__xludf.DUMMYFUNCTION("""COMPUTED_VALUE"""),39903.0)</f>
        <v>39903</v>
      </c>
      <c r="L47" s="813" t="str">
        <f>IFERROR(__xludf.DUMMYFUNCTION("""COMPUTED_VALUE"""),"Laki-Laki")</f>
        <v>Laki-Laki</v>
      </c>
      <c r="M47" s="813" t="str">
        <f>IFERROR(__xludf.DUMMYFUNCTION("""COMPUTED_VALUE"""),"Islam")</f>
        <v>Islam</v>
      </c>
      <c r="N47" s="813" t="str">
        <f>IFERROR(__xludf.DUMMYFUNCTION("""COMPUTED_VALUE"""),"Anak Kandung")</f>
        <v>Anak Kandung</v>
      </c>
      <c r="O47" s="813" t="str">
        <f>IFERROR(__xludf.DUMMYFUNCTION("""COMPUTED_VALUE"""),"2 (Dua)")</f>
        <v>2 (Dua)</v>
      </c>
      <c r="P47" s="813" t="str">
        <f>IFERROR(__xludf.DUMMYFUNCTION("""COMPUTED_VALUE"""),"Kp. Cisalak RT/RW 005/003 Desa Karoya Kec. Tegalwaru Kab. Purwakarta")</f>
        <v>Kp. Cisalak RT/RW 005/003 Desa Karoya Kec. Tegalwaru Kab. Purwakarta</v>
      </c>
      <c r="Q47" s="813" t="str">
        <f>IFERROR(__xludf.DUMMYFUNCTION("""COMPUTED_VALUE"""),"-")</f>
        <v>-</v>
      </c>
      <c r="R47" s="813" t="str">
        <f>IFERROR(__xludf.DUMMYFUNCTION("""COMPUTED_VALUE"""),"MTsS YPPA Cipulus")</f>
        <v>MTsS YPPA Cipulus</v>
      </c>
      <c r="S47" s="813" t="str">
        <f>IFERROR(__xludf.DUMMYFUNCTION("""COMPUTED_VALUE"""),"X TO 4")</f>
        <v>X TO 4</v>
      </c>
      <c r="T47" s="813" t="str">
        <f>IFERROR(__xludf.DUMMYFUNCTION("""COMPUTED_VALUE"""),"14 Juli 2025")</f>
        <v>14 Juli 2025</v>
      </c>
      <c r="U47" s="813" t="str">
        <f>IFERROR(__xludf.DUMMYFUNCTION("""COMPUTED_VALUE"""),"Hapipudin")</f>
        <v>Hapipudin</v>
      </c>
      <c r="V47" s="813" t="str">
        <f>IFERROR(__xludf.DUMMYFUNCTION("""COMPUTED_VALUE"""),"Nanih")</f>
        <v>Nanih</v>
      </c>
      <c r="W47" s="813" t="str">
        <f>IFERROR(__xludf.DUMMYFUNCTION("""COMPUTED_VALUE"""),"Kp. Cisalak RT 005/003 Desa Karoya Kec. Tegalwaru Kab. Purwakarta")</f>
        <v>Kp. Cisalak RT 005/003 Desa Karoya Kec. Tegalwaru Kab. Purwakarta</v>
      </c>
      <c r="X47" s="813" t="str">
        <f>IFERROR(__xludf.DUMMYFUNCTION("""COMPUTED_VALUE"""),"-")</f>
        <v>-</v>
      </c>
      <c r="Y47" s="813" t="str">
        <f>IFERROR(__xludf.DUMMYFUNCTION("""COMPUTED_VALUE"""),"Wiraswasta")</f>
        <v>Wiraswasta</v>
      </c>
      <c r="Z47" s="813" t="str">
        <f>IFERROR(__xludf.DUMMYFUNCTION("""COMPUTED_VALUE"""),"Rumah Tangga")</f>
        <v>Rumah Tangga</v>
      </c>
      <c r="AA47" s="813" t="str">
        <f>IFERROR(__xludf.DUMMYFUNCTION("""COMPUTED_VALUE"""),"-")</f>
        <v>-</v>
      </c>
      <c r="AB47" s="813" t="str">
        <f>IFERROR(__xludf.DUMMYFUNCTION("""COMPUTED_VALUE"""),"-")</f>
        <v>-</v>
      </c>
      <c r="AC47" s="813" t="str">
        <f>IFERROR(__xludf.DUMMYFUNCTION("""COMPUTED_VALUE"""),"-")</f>
        <v>-</v>
      </c>
      <c r="AD47" s="813"/>
      <c r="AE47" s="813" t="str">
        <f>IFERROR(__xludf.DUMMYFUNCTION("""COMPUTED_VALUE"""),"20229659")</f>
        <v>20229659</v>
      </c>
      <c r="AF47" s="813"/>
      <c r="AG47" s="813" t="str">
        <f>IFERROR(__xludf.DUMMYFUNCTION("""COMPUTED_VALUE"""),"/appsheet/data/InputBiodataRaportX-3328125/FilePDF/WILDAN RIPAI-54a19d69.PDF")</f>
        <v>/appsheet/data/InputBiodataRaportX-3328125/FilePDF/WILDAN RIPAI-54a19d69.PDF</v>
      </c>
      <c r="AH47" s="813" t="str">
        <f>IFERROR(__xludf.DUMMYFUNCTION("""COMPUTED_VALUE"""),"2025 2026")</f>
        <v>2025 2026</v>
      </c>
      <c r="AI47" s="813" t="str">
        <f>IFERROR(__xludf.DUMMYFUNCTION("""COMPUTED_VALUE"""),"Purwakarta, 22 Desember 2025")</f>
        <v>Purwakarta, 22 Desember 2025</v>
      </c>
      <c r="AJ47" s="978" t="s">
        <v>871</v>
      </c>
      <c r="AK47" s="817"/>
      <c r="AL47" s="817"/>
      <c r="AM47" s="817"/>
    </row>
    <row r="48" ht="20.25" customHeight="1">
      <c r="A48" s="2" t="str">
        <f>IFERROR(__xludf.DUMMYFUNCTION("""COMPUTED_VALUE"""),"Tgl. Titimangsa")</f>
        <v>Tgl. Titimangsa</v>
      </c>
      <c r="B48" s="1" t="str">
        <f>IFERROR(__xludf.DUMMYFUNCTION("""COMPUTED_VALUE"""),"Purwakarta, 20 Desember 2024")</f>
        <v>Purwakarta, 20 Desember 2024</v>
      </c>
      <c r="C48" s="2"/>
      <c r="D48" s="2"/>
      <c r="E48" s="975">
        <f>IFERROR(__xludf.DUMMYFUNCTION("""COMPUTED_VALUE"""),46.0)</f>
        <v>46</v>
      </c>
      <c r="F48" s="976" t="str">
        <f>IFERROR(__xludf.DUMMYFUNCTION("""COMPUTED_VALUE"""),"2526100459")</f>
        <v>2526100459</v>
      </c>
      <c r="G48" s="976" t="str">
        <f>IFERROR(__xludf.DUMMYFUNCTION("""COMPUTED_VALUE"""),"3100392230")</f>
        <v>3100392230</v>
      </c>
      <c r="H48" s="976" t="str">
        <f>IFERROR(__xludf.DUMMYFUNCTION("""COMPUTED_VALUE"""),"YUDHA PRASETYO")</f>
        <v>YUDHA PRASETYO</v>
      </c>
      <c r="I48" s="976" t="str">
        <f>IFERROR(__xludf.DUMMYFUNCTION("""COMPUTED_VALUE"""),"X TO 4")</f>
        <v>X TO 4</v>
      </c>
      <c r="J48" s="976" t="str">
        <f>IFERROR(__xludf.DUMMYFUNCTION("""COMPUTED_VALUE"""),"Purwakarta")</f>
        <v>Purwakarta</v>
      </c>
      <c r="K48" s="977">
        <f>IFERROR(__xludf.DUMMYFUNCTION("""COMPUTED_VALUE"""),40355.0)</f>
        <v>40355</v>
      </c>
      <c r="L48" s="976" t="str">
        <f>IFERROR(__xludf.DUMMYFUNCTION("""COMPUTED_VALUE"""),"Laki-Laki")</f>
        <v>Laki-Laki</v>
      </c>
      <c r="M48" s="976" t="str">
        <f>IFERROR(__xludf.DUMMYFUNCTION("""COMPUTED_VALUE"""),"Islam")</f>
        <v>Islam</v>
      </c>
      <c r="N48" s="976" t="str">
        <f>IFERROR(__xludf.DUMMYFUNCTION("""COMPUTED_VALUE"""),"Anak Kandung")</f>
        <v>Anak Kandung</v>
      </c>
      <c r="O48" s="976" t="str">
        <f>IFERROR(__xludf.DUMMYFUNCTION("""COMPUTED_VALUE"""),"2 (Dua)")</f>
        <v>2 (Dua)</v>
      </c>
      <c r="P48" s="976" t="str">
        <f>IFERROR(__xludf.DUMMYFUNCTION("""COMPUTED_VALUE"""),"Kp. Legok RT/RW 010/001 Desa Palinggihan Kec. Plered Kab. Purwakarta")</f>
        <v>Kp. Legok RT/RW 010/001 Desa Palinggihan Kec. Plered Kab. Purwakarta</v>
      </c>
      <c r="Q48" s="976" t="str">
        <f>IFERROR(__xludf.DUMMYFUNCTION("""COMPUTED_VALUE"""),"-")</f>
        <v>-</v>
      </c>
      <c r="R48" s="976" t="str">
        <f>IFERROR(__xludf.DUMMYFUNCTION("""COMPUTED_VALUE"""),"SMP Negeri 1 Plered")</f>
        <v>SMP Negeri 1 Plered</v>
      </c>
      <c r="S48" s="976" t="str">
        <f>IFERROR(__xludf.DUMMYFUNCTION("""COMPUTED_VALUE"""),"X TO 4")</f>
        <v>X TO 4</v>
      </c>
      <c r="T48" s="976" t="str">
        <f>IFERROR(__xludf.DUMMYFUNCTION("""COMPUTED_VALUE"""),"14 Juli 2025")</f>
        <v>14 Juli 2025</v>
      </c>
      <c r="U48" s="976" t="str">
        <f>IFERROR(__xludf.DUMMYFUNCTION("""COMPUTED_VALUE"""),"Soni Sadewo")</f>
        <v>Soni Sadewo</v>
      </c>
      <c r="V48" s="976" t="str">
        <f>IFERROR(__xludf.DUMMYFUNCTION("""COMPUTED_VALUE"""),"Siti Nurjanah")</f>
        <v>Siti Nurjanah</v>
      </c>
      <c r="W48" s="976" t="str">
        <f>IFERROR(__xludf.DUMMYFUNCTION("""COMPUTED_VALUE"""),"Kp. Legok RT/RW 010/001 Desa Palinggihan Kec. Plered Kab. Purwakarta")</f>
        <v>Kp. Legok RT/RW 010/001 Desa Palinggihan Kec. Plered Kab. Purwakarta</v>
      </c>
      <c r="X48" s="976" t="str">
        <f>IFERROR(__xludf.DUMMYFUNCTION("""COMPUTED_VALUE"""),"-")</f>
        <v>-</v>
      </c>
      <c r="Y48" s="976" t="str">
        <f>IFERROR(__xludf.DUMMYFUNCTION("""COMPUTED_VALUE"""),"Buruh")</f>
        <v>Buruh</v>
      </c>
      <c r="Z48" s="976" t="str">
        <f>IFERROR(__xludf.DUMMYFUNCTION("""COMPUTED_VALUE"""),"Rumah Tangga")</f>
        <v>Rumah Tangga</v>
      </c>
      <c r="AA48" s="976" t="str">
        <f>IFERROR(__xludf.DUMMYFUNCTION("""COMPUTED_VALUE"""),"-")</f>
        <v>-</v>
      </c>
      <c r="AB48" s="976" t="str">
        <f>IFERROR(__xludf.DUMMYFUNCTION("""COMPUTED_VALUE"""),"-")</f>
        <v>-</v>
      </c>
      <c r="AC48" s="976" t="str">
        <f>IFERROR(__xludf.DUMMYFUNCTION("""COMPUTED_VALUE"""),"-")</f>
        <v>-</v>
      </c>
      <c r="AD48" s="976"/>
      <c r="AE48" s="976" t="str">
        <f>IFERROR(__xludf.DUMMYFUNCTION("""COMPUTED_VALUE"""),"20229659")</f>
        <v>20229659</v>
      </c>
      <c r="AF48" s="976"/>
      <c r="AG48" s="976" t="str">
        <f>IFERROR(__xludf.DUMMYFUNCTION("""COMPUTED_VALUE"""),"/appsheet/data/InputBiodataRaportX-3328125/FilePDF/YUDHA PRASETYO-75970b16.PDF")</f>
        <v>/appsheet/data/InputBiodataRaportX-3328125/FilePDF/YUDHA PRASETYO-75970b16.PDF</v>
      </c>
      <c r="AH48" s="976" t="str">
        <f>IFERROR(__xludf.DUMMYFUNCTION("""COMPUTED_VALUE"""),"2025 2026")</f>
        <v>2025 2026</v>
      </c>
      <c r="AI48" s="813" t="str">
        <f>IFERROR(__xludf.DUMMYFUNCTION("""COMPUTED_VALUE"""),"Purwakarta, 22 Desember 2025")</f>
        <v>Purwakarta, 22 Desember 2025</v>
      </c>
      <c r="AJ48" s="978" t="s">
        <v>869</v>
      </c>
      <c r="AK48" s="817"/>
      <c r="AL48" s="817"/>
      <c r="AM48" s="817"/>
    </row>
    <row r="49" ht="20.25" customHeight="1">
      <c r="A49" s="2" t="str">
        <f>IFERROR(__xludf.DUMMYFUNCTION("""COMPUTED_VALUE"""),"Nama Kepsek")</f>
        <v>Nama Kepsek</v>
      </c>
      <c r="B49" s="1" t="str">
        <f>IFERROR(__xludf.DUMMYFUNCTION("""COMPUTED_VALUE"""),"WAHYU TAMIMBARKAH, S,Pd.")</f>
        <v>WAHYU TAMIMBARKAH, S,Pd.</v>
      </c>
      <c r="C49" s="2"/>
      <c r="D49" s="2"/>
      <c r="E49" s="825"/>
      <c r="F49" s="813"/>
      <c r="G49" s="813"/>
      <c r="H49" s="813"/>
      <c r="I49" s="813"/>
      <c r="J49" s="813"/>
      <c r="K49" s="815"/>
      <c r="L49" s="813"/>
      <c r="M49" s="813"/>
      <c r="N49" s="813"/>
      <c r="O49" s="813"/>
      <c r="P49" s="813"/>
      <c r="Q49" s="813"/>
      <c r="R49" s="813"/>
      <c r="S49" s="813"/>
      <c r="T49" s="813"/>
      <c r="U49" s="813"/>
      <c r="V49" s="813"/>
      <c r="W49" s="813"/>
      <c r="X49" s="813"/>
      <c r="Y49" s="813"/>
      <c r="Z49" s="813"/>
      <c r="AA49" s="813"/>
      <c r="AB49" s="813"/>
      <c r="AC49" s="813"/>
      <c r="AD49" s="813"/>
      <c r="AE49" s="813"/>
      <c r="AF49" s="813"/>
      <c r="AG49" s="813"/>
      <c r="AH49" s="813"/>
      <c r="AI49" s="813"/>
      <c r="AJ49" s="978" t="s">
        <v>866</v>
      </c>
      <c r="AK49" s="817"/>
      <c r="AL49" s="817"/>
      <c r="AM49" s="817"/>
    </row>
    <row r="50" ht="20.25" customHeight="1">
      <c r="A50" s="2" t="str">
        <f>IFERROR(__xludf.DUMMYFUNCTION("""COMPUTED_VALUE"""),"NIP Kepsek")</f>
        <v>NIP Kepsek</v>
      </c>
      <c r="B50" s="1" t="str">
        <f>IFERROR(__xludf.DUMMYFUNCTION("""COMPUTED_VALUE"""),"NIP. 197111022008011001")</f>
        <v>NIP. 197111022008011001</v>
      </c>
      <c r="C50" s="2"/>
      <c r="D50" s="2"/>
      <c r="E50" s="975"/>
      <c r="F50" s="976"/>
      <c r="G50" s="976"/>
      <c r="H50" s="976"/>
      <c r="I50" s="976"/>
      <c r="J50" s="976"/>
      <c r="K50" s="977"/>
      <c r="L50" s="976"/>
      <c r="M50" s="976"/>
      <c r="N50" s="976"/>
      <c r="O50" s="976"/>
      <c r="P50" s="976"/>
      <c r="Q50" s="976"/>
      <c r="R50" s="976"/>
      <c r="S50" s="976"/>
      <c r="T50" s="976"/>
      <c r="U50" s="976"/>
      <c r="V50" s="976"/>
      <c r="W50" s="976"/>
      <c r="X50" s="976"/>
      <c r="Y50" s="976"/>
      <c r="Z50" s="976"/>
      <c r="AA50" s="976"/>
      <c r="AB50" s="976"/>
      <c r="AC50" s="976"/>
      <c r="AD50" s="976"/>
      <c r="AE50" s="976"/>
      <c r="AF50" s="976"/>
      <c r="AG50" s="976"/>
      <c r="AH50" s="976"/>
      <c r="AI50" s="813"/>
      <c r="AJ50" s="978" t="s">
        <v>864</v>
      </c>
      <c r="AK50" s="817"/>
      <c r="AL50" s="817"/>
      <c r="AM50" s="817"/>
    </row>
    <row r="51" ht="20.25" customHeight="1">
      <c r="A51" s="2"/>
      <c r="B51" s="2"/>
      <c r="C51" s="2"/>
      <c r="D51" s="2"/>
      <c r="E51" s="825"/>
      <c r="F51" s="813"/>
      <c r="G51" s="813"/>
      <c r="H51" s="813"/>
      <c r="I51" s="813"/>
      <c r="J51" s="813"/>
      <c r="K51" s="815"/>
      <c r="L51" s="813"/>
      <c r="M51" s="813"/>
      <c r="N51" s="813"/>
      <c r="O51" s="813"/>
      <c r="P51" s="813"/>
      <c r="Q51" s="813"/>
      <c r="R51" s="813"/>
      <c r="S51" s="813"/>
      <c r="T51" s="813"/>
      <c r="U51" s="813"/>
      <c r="V51" s="813"/>
      <c r="W51" s="813"/>
      <c r="X51" s="813"/>
      <c r="Y51" s="813"/>
      <c r="Z51" s="813"/>
      <c r="AA51" s="813"/>
      <c r="AB51" s="813"/>
      <c r="AC51" s="813"/>
      <c r="AD51" s="813"/>
      <c r="AE51" s="813"/>
      <c r="AF51" s="813"/>
      <c r="AG51" s="813"/>
      <c r="AH51" s="813"/>
      <c r="AI51" s="813"/>
      <c r="AJ51" s="978" t="s">
        <v>862</v>
      </c>
      <c r="AK51" s="817"/>
      <c r="AL51" s="817"/>
      <c r="AM51" s="817"/>
    </row>
    <row r="52" ht="20.25" customHeight="1">
      <c r="A52" s="2"/>
      <c r="B52" s="2"/>
      <c r="C52" s="2"/>
      <c r="D52" s="2"/>
      <c r="E52" s="975"/>
      <c r="F52" s="976"/>
      <c r="G52" s="976"/>
      <c r="H52" s="976"/>
      <c r="I52" s="976"/>
      <c r="J52" s="976"/>
      <c r="K52" s="977"/>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813"/>
      <c r="AJ52" s="978" t="s">
        <v>859</v>
      </c>
      <c r="AK52" s="817"/>
      <c r="AL52" s="817"/>
      <c r="AM52" s="817"/>
    </row>
    <row r="53" ht="20.25" customHeight="1">
      <c r="A53" s="2"/>
      <c r="B53" s="2"/>
      <c r="C53" s="2"/>
      <c r="D53" s="2"/>
      <c r="E53" s="825"/>
      <c r="F53" s="813"/>
      <c r="G53" s="813"/>
      <c r="H53" s="813"/>
      <c r="I53" s="813"/>
      <c r="J53" s="813"/>
      <c r="K53" s="815"/>
      <c r="L53" s="813"/>
      <c r="M53" s="813"/>
      <c r="N53" s="813"/>
      <c r="O53" s="813"/>
      <c r="P53" s="813"/>
      <c r="Q53" s="813"/>
      <c r="R53" s="813"/>
      <c r="S53" s="813"/>
      <c r="T53" s="813"/>
      <c r="U53" s="813"/>
      <c r="V53" s="813"/>
      <c r="W53" s="813"/>
      <c r="X53" s="813"/>
      <c r="Y53" s="813"/>
      <c r="Z53" s="813"/>
      <c r="AA53" s="813"/>
      <c r="AB53" s="813"/>
      <c r="AC53" s="813"/>
      <c r="AD53" s="813"/>
      <c r="AE53" s="813"/>
      <c r="AF53" s="813"/>
      <c r="AG53" s="813"/>
      <c r="AH53" s="813"/>
      <c r="AI53" s="813"/>
      <c r="AJ53" s="978" t="s">
        <v>857</v>
      </c>
      <c r="AK53" s="817"/>
      <c r="AL53" s="817"/>
      <c r="AM53" s="817"/>
    </row>
    <row r="54" ht="20.25" customHeight="1">
      <c r="A54" s="2"/>
      <c r="B54" s="2"/>
      <c r="C54" s="2"/>
      <c r="D54" s="2"/>
      <c r="E54" s="975"/>
      <c r="F54" s="976"/>
      <c r="G54" s="976"/>
      <c r="H54" s="976"/>
      <c r="I54" s="976"/>
      <c r="J54" s="976"/>
      <c r="K54" s="977"/>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976"/>
      <c r="AI54" s="813"/>
      <c r="AJ54" s="978" t="s">
        <v>855</v>
      </c>
      <c r="AK54" s="817"/>
      <c r="AL54" s="817"/>
      <c r="AM54" s="817"/>
    </row>
    <row r="55" ht="20.25" customHeight="1">
      <c r="A55" s="2"/>
      <c r="B55" s="2"/>
      <c r="C55" s="2"/>
      <c r="D55" s="2"/>
      <c r="E55" s="825"/>
      <c r="F55" s="813"/>
      <c r="G55" s="813"/>
      <c r="H55" s="813"/>
      <c r="I55" s="813"/>
      <c r="J55" s="813"/>
      <c r="K55" s="815"/>
      <c r="L55" s="813"/>
      <c r="M55" s="813"/>
      <c r="N55" s="813"/>
      <c r="O55" s="813"/>
      <c r="P55" s="813"/>
      <c r="Q55" s="813"/>
      <c r="R55" s="813"/>
      <c r="S55" s="813"/>
      <c r="T55" s="813"/>
      <c r="U55" s="813"/>
      <c r="V55" s="813"/>
      <c r="W55" s="813"/>
      <c r="X55" s="813"/>
      <c r="Y55" s="813"/>
      <c r="Z55" s="813"/>
      <c r="AA55" s="813"/>
      <c r="AB55" s="813"/>
      <c r="AC55" s="813"/>
      <c r="AD55" s="813"/>
      <c r="AE55" s="813"/>
      <c r="AF55" s="813"/>
      <c r="AG55" s="813"/>
      <c r="AH55" s="813"/>
      <c r="AI55" s="813"/>
      <c r="AJ55" s="978" t="s">
        <v>853</v>
      </c>
      <c r="AK55" s="817"/>
      <c r="AL55" s="817"/>
      <c r="AM55" s="817"/>
    </row>
    <row r="56" ht="20.25" customHeight="1">
      <c r="A56" s="2"/>
      <c r="B56" s="2"/>
      <c r="C56" s="2"/>
      <c r="D56" s="2"/>
      <c r="E56" s="975"/>
      <c r="F56" s="976"/>
      <c r="G56" s="976"/>
      <c r="H56" s="976"/>
      <c r="I56" s="976"/>
      <c r="J56" s="976"/>
      <c r="K56" s="977"/>
      <c r="L56" s="976"/>
      <c r="M56" s="976"/>
      <c r="N56" s="976"/>
      <c r="O56" s="976"/>
      <c r="P56" s="976"/>
      <c r="Q56" s="976"/>
      <c r="R56" s="976"/>
      <c r="S56" s="976"/>
      <c r="T56" s="976"/>
      <c r="U56" s="976"/>
      <c r="V56" s="976"/>
      <c r="W56" s="976"/>
      <c r="X56" s="976"/>
      <c r="Y56" s="976"/>
      <c r="Z56" s="976"/>
      <c r="AA56" s="976"/>
      <c r="AB56" s="976"/>
      <c r="AC56" s="976"/>
      <c r="AD56" s="976"/>
      <c r="AE56" s="976"/>
      <c r="AF56" s="976"/>
      <c r="AG56" s="976"/>
      <c r="AH56" s="976"/>
      <c r="AI56" s="813"/>
      <c r="AJ56" s="978" t="s">
        <v>851</v>
      </c>
      <c r="AK56" s="817"/>
      <c r="AL56" s="817"/>
      <c r="AM56" s="817"/>
    </row>
    <row r="57" ht="20.25" customHeight="1">
      <c r="A57" s="2"/>
      <c r="B57" s="2"/>
      <c r="C57" s="2"/>
      <c r="D57" s="2"/>
      <c r="E57" s="1002"/>
      <c r="F57" s="974"/>
      <c r="G57" s="974"/>
      <c r="H57" s="974"/>
      <c r="I57" s="974"/>
      <c r="J57" s="974"/>
      <c r="K57" s="1005"/>
      <c r="L57" s="974"/>
      <c r="M57" s="974"/>
      <c r="N57" s="974"/>
      <c r="O57" s="974"/>
      <c r="P57" s="974"/>
      <c r="Q57" s="974"/>
      <c r="R57" s="974"/>
      <c r="S57" s="974"/>
      <c r="T57" s="974"/>
      <c r="U57" s="974"/>
      <c r="V57" s="974"/>
      <c r="W57" s="974"/>
      <c r="X57" s="974"/>
      <c r="Y57" s="974"/>
      <c r="Z57" s="974"/>
      <c r="AA57" s="974"/>
      <c r="AB57" s="974"/>
      <c r="AC57" s="974"/>
      <c r="AD57" s="974"/>
      <c r="AE57" s="974"/>
      <c r="AF57" s="974"/>
      <c r="AG57" s="974"/>
      <c r="AH57" s="974"/>
      <c r="AI57" s="973"/>
      <c r="AJ57" s="978" t="s">
        <v>849</v>
      </c>
      <c r="AK57" s="817"/>
      <c r="AL57" s="817"/>
      <c r="AM57" s="817"/>
    </row>
    <row r="58" ht="20.25" customHeight="1">
      <c r="A58" s="2"/>
      <c r="B58" s="2"/>
      <c r="C58" s="2"/>
      <c r="D58" s="2"/>
      <c r="E58" s="1002"/>
      <c r="F58" s="974"/>
      <c r="G58" s="974"/>
      <c r="H58" s="974"/>
      <c r="I58" s="974"/>
      <c r="J58" s="974"/>
      <c r="K58" s="1005"/>
      <c r="L58" s="974"/>
      <c r="M58" s="974"/>
      <c r="N58" s="974"/>
      <c r="O58" s="974"/>
      <c r="P58" s="974"/>
      <c r="Q58" s="974"/>
      <c r="R58" s="974"/>
      <c r="S58" s="974"/>
      <c r="T58" s="974"/>
      <c r="U58" s="974"/>
      <c r="V58" s="974"/>
      <c r="W58" s="974"/>
      <c r="X58" s="974"/>
      <c r="Y58" s="974"/>
      <c r="Z58" s="974"/>
      <c r="AA58" s="974"/>
      <c r="AB58" s="974"/>
      <c r="AC58" s="974"/>
      <c r="AD58" s="974"/>
      <c r="AE58" s="974"/>
      <c r="AF58" s="974"/>
      <c r="AG58" s="974"/>
      <c r="AH58" s="974"/>
      <c r="AI58" s="973"/>
      <c r="AJ58" s="978" t="s">
        <v>846</v>
      </c>
      <c r="AK58" s="817"/>
      <c r="AL58" s="817"/>
      <c r="AM58" s="817"/>
    </row>
    <row r="59" ht="20.25" customHeight="1">
      <c r="A59" s="2"/>
      <c r="B59" s="2"/>
      <c r="C59" s="2"/>
      <c r="D59" s="2"/>
      <c r="E59" s="1002"/>
      <c r="F59" s="974"/>
      <c r="G59" s="974"/>
      <c r="H59" s="974"/>
      <c r="I59" s="974"/>
      <c r="J59" s="974"/>
      <c r="K59" s="1005"/>
      <c r="L59" s="974"/>
      <c r="M59" s="974"/>
      <c r="N59" s="974"/>
      <c r="O59" s="974"/>
      <c r="P59" s="974"/>
      <c r="Q59" s="974"/>
      <c r="R59" s="974"/>
      <c r="S59" s="974"/>
      <c r="T59" s="974"/>
      <c r="U59" s="974"/>
      <c r="V59" s="974"/>
      <c r="W59" s="974"/>
      <c r="X59" s="974"/>
      <c r="Y59" s="974"/>
      <c r="Z59" s="974"/>
      <c r="AA59" s="974"/>
      <c r="AB59" s="974"/>
      <c r="AC59" s="974"/>
      <c r="AD59" s="974"/>
      <c r="AE59" s="974"/>
      <c r="AF59" s="974"/>
      <c r="AG59" s="974"/>
      <c r="AH59" s="974"/>
      <c r="AI59" s="973"/>
      <c r="AJ59" s="978" t="s">
        <v>844</v>
      </c>
      <c r="AK59" s="817"/>
      <c r="AL59" s="817"/>
      <c r="AM59" s="817"/>
    </row>
    <row r="60" ht="20.25" customHeight="1">
      <c r="A60" s="2"/>
      <c r="B60" s="2"/>
      <c r="C60" s="2"/>
      <c r="D60" s="2"/>
      <c r="E60" s="1002"/>
      <c r="F60" s="974"/>
      <c r="G60" s="974"/>
      <c r="H60" s="974"/>
      <c r="I60" s="974"/>
      <c r="J60" s="974"/>
      <c r="K60" s="1005"/>
      <c r="L60" s="974"/>
      <c r="M60" s="974"/>
      <c r="N60" s="974"/>
      <c r="O60" s="974"/>
      <c r="P60" s="974"/>
      <c r="Q60" s="974"/>
      <c r="R60" s="974"/>
      <c r="S60" s="974"/>
      <c r="T60" s="974"/>
      <c r="U60" s="974"/>
      <c r="V60" s="974"/>
      <c r="W60" s="974"/>
      <c r="X60" s="974"/>
      <c r="Y60" s="974"/>
      <c r="Z60" s="974"/>
      <c r="AA60" s="974"/>
      <c r="AB60" s="974"/>
      <c r="AC60" s="974"/>
      <c r="AD60" s="974"/>
      <c r="AE60" s="974"/>
      <c r="AF60" s="974"/>
      <c r="AG60" s="974"/>
      <c r="AH60" s="974"/>
      <c r="AI60" s="973"/>
      <c r="AJ60" s="978" t="s">
        <v>842</v>
      </c>
      <c r="AK60" s="817"/>
      <c r="AL60" s="817"/>
      <c r="AM60" s="817"/>
    </row>
    <row r="61" ht="20.25" customHeight="1">
      <c r="A61" s="2"/>
      <c r="B61" s="2"/>
      <c r="C61" s="2"/>
      <c r="D61" s="2"/>
      <c r="E61" s="1002"/>
      <c r="F61" s="974"/>
      <c r="G61" s="974"/>
      <c r="H61" s="974"/>
      <c r="I61" s="974"/>
      <c r="J61" s="974"/>
      <c r="K61" s="1005"/>
      <c r="L61" s="974"/>
      <c r="M61" s="974"/>
      <c r="N61" s="974"/>
      <c r="O61" s="974"/>
      <c r="P61" s="974"/>
      <c r="Q61" s="974"/>
      <c r="R61" s="974"/>
      <c r="S61" s="974"/>
      <c r="T61" s="974"/>
      <c r="U61" s="974"/>
      <c r="V61" s="974"/>
      <c r="W61" s="974"/>
      <c r="X61" s="974"/>
      <c r="Y61" s="974"/>
      <c r="Z61" s="974"/>
      <c r="AA61" s="974"/>
      <c r="AB61" s="974"/>
      <c r="AC61" s="974"/>
      <c r="AD61" s="974"/>
      <c r="AE61" s="974"/>
      <c r="AF61" s="974"/>
      <c r="AG61" s="974"/>
      <c r="AH61" s="974"/>
      <c r="AI61" s="973"/>
      <c r="AJ61" s="978" t="s">
        <v>840</v>
      </c>
      <c r="AK61" s="817"/>
      <c r="AL61" s="817"/>
      <c r="AM61" s="817"/>
    </row>
    <row r="62" ht="20.25" customHeight="1">
      <c r="A62" s="2"/>
      <c r="B62" s="2"/>
      <c r="C62" s="2"/>
      <c r="D62" s="2"/>
      <c r="E62" s="1002"/>
      <c r="F62" s="974"/>
      <c r="G62" s="974"/>
      <c r="H62" s="974"/>
      <c r="I62" s="974"/>
      <c r="J62" s="974"/>
      <c r="K62" s="1005"/>
      <c r="L62" s="974"/>
      <c r="M62" s="974"/>
      <c r="N62" s="974"/>
      <c r="O62" s="974"/>
      <c r="P62" s="974"/>
      <c r="Q62" s="974"/>
      <c r="R62" s="974"/>
      <c r="S62" s="974"/>
      <c r="T62" s="974"/>
      <c r="U62" s="974"/>
      <c r="V62" s="974"/>
      <c r="W62" s="974"/>
      <c r="X62" s="974"/>
      <c r="Y62" s="974"/>
      <c r="Z62" s="974"/>
      <c r="AA62" s="974"/>
      <c r="AB62" s="974"/>
      <c r="AC62" s="974"/>
      <c r="AD62" s="974"/>
      <c r="AE62" s="974"/>
      <c r="AF62" s="974"/>
      <c r="AG62" s="974"/>
      <c r="AH62" s="974"/>
      <c r="AI62" s="973"/>
      <c r="AJ62" s="978" t="s">
        <v>838</v>
      </c>
      <c r="AK62" s="817"/>
      <c r="AL62" s="817"/>
      <c r="AM62" s="817"/>
    </row>
    <row r="63" ht="20.25" customHeight="1">
      <c r="A63" s="2"/>
      <c r="B63" s="2"/>
      <c r="C63" s="2"/>
      <c r="D63" s="2"/>
      <c r="E63" s="1002"/>
      <c r="F63" s="974"/>
      <c r="G63" s="974"/>
      <c r="H63" s="974"/>
      <c r="I63" s="974"/>
      <c r="J63" s="974"/>
      <c r="K63" s="1005"/>
      <c r="L63" s="974"/>
      <c r="M63" s="974"/>
      <c r="N63" s="974"/>
      <c r="O63" s="974"/>
      <c r="P63" s="974"/>
      <c r="Q63" s="974"/>
      <c r="R63" s="974"/>
      <c r="S63" s="974"/>
      <c r="T63" s="974"/>
      <c r="U63" s="974"/>
      <c r="V63" s="974"/>
      <c r="W63" s="974"/>
      <c r="X63" s="974"/>
      <c r="Y63" s="974"/>
      <c r="Z63" s="974"/>
      <c r="AA63" s="974"/>
      <c r="AB63" s="974"/>
      <c r="AC63" s="974"/>
      <c r="AD63" s="974"/>
      <c r="AE63" s="974"/>
      <c r="AF63" s="974"/>
      <c r="AG63" s="974"/>
      <c r="AH63" s="974"/>
      <c r="AI63" s="973"/>
      <c r="AJ63" s="978" t="s">
        <v>836</v>
      </c>
      <c r="AK63" s="817"/>
      <c r="AL63" s="817"/>
      <c r="AM63" s="817"/>
    </row>
    <row r="64" ht="20.25" customHeight="1">
      <c r="A64" s="2"/>
      <c r="B64" s="2"/>
      <c r="C64" s="2"/>
      <c r="D64" s="2"/>
      <c r="E64" s="1002"/>
      <c r="F64" s="974"/>
      <c r="G64" s="974"/>
      <c r="H64" s="974"/>
      <c r="I64" s="974"/>
      <c r="J64" s="974"/>
      <c r="K64" s="1005"/>
      <c r="L64" s="974"/>
      <c r="M64" s="974"/>
      <c r="N64" s="974"/>
      <c r="O64" s="974"/>
      <c r="P64" s="974"/>
      <c r="Q64" s="974"/>
      <c r="R64" s="974"/>
      <c r="S64" s="974"/>
      <c r="T64" s="974"/>
      <c r="U64" s="974"/>
      <c r="V64" s="974"/>
      <c r="W64" s="974"/>
      <c r="X64" s="974"/>
      <c r="Y64" s="974"/>
      <c r="Z64" s="974"/>
      <c r="AA64" s="974"/>
      <c r="AB64" s="974"/>
      <c r="AC64" s="974"/>
      <c r="AD64" s="974"/>
      <c r="AE64" s="974"/>
      <c r="AF64" s="974"/>
      <c r="AG64" s="974"/>
      <c r="AH64" s="974"/>
      <c r="AI64" s="973"/>
      <c r="AJ64" s="978" t="s">
        <v>834</v>
      </c>
      <c r="AK64" s="817"/>
      <c r="AL64" s="817"/>
      <c r="AM64" s="817"/>
    </row>
    <row r="65" ht="20.25" customHeight="1">
      <c r="A65" s="2"/>
      <c r="B65" s="2"/>
      <c r="C65" s="2"/>
      <c r="D65" s="2"/>
      <c r="E65" s="1002"/>
      <c r="F65" s="974"/>
      <c r="G65" s="974"/>
      <c r="H65" s="974"/>
      <c r="I65" s="974"/>
      <c r="J65" s="974"/>
      <c r="K65" s="1005"/>
      <c r="L65" s="974"/>
      <c r="M65" s="974"/>
      <c r="N65" s="974"/>
      <c r="O65" s="974"/>
      <c r="P65" s="974"/>
      <c r="Q65" s="974"/>
      <c r="R65" s="974"/>
      <c r="S65" s="974"/>
      <c r="T65" s="974"/>
      <c r="U65" s="974"/>
      <c r="V65" s="974"/>
      <c r="W65" s="974"/>
      <c r="X65" s="974"/>
      <c r="Y65" s="974"/>
      <c r="Z65" s="974"/>
      <c r="AA65" s="974"/>
      <c r="AB65" s="974"/>
      <c r="AC65" s="974"/>
      <c r="AD65" s="974"/>
      <c r="AE65" s="974"/>
      <c r="AF65" s="974"/>
      <c r="AG65" s="974"/>
      <c r="AH65" s="974"/>
      <c r="AI65" s="973"/>
      <c r="AJ65" s="978" t="s">
        <v>832</v>
      </c>
      <c r="AK65" s="817"/>
      <c r="AL65" s="817"/>
      <c r="AM65" s="817"/>
    </row>
    <row r="66" ht="20.25" customHeight="1">
      <c r="A66" s="2"/>
      <c r="B66" s="2"/>
      <c r="C66" s="2"/>
      <c r="D66" s="2"/>
      <c r="E66" s="1002"/>
      <c r="F66" s="974"/>
      <c r="G66" s="974"/>
      <c r="H66" s="974"/>
      <c r="I66" s="974"/>
      <c r="J66" s="974"/>
      <c r="K66" s="1005"/>
      <c r="L66" s="974"/>
      <c r="M66" s="974"/>
      <c r="N66" s="974"/>
      <c r="O66" s="974"/>
      <c r="P66" s="974"/>
      <c r="Q66" s="974"/>
      <c r="R66" s="974"/>
      <c r="S66" s="974"/>
      <c r="T66" s="974"/>
      <c r="U66" s="974"/>
      <c r="V66" s="974"/>
      <c r="W66" s="974"/>
      <c r="X66" s="974"/>
      <c r="Y66" s="974"/>
      <c r="Z66" s="974"/>
      <c r="AA66" s="974"/>
      <c r="AB66" s="974"/>
      <c r="AC66" s="974"/>
      <c r="AD66" s="974"/>
      <c r="AE66" s="974"/>
      <c r="AF66" s="974"/>
      <c r="AG66" s="974"/>
      <c r="AH66" s="974"/>
      <c r="AI66" s="973"/>
      <c r="AJ66" s="978" t="s">
        <v>830</v>
      </c>
      <c r="AK66" s="817"/>
      <c r="AL66" s="817"/>
      <c r="AM66" s="817"/>
    </row>
    <row r="67" ht="20.25" customHeight="1">
      <c r="A67" s="2"/>
      <c r="B67" s="2"/>
      <c r="C67" s="2"/>
      <c r="D67" s="2"/>
      <c r="E67" s="1002"/>
      <c r="F67" s="974"/>
      <c r="G67" s="974"/>
      <c r="H67" s="974"/>
      <c r="I67" s="974"/>
      <c r="J67" s="974"/>
      <c r="K67" s="1005"/>
      <c r="L67" s="974"/>
      <c r="M67" s="974"/>
      <c r="N67" s="974"/>
      <c r="O67" s="974"/>
      <c r="P67" s="974"/>
      <c r="Q67" s="974"/>
      <c r="R67" s="974"/>
      <c r="S67" s="974"/>
      <c r="T67" s="974"/>
      <c r="U67" s="974"/>
      <c r="V67" s="974"/>
      <c r="W67" s="974"/>
      <c r="X67" s="974"/>
      <c r="Y67" s="974"/>
      <c r="Z67" s="974"/>
      <c r="AA67" s="974"/>
      <c r="AB67" s="974"/>
      <c r="AC67" s="974"/>
      <c r="AD67" s="974"/>
      <c r="AE67" s="974"/>
      <c r="AF67" s="974"/>
      <c r="AG67" s="974"/>
      <c r="AH67" s="974"/>
      <c r="AI67" s="973"/>
      <c r="AJ67" s="978" t="s">
        <v>828</v>
      </c>
      <c r="AK67" s="817"/>
      <c r="AL67" s="817"/>
      <c r="AM67" s="817"/>
    </row>
    <row r="68" ht="20.25" customHeight="1">
      <c r="A68" s="2"/>
      <c r="B68" s="2"/>
      <c r="C68" s="2"/>
      <c r="D68" s="2"/>
      <c r="E68" s="1002"/>
      <c r="F68" s="974"/>
      <c r="G68" s="974"/>
      <c r="H68" s="974"/>
      <c r="I68" s="974"/>
      <c r="J68" s="974"/>
      <c r="K68" s="1005"/>
      <c r="L68" s="974"/>
      <c r="M68" s="974"/>
      <c r="N68" s="974"/>
      <c r="O68" s="974"/>
      <c r="P68" s="974"/>
      <c r="Q68" s="974"/>
      <c r="R68" s="974"/>
      <c r="S68" s="974"/>
      <c r="T68" s="974"/>
      <c r="U68" s="974"/>
      <c r="V68" s="974"/>
      <c r="W68" s="974"/>
      <c r="X68" s="974"/>
      <c r="Y68" s="974"/>
      <c r="Z68" s="974"/>
      <c r="AA68" s="974"/>
      <c r="AB68" s="974"/>
      <c r="AC68" s="974"/>
      <c r="AD68" s="974"/>
      <c r="AE68" s="974"/>
      <c r="AF68" s="974"/>
      <c r="AG68" s="974"/>
      <c r="AH68" s="974"/>
      <c r="AI68" s="973"/>
      <c r="AJ68" s="978" t="s">
        <v>826</v>
      </c>
      <c r="AK68" s="817"/>
      <c r="AL68" s="817"/>
      <c r="AM68" s="817"/>
    </row>
    <row r="69" ht="20.25" customHeight="1">
      <c r="A69" s="2"/>
      <c r="B69" s="2"/>
      <c r="C69" s="2"/>
      <c r="D69" s="2"/>
      <c r="E69" s="1002"/>
      <c r="F69" s="974"/>
      <c r="G69" s="974"/>
      <c r="H69" s="974"/>
      <c r="I69" s="974"/>
      <c r="J69" s="974"/>
      <c r="K69" s="1005"/>
      <c r="L69" s="974"/>
      <c r="M69" s="974"/>
      <c r="N69" s="974"/>
      <c r="O69" s="974"/>
      <c r="P69" s="974"/>
      <c r="Q69" s="974"/>
      <c r="R69" s="974"/>
      <c r="S69" s="974"/>
      <c r="T69" s="974"/>
      <c r="U69" s="974"/>
      <c r="V69" s="974"/>
      <c r="W69" s="974"/>
      <c r="X69" s="974"/>
      <c r="Y69" s="974"/>
      <c r="Z69" s="974"/>
      <c r="AA69" s="974"/>
      <c r="AB69" s="974"/>
      <c r="AC69" s="974"/>
      <c r="AD69" s="974"/>
      <c r="AE69" s="974"/>
      <c r="AF69" s="974"/>
      <c r="AG69" s="974"/>
      <c r="AH69" s="974"/>
      <c r="AI69" s="973"/>
      <c r="AJ69" s="978" t="s">
        <v>824</v>
      </c>
      <c r="AK69" s="817"/>
      <c r="AL69" s="817"/>
      <c r="AM69" s="817"/>
    </row>
    <row r="70" ht="20.25" customHeight="1">
      <c r="A70" s="2"/>
      <c r="B70" s="2"/>
      <c r="C70" s="2"/>
      <c r="D70" s="2"/>
      <c r="E70" s="1002"/>
      <c r="F70" s="974"/>
      <c r="G70" s="974"/>
      <c r="H70" s="974"/>
      <c r="I70" s="974"/>
      <c r="J70" s="974"/>
      <c r="K70" s="1005"/>
      <c r="L70" s="974"/>
      <c r="M70" s="974"/>
      <c r="N70" s="974"/>
      <c r="O70" s="974"/>
      <c r="P70" s="974"/>
      <c r="Q70" s="974"/>
      <c r="R70" s="974"/>
      <c r="S70" s="974"/>
      <c r="T70" s="974"/>
      <c r="U70" s="974"/>
      <c r="V70" s="974"/>
      <c r="W70" s="974"/>
      <c r="X70" s="974"/>
      <c r="Y70" s="974"/>
      <c r="Z70" s="974"/>
      <c r="AA70" s="974"/>
      <c r="AB70" s="974"/>
      <c r="AC70" s="974"/>
      <c r="AD70" s="974"/>
      <c r="AE70" s="974"/>
      <c r="AF70" s="974"/>
      <c r="AG70" s="974"/>
      <c r="AH70" s="974"/>
      <c r="AI70" s="973"/>
      <c r="AJ70" s="978" t="s">
        <v>822</v>
      </c>
      <c r="AK70" s="817"/>
      <c r="AL70" s="817"/>
      <c r="AM70" s="817"/>
    </row>
    <row r="71" ht="20.25" customHeight="1">
      <c r="A71" s="2"/>
      <c r="B71" s="2"/>
      <c r="C71" s="2"/>
      <c r="D71" s="2"/>
      <c r="E71" s="1002"/>
      <c r="F71" s="974"/>
      <c r="G71" s="974"/>
      <c r="H71" s="974"/>
      <c r="I71" s="974"/>
      <c r="J71" s="974"/>
      <c r="K71" s="1005"/>
      <c r="L71" s="974"/>
      <c r="M71" s="974"/>
      <c r="N71" s="974"/>
      <c r="O71" s="974"/>
      <c r="P71" s="974"/>
      <c r="Q71" s="974"/>
      <c r="R71" s="974"/>
      <c r="S71" s="974"/>
      <c r="T71" s="974"/>
      <c r="U71" s="974"/>
      <c r="V71" s="974"/>
      <c r="W71" s="974"/>
      <c r="X71" s="974"/>
      <c r="Y71" s="974"/>
      <c r="Z71" s="974"/>
      <c r="AA71" s="974"/>
      <c r="AB71" s="974"/>
      <c r="AC71" s="974"/>
      <c r="AD71" s="974"/>
      <c r="AE71" s="974"/>
      <c r="AF71" s="974"/>
      <c r="AG71" s="974"/>
      <c r="AH71" s="974"/>
      <c r="AI71" s="973"/>
      <c r="AJ71" s="978" t="s">
        <v>820</v>
      </c>
      <c r="AK71" s="817"/>
      <c r="AL71" s="817"/>
      <c r="AM71" s="817"/>
    </row>
    <row r="72" ht="20.25" customHeight="1">
      <c r="A72" s="2"/>
      <c r="B72" s="2"/>
      <c r="C72" s="2"/>
      <c r="D72" s="2"/>
      <c r="E72" s="1002"/>
      <c r="F72" s="974"/>
      <c r="G72" s="974"/>
      <c r="H72" s="974"/>
      <c r="I72" s="974"/>
      <c r="J72" s="974"/>
      <c r="K72" s="1005"/>
      <c r="L72" s="974"/>
      <c r="M72" s="974"/>
      <c r="N72" s="974"/>
      <c r="O72" s="974"/>
      <c r="P72" s="974"/>
      <c r="Q72" s="974"/>
      <c r="R72" s="974"/>
      <c r="S72" s="974"/>
      <c r="T72" s="974"/>
      <c r="U72" s="974"/>
      <c r="V72" s="974"/>
      <c r="W72" s="974"/>
      <c r="X72" s="974"/>
      <c r="Y72" s="974"/>
      <c r="Z72" s="974"/>
      <c r="AA72" s="974"/>
      <c r="AB72" s="974"/>
      <c r="AC72" s="974"/>
      <c r="AD72" s="974"/>
      <c r="AE72" s="974"/>
      <c r="AF72" s="974"/>
      <c r="AG72" s="974"/>
      <c r="AH72" s="974"/>
      <c r="AI72" s="973"/>
      <c r="AJ72" s="978" t="s">
        <v>818</v>
      </c>
      <c r="AK72" s="817"/>
      <c r="AL72" s="817"/>
      <c r="AM72" s="817"/>
    </row>
    <row r="73" ht="20.25" customHeight="1">
      <c r="A73" s="2"/>
      <c r="B73" s="2"/>
      <c r="C73" s="2"/>
      <c r="D73" s="2"/>
      <c r="E73" s="1002"/>
      <c r="F73" s="974"/>
      <c r="G73" s="974"/>
      <c r="H73" s="974"/>
      <c r="I73" s="974"/>
      <c r="J73" s="974"/>
      <c r="K73" s="1005"/>
      <c r="L73" s="974"/>
      <c r="M73" s="974"/>
      <c r="N73" s="974"/>
      <c r="O73" s="974"/>
      <c r="P73" s="974"/>
      <c r="Q73" s="974"/>
      <c r="R73" s="974"/>
      <c r="S73" s="974"/>
      <c r="T73" s="974"/>
      <c r="U73" s="974"/>
      <c r="V73" s="974"/>
      <c r="W73" s="974"/>
      <c r="X73" s="974"/>
      <c r="Y73" s="974"/>
      <c r="Z73" s="974"/>
      <c r="AA73" s="974"/>
      <c r="AB73" s="974"/>
      <c r="AC73" s="974"/>
      <c r="AD73" s="974"/>
      <c r="AE73" s="974"/>
      <c r="AF73" s="974"/>
      <c r="AG73" s="974"/>
      <c r="AH73" s="974"/>
      <c r="AI73" s="973"/>
      <c r="AJ73" s="978" t="s">
        <v>816</v>
      </c>
      <c r="AK73" s="817"/>
      <c r="AL73" s="817"/>
      <c r="AM73" s="817"/>
    </row>
    <row r="74" ht="20.25" customHeight="1">
      <c r="A74" s="2"/>
      <c r="B74" s="2"/>
      <c r="C74" s="2"/>
      <c r="D74" s="2"/>
      <c r="E74" s="1002"/>
      <c r="F74" s="974"/>
      <c r="G74" s="974"/>
      <c r="H74" s="974"/>
      <c r="I74" s="974"/>
      <c r="J74" s="974"/>
      <c r="K74" s="1005"/>
      <c r="L74" s="974"/>
      <c r="M74" s="974"/>
      <c r="N74" s="974"/>
      <c r="O74" s="974"/>
      <c r="P74" s="974"/>
      <c r="Q74" s="974"/>
      <c r="R74" s="974"/>
      <c r="S74" s="974"/>
      <c r="T74" s="974"/>
      <c r="U74" s="974"/>
      <c r="V74" s="974"/>
      <c r="W74" s="974"/>
      <c r="X74" s="974"/>
      <c r="Y74" s="974"/>
      <c r="Z74" s="974"/>
      <c r="AA74" s="974"/>
      <c r="AB74" s="974"/>
      <c r="AC74" s="974"/>
      <c r="AD74" s="974"/>
      <c r="AE74" s="974"/>
      <c r="AF74" s="974"/>
      <c r="AG74" s="974"/>
      <c r="AH74" s="974"/>
      <c r="AI74" s="973"/>
      <c r="AJ74" s="978" t="s">
        <v>814</v>
      </c>
      <c r="AK74" s="817"/>
      <c r="AL74" s="817"/>
      <c r="AM74" s="817"/>
    </row>
    <row r="75" ht="20.25" customHeight="1">
      <c r="A75" s="2"/>
      <c r="B75" s="2"/>
      <c r="C75" s="2"/>
      <c r="D75" s="2"/>
      <c r="E75" s="1002"/>
      <c r="F75" s="974"/>
      <c r="G75" s="974"/>
      <c r="H75" s="974"/>
      <c r="I75" s="974"/>
      <c r="J75" s="974"/>
      <c r="K75" s="1005"/>
      <c r="L75" s="974"/>
      <c r="M75" s="974"/>
      <c r="N75" s="974"/>
      <c r="O75" s="974"/>
      <c r="P75" s="974"/>
      <c r="Q75" s="974"/>
      <c r="R75" s="974"/>
      <c r="S75" s="974"/>
      <c r="T75" s="974"/>
      <c r="U75" s="974"/>
      <c r="V75" s="974"/>
      <c r="W75" s="974"/>
      <c r="X75" s="974"/>
      <c r="Y75" s="974"/>
      <c r="Z75" s="974"/>
      <c r="AA75" s="974"/>
      <c r="AB75" s="974"/>
      <c r="AC75" s="974"/>
      <c r="AD75" s="974"/>
      <c r="AE75" s="974"/>
      <c r="AF75" s="974"/>
      <c r="AG75" s="974"/>
      <c r="AH75" s="974"/>
      <c r="AI75" s="973"/>
      <c r="AJ75" s="978" t="s">
        <v>812</v>
      </c>
      <c r="AK75" s="817"/>
      <c r="AL75" s="817"/>
      <c r="AM75" s="817"/>
    </row>
    <row r="76" ht="20.25" customHeight="1">
      <c r="A76" s="2"/>
      <c r="B76" s="2"/>
      <c r="C76" s="2"/>
      <c r="D76" s="2"/>
      <c r="E76" s="1002"/>
      <c r="F76" s="974"/>
      <c r="G76" s="974"/>
      <c r="H76" s="974"/>
      <c r="I76" s="974"/>
      <c r="J76" s="974"/>
      <c r="K76" s="1005"/>
      <c r="L76" s="974"/>
      <c r="M76" s="974"/>
      <c r="N76" s="974"/>
      <c r="O76" s="974"/>
      <c r="P76" s="974"/>
      <c r="Q76" s="974"/>
      <c r="R76" s="974"/>
      <c r="S76" s="974"/>
      <c r="T76" s="974"/>
      <c r="U76" s="974"/>
      <c r="V76" s="974"/>
      <c r="W76" s="974"/>
      <c r="X76" s="974"/>
      <c r="Y76" s="974"/>
      <c r="Z76" s="974"/>
      <c r="AA76" s="974"/>
      <c r="AB76" s="974"/>
      <c r="AC76" s="974"/>
      <c r="AD76" s="974"/>
      <c r="AE76" s="974"/>
      <c r="AF76" s="974"/>
      <c r="AG76" s="974"/>
      <c r="AH76" s="974"/>
      <c r="AI76" s="973"/>
      <c r="AJ76" s="978" t="s">
        <v>810</v>
      </c>
      <c r="AK76" s="817"/>
      <c r="AL76" s="817"/>
      <c r="AM76" s="817"/>
    </row>
    <row r="77" ht="20.25" customHeight="1">
      <c r="A77" s="2"/>
      <c r="B77" s="2"/>
      <c r="C77" s="2"/>
      <c r="D77" s="2"/>
      <c r="E77" s="1002"/>
      <c r="F77" s="974"/>
      <c r="G77" s="974"/>
      <c r="H77" s="974"/>
      <c r="I77" s="974"/>
      <c r="J77" s="974"/>
      <c r="K77" s="1005"/>
      <c r="L77" s="974"/>
      <c r="M77" s="974"/>
      <c r="N77" s="974"/>
      <c r="O77" s="974"/>
      <c r="P77" s="974"/>
      <c r="Q77" s="974"/>
      <c r="R77" s="974"/>
      <c r="S77" s="974"/>
      <c r="T77" s="974"/>
      <c r="U77" s="974"/>
      <c r="V77" s="974"/>
      <c r="W77" s="974"/>
      <c r="X77" s="974"/>
      <c r="Y77" s="974"/>
      <c r="Z77" s="974"/>
      <c r="AA77" s="974"/>
      <c r="AB77" s="974"/>
      <c r="AC77" s="974"/>
      <c r="AD77" s="974"/>
      <c r="AE77" s="974"/>
      <c r="AF77" s="974"/>
      <c r="AG77" s="974"/>
      <c r="AH77" s="974"/>
      <c r="AI77" s="973"/>
      <c r="AJ77" s="978" t="s">
        <v>808</v>
      </c>
      <c r="AK77" s="817"/>
      <c r="AL77" s="817"/>
      <c r="AM77" s="817"/>
    </row>
    <row r="78" ht="20.25" customHeight="1">
      <c r="A78" s="2"/>
      <c r="B78" s="2"/>
      <c r="C78" s="2"/>
      <c r="D78" s="2"/>
      <c r="E78" s="1002"/>
      <c r="F78" s="974"/>
      <c r="G78" s="974"/>
      <c r="H78" s="974"/>
      <c r="I78" s="974"/>
      <c r="J78" s="974"/>
      <c r="K78" s="1005"/>
      <c r="L78" s="974"/>
      <c r="M78" s="974"/>
      <c r="N78" s="974"/>
      <c r="O78" s="974"/>
      <c r="P78" s="974"/>
      <c r="Q78" s="974"/>
      <c r="R78" s="974"/>
      <c r="S78" s="974"/>
      <c r="T78" s="974"/>
      <c r="U78" s="974"/>
      <c r="V78" s="974"/>
      <c r="W78" s="974"/>
      <c r="X78" s="974"/>
      <c r="Y78" s="974"/>
      <c r="Z78" s="974"/>
      <c r="AA78" s="974"/>
      <c r="AB78" s="974"/>
      <c r="AC78" s="974"/>
      <c r="AD78" s="974"/>
      <c r="AE78" s="974"/>
      <c r="AF78" s="974"/>
      <c r="AG78" s="974"/>
      <c r="AH78" s="974"/>
      <c r="AI78" s="973"/>
      <c r="AJ78" s="978" t="s">
        <v>806</v>
      </c>
      <c r="AK78" s="817"/>
      <c r="AL78" s="817"/>
      <c r="AM78" s="817"/>
    </row>
    <row r="79" ht="20.25" customHeight="1">
      <c r="A79" s="2"/>
      <c r="B79" s="2"/>
      <c r="C79" s="2"/>
      <c r="D79" s="2"/>
      <c r="E79" s="1002"/>
      <c r="F79" s="974"/>
      <c r="G79" s="974"/>
      <c r="H79" s="974"/>
      <c r="I79" s="974"/>
      <c r="J79" s="974"/>
      <c r="K79" s="1005"/>
      <c r="L79" s="974"/>
      <c r="M79" s="974"/>
      <c r="N79" s="974"/>
      <c r="O79" s="974"/>
      <c r="P79" s="974"/>
      <c r="Q79" s="974"/>
      <c r="R79" s="974"/>
      <c r="S79" s="974"/>
      <c r="T79" s="974"/>
      <c r="U79" s="974"/>
      <c r="V79" s="974"/>
      <c r="W79" s="974"/>
      <c r="X79" s="974"/>
      <c r="Y79" s="974"/>
      <c r="Z79" s="974"/>
      <c r="AA79" s="974"/>
      <c r="AB79" s="974"/>
      <c r="AC79" s="974"/>
      <c r="AD79" s="974"/>
      <c r="AE79" s="974"/>
      <c r="AF79" s="974"/>
      <c r="AG79" s="974"/>
      <c r="AH79" s="974"/>
      <c r="AI79" s="973"/>
      <c r="AJ79" s="978" t="s">
        <v>804</v>
      </c>
      <c r="AK79" s="817"/>
      <c r="AL79" s="817"/>
      <c r="AM79" s="817"/>
    </row>
    <row r="80" ht="20.25" customHeight="1">
      <c r="A80" s="2"/>
      <c r="B80" s="2"/>
      <c r="C80" s="2"/>
      <c r="D80" s="2"/>
      <c r="E80" s="1002"/>
      <c r="F80" s="974"/>
      <c r="G80" s="974"/>
      <c r="H80" s="974"/>
      <c r="I80" s="974"/>
      <c r="J80" s="974"/>
      <c r="K80" s="1005"/>
      <c r="L80" s="974"/>
      <c r="M80" s="974"/>
      <c r="N80" s="974"/>
      <c r="O80" s="974"/>
      <c r="P80" s="974"/>
      <c r="Q80" s="974"/>
      <c r="R80" s="974"/>
      <c r="S80" s="974"/>
      <c r="T80" s="974"/>
      <c r="U80" s="974"/>
      <c r="V80" s="974"/>
      <c r="W80" s="974"/>
      <c r="X80" s="974"/>
      <c r="Y80" s="974"/>
      <c r="Z80" s="974"/>
      <c r="AA80" s="974"/>
      <c r="AB80" s="974"/>
      <c r="AC80" s="974"/>
      <c r="AD80" s="974"/>
      <c r="AE80" s="974"/>
      <c r="AF80" s="974"/>
      <c r="AG80" s="974"/>
      <c r="AH80" s="974"/>
      <c r="AI80" s="973"/>
      <c r="AJ80" s="978" t="s">
        <v>801</v>
      </c>
      <c r="AK80" s="817"/>
      <c r="AL80" s="817"/>
      <c r="AM80" s="817"/>
    </row>
    <row r="81" ht="20.25" customHeight="1">
      <c r="A81" s="2"/>
      <c r="B81" s="2"/>
      <c r="C81" s="2"/>
      <c r="D81" s="2"/>
      <c r="E81" s="1002"/>
      <c r="F81" s="974"/>
      <c r="G81" s="974"/>
      <c r="H81" s="974"/>
      <c r="I81" s="974"/>
      <c r="J81" s="974"/>
      <c r="K81" s="1005"/>
      <c r="L81" s="974"/>
      <c r="M81" s="974"/>
      <c r="N81" s="974"/>
      <c r="O81" s="974"/>
      <c r="P81" s="974"/>
      <c r="Q81" s="974"/>
      <c r="R81" s="974"/>
      <c r="S81" s="974"/>
      <c r="T81" s="974"/>
      <c r="U81" s="974"/>
      <c r="V81" s="974"/>
      <c r="W81" s="974"/>
      <c r="X81" s="974"/>
      <c r="Y81" s="974"/>
      <c r="Z81" s="974"/>
      <c r="AA81" s="974"/>
      <c r="AB81" s="974"/>
      <c r="AC81" s="974"/>
      <c r="AD81" s="974"/>
      <c r="AE81" s="974"/>
      <c r="AF81" s="974"/>
      <c r="AG81" s="974"/>
      <c r="AH81" s="974"/>
      <c r="AI81" s="973"/>
      <c r="AJ81" s="978" t="s">
        <v>799</v>
      </c>
      <c r="AK81" s="817"/>
      <c r="AL81" s="817"/>
      <c r="AM81" s="817"/>
    </row>
    <row r="82" ht="20.25" customHeight="1">
      <c r="A82" s="2"/>
      <c r="B82" s="2"/>
      <c r="C82" s="2"/>
      <c r="D82" s="2"/>
      <c r="E82" s="1002"/>
      <c r="F82" s="974"/>
      <c r="G82" s="974"/>
      <c r="H82" s="974"/>
      <c r="I82" s="974"/>
      <c r="J82" s="974"/>
      <c r="K82" s="1005"/>
      <c r="L82" s="974"/>
      <c r="M82" s="974"/>
      <c r="N82" s="974"/>
      <c r="O82" s="974"/>
      <c r="P82" s="974"/>
      <c r="Q82" s="974"/>
      <c r="R82" s="974"/>
      <c r="S82" s="974"/>
      <c r="T82" s="974"/>
      <c r="U82" s="974"/>
      <c r="V82" s="974"/>
      <c r="W82" s="974"/>
      <c r="X82" s="974"/>
      <c r="Y82" s="974"/>
      <c r="Z82" s="974"/>
      <c r="AA82" s="974"/>
      <c r="AB82" s="974"/>
      <c r="AC82" s="974"/>
      <c r="AD82" s="974"/>
      <c r="AE82" s="974"/>
      <c r="AF82" s="974"/>
      <c r="AG82" s="974"/>
      <c r="AH82" s="974"/>
      <c r="AI82" s="973"/>
      <c r="AJ82" s="978" t="s">
        <v>797</v>
      </c>
      <c r="AK82" s="817"/>
      <c r="AL82" s="817"/>
      <c r="AM82" s="817"/>
    </row>
    <row r="83" ht="20.25" customHeight="1">
      <c r="A83" s="2"/>
      <c r="B83" s="2"/>
      <c r="C83" s="2"/>
      <c r="D83" s="2"/>
      <c r="E83" s="1002"/>
      <c r="F83" s="974"/>
      <c r="G83" s="974"/>
      <c r="H83" s="974"/>
      <c r="I83" s="974"/>
      <c r="J83" s="974"/>
      <c r="K83" s="1005"/>
      <c r="L83" s="974"/>
      <c r="M83" s="974"/>
      <c r="N83" s="974"/>
      <c r="O83" s="974"/>
      <c r="P83" s="974"/>
      <c r="Q83" s="974"/>
      <c r="R83" s="974"/>
      <c r="S83" s="974"/>
      <c r="T83" s="974"/>
      <c r="U83" s="974"/>
      <c r="V83" s="974"/>
      <c r="W83" s="974"/>
      <c r="X83" s="974"/>
      <c r="Y83" s="974"/>
      <c r="Z83" s="974"/>
      <c r="AA83" s="974"/>
      <c r="AB83" s="974"/>
      <c r="AC83" s="974"/>
      <c r="AD83" s="974"/>
      <c r="AE83" s="974"/>
      <c r="AF83" s="974"/>
      <c r="AG83" s="974"/>
      <c r="AH83" s="974"/>
      <c r="AI83" s="973"/>
      <c r="AJ83" s="978" t="s">
        <v>795</v>
      </c>
      <c r="AK83" s="817"/>
      <c r="AL83" s="817"/>
      <c r="AM83" s="817"/>
    </row>
    <row r="84" ht="20.25" customHeight="1">
      <c r="A84" s="2"/>
      <c r="B84" s="2"/>
      <c r="C84" s="2"/>
      <c r="D84" s="2"/>
      <c r="E84" s="1002"/>
      <c r="F84" s="974"/>
      <c r="G84" s="974"/>
      <c r="H84" s="974"/>
      <c r="I84" s="974"/>
      <c r="J84" s="974"/>
      <c r="K84" s="1005"/>
      <c r="L84" s="974"/>
      <c r="M84" s="974"/>
      <c r="N84" s="974"/>
      <c r="O84" s="974"/>
      <c r="P84" s="974"/>
      <c r="Q84" s="974"/>
      <c r="R84" s="974"/>
      <c r="S84" s="974"/>
      <c r="T84" s="974"/>
      <c r="U84" s="974"/>
      <c r="V84" s="974"/>
      <c r="W84" s="974"/>
      <c r="X84" s="974"/>
      <c r="Y84" s="974"/>
      <c r="Z84" s="974"/>
      <c r="AA84" s="974"/>
      <c r="AB84" s="974"/>
      <c r="AC84" s="974"/>
      <c r="AD84" s="974"/>
      <c r="AE84" s="974"/>
      <c r="AF84" s="974"/>
      <c r="AG84" s="974"/>
      <c r="AH84" s="974"/>
      <c r="AI84" s="973"/>
      <c r="AJ84" s="978" t="s">
        <v>793</v>
      </c>
      <c r="AK84" s="817"/>
      <c r="AL84" s="817"/>
      <c r="AM84" s="817"/>
    </row>
    <row r="85" ht="20.25" customHeight="1">
      <c r="A85" s="2"/>
      <c r="B85" s="2"/>
      <c r="C85" s="2"/>
      <c r="D85" s="2"/>
      <c r="E85" s="1002"/>
      <c r="F85" s="974"/>
      <c r="G85" s="974"/>
      <c r="H85" s="974"/>
      <c r="I85" s="974"/>
      <c r="J85" s="974"/>
      <c r="K85" s="1005"/>
      <c r="L85" s="974"/>
      <c r="M85" s="974"/>
      <c r="N85" s="974"/>
      <c r="O85" s="974"/>
      <c r="P85" s="974"/>
      <c r="Q85" s="974"/>
      <c r="R85" s="974"/>
      <c r="S85" s="974"/>
      <c r="T85" s="974"/>
      <c r="U85" s="974"/>
      <c r="V85" s="974"/>
      <c r="W85" s="974"/>
      <c r="X85" s="974"/>
      <c r="Y85" s="974"/>
      <c r="Z85" s="974"/>
      <c r="AA85" s="974"/>
      <c r="AB85" s="974"/>
      <c r="AC85" s="974"/>
      <c r="AD85" s="974"/>
      <c r="AE85" s="974"/>
      <c r="AF85" s="974"/>
      <c r="AG85" s="974"/>
      <c r="AH85" s="974"/>
      <c r="AI85" s="973"/>
      <c r="AJ85" s="978" t="s">
        <v>791</v>
      </c>
      <c r="AK85" s="817"/>
      <c r="AL85" s="817"/>
      <c r="AM85" s="817"/>
    </row>
    <row r="86" ht="20.25" customHeight="1">
      <c r="A86" s="2"/>
      <c r="B86" s="2"/>
      <c r="C86" s="2"/>
      <c r="D86" s="2"/>
      <c r="E86" s="1002"/>
      <c r="F86" s="974"/>
      <c r="G86" s="974"/>
      <c r="H86" s="974"/>
      <c r="I86" s="974"/>
      <c r="J86" s="974"/>
      <c r="K86" s="1005"/>
      <c r="L86" s="974"/>
      <c r="M86" s="974"/>
      <c r="N86" s="974"/>
      <c r="O86" s="974"/>
      <c r="P86" s="974"/>
      <c r="Q86" s="974"/>
      <c r="R86" s="974"/>
      <c r="S86" s="974"/>
      <c r="T86" s="974"/>
      <c r="U86" s="974"/>
      <c r="V86" s="974"/>
      <c r="W86" s="974"/>
      <c r="X86" s="974"/>
      <c r="Y86" s="974"/>
      <c r="Z86" s="974"/>
      <c r="AA86" s="974"/>
      <c r="AB86" s="974"/>
      <c r="AC86" s="974"/>
      <c r="AD86" s="974"/>
      <c r="AE86" s="974"/>
      <c r="AF86" s="974"/>
      <c r="AG86" s="974"/>
      <c r="AH86" s="974"/>
      <c r="AI86" s="973"/>
      <c r="AJ86" s="978" t="s">
        <v>789</v>
      </c>
      <c r="AK86" s="817"/>
      <c r="AL86" s="817"/>
      <c r="AM86" s="817"/>
    </row>
    <row r="87" ht="20.25" customHeight="1">
      <c r="A87" s="2"/>
      <c r="B87" s="2"/>
      <c r="C87" s="2"/>
      <c r="D87" s="2"/>
      <c r="E87" s="1002"/>
      <c r="F87" s="974"/>
      <c r="G87" s="974"/>
      <c r="H87" s="974"/>
      <c r="I87" s="974"/>
      <c r="J87" s="974"/>
      <c r="K87" s="1005"/>
      <c r="L87" s="974"/>
      <c r="M87" s="974"/>
      <c r="N87" s="974"/>
      <c r="O87" s="974"/>
      <c r="P87" s="974"/>
      <c r="Q87" s="974"/>
      <c r="R87" s="974"/>
      <c r="S87" s="974"/>
      <c r="T87" s="974"/>
      <c r="U87" s="974"/>
      <c r="V87" s="974"/>
      <c r="W87" s="974"/>
      <c r="X87" s="974"/>
      <c r="Y87" s="974"/>
      <c r="Z87" s="974"/>
      <c r="AA87" s="974"/>
      <c r="AB87" s="974"/>
      <c r="AC87" s="974"/>
      <c r="AD87" s="974"/>
      <c r="AE87" s="974"/>
      <c r="AF87" s="974"/>
      <c r="AG87" s="974"/>
      <c r="AH87" s="974"/>
      <c r="AI87" s="973"/>
      <c r="AJ87" s="978" t="s">
        <v>787</v>
      </c>
      <c r="AK87" s="817"/>
      <c r="AL87" s="817"/>
      <c r="AM87" s="817"/>
    </row>
    <row r="88" ht="20.25" customHeight="1">
      <c r="A88" s="2"/>
      <c r="B88" s="2"/>
      <c r="C88" s="2"/>
      <c r="D88" s="2"/>
      <c r="E88" s="1002"/>
      <c r="F88" s="974"/>
      <c r="G88" s="974"/>
      <c r="H88" s="974"/>
      <c r="I88" s="974"/>
      <c r="J88" s="974"/>
      <c r="K88" s="1005"/>
      <c r="L88" s="974"/>
      <c r="M88" s="974"/>
      <c r="N88" s="974"/>
      <c r="O88" s="974"/>
      <c r="P88" s="974"/>
      <c r="Q88" s="974"/>
      <c r="R88" s="974"/>
      <c r="S88" s="974"/>
      <c r="T88" s="974"/>
      <c r="U88" s="974"/>
      <c r="V88" s="974"/>
      <c r="W88" s="974"/>
      <c r="X88" s="974"/>
      <c r="Y88" s="974"/>
      <c r="Z88" s="974"/>
      <c r="AA88" s="974"/>
      <c r="AB88" s="974"/>
      <c r="AC88" s="974"/>
      <c r="AD88" s="974"/>
      <c r="AE88" s="974"/>
      <c r="AF88" s="974"/>
      <c r="AG88" s="974"/>
      <c r="AH88" s="974"/>
      <c r="AI88" s="973"/>
      <c r="AJ88" s="978" t="s">
        <v>785</v>
      </c>
      <c r="AK88" s="817"/>
      <c r="AL88" s="817"/>
      <c r="AM88" s="817"/>
    </row>
    <row r="89" ht="20.25" customHeight="1">
      <c r="A89" s="2"/>
      <c r="B89" s="2"/>
      <c r="C89" s="2"/>
      <c r="D89" s="2"/>
      <c r="E89" s="1002"/>
      <c r="F89" s="974"/>
      <c r="G89" s="974"/>
      <c r="H89" s="974"/>
      <c r="I89" s="974"/>
      <c r="J89" s="974"/>
      <c r="K89" s="1005"/>
      <c r="L89" s="974"/>
      <c r="M89" s="974"/>
      <c r="N89" s="974"/>
      <c r="O89" s="974"/>
      <c r="P89" s="974"/>
      <c r="Q89" s="974"/>
      <c r="R89" s="974"/>
      <c r="S89" s="974"/>
      <c r="T89" s="974"/>
      <c r="U89" s="974"/>
      <c r="V89" s="974"/>
      <c r="W89" s="974"/>
      <c r="X89" s="974"/>
      <c r="Y89" s="974"/>
      <c r="Z89" s="974"/>
      <c r="AA89" s="974"/>
      <c r="AB89" s="974"/>
      <c r="AC89" s="974"/>
      <c r="AD89" s="974"/>
      <c r="AE89" s="974"/>
      <c r="AF89" s="974"/>
      <c r="AG89" s="974"/>
      <c r="AH89" s="974"/>
      <c r="AI89" s="973"/>
      <c r="AJ89" s="978" t="s">
        <v>782</v>
      </c>
      <c r="AK89" s="817"/>
      <c r="AL89" s="817"/>
      <c r="AM89" s="817"/>
    </row>
    <row r="90" ht="20.25" customHeight="1">
      <c r="A90" s="2"/>
      <c r="B90" s="2"/>
      <c r="C90" s="2"/>
      <c r="D90" s="2"/>
      <c r="E90" s="1002"/>
      <c r="F90" s="974"/>
      <c r="G90" s="974"/>
      <c r="H90" s="974"/>
      <c r="I90" s="974"/>
      <c r="J90" s="974"/>
      <c r="K90" s="1005"/>
      <c r="L90" s="974"/>
      <c r="M90" s="974"/>
      <c r="N90" s="974"/>
      <c r="O90" s="974"/>
      <c r="P90" s="974"/>
      <c r="Q90" s="974"/>
      <c r="R90" s="974"/>
      <c r="S90" s="974"/>
      <c r="T90" s="974"/>
      <c r="U90" s="974"/>
      <c r="V90" s="974"/>
      <c r="W90" s="974"/>
      <c r="X90" s="974"/>
      <c r="Y90" s="974"/>
      <c r="Z90" s="974"/>
      <c r="AA90" s="974"/>
      <c r="AB90" s="974"/>
      <c r="AC90" s="974"/>
      <c r="AD90" s="974"/>
      <c r="AE90" s="974"/>
      <c r="AF90" s="974"/>
      <c r="AG90" s="974"/>
      <c r="AH90" s="974"/>
      <c r="AI90" s="973"/>
      <c r="AJ90" s="978" t="s">
        <v>779</v>
      </c>
      <c r="AK90" s="817"/>
      <c r="AL90" s="817"/>
      <c r="AM90" s="817"/>
    </row>
    <row r="91" ht="20.25" customHeight="1">
      <c r="A91" s="2"/>
      <c r="B91" s="2"/>
      <c r="C91" s="2"/>
      <c r="D91" s="2"/>
      <c r="E91" s="1002"/>
      <c r="F91" s="974"/>
      <c r="G91" s="974"/>
      <c r="H91" s="974"/>
      <c r="I91" s="974"/>
      <c r="J91" s="974"/>
      <c r="K91" s="1005"/>
      <c r="L91" s="974"/>
      <c r="M91" s="974"/>
      <c r="N91" s="974"/>
      <c r="O91" s="974"/>
      <c r="P91" s="974"/>
      <c r="Q91" s="974"/>
      <c r="R91" s="974"/>
      <c r="S91" s="974"/>
      <c r="T91" s="974"/>
      <c r="U91" s="974"/>
      <c r="V91" s="974"/>
      <c r="W91" s="974"/>
      <c r="X91" s="974"/>
      <c r="Y91" s="974"/>
      <c r="Z91" s="974"/>
      <c r="AA91" s="974"/>
      <c r="AB91" s="974"/>
      <c r="AC91" s="974"/>
      <c r="AD91" s="974"/>
      <c r="AE91" s="974"/>
      <c r="AF91" s="974"/>
      <c r="AG91" s="974"/>
      <c r="AH91" s="974"/>
      <c r="AI91" s="973"/>
      <c r="AJ91" s="978" t="s">
        <v>758</v>
      </c>
      <c r="AK91" s="817"/>
      <c r="AL91" s="817"/>
      <c r="AM91" s="817"/>
    </row>
    <row r="92" ht="20.25" customHeight="1">
      <c r="A92" s="2"/>
      <c r="B92" s="2"/>
      <c r="C92" s="2"/>
      <c r="D92" s="2"/>
      <c r="E92" s="1002"/>
      <c r="F92" s="974"/>
      <c r="G92" s="974"/>
      <c r="H92" s="974"/>
      <c r="I92" s="974"/>
      <c r="J92" s="974"/>
      <c r="K92" s="1005"/>
      <c r="L92" s="974"/>
      <c r="M92" s="974"/>
      <c r="N92" s="974"/>
      <c r="O92" s="974"/>
      <c r="P92" s="974"/>
      <c r="Q92" s="974"/>
      <c r="R92" s="974"/>
      <c r="S92" s="974"/>
      <c r="T92" s="974"/>
      <c r="U92" s="974"/>
      <c r="V92" s="974"/>
      <c r="W92" s="974"/>
      <c r="X92" s="974"/>
      <c r="Y92" s="974"/>
      <c r="Z92" s="974"/>
      <c r="AA92" s="974"/>
      <c r="AB92" s="974"/>
      <c r="AC92" s="974"/>
      <c r="AD92" s="974"/>
      <c r="AE92" s="974"/>
      <c r="AF92" s="974"/>
      <c r="AG92" s="974"/>
      <c r="AH92" s="974"/>
      <c r="AI92" s="973"/>
      <c r="AJ92" s="978" t="s">
        <v>756</v>
      </c>
      <c r="AK92" s="817"/>
      <c r="AL92" s="817"/>
      <c r="AM92" s="817"/>
    </row>
    <row r="93" ht="20.25" customHeight="1">
      <c r="A93" s="2"/>
      <c r="B93" s="2"/>
      <c r="C93" s="2"/>
      <c r="D93" s="2"/>
      <c r="E93" s="1002"/>
      <c r="F93" s="974"/>
      <c r="G93" s="974"/>
      <c r="H93" s="974"/>
      <c r="I93" s="974"/>
      <c r="J93" s="974"/>
      <c r="K93" s="1005"/>
      <c r="L93" s="974"/>
      <c r="M93" s="974"/>
      <c r="N93" s="974"/>
      <c r="O93" s="974"/>
      <c r="P93" s="974"/>
      <c r="Q93" s="974"/>
      <c r="R93" s="974"/>
      <c r="S93" s="974"/>
      <c r="T93" s="974"/>
      <c r="U93" s="974"/>
      <c r="V93" s="974"/>
      <c r="W93" s="974"/>
      <c r="X93" s="974"/>
      <c r="Y93" s="974"/>
      <c r="Z93" s="974"/>
      <c r="AA93" s="974"/>
      <c r="AB93" s="974"/>
      <c r="AC93" s="974"/>
      <c r="AD93" s="974"/>
      <c r="AE93" s="974"/>
      <c r="AF93" s="974"/>
      <c r="AG93" s="974"/>
      <c r="AH93" s="974"/>
      <c r="AI93" s="973"/>
      <c r="AJ93" s="978" t="s">
        <v>754</v>
      </c>
      <c r="AK93" s="817"/>
      <c r="AL93" s="817"/>
      <c r="AM93" s="817"/>
    </row>
    <row r="94" ht="20.25" customHeight="1">
      <c r="A94" s="2"/>
      <c r="B94" s="2"/>
      <c r="C94" s="2"/>
      <c r="D94" s="2"/>
      <c r="E94" s="1002"/>
      <c r="F94" s="974"/>
      <c r="G94" s="974"/>
      <c r="H94" s="974"/>
      <c r="I94" s="974"/>
      <c r="J94" s="974"/>
      <c r="K94" s="1005"/>
      <c r="L94" s="974"/>
      <c r="M94" s="974"/>
      <c r="N94" s="974"/>
      <c r="O94" s="974"/>
      <c r="P94" s="974"/>
      <c r="Q94" s="974"/>
      <c r="R94" s="974"/>
      <c r="S94" s="974"/>
      <c r="T94" s="974"/>
      <c r="U94" s="974"/>
      <c r="V94" s="974"/>
      <c r="W94" s="974"/>
      <c r="X94" s="974"/>
      <c r="Y94" s="974"/>
      <c r="Z94" s="974"/>
      <c r="AA94" s="974"/>
      <c r="AB94" s="974"/>
      <c r="AC94" s="974"/>
      <c r="AD94" s="974"/>
      <c r="AE94" s="974"/>
      <c r="AF94" s="974"/>
      <c r="AG94" s="974"/>
      <c r="AH94" s="974"/>
      <c r="AI94" s="973"/>
      <c r="AJ94" s="978" t="s">
        <v>752</v>
      </c>
      <c r="AK94" s="817"/>
      <c r="AL94" s="817"/>
      <c r="AM94" s="817"/>
    </row>
    <row r="95" ht="20.25" customHeight="1">
      <c r="A95" s="2"/>
      <c r="B95" s="2"/>
      <c r="C95" s="2"/>
      <c r="D95" s="2"/>
      <c r="E95" s="1002"/>
      <c r="F95" s="974"/>
      <c r="G95" s="974"/>
      <c r="H95" s="974"/>
      <c r="I95" s="974"/>
      <c r="J95" s="974"/>
      <c r="K95" s="1005"/>
      <c r="L95" s="974"/>
      <c r="M95" s="974"/>
      <c r="N95" s="974"/>
      <c r="O95" s="974"/>
      <c r="P95" s="974"/>
      <c r="Q95" s="974"/>
      <c r="R95" s="974"/>
      <c r="S95" s="974"/>
      <c r="T95" s="974"/>
      <c r="U95" s="974"/>
      <c r="V95" s="974"/>
      <c r="W95" s="974"/>
      <c r="X95" s="974"/>
      <c r="Y95" s="974"/>
      <c r="Z95" s="974"/>
      <c r="AA95" s="974"/>
      <c r="AB95" s="974"/>
      <c r="AC95" s="974"/>
      <c r="AD95" s="974"/>
      <c r="AE95" s="974"/>
      <c r="AF95" s="974"/>
      <c r="AG95" s="974"/>
      <c r="AH95" s="974"/>
      <c r="AI95" s="973"/>
      <c r="AJ95" s="978" t="s">
        <v>750</v>
      </c>
      <c r="AK95" s="817"/>
      <c r="AL95" s="817"/>
      <c r="AM95" s="817"/>
    </row>
    <row r="96" ht="20.25" customHeight="1">
      <c r="A96" s="2"/>
      <c r="B96" s="2"/>
      <c r="C96" s="2"/>
      <c r="D96" s="2"/>
      <c r="E96" s="1002"/>
      <c r="F96" s="974"/>
      <c r="G96" s="974"/>
      <c r="H96" s="974"/>
      <c r="I96" s="974"/>
      <c r="J96" s="974"/>
      <c r="K96" s="1005"/>
      <c r="L96" s="974"/>
      <c r="M96" s="974"/>
      <c r="N96" s="974"/>
      <c r="O96" s="974"/>
      <c r="P96" s="974"/>
      <c r="Q96" s="974"/>
      <c r="R96" s="974"/>
      <c r="S96" s="974"/>
      <c r="T96" s="974"/>
      <c r="U96" s="974"/>
      <c r="V96" s="974"/>
      <c r="W96" s="974"/>
      <c r="X96" s="974"/>
      <c r="Y96" s="974"/>
      <c r="Z96" s="974"/>
      <c r="AA96" s="974"/>
      <c r="AB96" s="974"/>
      <c r="AC96" s="974"/>
      <c r="AD96" s="974"/>
      <c r="AE96" s="974"/>
      <c r="AF96" s="974"/>
      <c r="AG96" s="974"/>
      <c r="AH96" s="974"/>
      <c r="AI96" s="973"/>
      <c r="AJ96" s="978" t="s">
        <v>748</v>
      </c>
      <c r="AK96" s="817"/>
      <c r="AL96" s="817"/>
      <c r="AM96" s="817"/>
    </row>
    <row r="97" ht="20.25" customHeight="1">
      <c r="A97" s="2"/>
      <c r="B97" s="2"/>
      <c r="C97" s="2"/>
      <c r="D97" s="2"/>
      <c r="E97" s="1002"/>
      <c r="F97" s="974"/>
      <c r="G97" s="974"/>
      <c r="H97" s="974"/>
      <c r="I97" s="974"/>
      <c r="J97" s="974"/>
      <c r="K97" s="1005"/>
      <c r="L97" s="974"/>
      <c r="M97" s="974"/>
      <c r="N97" s="974"/>
      <c r="O97" s="974"/>
      <c r="P97" s="974"/>
      <c r="Q97" s="974"/>
      <c r="R97" s="974"/>
      <c r="S97" s="974"/>
      <c r="T97" s="974"/>
      <c r="U97" s="974"/>
      <c r="V97" s="974"/>
      <c r="W97" s="974"/>
      <c r="X97" s="974"/>
      <c r="Y97" s="974"/>
      <c r="Z97" s="974"/>
      <c r="AA97" s="974"/>
      <c r="AB97" s="974"/>
      <c r="AC97" s="974"/>
      <c r="AD97" s="974"/>
      <c r="AE97" s="974"/>
      <c r="AF97" s="974"/>
      <c r="AG97" s="974"/>
      <c r="AH97" s="974"/>
      <c r="AI97" s="973"/>
      <c r="AJ97" s="978" t="s">
        <v>746</v>
      </c>
      <c r="AK97" s="817"/>
      <c r="AL97" s="817"/>
      <c r="AM97" s="817"/>
    </row>
    <row r="98" ht="20.25" customHeight="1">
      <c r="A98" s="2"/>
      <c r="B98" s="2"/>
      <c r="C98" s="2"/>
      <c r="D98" s="2"/>
      <c r="E98" s="1002"/>
      <c r="F98" s="974"/>
      <c r="G98" s="974"/>
      <c r="H98" s="974"/>
      <c r="I98" s="974"/>
      <c r="J98" s="974"/>
      <c r="K98" s="1005"/>
      <c r="L98" s="974"/>
      <c r="M98" s="974"/>
      <c r="N98" s="974"/>
      <c r="O98" s="974"/>
      <c r="P98" s="974"/>
      <c r="Q98" s="974"/>
      <c r="R98" s="974"/>
      <c r="S98" s="974"/>
      <c r="T98" s="974"/>
      <c r="U98" s="974"/>
      <c r="V98" s="974"/>
      <c r="W98" s="974"/>
      <c r="X98" s="974"/>
      <c r="Y98" s="974"/>
      <c r="Z98" s="974"/>
      <c r="AA98" s="974"/>
      <c r="AB98" s="974"/>
      <c r="AC98" s="974"/>
      <c r="AD98" s="974"/>
      <c r="AE98" s="974"/>
      <c r="AF98" s="974"/>
      <c r="AG98" s="974"/>
      <c r="AH98" s="974"/>
      <c r="AI98" s="973"/>
      <c r="AJ98" s="978" t="s">
        <v>743</v>
      </c>
      <c r="AK98" s="817"/>
      <c r="AL98" s="817"/>
      <c r="AM98" s="817"/>
    </row>
    <row r="99" ht="20.25" customHeight="1">
      <c r="A99" s="2"/>
      <c r="B99" s="2"/>
      <c r="C99" s="2"/>
      <c r="D99" s="2"/>
      <c r="E99" s="1002"/>
      <c r="F99" s="974"/>
      <c r="G99" s="974"/>
      <c r="H99" s="974"/>
      <c r="I99" s="974"/>
      <c r="J99" s="974"/>
      <c r="K99" s="1005"/>
      <c r="L99" s="974"/>
      <c r="M99" s="974"/>
      <c r="N99" s="974"/>
      <c r="O99" s="974"/>
      <c r="P99" s="974"/>
      <c r="Q99" s="974"/>
      <c r="R99" s="974"/>
      <c r="S99" s="974"/>
      <c r="T99" s="974"/>
      <c r="U99" s="974"/>
      <c r="V99" s="974"/>
      <c r="W99" s="974"/>
      <c r="X99" s="974"/>
      <c r="Y99" s="974"/>
      <c r="Z99" s="974"/>
      <c r="AA99" s="974"/>
      <c r="AB99" s="974"/>
      <c r="AC99" s="974"/>
      <c r="AD99" s="974"/>
      <c r="AE99" s="974"/>
      <c r="AF99" s="974"/>
      <c r="AG99" s="974"/>
      <c r="AH99" s="974"/>
      <c r="AI99" s="973"/>
      <c r="AJ99" s="978" t="s">
        <v>741</v>
      </c>
      <c r="AK99" s="817"/>
      <c r="AL99" s="817"/>
      <c r="AM99" s="817"/>
    </row>
    <row r="100" ht="20.25" customHeight="1">
      <c r="A100" s="2"/>
      <c r="B100" s="2"/>
      <c r="C100" s="2"/>
      <c r="D100" s="2"/>
      <c r="E100" s="1002"/>
      <c r="F100" s="974"/>
      <c r="G100" s="974"/>
      <c r="H100" s="974"/>
      <c r="I100" s="974"/>
      <c r="J100" s="974"/>
      <c r="K100" s="1005"/>
      <c r="L100" s="974"/>
      <c r="M100" s="974"/>
      <c r="N100" s="974"/>
      <c r="O100" s="974"/>
      <c r="P100" s="974"/>
      <c r="Q100" s="974"/>
      <c r="R100" s="974"/>
      <c r="S100" s="974"/>
      <c r="T100" s="974"/>
      <c r="U100" s="974"/>
      <c r="V100" s="974"/>
      <c r="W100" s="974"/>
      <c r="X100" s="974"/>
      <c r="Y100" s="974"/>
      <c r="Z100" s="974"/>
      <c r="AA100" s="974"/>
      <c r="AB100" s="974"/>
      <c r="AC100" s="974"/>
      <c r="AD100" s="974"/>
      <c r="AE100" s="974"/>
      <c r="AF100" s="974"/>
      <c r="AG100" s="974"/>
      <c r="AH100" s="974"/>
      <c r="AI100" s="973"/>
      <c r="AJ100" s="978" t="s">
        <v>738</v>
      </c>
      <c r="AK100" s="817"/>
      <c r="AL100" s="817"/>
      <c r="AM100" s="817"/>
    </row>
    <row r="101" ht="20.25" customHeight="1">
      <c r="A101" s="2"/>
      <c r="B101" s="2"/>
      <c r="C101" s="2"/>
      <c r="D101" s="2"/>
      <c r="E101" s="1002"/>
      <c r="F101" s="974"/>
      <c r="G101" s="974"/>
      <c r="H101" s="974"/>
      <c r="I101" s="974"/>
      <c r="J101" s="974"/>
      <c r="K101" s="1005"/>
      <c r="L101" s="974"/>
      <c r="M101" s="974"/>
      <c r="N101" s="974"/>
      <c r="O101" s="974"/>
      <c r="P101" s="974"/>
      <c r="Q101" s="974"/>
      <c r="R101" s="974"/>
      <c r="S101" s="974"/>
      <c r="T101" s="974"/>
      <c r="U101" s="974"/>
      <c r="V101" s="974"/>
      <c r="W101" s="974"/>
      <c r="X101" s="974"/>
      <c r="Y101" s="974"/>
      <c r="Z101" s="974"/>
      <c r="AA101" s="974"/>
      <c r="AB101" s="974"/>
      <c r="AC101" s="974"/>
      <c r="AD101" s="974"/>
      <c r="AE101" s="974"/>
      <c r="AF101" s="974"/>
      <c r="AG101" s="974"/>
      <c r="AH101" s="974"/>
      <c r="AI101" s="973"/>
      <c r="AJ101" s="978" t="s">
        <v>736</v>
      </c>
      <c r="AK101" s="817"/>
      <c r="AL101" s="817"/>
      <c r="AM101" s="817"/>
    </row>
    <row r="102" ht="20.25" customHeight="1">
      <c r="A102" s="2"/>
      <c r="B102" s="2"/>
      <c r="C102" s="2"/>
      <c r="D102" s="2"/>
      <c r="E102" s="1002"/>
      <c r="F102" s="974"/>
      <c r="G102" s="974"/>
      <c r="H102" s="974"/>
      <c r="I102" s="974"/>
      <c r="J102" s="974"/>
      <c r="K102" s="1005"/>
      <c r="L102" s="974"/>
      <c r="M102" s="974"/>
      <c r="N102" s="974"/>
      <c r="O102" s="974"/>
      <c r="P102" s="974"/>
      <c r="Q102" s="974"/>
      <c r="R102" s="974"/>
      <c r="S102" s="974"/>
      <c r="T102" s="974"/>
      <c r="U102" s="974"/>
      <c r="V102" s="974"/>
      <c r="W102" s="974"/>
      <c r="X102" s="974"/>
      <c r="Y102" s="974"/>
      <c r="Z102" s="974"/>
      <c r="AA102" s="974"/>
      <c r="AB102" s="974"/>
      <c r="AC102" s="974"/>
      <c r="AD102" s="974"/>
      <c r="AE102" s="974"/>
      <c r="AF102" s="974"/>
      <c r="AG102" s="974"/>
      <c r="AH102" s="974"/>
      <c r="AI102" s="973"/>
      <c r="AJ102" s="978" t="s">
        <v>734</v>
      </c>
      <c r="AK102" s="817"/>
      <c r="AL102" s="817"/>
      <c r="AM102" s="817"/>
    </row>
    <row r="103" ht="20.25" customHeight="1">
      <c r="A103" s="2"/>
      <c r="B103" s="2"/>
      <c r="C103" s="2"/>
      <c r="D103" s="2"/>
      <c r="E103" s="1002"/>
      <c r="F103" s="974"/>
      <c r="G103" s="974"/>
      <c r="H103" s="974"/>
      <c r="I103" s="974"/>
      <c r="J103" s="974"/>
      <c r="K103" s="1005"/>
      <c r="L103" s="974"/>
      <c r="M103" s="974"/>
      <c r="N103" s="974"/>
      <c r="O103" s="974"/>
      <c r="P103" s="974"/>
      <c r="Q103" s="974"/>
      <c r="R103" s="974"/>
      <c r="S103" s="974"/>
      <c r="T103" s="974"/>
      <c r="U103" s="974"/>
      <c r="V103" s="974"/>
      <c r="W103" s="974"/>
      <c r="X103" s="974"/>
      <c r="Y103" s="974"/>
      <c r="Z103" s="974"/>
      <c r="AA103" s="974"/>
      <c r="AB103" s="974"/>
      <c r="AC103" s="974"/>
      <c r="AD103" s="974"/>
      <c r="AE103" s="974"/>
      <c r="AF103" s="974"/>
      <c r="AG103" s="974"/>
      <c r="AH103" s="974"/>
      <c r="AI103" s="973"/>
      <c r="AJ103" s="978" t="s">
        <v>732</v>
      </c>
      <c r="AK103" s="817"/>
      <c r="AL103" s="817"/>
      <c r="AM103" s="817"/>
    </row>
    <row r="104" ht="20.25" customHeight="1">
      <c r="A104" s="2"/>
      <c r="B104" s="2"/>
      <c r="C104" s="2"/>
      <c r="D104" s="2"/>
      <c r="E104" s="1002"/>
      <c r="F104" s="974"/>
      <c r="G104" s="974"/>
      <c r="H104" s="974"/>
      <c r="I104" s="974"/>
      <c r="J104" s="974"/>
      <c r="K104" s="1005"/>
      <c r="L104" s="974"/>
      <c r="M104" s="974"/>
      <c r="N104" s="974"/>
      <c r="O104" s="974"/>
      <c r="P104" s="974"/>
      <c r="Q104" s="974"/>
      <c r="R104" s="974"/>
      <c r="S104" s="974"/>
      <c r="T104" s="974"/>
      <c r="U104" s="974"/>
      <c r="V104" s="974"/>
      <c r="W104" s="974"/>
      <c r="X104" s="974"/>
      <c r="Y104" s="974"/>
      <c r="Z104" s="974"/>
      <c r="AA104" s="974"/>
      <c r="AB104" s="974"/>
      <c r="AC104" s="974"/>
      <c r="AD104" s="974"/>
      <c r="AE104" s="974"/>
      <c r="AF104" s="974"/>
      <c r="AG104" s="974"/>
      <c r="AH104" s="974"/>
      <c r="AI104" s="973"/>
      <c r="AJ104" s="978" t="s">
        <v>730</v>
      </c>
      <c r="AK104" s="817"/>
      <c r="AL104" s="817"/>
      <c r="AM104" s="817"/>
    </row>
    <row r="105" ht="20.25" customHeight="1">
      <c r="A105" s="2"/>
      <c r="B105" s="2"/>
      <c r="C105" s="2"/>
      <c r="D105" s="2"/>
      <c r="E105" s="1002"/>
      <c r="F105" s="974"/>
      <c r="G105" s="974"/>
      <c r="H105" s="974"/>
      <c r="I105" s="974"/>
      <c r="J105" s="974"/>
      <c r="K105" s="1005"/>
      <c r="L105" s="974"/>
      <c r="M105" s="974"/>
      <c r="N105" s="974"/>
      <c r="O105" s="974"/>
      <c r="P105" s="974"/>
      <c r="Q105" s="974"/>
      <c r="R105" s="974"/>
      <c r="S105" s="974"/>
      <c r="T105" s="974"/>
      <c r="U105" s="974"/>
      <c r="V105" s="974"/>
      <c r="W105" s="974"/>
      <c r="X105" s="974"/>
      <c r="Y105" s="974"/>
      <c r="Z105" s="974"/>
      <c r="AA105" s="974"/>
      <c r="AB105" s="974"/>
      <c r="AC105" s="974"/>
      <c r="AD105" s="974"/>
      <c r="AE105" s="974"/>
      <c r="AF105" s="974"/>
      <c r="AG105" s="974"/>
      <c r="AH105" s="974"/>
      <c r="AI105" s="973"/>
      <c r="AJ105" s="978" t="s">
        <v>728</v>
      </c>
      <c r="AK105" s="817"/>
      <c r="AL105" s="817"/>
      <c r="AM105" s="817"/>
    </row>
    <row r="106" ht="20.25" customHeight="1">
      <c r="A106" s="2"/>
      <c r="B106" s="2"/>
      <c r="C106" s="2"/>
      <c r="D106" s="2"/>
      <c r="E106" s="1002"/>
      <c r="F106" s="974"/>
      <c r="G106" s="974"/>
      <c r="H106" s="974"/>
      <c r="I106" s="974"/>
      <c r="J106" s="974"/>
      <c r="K106" s="1005"/>
      <c r="L106" s="974"/>
      <c r="M106" s="974"/>
      <c r="N106" s="974"/>
      <c r="O106" s="974"/>
      <c r="P106" s="974"/>
      <c r="Q106" s="974"/>
      <c r="R106" s="974"/>
      <c r="S106" s="974"/>
      <c r="T106" s="974"/>
      <c r="U106" s="974"/>
      <c r="V106" s="974"/>
      <c r="W106" s="974"/>
      <c r="X106" s="974"/>
      <c r="Y106" s="974"/>
      <c r="Z106" s="974"/>
      <c r="AA106" s="974"/>
      <c r="AB106" s="974"/>
      <c r="AC106" s="974"/>
      <c r="AD106" s="974"/>
      <c r="AE106" s="974"/>
      <c r="AF106" s="974"/>
      <c r="AG106" s="974"/>
      <c r="AH106" s="974"/>
      <c r="AI106" s="973"/>
      <c r="AJ106" s="978" t="s">
        <v>726</v>
      </c>
      <c r="AK106" s="817"/>
      <c r="AL106" s="817"/>
      <c r="AM106" s="817"/>
    </row>
    <row r="107" ht="20.25" customHeight="1">
      <c r="A107" s="2"/>
      <c r="B107" s="2"/>
      <c r="C107" s="2"/>
      <c r="D107" s="2"/>
      <c r="E107" s="1002"/>
      <c r="F107" s="974"/>
      <c r="G107" s="974"/>
      <c r="H107" s="974"/>
      <c r="I107" s="974"/>
      <c r="J107" s="974"/>
      <c r="K107" s="1005"/>
      <c r="L107" s="974"/>
      <c r="M107" s="974"/>
      <c r="N107" s="974"/>
      <c r="O107" s="974"/>
      <c r="P107" s="974"/>
      <c r="Q107" s="974"/>
      <c r="R107" s="974"/>
      <c r="S107" s="974"/>
      <c r="T107" s="974"/>
      <c r="U107" s="974"/>
      <c r="V107" s="974"/>
      <c r="W107" s="974"/>
      <c r="X107" s="974"/>
      <c r="Y107" s="974"/>
      <c r="Z107" s="974"/>
      <c r="AA107" s="974"/>
      <c r="AB107" s="974"/>
      <c r="AC107" s="974"/>
      <c r="AD107" s="974"/>
      <c r="AE107" s="974"/>
      <c r="AF107" s="974"/>
      <c r="AG107" s="974"/>
      <c r="AH107" s="974"/>
      <c r="AI107" s="973"/>
      <c r="AJ107" s="978" t="s">
        <v>723</v>
      </c>
      <c r="AK107" s="817"/>
      <c r="AL107" s="817"/>
      <c r="AM107" s="817"/>
    </row>
    <row r="108" ht="20.25" customHeight="1">
      <c r="A108" s="2"/>
      <c r="B108" s="2"/>
      <c r="C108" s="2"/>
      <c r="D108" s="2"/>
      <c r="E108" s="1002"/>
      <c r="F108" s="974"/>
      <c r="G108" s="974"/>
      <c r="H108" s="974"/>
      <c r="I108" s="974"/>
      <c r="J108" s="974"/>
      <c r="K108" s="1005"/>
      <c r="L108" s="974"/>
      <c r="M108" s="974"/>
      <c r="N108" s="974"/>
      <c r="O108" s="974"/>
      <c r="P108" s="974"/>
      <c r="Q108" s="974"/>
      <c r="R108" s="974"/>
      <c r="S108" s="974"/>
      <c r="T108" s="974"/>
      <c r="U108" s="974"/>
      <c r="V108" s="974"/>
      <c r="W108" s="974"/>
      <c r="X108" s="974"/>
      <c r="Y108" s="974"/>
      <c r="Z108" s="974"/>
      <c r="AA108" s="974"/>
      <c r="AB108" s="974"/>
      <c r="AC108" s="974"/>
      <c r="AD108" s="974"/>
      <c r="AE108" s="974"/>
      <c r="AF108" s="974"/>
      <c r="AG108" s="974"/>
      <c r="AH108" s="974"/>
      <c r="AI108" s="973"/>
      <c r="AJ108" s="978" t="s">
        <v>721</v>
      </c>
      <c r="AK108" s="817"/>
      <c r="AL108" s="817"/>
      <c r="AM108" s="817"/>
    </row>
    <row r="109" ht="20.25" customHeight="1">
      <c r="A109" s="2"/>
      <c r="B109" s="2"/>
      <c r="C109" s="2"/>
      <c r="D109" s="2"/>
      <c r="E109" s="1002"/>
      <c r="F109" s="974"/>
      <c r="G109" s="974"/>
      <c r="H109" s="974"/>
      <c r="I109" s="974"/>
      <c r="J109" s="974"/>
      <c r="K109" s="1005"/>
      <c r="L109" s="974"/>
      <c r="M109" s="974"/>
      <c r="N109" s="974"/>
      <c r="O109" s="974"/>
      <c r="P109" s="974"/>
      <c r="Q109" s="974"/>
      <c r="R109" s="974"/>
      <c r="S109" s="974"/>
      <c r="T109" s="974"/>
      <c r="U109" s="974"/>
      <c r="V109" s="974"/>
      <c r="W109" s="974"/>
      <c r="X109" s="974"/>
      <c r="Y109" s="974"/>
      <c r="Z109" s="974"/>
      <c r="AA109" s="974"/>
      <c r="AB109" s="974"/>
      <c r="AC109" s="974"/>
      <c r="AD109" s="974"/>
      <c r="AE109" s="974"/>
      <c r="AF109" s="974"/>
      <c r="AG109" s="974"/>
      <c r="AH109" s="974"/>
      <c r="AI109" s="973"/>
      <c r="AJ109" s="978" t="s">
        <v>719</v>
      </c>
      <c r="AK109" s="817"/>
      <c r="AL109" s="817"/>
      <c r="AM109" s="817"/>
    </row>
    <row r="110" ht="20.25" customHeight="1">
      <c r="A110" s="2"/>
      <c r="B110" s="2"/>
      <c r="C110" s="2"/>
      <c r="D110" s="2"/>
      <c r="E110" s="1002"/>
      <c r="F110" s="974"/>
      <c r="G110" s="974"/>
      <c r="H110" s="974"/>
      <c r="I110" s="974"/>
      <c r="J110" s="974"/>
      <c r="K110" s="1005"/>
      <c r="L110" s="974"/>
      <c r="M110" s="974"/>
      <c r="N110" s="974"/>
      <c r="O110" s="974"/>
      <c r="P110" s="974"/>
      <c r="Q110" s="974"/>
      <c r="R110" s="974"/>
      <c r="S110" s="974"/>
      <c r="T110" s="974"/>
      <c r="U110" s="974"/>
      <c r="V110" s="974"/>
      <c r="W110" s="974"/>
      <c r="X110" s="974"/>
      <c r="Y110" s="974"/>
      <c r="Z110" s="974"/>
      <c r="AA110" s="974"/>
      <c r="AB110" s="974"/>
      <c r="AC110" s="974"/>
      <c r="AD110" s="974"/>
      <c r="AE110" s="974"/>
      <c r="AF110" s="974"/>
      <c r="AG110" s="974"/>
      <c r="AH110" s="974"/>
      <c r="AI110" s="973"/>
      <c r="AJ110" s="978" t="s">
        <v>717</v>
      </c>
      <c r="AK110" s="817"/>
      <c r="AL110" s="817"/>
      <c r="AM110" s="817"/>
    </row>
    <row r="111" ht="20.25" customHeight="1">
      <c r="A111" s="2"/>
      <c r="B111" s="2"/>
      <c r="C111" s="2"/>
      <c r="D111" s="2"/>
      <c r="E111" s="1002"/>
      <c r="F111" s="974"/>
      <c r="G111" s="974"/>
      <c r="H111" s="974"/>
      <c r="I111" s="974"/>
      <c r="J111" s="974"/>
      <c r="K111" s="1005"/>
      <c r="L111" s="974"/>
      <c r="M111" s="974"/>
      <c r="N111" s="974"/>
      <c r="O111" s="974"/>
      <c r="P111" s="974"/>
      <c r="Q111" s="974"/>
      <c r="R111" s="974"/>
      <c r="S111" s="974"/>
      <c r="T111" s="974"/>
      <c r="U111" s="974"/>
      <c r="V111" s="974"/>
      <c r="W111" s="974"/>
      <c r="X111" s="974"/>
      <c r="Y111" s="974"/>
      <c r="Z111" s="974"/>
      <c r="AA111" s="974"/>
      <c r="AB111" s="974"/>
      <c r="AC111" s="974"/>
      <c r="AD111" s="974"/>
      <c r="AE111" s="974"/>
      <c r="AF111" s="974"/>
      <c r="AG111" s="974"/>
      <c r="AH111" s="974"/>
      <c r="AI111" s="973"/>
      <c r="AJ111" s="978" t="s">
        <v>715</v>
      </c>
      <c r="AK111" s="817"/>
      <c r="AL111" s="817"/>
      <c r="AM111" s="817"/>
    </row>
    <row r="112" ht="20.25" customHeight="1">
      <c r="A112" s="2"/>
      <c r="B112" s="2"/>
      <c r="C112" s="2"/>
      <c r="D112" s="2"/>
      <c r="E112" s="1002"/>
      <c r="F112" s="974"/>
      <c r="G112" s="974"/>
      <c r="H112" s="974"/>
      <c r="I112" s="974"/>
      <c r="J112" s="974"/>
      <c r="K112" s="1005"/>
      <c r="L112" s="974"/>
      <c r="M112" s="974"/>
      <c r="N112" s="974"/>
      <c r="O112" s="974"/>
      <c r="P112" s="974"/>
      <c r="Q112" s="974"/>
      <c r="R112" s="974"/>
      <c r="S112" s="974"/>
      <c r="T112" s="974"/>
      <c r="U112" s="974"/>
      <c r="V112" s="974"/>
      <c r="W112" s="974"/>
      <c r="X112" s="974"/>
      <c r="Y112" s="974"/>
      <c r="Z112" s="974"/>
      <c r="AA112" s="974"/>
      <c r="AB112" s="974"/>
      <c r="AC112" s="974"/>
      <c r="AD112" s="974"/>
      <c r="AE112" s="974"/>
      <c r="AF112" s="974"/>
      <c r="AG112" s="974"/>
      <c r="AH112" s="974"/>
      <c r="AI112" s="973"/>
      <c r="AJ112" s="978" t="s">
        <v>712</v>
      </c>
      <c r="AK112" s="817"/>
      <c r="AL112" s="817"/>
      <c r="AM112" s="817"/>
    </row>
    <row r="113" ht="20.25" customHeight="1">
      <c r="A113" s="2"/>
      <c r="B113" s="2"/>
      <c r="C113" s="2"/>
      <c r="D113" s="2"/>
      <c r="E113" s="1002"/>
      <c r="F113" s="974"/>
      <c r="G113" s="974"/>
      <c r="H113" s="974"/>
      <c r="I113" s="974"/>
      <c r="J113" s="974"/>
      <c r="K113" s="1005"/>
      <c r="L113" s="974"/>
      <c r="M113" s="974"/>
      <c r="N113" s="974"/>
      <c r="O113" s="974"/>
      <c r="P113" s="974"/>
      <c r="Q113" s="974"/>
      <c r="R113" s="974"/>
      <c r="S113" s="974"/>
      <c r="T113" s="974"/>
      <c r="U113" s="974"/>
      <c r="V113" s="974"/>
      <c r="W113" s="974"/>
      <c r="X113" s="974"/>
      <c r="Y113" s="974"/>
      <c r="Z113" s="974"/>
      <c r="AA113" s="974"/>
      <c r="AB113" s="974"/>
      <c r="AC113" s="974"/>
      <c r="AD113" s="974"/>
      <c r="AE113" s="974"/>
      <c r="AF113" s="974"/>
      <c r="AG113" s="974"/>
      <c r="AH113" s="974"/>
      <c r="AI113" s="973"/>
      <c r="AJ113" s="978" t="s">
        <v>710</v>
      </c>
      <c r="AK113" s="817"/>
      <c r="AL113" s="817"/>
      <c r="AM113" s="817"/>
    </row>
    <row r="114" ht="20.25" customHeight="1">
      <c r="A114" s="2"/>
      <c r="B114" s="2"/>
      <c r="C114" s="2"/>
      <c r="D114" s="2"/>
      <c r="E114" s="1002"/>
      <c r="F114" s="974"/>
      <c r="G114" s="974"/>
      <c r="H114" s="974"/>
      <c r="I114" s="974"/>
      <c r="J114" s="974"/>
      <c r="K114" s="1005"/>
      <c r="L114" s="974"/>
      <c r="M114" s="974"/>
      <c r="N114" s="974"/>
      <c r="O114" s="974"/>
      <c r="P114" s="974"/>
      <c r="Q114" s="974"/>
      <c r="R114" s="974"/>
      <c r="S114" s="974"/>
      <c r="T114" s="974"/>
      <c r="U114" s="974"/>
      <c r="V114" s="974"/>
      <c r="W114" s="974"/>
      <c r="X114" s="974"/>
      <c r="Y114" s="974"/>
      <c r="Z114" s="974"/>
      <c r="AA114" s="974"/>
      <c r="AB114" s="974"/>
      <c r="AC114" s="974"/>
      <c r="AD114" s="974"/>
      <c r="AE114" s="974"/>
      <c r="AF114" s="974"/>
      <c r="AG114" s="974"/>
      <c r="AH114" s="974"/>
      <c r="AI114" s="973"/>
      <c r="AJ114" s="978" t="s">
        <v>708</v>
      </c>
      <c r="AK114" s="817"/>
      <c r="AL114" s="817"/>
      <c r="AM114" s="817"/>
    </row>
    <row r="115" ht="20.25" customHeight="1">
      <c r="A115" s="2"/>
      <c r="B115" s="2"/>
      <c r="C115" s="2"/>
      <c r="D115" s="2"/>
      <c r="E115" s="1002"/>
      <c r="F115" s="974"/>
      <c r="G115" s="974"/>
      <c r="H115" s="974"/>
      <c r="I115" s="974"/>
      <c r="J115" s="974"/>
      <c r="K115" s="1005"/>
      <c r="L115" s="974"/>
      <c r="M115" s="974"/>
      <c r="N115" s="974"/>
      <c r="O115" s="974"/>
      <c r="P115" s="974"/>
      <c r="Q115" s="974"/>
      <c r="R115" s="974"/>
      <c r="S115" s="974"/>
      <c r="T115" s="974"/>
      <c r="U115" s="974"/>
      <c r="V115" s="974"/>
      <c r="W115" s="974"/>
      <c r="X115" s="974"/>
      <c r="Y115" s="974"/>
      <c r="Z115" s="974"/>
      <c r="AA115" s="974"/>
      <c r="AB115" s="974"/>
      <c r="AC115" s="974"/>
      <c r="AD115" s="974"/>
      <c r="AE115" s="974"/>
      <c r="AF115" s="974"/>
      <c r="AG115" s="974"/>
      <c r="AH115" s="974"/>
      <c r="AI115" s="973"/>
      <c r="AJ115" s="978" t="s">
        <v>706</v>
      </c>
      <c r="AK115" s="817"/>
      <c r="AL115" s="817"/>
      <c r="AM115" s="817"/>
    </row>
    <row r="116" ht="20.25" customHeight="1">
      <c r="A116" s="2"/>
      <c r="B116" s="2"/>
      <c r="C116" s="2"/>
      <c r="D116" s="2"/>
      <c r="E116" s="1002"/>
      <c r="F116" s="974"/>
      <c r="G116" s="974"/>
      <c r="H116" s="974"/>
      <c r="I116" s="974"/>
      <c r="J116" s="974"/>
      <c r="K116" s="1005"/>
      <c r="L116" s="974"/>
      <c r="M116" s="974"/>
      <c r="N116" s="974"/>
      <c r="O116" s="974"/>
      <c r="P116" s="974"/>
      <c r="Q116" s="974"/>
      <c r="R116" s="974"/>
      <c r="S116" s="974"/>
      <c r="T116" s="974"/>
      <c r="U116" s="974"/>
      <c r="V116" s="974"/>
      <c r="W116" s="974"/>
      <c r="X116" s="974"/>
      <c r="Y116" s="974"/>
      <c r="Z116" s="974"/>
      <c r="AA116" s="974"/>
      <c r="AB116" s="974"/>
      <c r="AC116" s="974"/>
      <c r="AD116" s="974"/>
      <c r="AE116" s="974"/>
      <c r="AF116" s="974"/>
      <c r="AG116" s="974"/>
      <c r="AH116" s="974"/>
      <c r="AI116" s="973"/>
      <c r="AJ116" s="978" t="s">
        <v>704</v>
      </c>
      <c r="AK116" s="817"/>
      <c r="AL116" s="817"/>
      <c r="AM116" s="817"/>
    </row>
    <row r="117" ht="20.25" customHeight="1">
      <c r="A117" s="2"/>
      <c r="B117" s="2"/>
      <c r="C117" s="2"/>
      <c r="D117" s="2"/>
      <c r="E117" s="1002"/>
      <c r="F117" s="974"/>
      <c r="G117" s="974"/>
      <c r="H117" s="974"/>
      <c r="I117" s="974"/>
      <c r="J117" s="974"/>
      <c r="K117" s="1005"/>
      <c r="L117" s="974"/>
      <c r="M117" s="974"/>
      <c r="N117" s="974"/>
      <c r="O117" s="974"/>
      <c r="P117" s="974"/>
      <c r="Q117" s="974"/>
      <c r="R117" s="974"/>
      <c r="S117" s="974"/>
      <c r="T117" s="974"/>
      <c r="U117" s="974"/>
      <c r="V117" s="974"/>
      <c r="W117" s="974"/>
      <c r="X117" s="974"/>
      <c r="Y117" s="974"/>
      <c r="Z117" s="974"/>
      <c r="AA117" s="974"/>
      <c r="AB117" s="974"/>
      <c r="AC117" s="974"/>
      <c r="AD117" s="974"/>
      <c r="AE117" s="974"/>
      <c r="AF117" s="974"/>
      <c r="AG117" s="974"/>
      <c r="AH117" s="974"/>
      <c r="AI117" s="973"/>
      <c r="AJ117" s="978" t="s">
        <v>702</v>
      </c>
      <c r="AK117" s="817"/>
      <c r="AL117" s="817"/>
      <c r="AM117" s="817"/>
    </row>
    <row r="118" ht="20.25" customHeight="1">
      <c r="A118" s="2"/>
      <c r="B118" s="2"/>
      <c r="C118" s="2"/>
      <c r="D118" s="2"/>
      <c r="E118" s="1002"/>
      <c r="F118" s="974"/>
      <c r="G118" s="974"/>
      <c r="H118" s="974"/>
      <c r="I118" s="974"/>
      <c r="J118" s="974"/>
      <c r="K118" s="1005"/>
      <c r="L118" s="974"/>
      <c r="M118" s="974"/>
      <c r="N118" s="974"/>
      <c r="O118" s="974"/>
      <c r="P118" s="974"/>
      <c r="Q118" s="974"/>
      <c r="R118" s="974"/>
      <c r="S118" s="974"/>
      <c r="T118" s="974"/>
      <c r="U118" s="974"/>
      <c r="V118" s="974"/>
      <c r="W118" s="974"/>
      <c r="X118" s="974"/>
      <c r="Y118" s="974"/>
      <c r="Z118" s="974"/>
      <c r="AA118" s="974"/>
      <c r="AB118" s="974"/>
      <c r="AC118" s="974"/>
      <c r="AD118" s="974"/>
      <c r="AE118" s="974"/>
      <c r="AF118" s="974"/>
      <c r="AG118" s="974"/>
      <c r="AH118" s="974"/>
      <c r="AI118" s="973"/>
      <c r="AJ118" s="978" t="s">
        <v>700</v>
      </c>
      <c r="AK118" s="817"/>
      <c r="AL118" s="817"/>
      <c r="AM118" s="817"/>
    </row>
    <row r="119" ht="20.25" customHeight="1">
      <c r="A119" s="2"/>
      <c r="B119" s="2"/>
      <c r="C119" s="2"/>
      <c r="D119" s="2"/>
      <c r="E119" s="1002"/>
      <c r="F119" s="974"/>
      <c r="G119" s="974"/>
      <c r="H119" s="974"/>
      <c r="I119" s="974"/>
      <c r="J119" s="974"/>
      <c r="K119" s="1005"/>
      <c r="L119" s="974"/>
      <c r="M119" s="974"/>
      <c r="N119" s="974"/>
      <c r="O119" s="974"/>
      <c r="P119" s="974"/>
      <c r="Q119" s="974"/>
      <c r="R119" s="974"/>
      <c r="S119" s="974"/>
      <c r="T119" s="974"/>
      <c r="U119" s="974"/>
      <c r="V119" s="974"/>
      <c r="W119" s="974"/>
      <c r="X119" s="974"/>
      <c r="Y119" s="974"/>
      <c r="Z119" s="974"/>
      <c r="AA119" s="974"/>
      <c r="AB119" s="974"/>
      <c r="AC119" s="974"/>
      <c r="AD119" s="974"/>
      <c r="AE119" s="974"/>
      <c r="AF119" s="974"/>
      <c r="AG119" s="974"/>
      <c r="AH119" s="974"/>
      <c r="AI119" s="973"/>
      <c r="AJ119" s="978" t="s">
        <v>696</v>
      </c>
      <c r="AK119" s="817"/>
      <c r="AL119" s="817"/>
      <c r="AM119" s="817"/>
    </row>
    <row r="120" ht="20.25" customHeight="1">
      <c r="A120" s="2"/>
      <c r="B120" s="2"/>
      <c r="C120" s="2"/>
      <c r="D120" s="2"/>
      <c r="E120" s="1002"/>
      <c r="F120" s="974"/>
      <c r="G120" s="974"/>
      <c r="H120" s="974"/>
      <c r="I120" s="974"/>
      <c r="J120" s="974"/>
      <c r="K120" s="1005"/>
      <c r="L120" s="974"/>
      <c r="M120" s="974"/>
      <c r="N120" s="974"/>
      <c r="O120" s="974"/>
      <c r="P120" s="974"/>
      <c r="Q120" s="974"/>
      <c r="R120" s="974"/>
      <c r="S120" s="974"/>
      <c r="T120" s="974"/>
      <c r="U120" s="974"/>
      <c r="V120" s="974"/>
      <c r="W120" s="974"/>
      <c r="X120" s="974"/>
      <c r="Y120" s="974"/>
      <c r="Z120" s="974"/>
      <c r="AA120" s="974"/>
      <c r="AB120" s="974"/>
      <c r="AC120" s="974"/>
      <c r="AD120" s="974"/>
      <c r="AE120" s="974"/>
      <c r="AF120" s="974"/>
      <c r="AG120" s="974"/>
      <c r="AH120" s="974"/>
      <c r="AI120" s="973"/>
      <c r="AJ120" s="978" t="s">
        <v>690</v>
      </c>
      <c r="AK120" s="817"/>
      <c r="AL120" s="817"/>
      <c r="AM120" s="817"/>
    </row>
    <row r="121" ht="20.25" customHeight="1">
      <c r="A121" s="2"/>
      <c r="B121" s="2"/>
      <c r="C121" s="2"/>
      <c r="D121" s="2"/>
      <c r="E121" s="1002"/>
      <c r="F121" s="974"/>
      <c r="G121" s="974"/>
      <c r="H121" s="974"/>
      <c r="I121" s="974"/>
      <c r="J121" s="974"/>
      <c r="K121" s="1005"/>
      <c r="L121" s="974"/>
      <c r="M121" s="974"/>
      <c r="N121" s="974"/>
      <c r="O121" s="974"/>
      <c r="P121" s="974"/>
      <c r="Q121" s="974"/>
      <c r="R121" s="974"/>
      <c r="S121" s="974"/>
      <c r="T121" s="974"/>
      <c r="U121" s="974"/>
      <c r="V121" s="974"/>
      <c r="W121" s="974"/>
      <c r="X121" s="974"/>
      <c r="Y121" s="974"/>
      <c r="Z121" s="974"/>
      <c r="AA121" s="974"/>
      <c r="AB121" s="974"/>
      <c r="AC121" s="974"/>
      <c r="AD121" s="974"/>
      <c r="AE121" s="974"/>
      <c r="AF121" s="974"/>
      <c r="AG121" s="974"/>
      <c r="AH121" s="974"/>
      <c r="AI121" s="973"/>
      <c r="AJ121" s="978" t="s">
        <v>688</v>
      </c>
      <c r="AK121" s="817"/>
      <c r="AL121" s="817"/>
      <c r="AM121" s="817"/>
    </row>
    <row r="122" ht="20.25" customHeight="1">
      <c r="A122" s="2"/>
      <c r="B122" s="2"/>
      <c r="C122" s="2"/>
      <c r="D122" s="2"/>
      <c r="E122" s="1002"/>
      <c r="F122" s="974"/>
      <c r="G122" s="974"/>
      <c r="H122" s="974"/>
      <c r="I122" s="974"/>
      <c r="J122" s="974"/>
      <c r="K122" s="1005"/>
      <c r="L122" s="974"/>
      <c r="M122" s="974"/>
      <c r="N122" s="974"/>
      <c r="O122" s="974"/>
      <c r="P122" s="974"/>
      <c r="Q122" s="974"/>
      <c r="R122" s="974"/>
      <c r="S122" s="974"/>
      <c r="T122" s="974"/>
      <c r="U122" s="974"/>
      <c r="V122" s="974"/>
      <c r="W122" s="974"/>
      <c r="X122" s="974"/>
      <c r="Y122" s="974"/>
      <c r="Z122" s="974"/>
      <c r="AA122" s="974"/>
      <c r="AB122" s="974"/>
      <c r="AC122" s="974"/>
      <c r="AD122" s="974"/>
      <c r="AE122" s="974"/>
      <c r="AF122" s="974"/>
      <c r="AG122" s="974"/>
      <c r="AH122" s="974"/>
      <c r="AI122" s="973"/>
      <c r="AJ122" s="978" t="s">
        <v>686</v>
      </c>
      <c r="AK122" s="817"/>
      <c r="AL122" s="817"/>
      <c r="AM122" s="817"/>
    </row>
    <row r="123" ht="20.25" customHeight="1">
      <c r="A123" s="2"/>
      <c r="B123" s="2"/>
      <c r="C123" s="2"/>
      <c r="D123" s="2"/>
      <c r="E123" s="1002"/>
      <c r="F123" s="974"/>
      <c r="G123" s="974"/>
      <c r="H123" s="974"/>
      <c r="I123" s="974"/>
      <c r="J123" s="974"/>
      <c r="K123" s="1005"/>
      <c r="L123" s="974"/>
      <c r="M123" s="974"/>
      <c r="N123" s="974"/>
      <c r="O123" s="974"/>
      <c r="P123" s="974"/>
      <c r="Q123" s="974"/>
      <c r="R123" s="974"/>
      <c r="S123" s="974"/>
      <c r="T123" s="974"/>
      <c r="U123" s="974"/>
      <c r="V123" s="974"/>
      <c r="W123" s="974"/>
      <c r="X123" s="974"/>
      <c r="Y123" s="974"/>
      <c r="Z123" s="974"/>
      <c r="AA123" s="974"/>
      <c r="AB123" s="974"/>
      <c r="AC123" s="974"/>
      <c r="AD123" s="974"/>
      <c r="AE123" s="974"/>
      <c r="AF123" s="974"/>
      <c r="AG123" s="974"/>
      <c r="AH123" s="974"/>
      <c r="AI123" s="973"/>
      <c r="AJ123" s="978" t="s">
        <v>684</v>
      </c>
      <c r="AK123" s="817"/>
      <c r="AL123" s="817"/>
      <c r="AM123" s="817"/>
    </row>
    <row r="124" ht="20.25" customHeight="1">
      <c r="A124" s="2"/>
      <c r="B124" s="2"/>
      <c r="C124" s="2"/>
      <c r="D124" s="2"/>
      <c r="E124" s="1002"/>
      <c r="F124" s="974"/>
      <c r="G124" s="974"/>
      <c r="H124" s="974"/>
      <c r="I124" s="974"/>
      <c r="J124" s="974"/>
      <c r="K124" s="1005"/>
      <c r="L124" s="974"/>
      <c r="M124" s="974"/>
      <c r="N124" s="974"/>
      <c r="O124" s="974"/>
      <c r="P124" s="974"/>
      <c r="Q124" s="974"/>
      <c r="R124" s="974"/>
      <c r="S124" s="974"/>
      <c r="T124" s="974"/>
      <c r="U124" s="974"/>
      <c r="V124" s="974"/>
      <c r="W124" s="974"/>
      <c r="X124" s="974"/>
      <c r="Y124" s="974"/>
      <c r="Z124" s="974"/>
      <c r="AA124" s="974"/>
      <c r="AB124" s="974"/>
      <c r="AC124" s="974"/>
      <c r="AD124" s="974"/>
      <c r="AE124" s="974"/>
      <c r="AF124" s="974"/>
      <c r="AG124" s="974"/>
      <c r="AH124" s="974"/>
      <c r="AI124" s="973"/>
      <c r="AJ124" s="978" t="s">
        <v>682</v>
      </c>
      <c r="AK124" s="817"/>
      <c r="AL124" s="817"/>
      <c r="AM124" s="817"/>
    </row>
    <row r="125" ht="20.25" customHeight="1">
      <c r="A125" s="2"/>
      <c r="B125" s="2"/>
      <c r="C125" s="2"/>
      <c r="D125" s="2"/>
      <c r="E125" s="1002"/>
      <c r="F125" s="974"/>
      <c r="G125" s="974"/>
      <c r="H125" s="974"/>
      <c r="I125" s="974"/>
      <c r="J125" s="974"/>
      <c r="K125" s="1005"/>
      <c r="L125" s="974"/>
      <c r="M125" s="974"/>
      <c r="N125" s="974"/>
      <c r="O125" s="974"/>
      <c r="P125" s="974"/>
      <c r="Q125" s="974"/>
      <c r="R125" s="974"/>
      <c r="S125" s="974"/>
      <c r="T125" s="974"/>
      <c r="U125" s="974"/>
      <c r="V125" s="974"/>
      <c r="W125" s="974"/>
      <c r="X125" s="974"/>
      <c r="Y125" s="974"/>
      <c r="Z125" s="974"/>
      <c r="AA125" s="974"/>
      <c r="AB125" s="974"/>
      <c r="AC125" s="974"/>
      <c r="AD125" s="974"/>
      <c r="AE125" s="974"/>
      <c r="AF125" s="974"/>
      <c r="AG125" s="974"/>
      <c r="AH125" s="974"/>
      <c r="AI125" s="973"/>
      <c r="AJ125" s="978" t="s">
        <v>680</v>
      </c>
      <c r="AK125" s="817"/>
      <c r="AL125" s="817"/>
      <c r="AM125" s="817"/>
    </row>
    <row r="126" ht="20.25" customHeight="1">
      <c r="A126" s="2"/>
      <c r="B126" s="2"/>
      <c r="C126" s="2"/>
      <c r="D126" s="2"/>
      <c r="E126" s="1002"/>
      <c r="F126" s="974"/>
      <c r="G126" s="974"/>
      <c r="H126" s="974"/>
      <c r="I126" s="974"/>
      <c r="J126" s="974"/>
      <c r="K126" s="1005"/>
      <c r="L126" s="974"/>
      <c r="M126" s="974"/>
      <c r="N126" s="974"/>
      <c r="O126" s="974"/>
      <c r="P126" s="974"/>
      <c r="Q126" s="974"/>
      <c r="R126" s="974"/>
      <c r="S126" s="974"/>
      <c r="T126" s="974"/>
      <c r="U126" s="974"/>
      <c r="V126" s="974"/>
      <c r="W126" s="974"/>
      <c r="X126" s="974"/>
      <c r="Y126" s="974"/>
      <c r="Z126" s="974"/>
      <c r="AA126" s="974"/>
      <c r="AB126" s="974"/>
      <c r="AC126" s="974"/>
      <c r="AD126" s="974"/>
      <c r="AE126" s="974"/>
      <c r="AF126" s="974"/>
      <c r="AG126" s="974"/>
      <c r="AH126" s="974"/>
      <c r="AI126" s="973"/>
      <c r="AJ126" s="978" t="s">
        <v>678</v>
      </c>
      <c r="AK126" s="817"/>
      <c r="AL126" s="817"/>
      <c r="AM126" s="817"/>
    </row>
    <row r="127" ht="20.25" customHeight="1">
      <c r="A127" s="2"/>
      <c r="B127" s="2"/>
      <c r="C127" s="2"/>
      <c r="D127" s="2"/>
      <c r="E127" s="1002"/>
      <c r="F127" s="974"/>
      <c r="G127" s="974"/>
      <c r="H127" s="974"/>
      <c r="I127" s="974"/>
      <c r="J127" s="974"/>
      <c r="K127" s="1005"/>
      <c r="L127" s="974"/>
      <c r="M127" s="974"/>
      <c r="N127" s="974"/>
      <c r="O127" s="974"/>
      <c r="P127" s="974"/>
      <c r="Q127" s="974"/>
      <c r="R127" s="974"/>
      <c r="S127" s="974"/>
      <c r="T127" s="974"/>
      <c r="U127" s="974"/>
      <c r="V127" s="974"/>
      <c r="W127" s="974"/>
      <c r="X127" s="974"/>
      <c r="Y127" s="974"/>
      <c r="Z127" s="974"/>
      <c r="AA127" s="974"/>
      <c r="AB127" s="974"/>
      <c r="AC127" s="974"/>
      <c r="AD127" s="974"/>
      <c r="AE127" s="974"/>
      <c r="AF127" s="974"/>
      <c r="AG127" s="974"/>
      <c r="AH127" s="974"/>
      <c r="AI127" s="973"/>
      <c r="AJ127" s="978" t="s">
        <v>676</v>
      </c>
      <c r="AK127" s="817"/>
      <c r="AL127" s="817"/>
      <c r="AM127" s="817"/>
    </row>
    <row r="128" ht="20.25" customHeight="1">
      <c r="A128" s="2"/>
      <c r="B128" s="2"/>
      <c r="C128" s="2"/>
      <c r="D128" s="2"/>
      <c r="E128" s="1002"/>
      <c r="F128" s="974"/>
      <c r="G128" s="974"/>
      <c r="H128" s="974"/>
      <c r="I128" s="974"/>
      <c r="J128" s="974"/>
      <c r="K128" s="1005"/>
      <c r="L128" s="974"/>
      <c r="M128" s="974"/>
      <c r="N128" s="974"/>
      <c r="O128" s="974"/>
      <c r="P128" s="974"/>
      <c r="Q128" s="974"/>
      <c r="R128" s="974"/>
      <c r="S128" s="974"/>
      <c r="T128" s="974"/>
      <c r="U128" s="974"/>
      <c r="V128" s="974"/>
      <c r="W128" s="974"/>
      <c r="X128" s="974"/>
      <c r="Y128" s="974"/>
      <c r="Z128" s="974"/>
      <c r="AA128" s="974"/>
      <c r="AB128" s="974"/>
      <c r="AC128" s="974"/>
      <c r="AD128" s="974"/>
      <c r="AE128" s="974"/>
      <c r="AF128" s="974"/>
      <c r="AG128" s="974"/>
      <c r="AH128" s="974"/>
      <c r="AI128" s="973"/>
      <c r="AJ128" s="978" t="s">
        <v>673</v>
      </c>
      <c r="AK128" s="817"/>
      <c r="AL128" s="817"/>
      <c r="AM128" s="817"/>
    </row>
    <row r="129" ht="20.25" customHeight="1">
      <c r="A129" s="2"/>
      <c r="B129" s="2"/>
      <c r="C129" s="2"/>
      <c r="D129" s="2"/>
      <c r="E129" s="1002"/>
      <c r="F129" s="974"/>
      <c r="G129" s="974"/>
      <c r="H129" s="974"/>
      <c r="I129" s="974"/>
      <c r="J129" s="974"/>
      <c r="K129" s="1005"/>
      <c r="L129" s="974"/>
      <c r="M129" s="974"/>
      <c r="N129" s="974"/>
      <c r="O129" s="974"/>
      <c r="P129" s="974"/>
      <c r="Q129" s="974"/>
      <c r="R129" s="974"/>
      <c r="S129" s="974"/>
      <c r="T129" s="974"/>
      <c r="U129" s="974"/>
      <c r="V129" s="974"/>
      <c r="W129" s="974"/>
      <c r="X129" s="974"/>
      <c r="Y129" s="974"/>
      <c r="Z129" s="974"/>
      <c r="AA129" s="974"/>
      <c r="AB129" s="974"/>
      <c r="AC129" s="974"/>
      <c r="AD129" s="974"/>
      <c r="AE129" s="974"/>
      <c r="AF129" s="974"/>
      <c r="AG129" s="974"/>
      <c r="AH129" s="974"/>
      <c r="AI129" s="973"/>
      <c r="AJ129" s="978" t="s">
        <v>671</v>
      </c>
      <c r="AK129" s="817"/>
      <c r="AL129" s="817"/>
      <c r="AM129" s="817"/>
    </row>
    <row r="130" ht="20.25" customHeight="1">
      <c r="A130" s="2"/>
      <c r="B130" s="2"/>
      <c r="C130" s="2"/>
      <c r="D130" s="2"/>
      <c r="E130" s="1002"/>
      <c r="F130" s="974"/>
      <c r="G130" s="974"/>
      <c r="H130" s="974"/>
      <c r="I130" s="974"/>
      <c r="J130" s="974"/>
      <c r="K130" s="1005"/>
      <c r="L130" s="974"/>
      <c r="M130" s="974"/>
      <c r="N130" s="974"/>
      <c r="O130" s="974"/>
      <c r="P130" s="974"/>
      <c r="Q130" s="974"/>
      <c r="R130" s="974"/>
      <c r="S130" s="974"/>
      <c r="T130" s="974"/>
      <c r="U130" s="974"/>
      <c r="V130" s="974"/>
      <c r="W130" s="974"/>
      <c r="X130" s="974"/>
      <c r="Y130" s="974"/>
      <c r="Z130" s="974"/>
      <c r="AA130" s="974"/>
      <c r="AB130" s="974"/>
      <c r="AC130" s="974"/>
      <c r="AD130" s="974"/>
      <c r="AE130" s="974"/>
      <c r="AF130" s="974"/>
      <c r="AG130" s="974"/>
      <c r="AH130" s="974"/>
      <c r="AI130" s="973"/>
      <c r="AJ130" s="978" t="s">
        <v>669</v>
      </c>
      <c r="AK130" s="817"/>
      <c r="AL130" s="817"/>
      <c r="AM130" s="817"/>
    </row>
    <row r="131" ht="20.25" customHeight="1">
      <c r="A131" s="2"/>
      <c r="B131" s="2"/>
      <c r="C131" s="2"/>
      <c r="D131" s="2"/>
      <c r="E131" s="1002"/>
      <c r="F131" s="974"/>
      <c r="G131" s="974"/>
      <c r="H131" s="974"/>
      <c r="I131" s="974"/>
      <c r="J131" s="974"/>
      <c r="K131" s="1005"/>
      <c r="L131" s="974"/>
      <c r="M131" s="974"/>
      <c r="N131" s="974"/>
      <c r="O131" s="974"/>
      <c r="P131" s="974"/>
      <c r="Q131" s="974"/>
      <c r="R131" s="974"/>
      <c r="S131" s="974"/>
      <c r="T131" s="974"/>
      <c r="U131" s="974"/>
      <c r="V131" s="974"/>
      <c r="W131" s="974"/>
      <c r="X131" s="974"/>
      <c r="Y131" s="974"/>
      <c r="Z131" s="974"/>
      <c r="AA131" s="974"/>
      <c r="AB131" s="974"/>
      <c r="AC131" s="974"/>
      <c r="AD131" s="974"/>
      <c r="AE131" s="974"/>
      <c r="AF131" s="974"/>
      <c r="AG131" s="974"/>
      <c r="AH131" s="974"/>
      <c r="AI131" s="973"/>
      <c r="AJ131" s="978" t="s">
        <v>667</v>
      </c>
      <c r="AK131" s="817"/>
      <c r="AL131" s="817"/>
      <c r="AM131" s="817"/>
    </row>
    <row r="132" ht="20.25" customHeight="1">
      <c r="A132" s="2"/>
      <c r="B132" s="2"/>
      <c r="C132" s="2"/>
      <c r="D132" s="2"/>
      <c r="E132" s="1002"/>
      <c r="F132" s="974"/>
      <c r="G132" s="974"/>
      <c r="H132" s="974"/>
      <c r="I132" s="974"/>
      <c r="J132" s="974"/>
      <c r="K132" s="1005"/>
      <c r="L132" s="974"/>
      <c r="M132" s="974"/>
      <c r="N132" s="974"/>
      <c r="O132" s="974"/>
      <c r="P132" s="974"/>
      <c r="Q132" s="974"/>
      <c r="R132" s="974"/>
      <c r="S132" s="974"/>
      <c r="T132" s="974"/>
      <c r="U132" s="974"/>
      <c r="V132" s="974"/>
      <c r="W132" s="974"/>
      <c r="X132" s="974"/>
      <c r="Y132" s="974"/>
      <c r="Z132" s="974"/>
      <c r="AA132" s="974"/>
      <c r="AB132" s="974"/>
      <c r="AC132" s="974"/>
      <c r="AD132" s="974"/>
      <c r="AE132" s="974"/>
      <c r="AF132" s="974"/>
      <c r="AG132" s="974"/>
      <c r="AH132" s="974"/>
      <c r="AI132" s="973"/>
      <c r="AJ132" s="978" t="s">
        <v>665</v>
      </c>
      <c r="AK132" s="817"/>
      <c r="AL132" s="817"/>
      <c r="AM132" s="817"/>
    </row>
    <row r="133" ht="20.25" customHeight="1">
      <c r="A133" s="2"/>
      <c r="B133" s="2"/>
      <c r="C133" s="2"/>
      <c r="D133" s="2"/>
      <c r="E133" s="1002"/>
      <c r="F133" s="974"/>
      <c r="G133" s="974"/>
      <c r="H133" s="974"/>
      <c r="I133" s="974"/>
      <c r="J133" s="974"/>
      <c r="K133" s="1005"/>
      <c r="L133" s="974"/>
      <c r="M133" s="974"/>
      <c r="N133" s="974"/>
      <c r="O133" s="974"/>
      <c r="P133" s="974"/>
      <c r="Q133" s="974"/>
      <c r="R133" s="974"/>
      <c r="S133" s="974"/>
      <c r="T133" s="974"/>
      <c r="U133" s="974"/>
      <c r="V133" s="974"/>
      <c r="W133" s="974"/>
      <c r="X133" s="974"/>
      <c r="Y133" s="974"/>
      <c r="Z133" s="974"/>
      <c r="AA133" s="974"/>
      <c r="AB133" s="974"/>
      <c r="AC133" s="974"/>
      <c r="AD133" s="974"/>
      <c r="AE133" s="974"/>
      <c r="AF133" s="974"/>
      <c r="AG133" s="974"/>
      <c r="AH133" s="974"/>
      <c r="AI133" s="973"/>
      <c r="AJ133" s="978" t="s">
        <v>663</v>
      </c>
      <c r="AK133" s="817"/>
      <c r="AL133" s="817"/>
      <c r="AM133" s="817"/>
    </row>
    <row r="134" ht="20.25" customHeight="1">
      <c r="A134" s="2"/>
      <c r="B134" s="2"/>
      <c r="C134" s="2"/>
      <c r="D134" s="2"/>
      <c r="E134" s="1002"/>
      <c r="F134" s="974"/>
      <c r="G134" s="974"/>
      <c r="H134" s="974"/>
      <c r="I134" s="974"/>
      <c r="J134" s="974"/>
      <c r="K134" s="1005"/>
      <c r="L134" s="974"/>
      <c r="M134" s="974"/>
      <c r="N134" s="974"/>
      <c r="O134" s="974"/>
      <c r="P134" s="974"/>
      <c r="Q134" s="974"/>
      <c r="R134" s="974"/>
      <c r="S134" s="974"/>
      <c r="T134" s="974"/>
      <c r="U134" s="974"/>
      <c r="V134" s="974"/>
      <c r="W134" s="974"/>
      <c r="X134" s="974"/>
      <c r="Y134" s="974"/>
      <c r="Z134" s="974"/>
      <c r="AA134" s="974"/>
      <c r="AB134" s="974"/>
      <c r="AC134" s="974"/>
      <c r="AD134" s="974"/>
      <c r="AE134" s="974"/>
      <c r="AF134" s="974"/>
      <c r="AG134" s="974"/>
      <c r="AH134" s="974"/>
      <c r="AI134" s="973"/>
      <c r="AJ134" s="978" t="s">
        <v>661</v>
      </c>
      <c r="AK134" s="817"/>
      <c r="AL134" s="817"/>
      <c r="AM134" s="817"/>
    </row>
    <row r="135" ht="20.25" customHeight="1">
      <c r="A135" s="2"/>
      <c r="B135" s="2"/>
      <c r="C135" s="2"/>
      <c r="D135" s="2"/>
      <c r="E135" s="1002"/>
      <c r="F135" s="974"/>
      <c r="G135" s="974"/>
      <c r="H135" s="974"/>
      <c r="I135" s="974"/>
      <c r="J135" s="974"/>
      <c r="K135" s="1005"/>
      <c r="L135" s="974"/>
      <c r="M135" s="974"/>
      <c r="N135" s="974"/>
      <c r="O135" s="974"/>
      <c r="P135" s="974"/>
      <c r="Q135" s="974"/>
      <c r="R135" s="974"/>
      <c r="S135" s="974"/>
      <c r="T135" s="974"/>
      <c r="U135" s="974"/>
      <c r="V135" s="974"/>
      <c r="W135" s="974"/>
      <c r="X135" s="974"/>
      <c r="Y135" s="974"/>
      <c r="Z135" s="974"/>
      <c r="AA135" s="974"/>
      <c r="AB135" s="974"/>
      <c r="AC135" s="974"/>
      <c r="AD135" s="974"/>
      <c r="AE135" s="974"/>
      <c r="AF135" s="974"/>
      <c r="AG135" s="974"/>
      <c r="AH135" s="974"/>
      <c r="AI135" s="973"/>
      <c r="AJ135" s="978" t="s">
        <v>659</v>
      </c>
      <c r="AK135" s="817"/>
      <c r="AL135" s="817"/>
      <c r="AM135" s="817"/>
    </row>
    <row r="136" ht="20.25" customHeight="1">
      <c r="A136" s="2"/>
      <c r="B136" s="2"/>
      <c r="C136" s="2"/>
      <c r="D136" s="2"/>
      <c r="E136" s="1002"/>
      <c r="F136" s="974"/>
      <c r="G136" s="974"/>
      <c r="H136" s="974"/>
      <c r="I136" s="974"/>
      <c r="J136" s="974"/>
      <c r="K136" s="1005"/>
      <c r="L136" s="974"/>
      <c r="M136" s="974"/>
      <c r="N136" s="974"/>
      <c r="O136" s="974"/>
      <c r="P136" s="974"/>
      <c r="Q136" s="974"/>
      <c r="R136" s="974"/>
      <c r="S136" s="974"/>
      <c r="T136" s="974"/>
      <c r="U136" s="974"/>
      <c r="V136" s="974"/>
      <c r="W136" s="974"/>
      <c r="X136" s="974"/>
      <c r="Y136" s="974"/>
      <c r="Z136" s="974"/>
      <c r="AA136" s="974"/>
      <c r="AB136" s="974"/>
      <c r="AC136" s="974"/>
      <c r="AD136" s="974"/>
      <c r="AE136" s="974"/>
      <c r="AF136" s="974"/>
      <c r="AG136" s="974"/>
      <c r="AH136" s="974"/>
      <c r="AI136" s="973"/>
      <c r="AJ136" s="978" t="s">
        <v>656</v>
      </c>
      <c r="AK136" s="817"/>
      <c r="AL136" s="817"/>
      <c r="AM136" s="817"/>
    </row>
    <row r="137" ht="20.25" customHeight="1">
      <c r="A137" s="2"/>
      <c r="B137" s="2"/>
      <c r="C137" s="2"/>
      <c r="D137" s="2"/>
      <c r="E137" s="1002"/>
      <c r="F137" s="974"/>
      <c r="G137" s="974"/>
      <c r="H137" s="974"/>
      <c r="I137" s="974"/>
      <c r="J137" s="974"/>
      <c r="K137" s="1005"/>
      <c r="L137" s="974"/>
      <c r="M137" s="974"/>
      <c r="N137" s="974"/>
      <c r="O137" s="974"/>
      <c r="P137" s="974"/>
      <c r="Q137" s="974"/>
      <c r="R137" s="974"/>
      <c r="S137" s="974"/>
      <c r="T137" s="974"/>
      <c r="U137" s="974"/>
      <c r="V137" s="974"/>
      <c r="W137" s="974"/>
      <c r="X137" s="974"/>
      <c r="Y137" s="974"/>
      <c r="Z137" s="974"/>
      <c r="AA137" s="974"/>
      <c r="AB137" s="974"/>
      <c r="AC137" s="974"/>
      <c r="AD137" s="974"/>
      <c r="AE137" s="974"/>
      <c r="AF137" s="974"/>
      <c r="AG137" s="974"/>
      <c r="AH137" s="974"/>
      <c r="AI137" s="973"/>
      <c r="AJ137" s="978" t="s">
        <v>648</v>
      </c>
      <c r="AK137" s="817"/>
      <c r="AL137" s="817"/>
      <c r="AM137" s="817"/>
    </row>
  </sheetData>
  <mergeCells count="39">
    <mergeCell ref="E1:I1"/>
    <mergeCell ref="J1:N1"/>
    <mergeCell ref="O1:S1"/>
    <mergeCell ref="T1:X1"/>
    <mergeCell ref="Y1:AC1"/>
    <mergeCell ref="C2:D2"/>
    <mergeCell ref="C3:D3"/>
    <mergeCell ref="C4:D4"/>
    <mergeCell ref="C5:D5"/>
    <mergeCell ref="C6:D6"/>
    <mergeCell ref="C7:D7"/>
    <mergeCell ref="C8:D8"/>
    <mergeCell ref="C9:D9"/>
    <mergeCell ref="C10:D10"/>
    <mergeCell ref="C17:D17"/>
    <mergeCell ref="C18:D18"/>
    <mergeCell ref="A15:A19"/>
    <mergeCell ref="A20:A24"/>
    <mergeCell ref="A25:A28"/>
    <mergeCell ref="C11:D11"/>
    <mergeCell ref="C12:D12"/>
    <mergeCell ref="C13:D13"/>
    <mergeCell ref="C14:D14"/>
    <mergeCell ref="C15:D15"/>
    <mergeCell ref="C16:D16"/>
    <mergeCell ref="C19:D19"/>
    <mergeCell ref="C27:D27"/>
    <mergeCell ref="C29:D29"/>
    <mergeCell ref="C30:D30"/>
    <mergeCell ref="C31:D31"/>
    <mergeCell ref="C32:D32"/>
    <mergeCell ref="C33:D33"/>
    <mergeCell ref="C20:D20"/>
    <mergeCell ref="C21:D21"/>
    <mergeCell ref="C22:D22"/>
    <mergeCell ref="C23:D23"/>
    <mergeCell ref="C24:D24"/>
    <mergeCell ref="C25:D25"/>
    <mergeCell ref="C26:D26"/>
  </mergeCells>
  <conditionalFormatting sqref="C15">
    <cfRule type="expression" dxfId="0" priority="1">
      <formula>AND(#REF!="Ganjil",OR(C14="NAIK",C14="TINGGAL",C14="LULUS",C14="TIDAK LULUS"))</formula>
    </cfRule>
  </conditionalFormatting>
  <conditionalFormatting sqref="C16:C17">
    <cfRule type="expression" dxfId="0" priority="2">
      <formula>AND(#REF!="Ganjil",OR(C15="NAIK",C15="TINGGAL",C15="LULUS",C15="TIDAK LULUS"))</formula>
    </cfRule>
  </conditionalFormatting>
  <conditionalFormatting sqref="C18">
    <cfRule type="expression" dxfId="10" priority="3">
      <formula>AND(OR(#REF!="Ganjil",#REF!="Genap"),C14="TINGGAL")</formula>
    </cfRule>
  </conditionalFormatting>
  <conditionalFormatting sqref="C18">
    <cfRule type="expression" dxfId="0" priority="4">
      <formula>AND(#REF!="Ganjil",OR(C14="NAIK",C14="TINGGAL",C14="LULUS",C14="TIDAK LULUS"))</formula>
    </cfRule>
  </conditionalFormatting>
  <conditionalFormatting sqref="C19">
    <cfRule type="expression" dxfId="0" priority="5">
      <formula>AND(#REF!="Ganjil",OR(C14="NAIK",C14="TINGGAL",C14="LULUS",C14="TIDAK LULUS"))</formula>
    </cfRule>
  </conditionalFormatting>
  <conditionalFormatting sqref="C19">
    <cfRule type="expression" dxfId="11" priority="6">
      <formula>C14="NAIK"</formula>
    </cfRule>
  </conditionalFormatting>
  <conditionalFormatting sqref="AK3:AM137">
    <cfRule type="containsText" dxfId="0" priority="7" operator="containsText" text="TRUE">
      <formula>NOT(ISERROR(SEARCH(("TRUE"),(AK3))))</formula>
    </cfRule>
  </conditionalFormatting>
  <conditionalFormatting sqref="AK3:AM137">
    <cfRule type="containsText" dxfId="8" priority="8" operator="containsText" text="FALSE">
      <formula>NOT(ISERROR(SEARCH(("FALSE"),(AK3))))</formula>
    </cfRule>
  </conditionalFormatting>
  <hyperlinks>
    <hyperlink r:id="rId1" ref="B46"/>
  </hyperlinks>
  <printOptions/>
  <pageMargins bottom="0.7480314960629921" footer="0.0" header="0.0" left="0.34" right="0.34" top="0.7480314960629921"/>
  <pageSetup paperSize="9" scale="75"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29"/>
    <col customWidth="1" min="3" max="3" width="11.43"/>
    <col customWidth="1" min="4" max="4" width="14.71"/>
    <col customWidth="1" min="5" max="5" width="40.29"/>
    <col customWidth="1" min="6" max="38" width="13.71"/>
    <col customWidth="1" min="39" max="39" width="32.29"/>
    <col customWidth="1" min="40" max="40" width="40.29"/>
    <col customWidth="1" min="41" max="41" width="31.71"/>
    <col customWidth="1" min="42" max="42" width="125.86"/>
    <col customWidth="1" min="43" max="43" width="23.0"/>
    <col customWidth="1" min="44" max="44" width="19.0"/>
    <col customWidth="1" min="45" max="45" width="39.71"/>
    <col customWidth="1" min="46" max="46" width="32.29"/>
    <col customWidth="1" min="47" max="47" width="8.71"/>
    <col customWidth="1" min="48" max="48" width="32.29"/>
    <col customWidth="1" min="49" max="49" width="1.71"/>
    <col customWidth="1" min="50" max="50" width="28.29"/>
    <col customWidth="1" min="51" max="51" width="8.71"/>
    <col customWidth="1" min="52" max="52" width="10.14"/>
  </cols>
  <sheetData>
    <row r="1" ht="25.5" customHeight="1">
      <c r="A1" s="837" t="s">
        <v>579</v>
      </c>
      <c r="C1" s="356" t="s">
        <v>580</v>
      </c>
      <c r="E1" s="838">
        <v>33.0</v>
      </c>
      <c r="F1" s="462"/>
      <c r="G1" s="462">
        <v>6.0</v>
      </c>
      <c r="H1" s="462">
        <v>7.0</v>
      </c>
      <c r="I1" s="462">
        <v>8.0</v>
      </c>
      <c r="J1" s="462">
        <v>9.0</v>
      </c>
      <c r="K1" s="462">
        <v>10.0</v>
      </c>
      <c r="L1" s="462">
        <v>11.0</v>
      </c>
      <c r="M1" s="462">
        <v>12.0</v>
      </c>
      <c r="N1" s="462">
        <v>13.0</v>
      </c>
      <c r="O1" s="462">
        <v>14.0</v>
      </c>
      <c r="P1" s="462">
        <v>15.0</v>
      </c>
      <c r="Q1" s="462">
        <v>16.0</v>
      </c>
      <c r="R1" s="462">
        <v>17.0</v>
      </c>
      <c r="S1" s="462">
        <v>18.0</v>
      </c>
      <c r="T1" s="462">
        <v>19.0</v>
      </c>
      <c r="U1" s="462">
        <v>20.0</v>
      </c>
      <c r="V1" s="462">
        <v>21.0</v>
      </c>
      <c r="W1" s="462">
        <v>22.0</v>
      </c>
      <c r="X1" s="462">
        <v>23.0</v>
      </c>
      <c r="Y1" s="462">
        <v>24.0</v>
      </c>
      <c r="Z1" s="462">
        <v>25.0</v>
      </c>
      <c r="AA1" s="462">
        <v>26.0</v>
      </c>
      <c r="AB1" s="462">
        <v>27.0</v>
      </c>
      <c r="AC1" s="462">
        <v>28.0</v>
      </c>
      <c r="AD1" s="462">
        <v>29.0</v>
      </c>
      <c r="AE1" s="462">
        <v>30.0</v>
      </c>
      <c r="AF1" s="462">
        <v>31.0</v>
      </c>
      <c r="AG1" s="462">
        <v>32.0</v>
      </c>
      <c r="AH1" s="462">
        <v>33.0</v>
      </c>
      <c r="AI1" s="462">
        <v>34.0</v>
      </c>
      <c r="AJ1" s="462">
        <v>35.0</v>
      </c>
      <c r="AK1" s="462" t="str">
        <f>IFERROR(__xludf.DUMMYFUNCTION("IMPORTRANGE(SETTING!C11,CONCATENATE(SETTING!C1,""!AK1:AZ30""))"),"")</f>
        <v/>
      </c>
      <c r="AL1" s="462" t="str">
        <f>IFERROR(__xludf.DUMMYFUNCTION("""COMPUTED_VALUE"""),"HASIL RUMUS")</f>
        <v>HASIL RUMUS</v>
      </c>
      <c r="AM1" s="462"/>
      <c r="AN1" s="353"/>
      <c r="AO1" s="839"/>
      <c r="AP1" s="839"/>
      <c r="AQ1" s="462"/>
      <c r="AR1" s="356" t="str">
        <f>IFERROR(__xludf.DUMMYFUNCTION("""COMPUTED_VALUE"""),"SETTING DATA WALI KELAS")</f>
        <v>SETTING DATA WALI KELAS</v>
      </c>
      <c r="AU1" s="353"/>
      <c r="AV1" s="840" t="str">
        <f>IFERROR(__xludf.DUMMYFUNCTION("""COMPUTED_VALUE"""),"Profil Sekolah")</f>
        <v>Profil Sekolah</v>
      </c>
      <c r="AW1" s="841" t="str">
        <f>IFERROR(__xludf.DUMMYFUNCTION("""COMPUTED_VALUE"""),":")</f>
        <v>:</v>
      </c>
      <c r="AX1" s="842"/>
      <c r="AY1" s="353"/>
      <c r="AZ1" s="353"/>
    </row>
    <row r="2" ht="45.75" customHeight="1">
      <c r="A2" s="843" t="s">
        <v>582</v>
      </c>
      <c r="B2" s="844" t="s">
        <v>0</v>
      </c>
      <c r="C2" s="844" t="s">
        <v>1</v>
      </c>
      <c r="D2" s="844" t="s">
        <v>2</v>
      </c>
      <c r="E2" s="844" t="s">
        <v>276</v>
      </c>
      <c r="F2" s="843" t="s">
        <v>4</v>
      </c>
      <c r="G2" s="845" t="s">
        <v>541</v>
      </c>
      <c r="H2" s="845" t="s">
        <v>542</v>
      </c>
      <c r="I2" s="845" t="s">
        <v>543</v>
      </c>
      <c r="J2" s="846" t="s">
        <v>544</v>
      </c>
      <c r="K2" s="845" t="s">
        <v>495</v>
      </c>
      <c r="L2" s="846" t="s">
        <v>545</v>
      </c>
      <c r="M2" s="845" t="s">
        <v>546</v>
      </c>
      <c r="N2" s="846" t="s">
        <v>547</v>
      </c>
      <c r="O2" s="845" t="s">
        <v>504</v>
      </c>
      <c r="P2" s="846" t="s">
        <v>548</v>
      </c>
      <c r="Q2" s="845" t="s">
        <v>549</v>
      </c>
      <c r="R2" s="846" t="s">
        <v>550</v>
      </c>
      <c r="S2" s="845" t="s">
        <v>551</v>
      </c>
      <c r="T2" s="846" t="s">
        <v>518</v>
      </c>
      <c r="U2" s="845" t="s">
        <v>552</v>
      </c>
      <c r="V2" s="846" t="s">
        <v>553</v>
      </c>
      <c r="W2" s="845" t="s">
        <v>554</v>
      </c>
      <c r="X2" s="846" t="s">
        <v>555</v>
      </c>
      <c r="Y2" s="845" t="s">
        <v>556</v>
      </c>
      <c r="Z2" s="846" t="s">
        <v>557</v>
      </c>
      <c r="AA2" s="845" t="s">
        <v>558</v>
      </c>
      <c r="AB2" s="846" t="s">
        <v>559</v>
      </c>
      <c r="AC2" s="845" t="s">
        <v>560</v>
      </c>
      <c r="AD2" s="846" t="s">
        <v>561</v>
      </c>
      <c r="AE2" s="845" t="s">
        <v>562</v>
      </c>
      <c r="AF2" s="845" t="s">
        <v>563</v>
      </c>
      <c r="AG2" s="847" t="s">
        <v>580</v>
      </c>
      <c r="AH2" s="847" t="s">
        <v>584</v>
      </c>
      <c r="AI2" s="847" t="s">
        <v>585</v>
      </c>
      <c r="AJ2" s="849" t="s">
        <v>586</v>
      </c>
      <c r="AK2" s="851"/>
      <c r="AL2" s="852" t="str">
        <f>IFERROR(__xludf.DUMMYFUNCTION("""COMPUTED_VALUE"""),"NAMA ROMBEL X")</f>
        <v>NAMA ROMBEL X</v>
      </c>
      <c r="AM2" s="853" t="str">
        <f>IFERROR(__xludf.DUMMYFUNCTION("""COMPUTED_VALUE"""),"KONSENTRASI KEAHLIAN")</f>
        <v>KONSENTRASI KEAHLIAN</v>
      </c>
      <c r="AN2" s="854" t="str">
        <f>IFERROR(__xludf.DUMMYFUNCTION("""COMPUTED_VALUE"""),"PROGRAM KEAHLIAN")</f>
        <v>PROGRAM KEAHLIAN</v>
      </c>
      <c r="AO2" s="855" t="str">
        <f>IFERROR(__xludf.DUMMYFUNCTION("""COMPUTED_VALUE"""),"BIDANG KEAHLIAN")</f>
        <v>BIDANG KEAHLIAN</v>
      </c>
      <c r="AP2" s="856" t="str">
        <f>IFERROR(__xludf.DUMMYFUNCTION("""COMPUTED_VALUE"""),"URL")</f>
        <v>URL</v>
      </c>
      <c r="AQ2" s="857" t="str">
        <f>IFERROR(__xludf.DUMMYFUNCTION("""COMPUTED_VALUE"""),"TAHUN PELAJARAN")</f>
        <v>TAHUN PELAJARAN</v>
      </c>
      <c r="AR2" s="858" t="str">
        <f>IFERROR(__xludf.DUMMYFUNCTION("""COMPUTED_VALUE"""),"KELAS WALAS")</f>
        <v>KELAS WALAS</v>
      </c>
      <c r="AS2" s="858" t="str">
        <f>IFERROR(__xludf.DUMMYFUNCTION("""COMPUTED_VALUE"""),"WALAS")</f>
        <v>WALAS</v>
      </c>
      <c r="AT2" s="859" t="str">
        <f>IFERROR(__xludf.DUMMYFUNCTION("""COMPUTED_VALUE"""),"NIP WALAS")</f>
        <v>NIP WALAS</v>
      </c>
      <c r="AU2" s="860"/>
      <c r="AV2" s="861" t="str">
        <f>IFERROR(__xludf.DUMMYFUNCTION("""COMPUTED_VALUE"""),"Nama Sekolah")</f>
        <v>Nama Sekolah</v>
      </c>
      <c r="AW2" s="862" t="str">
        <f>IFERROR(__xludf.DUMMYFUNCTION("""COMPUTED_VALUE"""),":")</f>
        <v>:</v>
      </c>
      <c r="AX2" s="861" t="str">
        <f>IFERROR(__xludf.DUMMYFUNCTION("""COMPUTED_VALUE"""),"SMKN 1 PLERED")</f>
        <v>SMKN 1 PLERED</v>
      </c>
      <c r="AY2" s="863"/>
      <c r="AZ2" s="860"/>
    </row>
    <row r="3" ht="33.0" customHeight="1">
      <c r="A3" s="864" t="s">
        <v>589</v>
      </c>
      <c r="B3" s="865"/>
      <c r="C3" s="466"/>
      <c r="D3" s="466"/>
      <c r="E3" s="467"/>
      <c r="F3" s="866"/>
      <c r="G3" s="867"/>
      <c r="H3" s="867"/>
      <c r="I3" s="867"/>
      <c r="J3" s="867"/>
      <c r="K3" s="867"/>
      <c r="L3" s="867"/>
      <c r="M3" s="867"/>
      <c r="N3" s="867"/>
      <c r="O3" s="867"/>
      <c r="P3" s="867"/>
      <c r="Q3" s="867"/>
      <c r="R3" s="867"/>
      <c r="S3" s="867"/>
      <c r="T3" s="867"/>
      <c r="U3" s="867"/>
      <c r="V3" s="867"/>
      <c r="W3" s="867"/>
      <c r="X3" s="867"/>
      <c r="Y3" s="867"/>
      <c r="Z3" s="867"/>
      <c r="AA3" s="867"/>
      <c r="AB3" s="867"/>
      <c r="AC3" s="867"/>
      <c r="AD3" s="867"/>
      <c r="AE3" s="867"/>
      <c r="AF3" s="867"/>
      <c r="AG3" s="867"/>
      <c r="AH3" s="867"/>
      <c r="AI3" s="867"/>
      <c r="AJ3" s="868"/>
      <c r="AK3" s="869"/>
      <c r="AL3" s="870">
        <f>IFERROR(__xludf.DUMMYFUNCTION("""COMPUTED_VALUE"""),1.0)</f>
        <v>1</v>
      </c>
      <c r="AM3" s="869">
        <f>IFERROR(__xludf.DUMMYFUNCTION("""COMPUTED_VALUE"""),5.0)</f>
        <v>5</v>
      </c>
      <c r="AN3" s="871">
        <f>IFERROR(__xludf.DUMMYFUNCTION("""COMPUTED_VALUE"""),6.0)</f>
        <v>6</v>
      </c>
      <c r="AO3" s="872"/>
      <c r="AP3" s="873" t="str">
        <f>IFERROR(__xludf.DUMMYFUNCTION("""COMPUTED_VALUE"""),"Otomatis")</f>
        <v>Otomatis</v>
      </c>
      <c r="AQ3" s="870" t="str">
        <f>IFERROR(__xludf.DUMMYFUNCTION("""COMPUTED_VALUE"""),"ketik manual")</f>
        <v>ketik manual</v>
      </c>
      <c r="AR3" s="869" t="str">
        <f>IFERROR(__xludf.DUMMYFUNCTION("""COMPUTED_VALUE"""),"otomatis")</f>
        <v>otomatis</v>
      </c>
      <c r="AS3" s="869" t="str">
        <f>IFERROR(__xludf.DUMMYFUNCTION("""COMPUTED_VALUE"""),"ketik manual")</f>
        <v>ketik manual</v>
      </c>
      <c r="AT3" s="871" t="str">
        <f>IFERROR(__xludf.DUMMYFUNCTION("""COMPUTED_VALUE"""),"Otomatis")</f>
        <v>Otomatis</v>
      </c>
      <c r="AU3" s="874"/>
      <c r="AV3" s="861" t="str">
        <f>IFERROR(__xludf.DUMMYFUNCTION("""COMPUTED_VALUE"""),"Alamat")</f>
        <v>Alamat</v>
      </c>
      <c r="AW3" s="862" t="str">
        <f>IFERROR(__xludf.DUMMYFUNCTION("""COMPUTED_VALUE"""),":")</f>
        <v>:</v>
      </c>
      <c r="AX3" s="861" t="str">
        <f>IFERROR(__xludf.DUMMYFUNCTION("""COMPUTED_VALUE"""),"Jl.Rawasari, Plered")</f>
        <v>Jl.Rawasari, Plered</v>
      </c>
      <c r="AY3" s="875"/>
      <c r="AZ3" s="874"/>
    </row>
    <row r="4" ht="15.0" customHeight="1">
      <c r="A4" s="876">
        <f>IFERROR(__xludf.DUMMYFUNCTION("FILTER(IMPORTRANGE(SETTING!C11, SETTING!C1 &amp; ""!A4:AJ""),INDEX(IMPORTRANGE(SETTING!C11, SETTING!C1 &amp; ""!F4:F""), 0) = SETTING!C2)"),1729.0)</f>
        <v>1729</v>
      </c>
      <c r="B4" s="876">
        <f>IFERROR(__xludf.DUMMYFUNCTION("""COMPUTED_VALUE"""),1.0)</f>
        <v>1</v>
      </c>
      <c r="C4" s="876" t="str">
        <f>IFERROR(__xludf.DUMMYFUNCTION("""COMPUTED_VALUE"""),"2526100414")</f>
        <v>2526100414</v>
      </c>
      <c r="D4" s="877" t="str">
        <f>IFERROR(__xludf.DUMMYFUNCTION("""COMPUTED_VALUE"""),"0098742051")</f>
        <v>0098742051</v>
      </c>
      <c r="E4" s="878" t="str">
        <f>IFERROR(__xludf.DUMMYFUNCTION("""COMPUTED_VALUE"""),"AHMAD FAUZI")</f>
        <v>AHMAD FAUZI</v>
      </c>
      <c r="F4" s="879" t="str">
        <f>IFERROR(__xludf.DUMMYFUNCTION("""COMPUTED_VALUE"""),"X TO 4")</f>
        <v>X TO 4</v>
      </c>
      <c r="G4" s="880" t="str">
        <f>IFERROR(__xludf.DUMMYFUNCTION("""COMPUTED_VALUE"""),"Garut")</f>
        <v>Garut</v>
      </c>
      <c r="H4" s="881">
        <f>IFERROR(__xludf.DUMMYFUNCTION("""COMPUTED_VALUE"""),40083.0)</f>
        <v>40083</v>
      </c>
      <c r="I4" s="882" t="str">
        <f>IFERROR(__xludf.DUMMYFUNCTION("""COMPUTED_VALUE"""),"Laki-Laki")</f>
        <v>Laki-Laki</v>
      </c>
      <c r="J4" s="882" t="str">
        <f>IFERROR(__xludf.DUMMYFUNCTION("""COMPUTED_VALUE"""),"Islam")</f>
        <v>Islam</v>
      </c>
      <c r="K4" s="882" t="str">
        <f>IFERROR(__xludf.DUMMYFUNCTION("""COMPUTED_VALUE"""),"Anak Kandung")</f>
        <v>Anak Kandung</v>
      </c>
      <c r="L4" s="882" t="str">
        <f>IFERROR(__xludf.DUMMYFUNCTION("""COMPUTED_VALUE"""),"1 (Satu)")</f>
        <v>1 (Satu)</v>
      </c>
      <c r="M4" s="882" t="str">
        <f>IFERROR(__xludf.DUMMYFUNCTION("""COMPUTED_VALUE"""),"Kp. Talun Sukawargi RT/RW 003/006 Desa Situsari Kec. Cisurupan Kab. Garut")</f>
        <v>Kp. Talun Sukawargi RT/RW 003/006 Desa Situsari Kec. Cisurupan Kab. Garut</v>
      </c>
      <c r="N4" s="882" t="str">
        <f>IFERROR(__xludf.DUMMYFUNCTION("""COMPUTED_VALUE"""),"-")</f>
        <v>-</v>
      </c>
      <c r="O4" s="882" t="str">
        <f>IFERROR(__xludf.DUMMYFUNCTION("""COMPUTED_VALUE"""),"MTsN 2 Purwakarta")</f>
        <v>MTsN 2 Purwakarta</v>
      </c>
      <c r="P4" s="882" t="str">
        <f>IFERROR(__xludf.DUMMYFUNCTION("""COMPUTED_VALUE"""),"X TO 4")</f>
        <v>X TO 4</v>
      </c>
      <c r="Q4" s="882" t="str">
        <f>IFERROR(__xludf.DUMMYFUNCTION("""COMPUTED_VALUE"""),"14 Juli 2025")</f>
        <v>14 Juli 2025</v>
      </c>
      <c r="R4" s="882" t="str">
        <f>IFERROR(__xludf.DUMMYFUNCTION("""COMPUTED_VALUE"""),"Cucu Suherman")</f>
        <v>Cucu Suherman</v>
      </c>
      <c r="S4" s="882" t="str">
        <f>IFERROR(__xludf.DUMMYFUNCTION("""COMPUTED_VALUE"""),"Elin")</f>
        <v>Elin</v>
      </c>
      <c r="T4" s="882" t="str">
        <f>IFERROR(__xludf.DUMMYFUNCTION("""COMPUTED_VALUE"""),"Kp. Talun Sukawargi RT/RW 003/006 Desa Situsari Kec. Cisurupan Kab. Garut")</f>
        <v>Kp. Talun Sukawargi RT/RW 003/006 Desa Situsari Kec. Cisurupan Kab. Garut</v>
      </c>
      <c r="U4" s="882" t="str">
        <f>IFERROR(__xludf.DUMMYFUNCTION("""COMPUTED_VALUE"""),"-")</f>
        <v>-</v>
      </c>
      <c r="V4" s="882" t="str">
        <f>IFERROR(__xludf.DUMMYFUNCTION("""COMPUTED_VALUE"""),"Pedagang")</f>
        <v>Pedagang</v>
      </c>
      <c r="W4" s="882" t="str">
        <f>IFERROR(__xludf.DUMMYFUNCTION("""COMPUTED_VALUE"""),"Rumah Tangga")</f>
        <v>Rumah Tangga</v>
      </c>
      <c r="X4" s="882" t="str">
        <f>IFERROR(__xludf.DUMMYFUNCTION("""COMPUTED_VALUE"""),"-")</f>
        <v>-</v>
      </c>
      <c r="Y4" s="882" t="str">
        <f>IFERROR(__xludf.DUMMYFUNCTION("""COMPUTED_VALUE"""),"-")</f>
        <v>-</v>
      </c>
      <c r="Z4" s="882" t="str">
        <f>IFERROR(__xludf.DUMMYFUNCTION("""COMPUTED_VALUE"""),"-")</f>
        <v>-</v>
      </c>
      <c r="AA4" s="882"/>
      <c r="AB4" s="882" t="str">
        <f>IFERROR(__xludf.DUMMYFUNCTION("""COMPUTED_VALUE"""),"20229659")</f>
        <v>20229659</v>
      </c>
      <c r="AC4" s="882"/>
      <c r="AD4" s="882" t="str">
        <f>IFERROR(__xludf.DUMMYFUNCTION("""COMPUTED_VALUE"""),"/appsheet/data/InputBiodataRaportX-3328125/FilePDF/AHMAD FAUZI-475f6e45.PDF")</f>
        <v>/appsheet/data/InputBiodataRaportX-3328125/FilePDF/AHMAD FAUZI-475f6e45.PDF</v>
      </c>
      <c r="AE4" s="882" t="str">
        <f>IFERROR(__xludf.DUMMYFUNCTION("""COMPUTED_VALUE"""),"2025 2026")</f>
        <v>2025 2026</v>
      </c>
      <c r="AF4" s="882" t="str">
        <f>IFERROR(__xludf.DUMMYFUNCTION("""COMPUTED_VALUE"""),"Purwakarta, 22 Desember 2025")</f>
        <v>Purwakarta, 22 Desember 2025</v>
      </c>
      <c r="AG4" s="882" t="str">
        <f>IFERROR(__xludf.DUMMYFUNCTION("""COMPUTED_VALUE"""),"X TO 4")</f>
        <v>X TO 4</v>
      </c>
      <c r="AH4" s="882" t="str">
        <f>IFERROR(__xludf.DUMMYFUNCTION("""COMPUTED_VALUE"""),"XI TSM 2")</f>
        <v>XI TSM 2</v>
      </c>
      <c r="AI4" s="882" t="str">
        <f>IFERROR(__xludf.DUMMYFUNCTION("""COMPUTED_VALUE"""),"XII TSM 2")</f>
        <v>XII TSM 2</v>
      </c>
      <c r="AJ4" s="883" t="str">
        <f>IFERROR(__xludf.DUMMYFUNCTION("""COMPUTED_VALUE"""),"XIII TSM 2")</f>
        <v>XIII TSM 2</v>
      </c>
      <c r="AK4" s="884"/>
      <c r="AL4" s="885" t="str">
        <f>IFERROR(__xludf.DUMMYFUNCTION("""COMPUTED_VALUE"""),"X TE 1")</f>
        <v>X TE 1</v>
      </c>
      <c r="AM4" s="886" t="str">
        <f>IFERROR(__xludf.DUMMYFUNCTION("""COMPUTED_VALUE"""),"Teknik Otomasi Industri")</f>
        <v>Teknik Otomasi Industri</v>
      </c>
      <c r="AN4" s="887" t="str">
        <f>IFERROR(__xludf.DUMMYFUNCTION("""COMPUTED_VALUE"""),"Teknik Elektronika")</f>
        <v>Teknik Elektronika</v>
      </c>
      <c r="AO4" s="888" t="str">
        <f>IFERROR(__xludf.DUMMYFUNCTION("""COMPUTED_VALUE"""),"Teknologi Manufaktur dan Rekayasa")</f>
        <v>Teknologi Manufaktur dan Rekayasa</v>
      </c>
      <c r="AP4" s="889" t="str">
        <f>IFERROR(__xludf.DUMMYFUNCTION("""COMPUTED_VALUE"""),"https://script.google.com/macros/s/AKfycbyHHBq619phZBghZCg0e_YCshYaHpSBIIxn1lCz-aE5NAnb1tB5ycLEP5fXHrOcksxL-w/exec")</f>
        <v>https://script.google.com/macros/s/AKfycbyHHBq619phZBghZCg0e_YCshYaHpSBIIxn1lCz-aE5NAnb1tB5ycLEP5fXHrOcksxL-w/exec</v>
      </c>
      <c r="AQ4" s="890" t="str">
        <f>IFERROR(__xludf.DUMMYFUNCTION("""COMPUTED_VALUE"""),"2022 / 2023")</f>
        <v>2022 / 2023</v>
      </c>
      <c r="AR4" s="891" t="str">
        <f>IFERROR(__xludf.DUMMYFUNCTION("""COMPUTED_VALUE"""),"X TE 1")</f>
        <v>X TE 1</v>
      </c>
      <c r="AS4" s="892" t="str">
        <f>IFERROR(__xludf.DUMMYFUNCTION("""COMPUTED_VALUE"""),"RANI PURI HENDRIYANI, S.S.")</f>
        <v>RANI PURI HENDRIYANI, S.S.</v>
      </c>
      <c r="AT4" s="893" t="str">
        <f>IFERROR(__xludf.DUMMYFUNCTION("""COMPUTED_VALUE"""),"NIP. 198712082025212102")</f>
        <v>NIP. 198712082025212102</v>
      </c>
      <c r="AU4" s="2"/>
      <c r="AV4" s="894" t="str">
        <f>IFERROR(__xludf.DUMMYFUNCTION("""COMPUTED_VALUE"""),"Nama Kepsek")</f>
        <v>Nama Kepsek</v>
      </c>
      <c r="AW4" s="895" t="str">
        <f>IFERROR(__xludf.DUMMYFUNCTION("""COMPUTED_VALUE"""),":")</f>
        <v>:</v>
      </c>
      <c r="AX4" s="894" t="str">
        <f>IFERROR(__xludf.DUMMYFUNCTION("""COMPUTED_VALUE"""),"WAHYU TAMIMBARKAH, S,Pd.")</f>
        <v>WAHYU TAMIMBARKAH, S,Pd.</v>
      </c>
      <c r="AY4" s="896"/>
      <c r="AZ4" s="2"/>
    </row>
    <row r="5" ht="14.25" customHeight="1">
      <c r="A5" s="876">
        <f>IFERROR(__xludf.DUMMYFUNCTION("""COMPUTED_VALUE"""),1730.0)</f>
        <v>1730</v>
      </c>
      <c r="B5" s="876">
        <f>IFERROR(__xludf.DUMMYFUNCTION("""COMPUTED_VALUE"""),2.0)</f>
        <v>2</v>
      </c>
      <c r="C5" s="876" t="str">
        <f>IFERROR(__xludf.DUMMYFUNCTION("""COMPUTED_VALUE"""),"2526100415")</f>
        <v>2526100415</v>
      </c>
      <c r="D5" s="877" t="str">
        <f>IFERROR(__xludf.DUMMYFUNCTION("""COMPUTED_VALUE"""),"0094541761")</f>
        <v>0094541761</v>
      </c>
      <c r="E5" s="878" t="str">
        <f>IFERROR(__xludf.DUMMYFUNCTION("""COMPUTED_VALUE"""),"AHMAD YOPI JUMAEDI")</f>
        <v>AHMAD YOPI JUMAEDI</v>
      </c>
      <c r="F5" s="879" t="str">
        <f>IFERROR(__xludf.DUMMYFUNCTION("""COMPUTED_VALUE"""),"X TO 4")</f>
        <v>X TO 4</v>
      </c>
      <c r="G5" s="897" t="str">
        <f>IFERROR(__xludf.DUMMYFUNCTION("""COMPUTED_VALUE"""),"Purwakarta")</f>
        <v>Purwakarta</v>
      </c>
      <c r="H5" s="898">
        <f>IFERROR(__xludf.DUMMYFUNCTION("""COMPUTED_VALUE"""),39892.0)</f>
        <v>39892</v>
      </c>
      <c r="I5" s="897" t="str">
        <f>IFERROR(__xludf.DUMMYFUNCTION("""COMPUTED_VALUE"""),"Laki-Laki")</f>
        <v>Laki-Laki</v>
      </c>
      <c r="J5" s="897" t="str">
        <f>IFERROR(__xludf.DUMMYFUNCTION("""COMPUTED_VALUE"""),"Islam")</f>
        <v>Islam</v>
      </c>
      <c r="K5" s="897" t="str">
        <f>IFERROR(__xludf.DUMMYFUNCTION("""COMPUTED_VALUE"""),"Anak Kandung")</f>
        <v>Anak Kandung</v>
      </c>
      <c r="L5" s="897" t="str">
        <f>IFERROR(__xludf.DUMMYFUNCTION("""COMPUTED_VALUE"""),"3 (Tiga)")</f>
        <v>3 (Tiga)</v>
      </c>
      <c r="M5" s="897" t="str">
        <f>IFERROR(__xludf.DUMMYFUNCTION("""COMPUTED_VALUE"""),"Kp. Cipadali RT/W 002/002, Desa Babakansari, Kecamatan Plered, Kabupaten Purwakarta")</f>
        <v>Kp. Cipadali RT/W 002/002, Desa Babakansari, Kecamatan Plered, Kabupaten Purwakarta</v>
      </c>
      <c r="N5" s="897" t="str">
        <f>IFERROR(__xludf.DUMMYFUNCTION("""COMPUTED_VALUE"""),"-")</f>
        <v>-</v>
      </c>
      <c r="O5" s="897" t="str">
        <f>IFERROR(__xludf.DUMMYFUNCTION("""COMPUTED_VALUE"""),"SMP Negeri 1 Plered")</f>
        <v>SMP Negeri 1 Plered</v>
      </c>
      <c r="P5" s="897" t="str">
        <f>IFERROR(__xludf.DUMMYFUNCTION("""COMPUTED_VALUE"""),"X TO 4")</f>
        <v>X TO 4</v>
      </c>
      <c r="Q5" s="897" t="str">
        <f>IFERROR(__xludf.DUMMYFUNCTION("""COMPUTED_VALUE"""),"14 Juli 2025")</f>
        <v>14 Juli 2025</v>
      </c>
      <c r="R5" s="897" t="str">
        <f>IFERROR(__xludf.DUMMYFUNCTION("""COMPUTED_VALUE"""),"Agus Rohayadi")</f>
        <v>Agus Rohayadi</v>
      </c>
      <c r="S5" s="897" t="str">
        <f>IFERROR(__xludf.DUMMYFUNCTION("""COMPUTED_VALUE"""),"Yayu Rahayu")</f>
        <v>Yayu Rahayu</v>
      </c>
      <c r="T5" s="897" t="str">
        <f>IFERROR(__xludf.DUMMYFUNCTION("""COMPUTED_VALUE"""),"Kp. Cipadali RT/W 002/002, Desa Babakansari, Kecamatan Plered, Kabupaten Purwakarta")</f>
        <v>Kp. Cipadali RT/W 002/002, Desa Babakansari, Kecamatan Plered, Kabupaten Purwakarta</v>
      </c>
      <c r="U5" s="897" t="str">
        <f>IFERROR(__xludf.DUMMYFUNCTION("""COMPUTED_VALUE"""),"-")</f>
        <v>-</v>
      </c>
      <c r="V5" s="897" t="str">
        <f>IFERROR(__xludf.DUMMYFUNCTION("""COMPUTED_VALUE"""),"Pedagang")</f>
        <v>Pedagang</v>
      </c>
      <c r="W5" s="897" t="str">
        <f>IFERROR(__xludf.DUMMYFUNCTION("""COMPUTED_VALUE"""),"Rumah Tangga")</f>
        <v>Rumah Tangga</v>
      </c>
      <c r="X5" s="897" t="str">
        <f>IFERROR(__xludf.DUMMYFUNCTION("""COMPUTED_VALUE"""),"-")</f>
        <v>-</v>
      </c>
      <c r="Y5" s="897" t="str">
        <f>IFERROR(__xludf.DUMMYFUNCTION("""COMPUTED_VALUE"""),"-")</f>
        <v>-</v>
      </c>
      <c r="Z5" s="897" t="str">
        <f>IFERROR(__xludf.DUMMYFUNCTION("""COMPUTED_VALUE"""),"-")</f>
        <v>-</v>
      </c>
      <c r="AA5" s="897"/>
      <c r="AB5" s="897" t="str">
        <f>IFERROR(__xludf.DUMMYFUNCTION("""COMPUTED_VALUE"""),"20229659")</f>
        <v>20229659</v>
      </c>
      <c r="AC5" s="897"/>
      <c r="AD5" s="897" t="str">
        <f>IFERROR(__xludf.DUMMYFUNCTION("""COMPUTED_VALUE"""),"/appsheet/data/InputBiodataRaportX-3328125/FilePDF/AHMAD YOPI JUMAEDI-37bd6651.PDF")</f>
        <v>/appsheet/data/InputBiodataRaportX-3328125/FilePDF/AHMAD YOPI JUMAEDI-37bd6651.PDF</v>
      </c>
      <c r="AE5" s="897" t="str">
        <f>IFERROR(__xludf.DUMMYFUNCTION("""COMPUTED_VALUE"""),"2025 2026")</f>
        <v>2025 2026</v>
      </c>
      <c r="AF5" s="897" t="str">
        <f>IFERROR(__xludf.DUMMYFUNCTION("""COMPUTED_VALUE"""),"Purwakarta, 22 Desember 2025")</f>
        <v>Purwakarta, 22 Desember 2025</v>
      </c>
      <c r="AG5" s="897" t="str">
        <f>IFERROR(__xludf.DUMMYFUNCTION("""COMPUTED_VALUE"""),"X TO 4")</f>
        <v>X TO 4</v>
      </c>
      <c r="AH5" s="897" t="str">
        <f>IFERROR(__xludf.DUMMYFUNCTION("""COMPUTED_VALUE"""),"XI TSM 2")</f>
        <v>XI TSM 2</v>
      </c>
      <c r="AI5" s="897" t="str">
        <f>IFERROR(__xludf.DUMMYFUNCTION("""COMPUTED_VALUE"""),"XII TSM 2")</f>
        <v>XII TSM 2</v>
      </c>
      <c r="AJ5" s="899" t="str">
        <f>IFERROR(__xludf.DUMMYFUNCTION("""COMPUTED_VALUE"""),"XIII TSM 2")</f>
        <v>XIII TSM 2</v>
      </c>
      <c r="AK5" s="884"/>
      <c r="AL5" s="901" t="str">
        <f>IFERROR(__xludf.DUMMYFUNCTION("""COMPUTED_VALUE"""),"X TE 2")</f>
        <v>X TE 2</v>
      </c>
      <c r="AM5" s="902" t="str">
        <f>IFERROR(__xludf.DUMMYFUNCTION("""COMPUTED_VALUE"""),"Teknik Otomasi Industri")</f>
        <v>Teknik Otomasi Industri</v>
      </c>
      <c r="AN5" s="903" t="str">
        <f>IFERROR(__xludf.DUMMYFUNCTION("""COMPUTED_VALUE"""),"Teknik Elektronika")</f>
        <v>Teknik Elektronika</v>
      </c>
      <c r="AO5" s="904" t="str">
        <f>IFERROR(__xludf.DUMMYFUNCTION("""COMPUTED_VALUE"""),"Teknologi Manufaktur dan Rekayasa")</f>
        <v>Teknologi Manufaktur dan Rekayasa</v>
      </c>
      <c r="AP5" s="905" t="str">
        <f>IFERROR(__xludf.DUMMYFUNCTION("""COMPUTED_VALUE"""),"https://script.google.com/macros/s/AKfycbzUFHZdLgTRIDENHsTS8AUOl9YpzAmMFmnbl1aYLfjvdsGC0g6dryzpOQIRCc6arBe0qg/exec")</f>
        <v>https://script.google.com/macros/s/AKfycbzUFHZdLgTRIDENHsTS8AUOl9YpzAmMFmnbl1aYLfjvdsGC0g6dryzpOQIRCc6arBe0qg/exec</v>
      </c>
      <c r="AQ5" s="906" t="str">
        <f>IFERROR(__xludf.DUMMYFUNCTION("""COMPUTED_VALUE"""),"2023 / 2024")</f>
        <v>2023 / 2024</v>
      </c>
      <c r="AR5" s="907" t="str">
        <f>IFERROR(__xludf.DUMMYFUNCTION("""COMPUTED_VALUE"""),"X TE 2")</f>
        <v>X TE 2</v>
      </c>
      <c r="AS5" s="908" t="str">
        <f>IFERROR(__xludf.DUMMYFUNCTION("""COMPUTED_VALUE"""),"ASEP SYAEFUDIN, S.H.")</f>
        <v>ASEP SYAEFUDIN, S.H.</v>
      </c>
      <c r="AT5" s="909" t="str">
        <f>IFERROR(__xludf.DUMMYFUNCTION("""COMPUTED_VALUE"""),"NIP. 196904092022211002")</f>
        <v>NIP. 196904092022211002</v>
      </c>
      <c r="AU5" s="2"/>
      <c r="AV5" s="894" t="str">
        <f>IFERROR(__xludf.DUMMYFUNCTION("""COMPUTED_VALUE"""),"NIP Kepsek")</f>
        <v>NIP Kepsek</v>
      </c>
      <c r="AW5" s="895" t="str">
        <f>IFERROR(__xludf.DUMMYFUNCTION("""COMPUTED_VALUE"""),":")</f>
        <v>:</v>
      </c>
      <c r="AX5" s="894" t="str">
        <f>IFERROR(__xludf.DUMMYFUNCTION("""COMPUTED_VALUE"""),"NIP. 197111022008011001")</f>
        <v>NIP. 197111022008011001</v>
      </c>
      <c r="AY5" s="896"/>
      <c r="AZ5" s="2"/>
    </row>
    <row r="6" ht="14.25" customHeight="1">
      <c r="A6" s="876">
        <f>IFERROR(__xludf.DUMMYFUNCTION("""COMPUTED_VALUE"""),1731.0)</f>
        <v>1731</v>
      </c>
      <c r="B6" s="876">
        <f>IFERROR(__xludf.DUMMYFUNCTION("""COMPUTED_VALUE"""),3.0)</f>
        <v>3</v>
      </c>
      <c r="C6" s="876" t="str">
        <f>IFERROR(__xludf.DUMMYFUNCTION("""COMPUTED_VALUE"""),"2526100416")</f>
        <v>2526100416</v>
      </c>
      <c r="D6" s="877" t="str">
        <f>IFERROR(__xludf.DUMMYFUNCTION("""COMPUTED_VALUE"""),"0095885037")</f>
        <v>0095885037</v>
      </c>
      <c r="E6" s="878" t="str">
        <f>IFERROR(__xludf.DUMMYFUNCTION("""COMPUTED_VALUE"""),"ALGI FALGIAN")</f>
        <v>ALGI FALGIAN</v>
      </c>
      <c r="F6" s="879" t="str">
        <f>IFERROR(__xludf.DUMMYFUNCTION("""COMPUTED_VALUE"""),"X TO 4")</f>
        <v>X TO 4</v>
      </c>
      <c r="G6" s="897" t="str">
        <f>IFERROR(__xludf.DUMMYFUNCTION("""COMPUTED_VALUE"""),"Purwakarta")</f>
        <v>Purwakarta</v>
      </c>
      <c r="H6" s="898">
        <f>IFERROR(__xludf.DUMMYFUNCTION("""COMPUTED_VALUE"""),40096.0)</f>
        <v>40096</v>
      </c>
      <c r="I6" s="897" t="str">
        <f>IFERROR(__xludf.DUMMYFUNCTION("""COMPUTED_VALUE"""),"Laki-Laki")</f>
        <v>Laki-Laki</v>
      </c>
      <c r="J6" s="897" t="str">
        <f>IFERROR(__xludf.DUMMYFUNCTION("""COMPUTED_VALUE"""),"Islam")</f>
        <v>Islam</v>
      </c>
      <c r="K6" s="897" t="str">
        <f>IFERROR(__xludf.DUMMYFUNCTION("""COMPUTED_VALUE"""),"Anak Kandung")</f>
        <v>Anak Kandung</v>
      </c>
      <c r="L6" s="897" t="str">
        <f>IFERROR(__xludf.DUMMYFUNCTION("""COMPUTED_VALUE"""),"1 (Satu)")</f>
        <v>1 (Satu)</v>
      </c>
      <c r="M6" s="897" t="str">
        <f>IFERROR(__xludf.DUMMYFUNCTION("""COMPUTED_VALUE"""),"Kp. Babakan Jati RT/RW 014/007 Desa Cibogohilir Kec. Plered Kab. Purwakarta")</f>
        <v>Kp. Babakan Jati RT/RW 014/007 Desa Cibogohilir Kec. Plered Kab. Purwakarta</v>
      </c>
      <c r="N6" s="897" t="str">
        <f>IFERROR(__xludf.DUMMYFUNCTION("""COMPUTED_VALUE"""),"-")</f>
        <v>-</v>
      </c>
      <c r="O6" s="897" t="str">
        <f>IFERROR(__xludf.DUMMYFUNCTION("""COMPUTED_VALUE"""),"SMP Negeri 2 Plered")</f>
        <v>SMP Negeri 2 Plered</v>
      </c>
      <c r="P6" s="897" t="str">
        <f>IFERROR(__xludf.DUMMYFUNCTION("""COMPUTED_VALUE"""),"X TO 4")</f>
        <v>X TO 4</v>
      </c>
      <c r="Q6" s="897" t="str">
        <f>IFERROR(__xludf.DUMMYFUNCTION("""COMPUTED_VALUE"""),"14 Juli 2025")</f>
        <v>14 Juli 2025</v>
      </c>
      <c r="R6" s="897" t="str">
        <f>IFERROR(__xludf.DUMMYFUNCTION("""COMPUTED_VALUE"""),"Ganda")</f>
        <v>Ganda</v>
      </c>
      <c r="S6" s="897" t="str">
        <f>IFERROR(__xludf.DUMMYFUNCTION("""COMPUTED_VALUE"""),"Juariah")</f>
        <v>Juariah</v>
      </c>
      <c r="T6" s="897" t="str">
        <f>IFERROR(__xludf.DUMMYFUNCTION("""COMPUTED_VALUE"""),"Kp. Babakan Jati RT 014/007 Desa Cibogohilir Kec. Plered Kab. Purwakarta")</f>
        <v>Kp. Babakan Jati RT 014/007 Desa Cibogohilir Kec. Plered Kab. Purwakarta</v>
      </c>
      <c r="U6" s="897" t="str">
        <f>IFERROR(__xludf.DUMMYFUNCTION("""COMPUTED_VALUE"""),"-")</f>
        <v>-</v>
      </c>
      <c r="V6" s="897" t="str">
        <f>IFERROR(__xludf.DUMMYFUNCTION("""COMPUTED_VALUE"""),"Buruh")</f>
        <v>Buruh</v>
      </c>
      <c r="W6" s="897" t="str">
        <f>IFERROR(__xludf.DUMMYFUNCTION("""COMPUTED_VALUE"""),"Rumah Tangga")</f>
        <v>Rumah Tangga</v>
      </c>
      <c r="X6" s="897" t="str">
        <f>IFERROR(__xludf.DUMMYFUNCTION("""COMPUTED_VALUE"""),"-")</f>
        <v>-</v>
      </c>
      <c r="Y6" s="897" t="str">
        <f>IFERROR(__xludf.DUMMYFUNCTION("""COMPUTED_VALUE"""),"-")</f>
        <v>-</v>
      </c>
      <c r="Z6" s="897" t="str">
        <f>IFERROR(__xludf.DUMMYFUNCTION("""COMPUTED_VALUE"""),"-")</f>
        <v>-</v>
      </c>
      <c r="AA6" s="897"/>
      <c r="AB6" s="897" t="str">
        <f>IFERROR(__xludf.DUMMYFUNCTION("""COMPUTED_VALUE"""),"20229659")</f>
        <v>20229659</v>
      </c>
      <c r="AC6" s="897"/>
      <c r="AD6" s="897" t="str">
        <f>IFERROR(__xludf.DUMMYFUNCTION("""COMPUTED_VALUE"""),"/appsheet/data/InputBiodataRaportX-3328125/FilePDF/ALGI FALGIAN-0cef3d3a.PDF")</f>
        <v>/appsheet/data/InputBiodataRaportX-3328125/FilePDF/ALGI FALGIAN-0cef3d3a.PDF</v>
      </c>
      <c r="AE6" s="897" t="str">
        <f>IFERROR(__xludf.DUMMYFUNCTION("""COMPUTED_VALUE"""),"2025 2026")</f>
        <v>2025 2026</v>
      </c>
      <c r="AF6" s="897" t="str">
        <f>IFERROR(__xludf.DUMMYFUNCTION("""COMPUTED_VALUE"""),"Purwakarta, 22 Desember 2025")</f>
        <v>Purwakarta, 22 Desember 2025</v>
      </c>
      <c r="AG6" s="897" t="str">
        <f>IFERROR(__xludf.DUMMYFUNCTION("""COMPUTED_VALUE"""),"X TO 4")</f>
        <v>X TO 4</v>
      </c>
      <c r="AH6" s="897" t="str">
        <f>IFERROR(__xludf.DUMMYFUNCTION("""COMPUTED_VALUE"""),"XI TSM 2")</f>
        <v>XI TSM 2</v>
      </c>
      <c r="AI6" s="897" t="str">
        <f>IFERROR(__xludf.DUMMYFUNCTION("""COMPUTED_VALUE"""),"XII TSM 2")</f>
        <v>XII TSM 2</v>
      </c>
      <c r="AJ6" s="899" t="str">
        <f>IFERROR(__xludf.DUMMYFUNCTION("""COMPUTED_VALUE"""),"XIII TSM 2")</f>
        <v>XIII TSM 2</v>
      </c>
      <c r="AK6" s="884"/>
      <c r="AL6" s="901" t="str">
        <f>IFERROR(__xludf.DUMMYFUNCTION("""COMPUTED_VALUE"""),"X TE 3")</f>
        <v>X TE 3</v>
      </c>
      <c r="AM6" s="902" t="str">
        <f>IFERROR(__xludf.DUMMYFUNCTION("""COMPUTED_VALUE"""),"Teknik Audio Video")</f>
        <v>Teknik Audio Video</v>
      </c>
      <c r="AN6" s="903" t="str">
        <f>IFERROR(__xludf.DUMMYFUNCTION("""COMPUTED_VALUE"""),"Teknik Elektronika")</f>
        <v>Teknik Elektronika</v>
      </c>
      <c r="AO6" s="904" t="str">
        <f>IFERROR(__xludf.DUMMYFUNCTION("""COMPUTED_VALUE"""),"Teknologi Manufaktur dan Rekayasa")</f>
        <v>Teknologi Manufaktur dan Rekayasa</v>
      </c>
      <c r="AP6" s="905" t="str">
        <f>IFERROR(__xludf.DUMMYFUNCTION("""COMPUTED_VALUE"""),"https://script.google.com/macros/s/AKfycbyraBUKJN6JghSRcHlYIuv2UdH-ID6zrRmZlyTMMzxzVvulWY9aJx1QNxEFXCJ-JY6K/exec")</f>
        <v>https://script.google.com/macros/s/AKfycbyraBUKJN6JghSRcHlYIuv2UdH-ID6zrRmZlyTMMzxzVvulWY9aJx1QNxEFXCJ-JY6K/exec</v>
      </c>
      <c r="AQ6" s="906" t="str">
        <f>IFERROR(__xludf.DUMMYFUNCTION("""COMPUTED_VALUE"""),"2024 / 2025")</f>
        <v>2024 / 2025</v>
      </c>
      <c r="AR6" s="907" t="str">
        <f>IFERROR(__xludf.DUMMYFUNCTION("""COMPUTED_VALUE"""),"X TE 3")</f>
        <v>X TE 3</v>
      </c>
      <c r="AS6" s="908" t="str">
        <f>IFERROR(__xludf.DUMMYFUNCTION("""COMPUTED_VALUE"""),"YULI ANISA FATRIA, S.Pd.")</f>
        <v>YULI ANISA FATRIA, S.Pd.</v>
      </c>
      <c r="AT6" s="911" t="str">
        <f>IFERROR(__xludf.DUMMYFUNCTION("""COMPUTED_VALUE"""),"NIP. 197712182022212008")</f>
        <v>NIP. 197712182022212008</v>
      </c>
      <c r="AU6" s="2"/>
      <c r="AV6" s="894" t="str">
        <f>IFERROR(__xludf.DUMMYFUNCTION("""COMPUTED_VALUE"""),"Tgl. Titimangsa Ganjil")</f>
        <v>Tgl. Titimangsa Ganjil</v>
      </c>
      <c r="AW6" s="895" t="str">
        <f>IFERROR(__xludf.DUMMYFUNCTION("""COMPUTED_VALUE"""),":")</f>
        <v>:</v>
      </c>
      <c r="AX6" s="894" t="str">
        <f>IFERROR(__xludf.DUMMYFUNCTION("""COMPUTED_VALUE"""),"Purwakarta, 22 Desember 2025")</f>
        <v>Purwakarta, 22 Desember 2025</v>
      </c>
      <c r="AY6" s="896" t="str">
        <f>IFERROR(__xludf.DUMMYFUNCTION("""COMPUTED_VALUE"""),"Ganjil")</f>
        <v>Ganjil</v>
      </c>
      <c r="AZ6" s="2"/>
    </row>
    <row r="7" ht="14.25" customHeight="1">
      <c r="A7" s="876">
        <f>IFERROR(__xludf.DUMMYFUNCTION("""COMPUTED_VALUE"""),1732.0)</f>
        <v>1732</v>
      </c>
      <c r="B7" s="876">
        <f>IFERROR(__xludf.DUMMYFUNCTION("""COMPUTED_VALUE"""),4.0)</f>
        <v>4</v>
      </c>
      <c r="C7" s="876" t="str">
        <f>IFERROR(__xludf.DUMMYFUNCTION("""COMPUTED_VALUE"""),"2526100417")</f>
        <v>2526100417</v>
      </c>
      <c r="D7" s="877" t="str">
        <f>IFERROR(__xludf.DUMMYFUNCTION("""COMPUTED_VALUE"""),"0095141993")</f>
        <v>0095141993</v>
      </c>
      <c r="E7" s="878" t="str">
        <f>IFERROR(__xludf.DUMMYFUNCTION("""COMPUTED_VALUE"""),"ALI PERMANA")</f>
        <v>ALI PERMANA</v>
      </c>
      <c r="F7" s="879" t="str">
        <f>IFERROR(__xludf.DUMMYFUNCTION("""COMPUTED_VALUE"""),"X TO 4")</f>
        <v>X TO 4</v>
      </c>
      <c r="G7" s="897"/>
      <c r="H7" s="898"/>
      <c r="I7" s="897"/>
      <c r="J7" s="897"/>
      <c r="K7" s="897"/>
      <c r="L7" s="897"/>
      <c r="M7" s="897"/>
      <c r="N7" s="897"/>
      <c r="O7" s="897"/>
      <c r="P7" s="897"/>
      <c r="Q7" s="897" t="str">
        <f>IFERROR(__xludf.DUMMYFUNCTION("""COMPUTED_VALUE"""),"14 Juli 2025")</f>
        <v>14 Juli 2025</v>
      </c>
      <c r="R7" s="897"/>
      <c r="S7" s="897"/>
      <c r="T7" s="897"/>
      <c r="U7" s="897"/>
      <c r="V7" s="897"/>
      <c r="W7" s="897"/>
      <c r="X7" s="897"/>
      <c r="Y7" s="897"/>
      <c r="Z7" s="897"/>
      <c r="AA7" s="897"/>
      <c r="AB7" s="897"/>
      <c r="AC7" s="897"/>
      <c r="AD7" s="897"/>
      <c r="AE7" s="897" t="str">
        <f>IFERROR(__xludf.DUMMYFUNCTION("""COMPUTED_VALUE"""),"2025 2026")</f>
        <v>2025 2026</v>
      </c>
      <c r="AF7" s="897" t="str">
        <f>IFERROR(__xludf.DUMMYFUNCTION("""COMPUTED_VALUE"""),"Purwakarta, 22 Desember 2025")</f>
        <v>Purwakarta, 22 Desember 2025</v>
      </c>
      <c r="AG7" s="897" t="str">
        <f>IFERROR(__xludf.DUMMYFUNCTION("""COMPUTED_VALUE"""),"X TO 4")</f>
        <v>X TO 4</v>
      </c>
      <c r="AH7" s="897" t="str">
        <f>IFERROR(__xludf.DUMMYFUNCTION("""COMPUTED_VALUE"""),"XI TSM 2")</f>
        <v>XI TSM 2</v>
      </c>
      <c r="AI7" s="897" t="str">
        <f>IFERROR(__xludf.DUMMYFUNCTION("""COMPUTED_VALUE"""),"XII TSM 2")</f>
        <v>XII TSM 2</v>
      </c>
      <c r="AJ7" s="899" t="str">
        <f>IFERROR(__xludf.DUMMYFUNCTION("""COMPUTED_VALUE"""),"XIII TSM 2")</f>
        <v>XIII TSM 2</v>
      </c>
      <c r="AK7" s="884"/>
      <c r="AL7" s="901" t="str">
        <f>IFERROR(__xludf.DUMMYFUNCTION("""COMPUTED_VALUE"""),"X TE 4")</f>
        <v>X TE 4</v>
      </c>
      <c r="AM7" s="902" t="str">
        <f>IFERROR(__xludf.DUMMYFUNCTION("""COMPUTED_VALUE"""),"Teknik Audio Video")</f>
        <v>Teknik Audio Video</v>
      </c>
      <c r="AN7" s="903" t="str">
        <f>IFERROR(__xludf.DUMMYFUNCTION("""COMPUTED_VALUE"""),"Teknik Elektronika")</f>
        <v>Teknik Elektronika</v>
      </c>
      <c r="AO7" s="904" t="str">
        <f>IFERROR(__xludf.DUMMYFUNCTION("""COMPUTED_VALUE"""),"Teknologi Manufaktur dan Rekayasa")</f>
        <v>Teknologi Manufaktur dan Rekayasa</v>
      </c>
      <c r="AP7" s="905" t="str">
        <f>IFERROR(__xludf.DUMMYFUNCTION("""COMPUTED_VALUE"""),"https://script.google.com/macros/s/AKfycbwdL0R1GSaxcCu2AqHf3vJhNpyNWqTPBsAOSNWu75YMs33aITZvDQVdQiJhjdmw5HdSFA/exec")</f>
        <v>https://script.google.com/macros/s/AKfycbwdL0R1GSaxcCu2AqHf3vJhNpyNWqTPBsAOSNWu75YMs33aITZvDQVdQiJhjdmw5HdSFA/exec</v>
      </c>
      <c r="AQ7" s="913" t="str">
        <f>IFERROR(__xludf.DUMMYFUNCTION("""COMPUTED_VALUE"""),"2025 / 2026")</f>
        <v>2025 / 2026</v>
      </c>
      <c r="AR7" s="907" t="str">
        <f>IFERROR(__xludf.DUMMYFUNCTION("""COMPUTED_VALUE"""),"X TE 4")</f>
        <v>X TE 4</v>
      </c>
      <c r="AS7" s="908" t="str">
        <f>IFERROR(__xludf.DUMMYFUNCTION("""COMPUTED_VALUE"""),"ASMA KHUSNAWATI, S.Pd.")</f>
        <v>ASMA KHUSNAWATI, S.Pd.</v>
      </c>
      <c r="AT7" s="909" t="str">
        <f>IFERROR(__xludf.DUMMYFUNCTION("""COMPUTED_VALUE"""),"NIP. 198204162025212063")</f>
        <v>NIP. 198204162025212063</v>
      </c>
      <c r="AU7" s="2"/>
      <c r="AV7" s="894" t="str">
        <f>IFERROR(__xludf.DUMMYFUNCTION("""COMPUTED_VALUE"""),"Tgl. Titimangsa Genap")</f>
        <v>Tgl. Titimangsa Genap</v>
      </c>
      <c r="AW7" s="895" t="str">
        <f>IFERROR(__xludf.DUMMYFUNCTION("""COMPUTED_VALUE"""),":")</f>
        <v>:</v>
      </c>
      <c r="AX7" s="894" t="str">
        <f>IFERROR(__xludf.DUMMYFUNCTION("""COMPUTED_VALUE"""),"Purwakarta, 24 Juni 2026")</f>
        <v>Purwakarta, 24 Juni 2026</v>
      </c>
      <c r="AY7" s="896" t="str">
        <f>IFERROR(__xludf.DUMMYFUNCTION("""COMPUTED_VALUE"""),"Genap")</f>
        <v>Genap</v>
      </c>
      <c r="AZ7" s="2"/>
    </row>
    <row r="8" ht="14.25" customHeight="1">
      <c r="A8" s="876">
        <f>IFERROR(__xludf.DUMMYFUNCTION("""COMPUTED_VALUE"""),1733.0)</f>
        <v>1733</v>
      </c>
      <c r="B8" s="876">
        <f>IFERROR(__xludf.DUMMYFUNCTION("""COMPUTED_VALUE"""),5.0)</f>
        <v>5</v>
      </c>
      <c r="C8" s="876" t="str">
        <f>IFERROR(__xludf.DUMMYFUNCTION("""COMPUTED_VALUE"""),"2526100418")</f>
        <v>2526100418</v>
      </c>
      <c r="D8" s="877" t="str">
        <f>IFERROR(__xludf.DUMMYFUNCTION("""COMPUTED_VALUE"""),"0107198266")</f>
        <v>0107198266</v>
      </c>
      <c r="E8" s="878" t="str">
        <f>IFERROR(__xludf.DUMMYFUNCTION("""COMPUTED_VALUE"""),"AZRIL EKA NUGRAHA")</f>
        <v>AZRIL EKA NUGRAHA</v>
      </c>
      <c r="F8" s="879" t="str">
        <f>IFERROR(__xludf.DUMMYFUNCTION("""COMPUTED_VALUE"""),"X TO 4")</f>
        <v>X TO 4</v>
      </c>
      <c r="G8" s="897" t="str">
        <f>IFERROR(__xludf.DUMMYFUNCTION("""COMPUTED_VALUE"""),"Purwakarta")</f>
        <v>Purwakarta</v>
      </c>
      <c r="H8" s="898">
        <f>IFERROR(__xludf.DUMMYFUNCTION("""COMPUTED_VALUE"""),40179.0)</f>
        <v>40179</v>
      </c>
      <c r="I8" s="897" t="str">
        <f>IFERROR(__xludf.DUMMYFUNCTION("""COMPUTED_VALUE"""),"Laki-Laki")</f>
        <v>Laki-Laki</v>
      </c>
      <c r="J8" s="897" t="str">
        <f>IFERROR(__xludf.DUMMYFUNCTION("""COMPUTED_VALUE"""),"Islam")</f>
        <v>Islam</v>
      </c>
      <c r="K8" s="897" t="str">
        <f>IFERROR(__xludf.DUMMYFUNCTION("""COMPUTED_VALUE"""),"Anak Kandung")</f>
        <v>Anak Kandung</v>
      </c>
      <c r="L8" s="897" t="str">
        <f>IFERROR(__xludf.DUMMYFUNCTION("""COMPUTED_VALUE"""),"1 (Satu)")</f>
        <v>1 (Satu)</v>
      </c>
      <c r="M8" s="897" t="str">
        <f>IFERROR(__xludf.DUMMYFUNCTION("""COMPUTED_VALUE"""),"Kp. Batutumpang RT/W 001/001 Desa Tegalsari, Kecamatan Tegalwaru")</f>
        <v>Kp. Batutumpang RT/W 001/001 Desa Tegalsari, Kecamatan Tegalwaru</v>
      </c>
      <c r="N8" s="897" t="str">
        <f>IFERROR(__xludf.DUMMYFUNCTION("""COMPUTED_VALUE"""),"-")</f>
        <v>-</v>
      </c>
      <c r="O8" s="897" t="str">
        <f>IFERROR(__xludf.DUMMYFUNCTION("""COMPUTED_VALUE"""),"MTsS Nurul Huda")</f>
        <v>MTsS Nurul Huda</v>
      </c>
      <c r="P8" s="897" t="str">
        <f>IFERROR(__xludf.DUMMYFUNCTION("""COMPUTED_VALUE"""),"X TO 4")</f>
        <v>X TO 4</v>
      </c>
      <c r="Q8" s="897" t="str">
        <f>IFERROR(__xludf.DUMMYFUNCTION("""COMPUTED_VALUE"""),"14 Juli 2025")</f>
        <v>14 Juli 2025</v>
      </c>
      <c r="R8" s="897" t="str">
        <f>IFERROR(__xludf.DUMMYFUNCTION("""COMPUTED_VALUE"""),"Opa Mustopa")</f>
        <v>Opa Mustopa</v>
      </c>
      <c r="S8" s="897" t="str">
        <f>IFERROR(__xludf.DUMMYFUNCTION("""COMPUTED_VALUE"""),"Ade Nani")</f>
        <v>Ade Nani</v>
      </c>
      <c r="T8" s="897" t="str">
        <f>IFERROR(__xludf.DUMMYFUNCTION("""COMPUTED_VALUE"""),"Kp. Batutumpang RT/W 001/001 Desa Tegalsari, Kecamatan Tegalwaru")</f>
        <v>Kp. Batutumpang RT/W 001/001 Desa Tegalsari, Kecamatan Tegalwaru</v>
      </c>
      <c r="U8" s="897" t="str">
        <f>IFERROR(__xludf.DUMMYFUNCTION("""COMPUTED_VALUE"""),"-")</f>
        <v>-</v>
      </c>
      <c r="V8" s="897" t="str">
        <f>IFERROR(__xludf.DUMMYFUNCTION("""COMPUTED_VALUE"""),"Wiraswasta")</f>
        <v>Wiraswasta</v>
      </c>
      <c r="W8" s="897" t="str">
        <f>IFERROR(__xludf.DUMMYFUNCTION("""COMPUTED_VALUE"""),"Rumah Tangga")</f>
        <v>Rumah Tangga</v>
      </c>
      <c r="X8" s="897" t="str">
        <f>IFERROR(__xludf.DUMMYFUNCTION("""COMPUTED_VALUE"""),"-")</f>
        <v>-</v>
      </c>
      <c r="Y8" s="897" t="str">
        <f>IFERROR(__xludf.DUMMYFUNCTION("""COMPUTED_VALUE"""),"-")</f>
        <v>-</v>
      </c>
      <c r="Z8" s="897" t="str">
        <f>IFERROR(__xludf.DUMMYFUNCTION("""COMPUTED_VALUE"""),"-")</f>
        <v>-</v>
      </c>
      <c r="AA8" s="897"/>
      <c r="AB8" s="897" t="str">
        <f>IFERROR(__xludf.DUMMYFUNCTION("""COMPUTED_VALUE"""),"20229659")</f>
        <v>20229659</v>
      </c>
      <c r="AC8" s="897"/>
      <c r="AD8" s="897" t="str">
        <f>IFERROR(__xludf.DUMMYFUNCTION("""COMPUTED_VALUE"""),"/appsheet/data/InputBiodataRaportX-3328125/FilePDF/AZRIL EKA NUGRAHA-1e6df1b7.PDF")</f>
        <v>/appsheet/data/InputBiodataRaportX-3328125/FilePDF/AZRIL EKA NUGRAHA-1e6df1b7.PDF</v>
      </c>
      <c r="AE8" s="897" t="str">
        <f>IFERROR(__xludf.DUMMYFUNCTION("""COMPUTED_VALUE"""),"2025 2026")</f>
        <v>2025 2026</v>
      </c>
      <c r="AF8" s="897" t="str">
        <f>IFERROR(__xludf.DUMMYFUNCTION("""COMPUTED_VALUE"""),"Purwakarta, 22 Desember 2025")</f>
        <v>Purwakarta, 22 Desember 2025</v>
      </c>
      <c r="AG8" s="897" t="str">
        <f>IFERROR(__xludf.DUMMYFUNCTION("""COMPUTED_VALUE"""),"X TO 4")</f>
        <v>X TO 4</v>
      </c>
      <c r="AH8" s="897" t="str">
        <f>IFERROR(__xludf.DUMMYFUNCTION("""COMPUTED_VALUE"""),"XI TSM 2")</f>
        <v>XI TSM 2</v>
      </c>
      <c r="AI8" s="897" t="str">
        <f>IFERROR(__xludf.DUMMYFUNCTION("""COMPUTED_VALUE"""),"XII TSM 2")</f>
        <v>XII TSM 2</v>
      </c>
      <c r="AJ8" s="899" t="str">
        <f>IFERROR(__xludf.DUMMYFUNCTION("""COMPUTED_VALUE"""),"XIII TSM 2")</f>
        <v>XIII TSM 2</v>
      </c>
      <c r="AK8" s="884"/>
      <c r="AL8" s="901" t="str">
        <f>IFERROR(__xludf.DUMMYFUNCTION("""COMPUTED_VALUE"""),"X TM 1")</f>
        <v>X TM 1</v>
      </c>
      <c r="AM8" s="902" t="str">
        <f>IFERROR(__xludf.DUMMYFUNCTION("""COMPUTED_VALUE"""),"Teknik Pemesinan")</f>
        <v>Teknik Pemesinan</v>
      </c>
      <c r="AN8" s="914" t="str">
        <f>IFERROR(__xludf.DUMMYFUNCTION("""COMPUTED_VALUE"""),"Teknik Mesin")</f>
        <v>Teknik Mesin</v>
      </c>
      <c r="AO8" s="915" t="str">
        <f>IFERROR(__xludf.DUMMYFUNCTION("""COMPUTED_VALUE"""),"Teknologi Manufaktur dan Rekayasa")</f>
        <v>Teknologi Manufaktur dan Rekayasa</v>
      </c>
      <c r="AP8" s="916" t="str">
        <f>IFERROR(__xludf.DUMMYFUNCTION("""COMPUTED_VALUE"""),"https://script.google.com/macros/s/AKfycbxkrxZYmB3COvub5lHfOsOkML89kV5HMY5wIMwQxuMeKAz7neKTCTVtmYhzZR3xGpThWA/exec")</f>
        <v>https://script.google.com/macros/s/AKfycbxkrxZYmB3COvub5lHfOsOkML89kV5HMY5wIMwQxuMeKAz7neKTCTVtmYhzZR3xGpThWA/exec</v>
      </c>
      <c r="AQ8" s="913"/>
      <c r="AR8" s="907" t="str">
        <f>IFERROR(__xludf.DUMMYFUNCTION("""COMPUTED_VALUE"""),"X TM 1")</f>
        <v>X TM 1</v>
      </c>
      <c r="AS8" s="908" t="str">
        <f>IFERROR(__xludf.DUMMYFUNCTION("""COMPUTED_VALUE"""),"ASIDAH, S.Pd.")</f>
        <v>ASIDAH, S.Pd.</v>
      </c>
      <c r="AT8" s="911" t="str">
        <f>IFERROR(__xludf.DUMMYFUNCTION("""COMPUTED_VALUE"""),"NIP. 199109062025212133")</f>
        <v>NIP. 199109062025212133</v>
      </c>
      <c r="AU8" s="2"/>
      <c r="AV8" s="842"/>
      <c r="AW8" s="842"/>
      <c r="AX8" s="842"/>
      <c r="AY8" s="2"/>
      <c r="AZ8" s="2"/>
    </row>
    <row r="9" ht="14.25" customHeight="1">
      <c r="A9" s="876">
        <f>IFERROR(__xludf.DUMMYFUNCTION("""COMPUTED_VALUE"""),1734.0)</f>
        <v>1734</v>
      </c>
      <c r="B9" s="876">
        <f>IFERROR(__xludf.DUMMYFUNCTION("""COMPUTED_VALUE"""),6.0)</f>
        <v>6</v>
      </c>
      <c r="C9" s="876" t="str">
        <f>IFERROR(__xludf.DUMMYFUNCTION("""COMPUTED_VALUE"""),"2526100419")</f>
        <v>2526100419</v>
      </c>
      <c r="D9" s="877" t="str">
        <f>IFERROR(__xludf.DUMMYFUNCTION("""COMPUTED_VALUE"""),"0096198310")</f>
        <v>0096198310</v>
      </c>
      <c r="E9" s="878" t="str">
        <f>IFERROR(__xludf.DUMMYFUNCTION("""COMPUTED_VALUE"""),"DIKA MUSTIKA SAPUTRA")</f>
        <v>DIKA MUSTIKA SAPUTRA</v>
      </c>
      <c r="F9" s="879" t="str">
        <f>IFERROR(__xludf.DUMMYFUNCTION("""COMPUTED_VALUE"""),"X TO 4")</f>
        <v>X TO 4</v>
      </c>
      <c r="G9" s="897" t="str">
        <f>IFERROR(__xludf.DUMMYFUNCTION("""COMPUTED_VALUE"""),"Purwakarta")</f>
        <v>Purwakarta</v>
      </c>
      <c r="H9" s="898">
        <f>IFERROR(__xludf.DUMMYFUNCTION("""COMPUTED_VALUE"""),40024.0)</f>
        <v>40024</v>
      </c>
      <c r="I9" s="897" t="str">
        <f>IFERROR(__xludf.DUMMYFUNCTION("""COMPUTED_VALUE"""),"Laki-Laki")</f>
        <v>Laki-Laki</v>
      </c>
      <c r="J9" s="897" t="str">
        <f>IFERROR(__xludf.DUMMYFUNCTION("""COMPUTED_VALUE"""),"Islam")</f>
        <v>Islam</v>
      </c>
      <c r="K9" s="897" t="str">
        <f>IFERROR(__xludf.DUMMYFUNCTION("""COMPUTED_VALUE"""),"Anak Kandung")</f>
        <v>Anak Kandung</v>
      </c>
      <c r="L9" s="897" t="str">
        <f>IFERROR(__xludf.DUMMYFUNCTION("""COMPUTED_VALUE"""),"2 (Dua)")</f>
        <v>2 (Dua)</v>
      </c>
      <c r="M9" s="897" t="str">
        <f>IFERROR(__xludf.DUMMYFUNCTION("""COMPUTED_VALUE"""),"Kp. Sukasari RT/RW 003/002 Desa Cibogohilir Kec. Plered Kab. Purwakarta")</f>
        <v>Kp. Sukasari RT/RW 003/002 Desa Cibogohilir Kec. Plered Kab. Purwakarta</v>
      </c>
      <c r="N9" s="897" t="str">
        <f>IFERROR(__xludf.DUMMYFUNCTION("""COMPUTED_VALUE"""),"-")</f>
        <v>-</v>
      </c>
      <c r="O9" s="897" t="str">
        <f>IFERROR(__xludf.DUMMYFUNCTION("""COMPUTED_VALUE"""),"MTsS As Salam")</f>
        <v>MTsS As Salam</v>
      </c>
      <c r="P9" s="897" t="str">
        <f>IFERROR(__xludf.DUMMYFUNCTION("""COMPUTED_VALUE"""),"X TO 4")</f>
        <v>X TO 4</v>
      </c>
      <c r="Q9" s="897" t="str">
        <f>IFERROR(__xludf.DUMMYFUNCTION("""COMPUTED_VALUE"""),"14 Juli 2025")</f>
        <v>14 Juli 2025</v>
      </c>
      <c r="R9" s="897" t="str">
        <f>IFERROR(__xludf.DUMMYFUNCTION("""COMPUTED_VALUE"""),"Emus Mustopa")</f>
        <v>Emus Mustopa</v>
      </c>
      <c r="S9" s="897" t="str">
        <f>IFERROR(__xludf.DUMMYFUNCTION("""COMPUTED_VALUE"""),"Sari Hartati")</f>
        <v>Sari Hartati</v>
      </c>
      <c r="T9" s="897" t="str">
        <f>IFERROR(__xludf.DUMMYFUNCTION("""COMPUTED_VALUE"""),"Kp. Sukasari RT 003/002 Desa Cibogohilir Kec. Plered Kab. Purwakarta")</f>
        <v>Kp. Sukasari RT 003/002 Desa Cibogohilir Kec. Plered Kab. Purwakarta</v>
      </c>
      <c r="U9" s="897" t="str">
        <f>IFERROR(__xludf.DUMMYFUNCTION("""COMPUTED_VALUE"""),"-")</f>
        <v>-</v>
      </c>
      <c r="V9" s="897" t="str">
        <f>IFERROR(__xludf.DUMMYFUNCTION("""COMPUTED_VALUE"""),"Buruh")</f>
        <v>Buruh</v>
      </c>
      <c r="W9" s="897" t="str">
        <f>IFERROR(__xludf.DUMMYFUNCTION("""COMPUTED_VALUE"""),"Rumah Tangga")</f>
        <v>Rumah Tangga</v>
      </c>
      <c r="X9" s="897" t="str">
        <f>IFERROR(__xludf.DUMMYFUNCTION("""COMPUTED_VALUE"""),"-")</f>
        <v>-</v>
      </c>
      <c r="Y9" s="897" t="str">
        <f>IFERROR(__xludf.DUMMYFUNCTION("""COMPUTED_VALUE"""),"-")</f>
        <v>-</v>
      </c>
      <c r="Z9" s="897" t="str">
        <f>IFERROR(__xludf.DUMMYFUNCTION("""COMPUTED_VALUE"""),"-")</f>
        <v>-</v>
      </c>
      <c r="AA9" s="897"/>
      <c r="AB9" s="897" t="str">
        <f>IFERROR(__xludf.DUMMYFUNCTION("""COMPUTED_VALUE"""),"20229659")</f>
        <v>20229659</v>
      </c>
      <c r="AC9" s="897"/>
      <c r="AD9" s="897" t="str">
        <f>IFERROR(__xludf.DUMMYFUNCTION("""COMPUTED_VALUE"""),"/appsheet/data/InputBiodataRaportX-3328125/FilePDF/DIKA MUSTIKA SAPUTRA-98bec75a.PDF")</f>
        <v>/appsheet/data/InputBiodataRaportX-3328125/FilePDF/DIKA MUSTIKA SAPUTRA-98bec75a.PDF</v>
      </c>
      <c r="AE9" s="897" t="str">
        <f>IFERROR(__xludf.DUMMYFUNCTION("""COMPUTED_VALUE"""),"2025 2026")</f>
        <v>2025 2026</v>
      </c>
      <c r="AF9" s="897" t="str">
        <f>IFERROR(__xludf.DUMMYFUNCTION("""COMPUTED_VALUE"""),"Purwakarta, 22 Desember 2025")</f>
        <v>Purwakarta, 22 Desember 2025</v>
      </c>
      <c r="AG9" s="897" t="str">
        <f>IFERROR(__xludf.DUMMYFUNCTION("""COMPUTED_VALUE"""),"X TO 4")</f>
        <v>X TO 4</v>
      </c>
      <c r="AH9" s="897" t="str">
        <f>IFERROR(__xludf.DUMMYFUNCTION("""COMPUTED_VALUE"""),"XI TSM 2")</f>
        <v>XI TSM 2</v>
      </c>
      <c r="AI9" s="897" t="str">
        <f>IFERROR(__xludf.DUMMYFUNCTION("""COMPUTED_VALUE"""),"XII TSM 2")</f>
        <v>XII TSM 2</v>
      </c>
      <c r="AJ9" s="899" t="str">
        <f>IFERROR(__xludf.DUMMYFUNCTION("""COMPUTED_VALUE"""),"XIII TSM 2")</f>
        <v>XIII TSM 2</v>
      </c>
      <c r="AK9" s="884"/>
      <c r="AL9" s="901" t="str">
        <f>IFERROR(__xludf.DUMMYFUNCTION("""COMPUTED_VALUE"""),"X TM 2")</f>
        <v>X TM 2</v>
      </c>
      <c r="AM9" s="902" t="str">
        <f>IFERROR(__xludf.DUMMYFUNCTION("""COMPUTED_VALUE"""),"Teknik Pemesinan")</f>
        <v>Teknik Pemesinan</v>
      </c>
      <c r="AN9" s="914" t="str">
        <f>IFERROR(__xludf.DUMMYFUNCTION("""COMPUTED_VALUE"""),"Teknik Mesin")</f>
        <v>Teknik Mesin</v>
      </c>
      <c r="AO9" s="915" t="str">
        <f>IFERROR(__xludf.DUMMYFUNCTION("""COMPUTED_VALUE"""),"Teknologi Manufaktur dan Rekayasa")</f>
        <v>Teknologi Manufaktur dan Rekayasa</v>
      </c>
      <c r="AP9" s="916" t="str">
        <f>IFERROR(__xludf.DUMMYFUNCTION("""COMPUTED_VALUE"""),"https://script.google.com/macros/s/AKfycbw49J0iGQloAIgsRtMTUXElhHFcfj74pHbNz7rk06jhoQMzCJSeimltyJF4eATCohrK1A/exec")</f>
        <v>https://script.google.com/macros/s/AKfycbw49J0iGQloAIgsRtMTUXElhHFcfj74pHbNz7rk06jhoQMzCJSeimltyJF4eATCohrK1A/exec</v>
      </c>
      <c r="AQ9" s="913"/>
      <c r="AR9" s="907" t="str">
        <f>IFERROR(__xludf.DUMMYFUNCTION("""COMPUTED_VALUE"""),"X TM 2")</f>
        <v>X TM 2</v>
      </c>
      <c r="AS9" s="908" t="str">
        <f>IFERROR(__xludf.DUMMYFUNCTION("""COMPUTED_VALUE"""),"ARI SUSANTO MARYONO HIDAYAT, S.ST.")</f>
        <v>ARI SUSANTO MARYONO HIDAYAT, S.ST.</v>
      </c>
      <c r="AT9" s="911" t="str">
        <f>IFERROR(__xludf.DUMMYFUNCTION("""COMPUTED_VALUE"""),"NIP. 198202282022211009")</f>
        <v>NIP. 198202282022211009</v>
      </c>
      <c r="AU9" s="2"/>
      <c r="AV9" s="842" t="str">
        <f>IFERROR(__xludf.DUMMYFUNCTION("""COMPUTED_VALUE"""),"Nama Sekolah")</f>
        <v>Nama Sekolah</v>
      </c>
      <c r="AW9" s="920" t="str">
        <f>IFERROR(__xludf.DUMMYFUNCTION("""COMPUTED_VALUE"""),"SMK NEGERI 1 PLERED")</f>
        <v>SMK NEGERI 1 PLERED</v>
      </c>
      <c r="AX9" s="842"/>
      <c r="AY9" s="2"/>
      <c r="AZ9" s="2"/>
    </row>
    <row r="10" ht="14.25" customHeight="1">
      <c r="A10" s="876">
        <f>IFERROR(__xludf.DUMMYFUNCTION("""COMPUTED_VALUE"""),1735.0)</f>
        <v>1735</v>
      </c>
      <c r="B10" s="876">
        <f>IFERROR(__xludf.DUMMYFUNCTION("""COMPUTED_VALUE"""),7.0)</f>
        <v>7</v>
      </c>
      <c r="C10" s="876" t="str">
        <f>IFERROR(__xludf.DUMMYFUNCTION("""COMPUTED_VALUE"""),"2526100420")</f>
        <v>2526100420</v>
      </c>
      <c r="D10" s="877" t="str">
        <f>IFERROR(__xludf.DUMMYFUNCTION("""COMPUTED_VALUE"""),"0092542662")</f>
        <v>0092542662</v>
      </c>
      <c r="E10" s="878" t="str">
        <f>IFERROR(__xludf.DUMMYFUNCTION("""COMPUTED_VALUE"""),"FAWAZ NAUPAL ALFATIR")</f>
        <v>FAWAZ NAUPAL ALFATIR</v>
      </c>
      <c r="F10" s="879" t="str">
        <f>IFERROR(__xludf.DUMMYFUNCTION("""COMPUTED_VALUE"""),"X TO 4")</f>
        <v>X TO 4</v>
      </c>
      <c r="G10" s="897" t="str">
        <f>IFERROR(__xludf.DUMMYFUNCTION("""COMPUTED_VALUE"""),"Purwakarta")</f>
        <v>Purwakarta</v>
      </c>
      <c r="H10" s="898">
        <f>IFERROR(__xludf.DUMMYFUNCTION("""COMPUTED_VALUE"""),39823.0)</f>
        <v>39823</v>
      </c>
      <c r="I10" s="897" t="str">
        <f>IFERROR(__xludf.DUMMYFUNCTION("""COMPUTED_VALUE"""),"Laki-Laki")</f>
        <v>Laki-Laki</v>
      </c>
      <c r="J10" s="897" t="str">
        <f>IFERROR(__xludf.DUMMYFUNCTION("""COMPUTED_VALUE"""),"Islam")</f>
        <v>Islam</v>
      </c>
      <c r="K10" s="897" t="str">
        <f>IFERROR(__xludf.DUMMYFUNCTION("""COMPUTED_VALUE"""),"Anak Kandung")</f>
        <v>Anak Kandung</v>
      </c>
      <c r="L10" s="897" t="str">
        <f>IFERROR(__xludf.DUMMYFUNCTION("""COMPUTED_VALUE"""),"2 (Dua)")</f>
        <v>2 (Dua)</v>
      </c>
      <c r="M10" s="897" t="str">
        <f>IFERROR(__xludf.DUMMYFUNCTION("""COMPUTED_VALUE"""),"Cilipa RT/RW 003/002 Desa Sukasari Kec. Sukasari Kab. Purwakarta")</f>
        <v>Cilipa RT/RW 003/002 Desa Sukasari Kec. Sukasari Kab. Purwakarta</v>
      </c>
      <c r="N10" s="897" t="str">
        <f>IFERROR(__xludf.DUMMYFUNCTION("""COMPUTED_VALUE"""),"-")</f>
        <v>-</v>
      </c>
      <c r="O10" s="897" t="str">
        <f>IFERROR(__xludf.DUMMYFUNCTION("""COMPUTED_VALUE"""),"SMPN 2 Sukasari")</f>
        <v>SMPN 2 Sukasari</v>
      </c>
      <c r="P10" s="897" t="str">
        <f>IFERROR(__xludf.DUMMYFUNCTION("""COMPUTED_VALUE"""),"X TO 4")</f>
        <v>X TO 4</v>
      </c>
      <c r="Q10" s="897" t="str">
        <f>IFERROR(__xludf.DUMMYFUNCTION("""COMPUTED_VALUE"""),"14 Juli 2025")</f>
        <v>14 Juli 2025</v>
      </c>
      <c r="R10" s="897"/>
      <c r="S10" s="897" t="str">
        <f>IFERROR(__xludf.DUMMYFUNCTION("""COMPUTED_VALUE"""),"Nina Nurlaela")</f>
        <v>Nina Nurlaela</v>
      </c>
      <c r="T10" s="897" t="str">
        <f>IFERROR(__xludf.DUMMYFUNCTION("""COMPUTED_VALUE"""),"Cilipa RT 003/002 Desa Sukasari Kec. Sukasari Kab. Purwakarta")</f>
        <v>Cilipa RT 003/002 Desa Sukasari Kec. Sukasari Kab. Purwakarta</v>
      </c>
      <c r="U10" s="897" t="str">
        <f>IFERROR(__xludf.DUMMYFUNCTION("""COMPUTED_VALUE"""),"-")</f>
        <v>-</v>
      </c>
      <c r="V10" s="897"/>
      <c r="W10" s="897" t="str">
        <f>IFERROR(__xludf.DUMMYFUNCTION("""COMPUTED_VALUE"""),"Rumah Tangga")</f>
        <v>Rumah Tangga</v>
      </c>
      <c r="X10" s="897" t="str">
        <f>IFERROR(__xludf.DUMMYFUNCTION("""COMPUTED_VALUE"""),"-")</f>
        <v>-</v>
      </c>
      <c r="Y10" s="897" t="str">
        <f>IFERROR(__xludf.DUMMYFUNCTION("""COMPUTED_VALUE"""),"-")</f>
        <v>-</v>
      </c>
      <c r="Z10" s="897" t="str">
        <f>IFERROR(__xludf.DUMMYFUNCTION("""COMPUTED_VALUE"""),"-")</f>
        <v>-</v>
      </c>
      <c r="AA10" s="897"/>
      <c r="AB10" s="897" t="str">
        <f>IFERROR(__xludf.DUMMYFUNCTION("""COMPUTED_VALUE"""),"20229659")</f>
        <v>20229659</v>
      </c>
      <c r="AC10" s="897"/>
      <c r="AD10" s="897" t="str">
        <f>IFERROR(__xludf.DUMMYFUNCTION("""COMPUTED_VALUE"""),"/appsheet/data/InputBiodataRaportX-3328125/FilePDF/FAWAZ NAUPAL ALFATIR-d3730a69.PDF")</f>
        <v>/appsheet/data/InputBiodataRaportX-3328125/FilePDF/FAWAZ NAUPAL ALFATIR-d3730a69.PDF</v>
      </c>
      <c r="AE10" s="897" t="str">
        <f>IFERROR(__xludf.DUMMYFUNCTION("""COMPUTED_VALUE"""),"2025 2026")</f>
        <v>2025 2026</v>
      </c>
      <c r="AF10" s="897" t="str">
        <f>IFERROR(__xludf.DUMMYFUNCTION("""COMPUTED_VALUE"""),"Purwakarta, 22 Desember 2025")</f>
        <v>Purwakarta, 22 Desember 2025</v>
      </c>
      <c r="AG10" s="897" t="str">
        <f>IFERROR(__xludf.DUMMYFUNCTION("""COMPUTED_VALUE"""),"X TO 4")</f>
        <v>X TO 4</v>
      </c>
      <c r="AH10" s="897" t="str">
        <f>IFERROR(__xludf.DUMMYFUNCTION("""COMPUTED_VALUE"""),"XI TSM 2")</f>
        <v>XI TSM 2</v>
      </c>
      <c r="AI10" s="897" t="str">
        <f>IFERROR(__xludf.DUMMYFUNCTION("""COMPUTED_VALUE"""),"XII TSM 2")</f>
        <v>XII TSM 2</v>
      </c>
      <c r="AJ10" s="899" t="str">
        <f>IFERROR(__xludf.DUMMYFUNCTION("""COMPUTED_VALUE"""),"XIII TSM 2")</f>
        <v>XIII TSM 2</v>
      </c>
      <c r="AK10" s="884"/>
      <c r="AL10" s="901" t="str">
        <f>IFERROR(__xludf.DUMMYFUNCTION("""COMPUTED_VALUE"""),"X TO 1")</f>
        <v>X TO 1</v>
      </c>
      <c r="AM10" s="902" t="str">
        <f>IFERROR(__xludf.DUMMYFUNCTION("""COMPUTED_VALUE"""),"Teknik Kendaraan Ringan")</f>
        <v>Teknik Kendaraan Ringan</v>
      </c>
      <c r="AN10" s="914" t="str">
        <f>IFERROR(__xludf.DUMMYFUNCTION("""COMPUTED_VALUE"""),"Teknik Otomotif")</f>
        <v>Teknik Otomotif</v>
      </c>
      <c r="AO10" s="915" t="str">
        <f>IFERROR(__xludf.DUMMYFUNCTION("""COMPUTED_VALUE"""),"Teknologi Manufaktur dan Rekayasa")</f>
        <v>Teknologi Manufaktur dan Rekayasa</v>
      </c>
      <c r="AP10" s="916" t="str">
        <f>IFERROR(__xludf.DUMMYFUNCTION("""COMPUTED_VALUE"""),"https://script.google.com/macros/s/AKfycby7t-Ga43T-KB6altCyd1OLayLnTdBHugvk6JhPxKuE87glkdC1hIPZFVTnFVeKxek/exec")</f>
        <v>https://script.google.com/macros/s/AKfycby7t-Ga43T-KB6altCyd1OLayLnTdBHugvk6JhPxKuE87glkdC1hIPZFVTnFVeKxek/exec</v>
      </c>
      <c r="AQ10" s="913"/>
      <c r="AR10" s="907" t="str">
        <f>IFERROR(__xludf.DUMMYFUNCTION("""COMPUTED_VALUE"""),"X TO 1")</f>
        <v>X TO 1</v>
      </c>
      <c r="AS10" s="908" t="str">
        <f>IFERROR(__xludf.DUMMYFUNCTION("""COMPUTED_VALUE"""),"SAEPULOH, S.Pd.")</f>
        <v>SAEPULOH, S.Pd.</v>
      </c>
      <c r="AT10" s="911" t="str">
        <f>IFERROR(__xludf.DUMMYFUNCTION("""COMPUTED_VALUE"""),"NIP. 197203182012121002")</f>
        <v>NIP. 197203182012121002</v>
      </c>
      <c r="AU10" s="2"/>
      <c r="AV10" s="842" t="str">
        <f>IFERROR(__xludf.DUMMYFUNCTION("""COMPUTED_VALUE"""),"NPSN")</f>
        <v>NPSN</v>
      </c>
      <c r="AW10" s="920" t="str">
        <f>IFERROR(__xludf.DUMMYFUNCTION("""COMPUTED_VALUE"""),"20229659")</f>
        <v>20229659</v>
      </c>
      <c r="AX10" s="842"/>
      <c r="AY10" s="2"/>
      <c r="AZ10" s="2"/>
    </row>
    <row r="11" ht="14.25" customHeight="1">
      <c r="A11" s="876">
        <f>IFERROR(__xludf.DUMMYFUNCTION("""COMPUTED_VALUE"""),1736.0)</f>
        <v>1736</v>
      </c>
      <c r="B11" s="876">
        <f>IFERROR(__xludf.DUMMYFUNCTION("""COMPUTED_VALUE"""),8.0)</f>
        <v>8</v>
      </c>
      <c r="C11" s="876" t="str">
        <f>IFERROR(__xludf.DUMMYFUNCTION("""COMPUTED_VALUE"""),"2526100421")</f>
        <v>2526100421</v>
      </c>
      <c r="D11" s="877" t="str">
        <f>IFERROR(__xludf.DUMMYFUNCTION("""COMPUTED_VALUE"""),"0107343620")</f>
        <v>0107343620</v>
      </c>
      <c r="E11" s="878" t="str">
        <f>IFERROR(__xludf.DUMMYFUNCTION("""COMPUTED_VALUE"""),"FIKRI AHMAD NAWAWI")</f>
        <v>FIKRI AHMAD NAWAWI</v>
      </c>
      <c r="F11" s="879" t="str">
        <f>IFERROR(__xludf.DUMMYFUNCTION("""COMPUTED_VALUE"""),"X TO 4")</f>
        <v>X TO 4</v>
      </c>
      <c r="G11" s="897" t="str">
        <f>IFERROR(__xludf.DUMMYFUNCTION("""COMPUTED_VALUE"""),"Purwakarta")</f>
        <v>Purwakarta</v>
      </c>
      <c r="H11" s="898">
        <f>IFERROR(__xludf.DUMMYFUNCTION("""COMPUTED_VALUE"""),40233.0)</f>
        <v>40233</v>
      </c>
      <c r="I11" s="897" t="str">
        <f>IFERROR(__xludf.DUMMYFUNCTION("""COMPUTED_VALUE"""),"Laki-Laki")</f>
        <v>Laki-Laki</v>
      </c>
      <c r="J11" s="897" t="str">
        <f>IFERROR(__xludf.DUMMYFUNCTION("""COMPUTED_VALUE"""),"Islam")</f>
        <v>Islam</v>
      </c>
      <c r="K11" s="897" t="str">
        <f>IFERROR(__xludf.DUMMYFUNCTION("""COMPUTED_VALUE"""),"Anak Kandung")</f>
        <v>Anak Kandung</v>
      </c>
      <c r="L11" s="897" t="str">
        <f>IFERROR(__xludf.DUMMYFUNCTION("""COMPUTED_VALUE"""),"3 (Tiga)")</f>
        <v>3 (Tiga)</v>
      </c>
      <c r="M11" s="897" t="str">
        <f>IFERROR(__xludf.DUMMYFUNCTION("""COMPUTED_VALUE"""),"Kp. Pangkalan RT/RW 002/001 Desa Palinggihan Kec. Plered Kab. Purwakarta")</f>
        <v>Kp. Pangkalan RT/RW 002/001 Desa Palinggihan Kec. Plered Kab. Purwakarta</v>
      </c>
      <c r="N11" s="897" t="str">
        <f>IFERROR(__xludf.DUMMYFUNCTION("""COMPUTED_VALUE"""),"-")</f>
        <v>-</v>
      </c>
      <c r="O11" s="897" t="str">
        <f>IFERROR(__xludf.DUMMYFUNCTION("""COMPUTED_VALUE"""),"SMP Negeri 1 Plered")</f>
        <v>SMP Negeri 1 Plered</v>
      </c>
      <c r="P11" s="897" t="str">
        <f>IFERROR(__xludf.DUMMYFUNCTION("""COMPUTED_VALUE"""),"X TO 4")</f>
        <v>X TO 4</v>
      </c>
      <c r="Q11" s="897" t="str">
        <f>IFERROR(__xludf.DUMMYFUNCTION("""COMPUTED_VALUE"""),"14 Juli 2025")</f>
        <v>14 Juli 2025</v>
      </c>
      <c r="R11" s="897" t="str">
        <f>IFERROR(__xludf.DUMMYFUNCTION("""COMPUTED_VALUE"""),"H. Amin Nurdin")</f>
        <v>H. Amin Nurdin</v>
      </c>
      <c r="S11" s="897" t="str">
        <f>IFERROR(__xludf.DUMMYFUNCTION("""COMPUTED_VALUE"""),"Hj. Rosidah")</f>
        <v>Hj. Rosidah</v>
      </c>
      <c r="T11" s="897" t="str">
        <f>IFERROR(__xludf.DUMMYFUNCTION("""COMPUTED_VALUE"""),"Kp. Pangkalan RT 002/001 Desa Palinggihan Kec. Plered Kab. Purwakarta")</f>
        <v>Kp. Pangkalan RT 002/001 Desa Palinggihan Kec. Plered Kab. Purwakarta</v>
      </c>
      <c r="U11" s="897" t="str">
        <f>IFERROR(__xludf.DUMMYFUNCTION("""COMPUTED_VALUE"""),"-")</f>
        <v>-</v>
      </c>
      <c r="V11" s="897" t="str">
        <f>IFERROR(__xludf.DUMMYFUNCTION("""COMPUTED_VALUE"""),"Wiraswasta")</f>
        <v>Wiraswasta</v>
      </c>
      <c r="W11" s="897" t="str">
        <f>IFERROR(__xludf.DUMMYFUNCTION("""COMPUTED_VALUE"""),"Rumah Tangga")</f>
        <v>Rumah Tangga</v>
      </c>
      <c r="X11" s="897" t="str">
        <f>IFERROR(__xludf.DUMMYFUNCTION("""COMPUTED_VALUE"""),"-")</f>
        <v>-</v>
      </c>
      <c r="Y11" s="897" t="str">
        <f>IFERROR(__xludf.DUMMYFUNCTION("""COMPUTED_VALUE"""),"-")</f>
        <v>-</v>
      </c>
      <c r="Z11" s="897" t="str">
        <f>IFERROR(__xludf.DUMMYFUNCTION("""COMPUTED_VALUE"""),"-")</f>
        <v>-</v>
      </c>
      <c r="AA11" s="897"/>
      <c r="AB11" s="897" t="str">
        <f>IFERROR(__xludf.DUMMYFUNCTION("""COMPUTED_VALUE"""),"20229659")</f>
        <v>20229659</v>
      </c>
      <c r="AC11" s="897"/>
      <c r="AD11" s="897" t="str">
        <f>IFERROR(__xludf.DUMMYFUNCTION("""COMPUTED_VALUE"""),"/appsheet/data/InputBiodataRaportX-3328125/FilePDF/FIKRI AHMAD NAWAWI-565aeefb.PDF")</f>
        <v>/appsheet/data/InputBiodataRaportX-3328125/FilePDF/FIKRI AHMAD NAWAWI-565aeefb.PDF</v>
      </c>
      <c r="AE11" s="897" t="str">
        <f>IFERROR(__xludf.DUMMYFUNCTION("""COMPUTED_VALUE"""),"2025 2026")</f>
        <v>2025 2026</v>
      </c>
      <c r="AF11" s="897" t="str">
        <f>IFERROR(__xludf.DUMMYFUNCTION("""COMPUTED_VALUE"""),"Purwakarta, 22 Desember 2025")</f>
        <v>Purwakarta, 22 Desember 2025</v>
      </c>
      <c r="AG11" s="897" t="str">
        <f>IFERROR(__xludf.DUMMYFUNCTION("""COMPUTED_VALUE"""),"X TO 4")</f>
        <v>X TO 4</v>
      </c>
      <c r="AH11" s="897" t="str">
        <f>IFERROR(__xludf.DUMMYFUNCTION("""COMPUTED_VALUE"""),"XI TSM 2")</f>
        <v>XI TSM 2</v>
      </c>
      <c r="AI11" s="897" t="str">
        <f>IFERROR(__xludf.DUMMYFUNCTION("""COMPUTED_VALUE"""),"XII TSM 2")</f>
        <v>XII TSM 2</v>
      </c>
      <c r="AJ11" s="899" t="str">
        <f>IFERROR(__xludf.DUMMYFUNCTION("""COMPUTED_VALUE"""),"XIII TSM 2")</f>
        <v>XIII TSM 2</v>
      </c>
      <c r="AK11" s="884"/>
      <c r="AL11" s="901" t="str">
        <f>IFERROR(__xludf.DUMMYFUNCTION("""COMPUTED_VALUE"""),"X TO 2")</f>
        <v>X TO 2</v>
      </c>
      <c r="AM11" s="902" t="str">
        <f>IFERROR(__xludf.DUMMYFUNCTION("""COMPUTED_VALUE"""),"Teknik Kendaraan Ringan")</f>
        <v>Teknik Kendaraan Ringan</v>
      </c>
      <c r="AN11" s="914" t="str">
        <f>IFERROR(__xludf.DUMMYFUNCTION("""COMPUTED_VALUE"""),"Teknik Otomotif")</f>
        <v>Teknik Otomotif</v>
      </c>
      <c r="AO11" s="915" t="str">
        <f>IFERROR(__xludf.DUMMYFUNCTION("""COMPUTED_VALUE"""),"Teknologi Manufaktur dan Rekayasa")</f>
        <v>Teknologi Manufaktur dan Rekayasa</v>
      </c>
      <c r="AP11" s="916" t="str">
        <f>IFERROR(__xludf.DUMMYFUNCTION("""COMPUTED_VALUE"""),"https://script.google.com/macros/s/AKfycby1h0BMwfniFKFWivKaGT-vXU4WGMpV757EURffKwAg-mQpzkS6JrJtYpuQJcIQrX3r4A/exec")</f>
        <v>https://script.google.com/macros/s/AKfycby1h0BMwfniFKFWivKaGT-vXU4WGMpV757EURffKwAg-mQpzkS6JrJtYpuQJcIQrX3r4A/exec</v>
      </c>
      <c r="AQ11" s="913"/>
      <c r="AR11" s="907" t="str">
        <f>IFERROR(__xludf.DUMMYFUNCTION("""COMPUTED_VALUE"""),"X TO 2")</f>
        <v>X TO 2</v>
      </c>
      <c r="AS11" s="908" t="str">
        <f>IFERROR(__xludf.DUMMYFUNCTION("""COMPUTED_VALUE"""),"GINA LUSIANA WULANDARI, S.Pd.")</f>
        <v>GINA LUSIANA WULANDARI, S.Pd.</v>
      </c>
      <c r="AT11" s="909" t="str">
        <f>IFERROR(__xludf.DUMMYFUNCTION("""COMPUTED_VALUE"""),"NIP. 199411152025212135")</f>
        <v>NIP. 199411152025212135</v>
      </c>
      <c r="AU11" s="2"/>
      <c r="AV11" s="842" t="str">
        <f>IFERROR(__xludf.DUMMYFUNCTION("""COMPUTED_VALUE"""),"NIS/NSS/NDS")</f>
        <v>NIS/NSS/NDS</v>
      </c>
      <c r="AW11" s="920" t="str">
        <f>IFERROR(__xludf.DUMMYFUNCTION("""COMPUTED_VALUE"""),"321020201500")</f>
        <v>321020201500</v>
      </c>
      <c r="AX11" s="842"/>
      <c r="AY11" s="2"/>
      <c r="AZ11" s="2"/>
    </row>
    <row r="12" ht="14.25" customHeight="1">
      <c r="A12" s="876">
        <f>IFERROR(__xludf.DUMMYFUNCTION("""COMPUTED_VALUE"""),1737.0)</f>
        <v>1737</v>
      </c>
      <c r="B12" s="876">
        <f>IFERROR(__xludf.DUMMYFUNCTION("""COMPUTED_VALUE"""),9.0)</f>
        <v>9</v>
      </c>
      <c r="C12" s="876" t="str">
        <f>IFERROR(__xludf.DUMMYFUNCTION("""COMPUTED_VALUE"""),"2526100422")</f>
        <v>2526100422</v>
      </c>
      <c r="D12" s="877" t="str">
        <f>IFERROR(__xludf.DUMMYFUNCTION("""COMPUTED_VALUE"""),"0076614788")</f>
        <v>0076614788</v>
      </c>
      <c r="E12" s="878" t="str">
        <f>IFERROR(__xludf.DUMMYFUNCTION("""COMPUTED_VALUE"""),"HADI NURYADI")</f>
        <v>HADI NURYADI</v>
      </c>
      <c r="F12" s="879" t="str">
        <f>IFERROR(__xludf.DUMMYFUNCTION("""COMPUTED_VALUE"""),"X TO 4")</f>
        <v>X TO 4</v>
      </c>
      <c r="G12" s="897" t="str">
        <f>IFERROR(__xludf.DUMMYFUNCTION("""COMPUTED_VALUE"""),"Purwakarta")</f>
        <v>Purwakarta</v>
      </c>
      <c r="H12" s="898">
        <f>IFERROR(__xludf.DUMMYFUNCTION("""COMPUTED_VALUE"""),40342.0)</f>
        <v>40342</v>
      </c>
      <c r="I12" s="897" t="str">
        <f>IFERROR(__xludf.DUMMYFUNCTION("""COMPUTED_VALUE"""),"Laki-Laki")</f>
        <v>Laki-Laki</v>
      </c>
      <c r="J12" s="897" t="str">
        <f>IFERROR(__xludf.DUMMYFUNCTION("""COMPUTED_VALUE"""),"Islam")</f>
        <v>Islam</v>
      </c>
      <c r="K12" s="897" t="str">
        <f>IFERROR(__xludf.DUMMYFUNCTION("""COMPUTED_VALUE"""),"Anak Kandung")</f>
        <v>Anak Kandung</v>
      </c>
      <c r="L12" s="897" t="str">
        <f>IFERROR(__xludf.DUMMYFUNCTION("""COMPUTED_VALUE"""),"1 (Satu)")</f>
        <v>1 (Satu)</v>
      </c>
      <c r="M12" s="897" t="str">
        <f>IFERROR(__xludf.DUMMYFUNCTION("""COMPUTED_VALUE"""),"Kp. Cikondang RT/W 009/004, Desa Mekarsari, Kecamatan Darangdan, Kabupaten Purwakarta")</f>
        <v>Kp. Cikondang RT/W 009/004, Desa Mekarsari, Kecamatan Darangdan, Kabupaten Purwakarta</v>
      </c>
      <c r="N12" s="897" t="str">
        <f>IFERROR(__xludf.DUMMYFUNCTION("""COMPUTED_VALUE"""),"-")</f>
        <v>-</v>
      </c>
      <c r="O12" s="897" t="str">
        <f>IFERROR(__xludf.DUMMYFUNCTION("""COMPUTED_VALUE"""),"SMP Negeri 2 Darangdan")</f>
        <v>SMP Negeri 2 Darangdan</v>
      </c>
      <c r="P12" s="897" t="str">
        <f>IFERROR(__xludf.DUMMYFUNCTION("""COMPUTED_VALUE"""),"X TO 4")</f>
        <v>X TO 4</v>
      </c>
      <c r="Q12" s="897" t="str">
        <f>IFERROR(__xludf.DUMMYFUNCTION("""COMPUTED_VALUE"""),"14 Juli 2025")</f>
        <v>14 Juli 2025</v>
      </c>
      <c r="R12" s="897" t="str">
        <f>IFERROR(__xludf.DUMMYFUNCTION("""COMPUTED_VALUE"""),"Adih Sutiono")</f>
        <v>Adih Sutiono</v>
      </c>
      <c r="S12" s="897" t="str">
        <f>IFERROR(__xludf.DUMMYFUNCTION("""COMPUTED_VALUE"""),"Lili Jamaliah")</f>
        <v>Lili Jamaliah</v>
      </c>
      <c r="T12" s="897" t="str">
        <f>IFERROR(__xludf.DUMMYFUNCTION("""COMPUTED_VALUE"""),"Kp. Cikondang RT/W 009/004, Desa Mekarsari, Kecamatan Darangdan, Kabupaten Purwakarta")</f>
        <v>Kp. Cikondang RT/W 009/004, Desa Mekarsari, Kecamatan Darangdan, Kabupaten Purwakarta</v>
      </c>
      <c r="U12" s="897" t="str">
        <f>IFERROR(__xludf.DUMMYFUNCTION("""COMPUTED_VALUE"""),"-")</f>
        <v>-</v>
      </c>
      <c r="V12" s="897" t="str">
        <f>IFERROR(__xludf.DUMMYFUNCTION("""COMPUTED_VALUE"""),"Buruh")</f>
        <v>Buruh</v>
      </c>
      <c r="W12" s="897" t="str">
        <f>IFERROR(__xludf.DUMMYFUNCTION("""COMPUTED_VALUE"""),"Rumah Tangga")</f>
        <v>Rumah Tangga</v>
      </c>
      <c r="X12" s="897" t="str">
        <f>IFERROR(__xludf.DUMMYFUNCTION("""COMPUTED_VALUE"""),"-")</f>
        <v>-</v>
      </c>
      <c r="Y12" s="897" t="str">
        <f>IFERROR(__xludf.DUMMYFUNCTION("""COMPUTED_VALUE"""),"-")</f>
        <v>-</v>
      </c>
      <c r="Z12" s="897" t="str">
        <f>IFERROR(__xludf.DUMMYFUNCTION("""COMPUTED_VALUE"""),"-")</f>
        <v>-</v>
      </c>
      <c r="AA12" s="897"/>
      <c r="AB12" s="897" t="str">
        <f>IFERROR(__xludf.DUMMYFUNCTION("""COMPUTED_VALUE"""),"20229659")</f>
        <v>20229659</v>
      </c>
      <c r="AC12" s="897"/>
      <c r="AD12" s="897" t="str">
        <f>IFERROR(__xludf.DUMMYFUNCTION("""COMPUTED_VALUE"""),"/appsheet/data/InputBiodataRaportX-3328125/FilePDF/HADI NURYADI-c3aba1ae.PDF")</f>
        <v>/appsheet/data/InputBiodataRaportX-3328125/FilePDF/HADI NURYADI-c3aba1ae.PDF</v>
      </c>
      <c r="AE12" s="897" t="str">
        <f>IFERROR(__xludf.DUMMYFUNCTION("""COMPUTED_VALUE"""),"2025 2026")</f>
        <v>2025 2026</v>
      </c>
      <c r="AF12" s="897" t="str">
        <f>IFERROR(__xludf.DUMMYFUNCTION("""COMPUTED_VALUE"""),"Purwakarta, 22 Desember 2025")</f>
        <v>Purwakarta, 22 Desember 2025</v>
      </c>
      <c r="AG12" s="897" t="str">
        <f>IFERROR(__xludf.DUMMYFUNCTION("""COMPUTED_VALUE"""),"X TO 4")</f>
        <v>X TO 4</v>
      </c>
      <c r="AH12" s="897" t="str">
        <f>IFERROR(__xludf.DUMMYFUNCTION("""COMPUTED_VALUE"""),"XI TSM 2")</f>
        <v>XI TSM 2</v>
      </c>
      <c r="AI12" s="897" t="str">
        <f>IFERROR(__xludf.DUMMYFUNCTION("""COMPUTED_VALUE"""),"XII TSM 2")</f>
        <v>XII TSM 2</v>
      </c>
      <c r="AJ12" s="899" t="str">
        <f>IFERROR(__xludf.DUMMYFUNCTION("""COMPUTED_VALUE"""),"XIII TSM 2")</f>
        <v>XIII TSM 2</v>
      </c>
      <c r="AK12" s="884"/>
      <c r="AL12" s="901" t="str">
        <f>IFERROR(__xludf.DUMMYFUNCTION("""COMPUTED_VALUE"""),"X TO 3")</f>
        <v>X TO 3</v>
      </c>
      <c r="AM12" s="902" t="str">
        <f>IFERROR(__xludf.DUMMYFUNCTION("""COMPUTED_VALUE"""),"Teknik Sepeda Motor")</f>
        <v>Teknik Sepeda Motor</v>
      </c>
      <c r="AN12" s="914" t="str">
        <f>IFERROR(__xludf.DUMMYFUNCTION("""COMPUTED_VALUE"""),"Teknik Otomotif")</f>
        <v>Teknik Otomotif</v>
      </c>
      <c r="AO12" s="915" t="str">
        <f>IFERROR(__xludf.DUMMYFUNCTION("""COMPUTED_VALUE"""),"Teknologi Manufaktur dan Rekayasa")</f>
        <v>Teknologi Manufaktur dan Rekayasa</v>
      </c>
      <c r="AP12" s="916" t="str">
        <f>IFERROR(__xludf.DUMMYFUNCTION("""COMPUTED_VALUE"""),"https://script.google.com/macros/s/AKfycbw6qAmRvS1X0-5IcFlhyO5zSWykIzHKr6lngUTzH_bVSlhAdd17csVazRzrj4keayU1/exec")</f>
        <v>https://script.google.com/macros/s/AKfycbw6qAmRvS1X0-5IcFlhyO5zSWykIzHKr6lngUTzH_bVSlhAdd17csVazRzrj4keayU1/exec</v>
      </c>
      <c r="AQ12" s="913"/>
      <c r="AR12" s="907" t="str">
        <f>IFERROR(__xludf.DUMMYFUNCTION("""COMPUTED_VALUE"""),"X TO 3")</f>
        <v>X TO 3</v>
      </c>
      <c r="AS12" s="908" t="str">
        <f>IFERROR(__xludf.DUMMYFUNCTION("""COMPUTED_VALUE"""),"ERWIN BEGASI BUDI SAMPURNO, S.T.")</f>
        <v>ERWIN BEGASI BUDI SAMPURNO, S.T.</v>
      </c>
      <c r="AT12" s="909" t="str">
        <f>IFERROR(__xludf.DUMMYFUNCTION("""COMPUTED_VALUE"""),"NIP. 198107112022211006")</f>
        <v>NIP. 198107112022211006</v>
      </c>
      <c r="AU12" s="2"/>
      <c r="AV12" s="842" t="str">
        <f>IFERROR(__xludf.DUMMYFUNCTION("""COMPUTED_VALUE"""),"Alamat Sekolah Baris 1")</f>
        <v>Alamat Sekolah Baris 1</v>
      </c>
      <c r="AW12" s="920" t="str">
        <f>IFERROR(__xludf.DUMMYFUNCTION("""COMPUTED_VALUE"""),"Jl. Rawasari, Kec. Plered - Purwakarta")</f>
        <v>Jl. Rawasari, Kec. Plered - Purwakarta</v>
      </c>
      <c r="AX12" s="842"/>
      <c r="AY12" s="2"/>
      <c r="AZ12" s="2"/>
    </row>
    <row r="13" ht="14.25" customHeight="1">
      <c r="A13" s="876">
        <f>IFERROR(__xludf.DUMMYFUNCTION("""COMPUTED_VALUE"""),1738.0)</f>
        <v>1738</v>
      </c>
      <c r="B13" s="876">
        <f>IFERROR(__xludf.DUMMYFUNCTION("""COMPUTED_VALUE"""),10.0)</f>
        <v>10</v>
      </c>
      <c r="C13" s="876" t="str">
        <f>IFERROR(__xludf.DUMMYFUNCTION("""COMPUTED_VALUE"""),"2526100423")</f>
        <v>2526100423</v>
      </c>
      <c r="D13" s="877" t="str">
        <f>IFERROR(__xludf.DUMMYFUNCTION("""COMPUTED_VALUE"""),"0093759169")</f>
        <v>0093759169</v>
      </c>
      <c r="E13" s="878" t="str">
        <f>IFERROR(__xludf.DUMMYFUNCTION("""COMPUTED_VALUE"""),"IBNU WANALI")</f>
        <v>IBNU WANALI</v>
      </c>
      <c r="F13" s="879" t="str">
        <f>IFERROR(__xludf.DUMMYFUNCTION("""COMPUTED_VALUE"""),"X TO 4")</f>
        <v>X TO 4</v>
      </c>
      <c r="G13" s="897" t="str">
        <f>IFERROR(__xludf.DUMMYFUNCTION("""COMPUTED_VALUE"""),"Purwakarta")</f>
        <v>Purwakarta</v>
      </c>
      <c r="H13" s="898">
        <f>IFERROR(__xludf.DUMMYFUNCTION("""COMPUTED_VALUE"""),39966.0)</f>
        <v>39966</v>
      </c>
      <c r="I13" s="897" t="str">
        <f>IFERROR(__xludf.DUMMYFUNCTION("""COMPUTED_VALUE"""),"Laki-Laki")</f>
        <v>Laki-Laki</v>
      </c>
      <c r="J13" s="897" t="str">
        <f>IFERROR(__xludf.DUMMYFUNCTION("""COMPUTED_VALUE"""),"Islam")</f>
        <v>Islam</v>
      </c>
      <c r="K13" s="897" t="str">
        <f>IFERROR(__xludf.DUMMYFUNCTION("""COMPUTED_VALUE"""),"Anak Kandung")</f>
        <v>Anak Kandung</v>
      </c>
      <c r="L13" s="897" t="str">
        <f>IFERROR(__xludf.DUMMYFUNCTION("""COMPUTED_VALUE"""),"1 (Satu)")</f>
        <v>1 (Satu)</v>
      </c>
      <c r="M13" s="897" t="str">
        <f>IFERROR(__xludf.DUMMYFUNCTION("""COMPUTED_VALUE"""),"Kp. Gandaria RT/W 017/008, Desa Nagrak, Kecamatan Darangdan, Kabupaten Purwakarta")</f>
        <v>Kp. Gandaria RT/W 017/008, Desa Nagrak, Kecamatan Darangdan, Kabupaten Purwakarta</v>
      </c>
      <c r="N13" s="897" t="str">
        <f>IFERROR(__xludf.DUMMYFUNCTION("""COMPUTED_VALUE"""),"-")</f>
        <v>-</v>
      </c>
      <c r="O13" s="897" t="str">
        <f>IFERROR(__xludf.DUMMYFUNCTION("""COMPUTED_VALUE"""),"Ibnu Wanali")</f>
        <v>Ibnu Wanali</v>
      </c>
      <c r="P13" s="897" t="str">
        <f>IFERROR(__xludf.DUMMYFUNCTION("""COMPUTED_VALUE"""),"X TO 4")</f>
        <v>X TO 4</v>
      </c>
      <c r="Q13" s="897" t="str">
        <f>IFERROR(__xludf.DUMMYFUNCTION("""COMPUTED_VALUE"""),"14 Juli 2025")</f>
        <v>14 Juli 2025</v>
      </c>
      <c r="R13" s="897" t="str">
        <f>IFERROR(__xludf.DUMMYFUNCTION("""COMPUTED_VALUE"""),"Ujang Warmin")</f>
        <v>Ujang Warmin</v>
      </c>
      <c r="S13" s="897" t="str">
        <f>IFERROR(__xludf.DUMMYFUNCTION("""COMPUTED_VALUE"""),"Jamilatunisa")</f>
        <v>Jamilatunisa</v>
      </c>
      <c r="T13" s="897" t="str">
        <f>IFERROR(__xludf.DUMMYFUNCTION("""COMPUTED_VALUE"""),"Kp. Gandaria RT/W 017/008, Desa Nagrak, Kecamatan Darangdan, Kabupaten Purwakarta")</f>
        <v>Kp. Gandaria RT/W 017/008, Desa Nagrak, Kecamatan Darangdan, Kabupaten Purwakarta</v>
      </c>
      <c r="U13" s="897" t="str">
        <f>IFERROR(__xludf.DUMMYFUNCTION("""COMPUTED_VALUE"""),"-")</f>
        <v>-</v>
      </c>
      <c r="V13" s="897" t="str">
        <f>IFERROR(__xludf.DUMMYFUNCTION("""COMPUTED_VALUE"""),"Buruh")</f>
        <v>Buruh</v>
      </c>
      <c r="W13" s="897" t="str">
        <f>IFERROR(__xludf.DUMMYFUNCTION("""COMPUTED_VALUE"""),"Rumah Tangga")</f>
        <v>Rumah Tangga</v>
      </c>
      <c r="X13" s="897" t="str">
        <f>IFERROR(__xludf.DUMMYFUNCTION("""COMPUTED_VALUE"""),"-")</f>
        <v>-</v>
      </c>
      <c r="Y13" s="897" t="str">
        <f>IFERROR(__xludf.DUMMYFUNCTION("""COMPUTED_VALUE"""),"-")</f>
        <v>-</v>
      </c>
      <c r="Z13" s="897" t="str">
        <f>IFERROR(__xludf.DUMMYFUNCTION("""COMPUTED_VALUE"""),"-")</f>
        <v>-</v>
      </c>
      <c r="AA13" s="897"/>
      <c r="AB13" s="897" t="str">
        <f>IFERROR(__xludf.DUMMYFUNCTION("""COMPUTED_VALUE"""),"20229659")</f>
        <v>20229659</v>
      </c>
      <c r="AC13" s="897"/>
      <c r="AD13" s="897" t="str">
        <f>IFERROR(__xludf.DUMMYFUNCTION("""COMPUTED_VALUE"""),"/appsheet/data/InputBiodataRaportX-3328125/FilePDF/IBNU WANALI-f7a690b3.PDF")</f>
        <v>/appsheet/data/InputBiodataRaportX-3328125/FilePDF/IBNU WANALI-f7a690b3.PDF</v>
      </c>
      <c r="AE13" s="897" t="str">
        <f>IFERROR(__xludf.DUMMYFUNCTION("""COMPUTED_VALUE"""),"2025 2026")</f>
        <v>2025 2026</v>
      </c>
      <c r="AF13" s="897" t="str">
        <f>IFERROR(__xludf.DUMMYFUNCTION("""COMPUTED_VALUE"""),"Purwakarta, 22 Desember 2025")</f>
        <v>Purwakarta, 22 Desember 2025</v>
      </c>
      <c r="AG13" s="897" t="str">
        <f>IFERROR(__xludf.DUMMYFUNCTION("""COMPUTED_VALUE"""),"X TO 4")</f>
        <v>X TO 4</v>
      </c>
      <c r="AH13" s="897" t="str">
        <f>IFERROR(__xludf.DUMMYFUNCTION("""COMPUTED_VALUE"""),"XI TSM 2")</f>
        <v>XI TSM 2</v>
      </c>
      <c r="AI13" s="897" t="str">
        <f>IFERROR(__xludf.DUMMYFUNCTION("""COMPUTED_VALUE"""),"XII TSM 2")</f>
        <v>XII TSM 2</v>
      </c>
      <c r="AJ13" s="899" t="str">
        <f>IFERROR(__xludf.DUMMYFUNCTION("""COMPUTED_VALUE"""),"XIII TSM 2")</f>
        <v>XIII TSM 2</v>
      </c>
      <c r="AK13" s="923"/>
      <c r="AL13" s="924" t="str">
        <f>IFERROR(__xludf.DUMMYFUNCTION("""COMPUTED_VALUE"""),"X TO 4")</f>
        <v>X TO 4</v>
      </c>
      <c r="AM13" s="902" t="str">
        <f>IFERROR(__xludf.DUMMYFUNCTION("""COMPUTED_VALUE"""),"Teknik Sepeda Motor")</f>
        <v>Teknik Sepeda Motor</v>
      </c>
      <c r="AN13" s="914" t="str">
        <f>IFERROR(__xludf.DUMMYFUNCTION("""COMPUTED_VALUE"""),"Teknik Otomotif")</f>
        <v>Teknik Otomotif</v>
      </c>
      <c r="AO13" s="915" t="str">
        <f>IFERROR(__xludf.DUMMYFUNCTION("""COMPUTED_VALUE"""),"Teknologi Manufaktur dan Rekayasa")</f>
        <v>Teknologi Manufaktur dan Rekayasa</v>
      </c>
      <c r="AP13" s="916" t="str">
        <f>IFERROR(__xludf.DUMMYFUNCTION("""COMPUTED_VALUE"""),"https://script.google.com/macros/s/AKfycbxiGOJIScu6TFOPdZ1AEFDNLiZhbUPz-yQ1b8j-thDYqTrdS9mM2ipsbBGfXWy17XrMFQ/exec")</f>
        <v>https://script.google.com/macros/s/AKfycbxiGOJIScu6TFOPdZ1AEFDNLiZhbUPz-yQ1b8j-thDYqTrdS9mM2ipsbBGfXWy17XrMFQ/exec</v>
      </c>
      <c r="AQ13" s="913"/>
      <c r="AR13" s="907" t="str">
        <f>IFERROR(__xludf.DUMMYFUNCTION("""COMPUTED_VALUE"""),"X TO 4")</f>
        <v>X TO 4</v>
      </c>
      <c r="AS13" s="908" t="str">
        <f>IFERROR(__xludf.DUMMYFUNCTION("""COMPUTED_VALUE"""),"ASEP SANDIANA AZHAR, S.T.")</f>
        <v>ASEP SANDIANA AZHAR, S.T.</v>
      </c>
      <c r="AT13" s="925" t="str">
        <f>IFERROR(__xludf.DUMMYFUNCTION("""COMPUTED_VALUE"""),"NIP. 199203032025211186")</f>
        <v>NIP. 199203032025211186</v>
      </c>
      <c r="AU13" s="2"/>
      <c r="AV13" s="842" t="str">
        <f>IFERROR(__xludf.DUMMYFUNCTION("""COMPUTED_VALUE"""),"Alamat Sekolah Baris 2")</f>
        <v>Alamat Sekolah Baris 2</v>
      </c>
      <c r="AW13" s="920" t="str">
        <f>IFERROR(__xludf.DUMMYFUNCTION("""COMPUTED_VALUE"""),"Kode Pos 41162, Telp. 0264-7504001")</f>
        <v>Kode Pos 41162, Telp. 0264-7504001</v>
      </c>
      <c r="AX13" s="842"/>
      <c r="AY13" s="2"/>
      <c r="AZ13" s="2"/>
    </row>
    <row r="14" ht="14.25" customHeight="1">
      <c r="A14" s="876">
        <f>IFERROR(__xludf.DUMMYFUNCTION("""COMPUTED_VALUE"""),1739.0)</f>
        <v>1739</v>
      </c>
      <c r="B14" s="876">
        <f>IFERROR(__xludf.DUMMYFUNCTION("""COMPUTED_VALUE"""),11.0)</f>
        <v>11</v>
      </c>
      <c r="C14" s="876" t="str">
        <f>IFERROR(__xludf.DUMMYFUNCTION("""COMPUTED_VALUE"""),"2526100424")</f>
        <v>2526100424</v>
      </c>
      <c r="D14" s="877" t="str">
        <f>IFERROR(__xludf.DUMMYFUNCTION("""COMPUTED_VALUE"""),"0095752965")</f>
        <v>0095752965</v>
      </c>
      <c r="E14" s="878" t="str">
        <f>IFERROR(__xludf.DUMMYFUNCTION("""COMPUTED_VALUE"""),"IHSAN ABDULOH ")</f>
        <v>IHSAN ABDULOH </v>
      </c>
      <c r="F14" s="879" t="str">
        <f>IFERROR(__xludf.DUMMYFUNCTION("""COMPUTED_VALUE"""),"X TO 4")</f>
        <v>X TO 4</v>
      </c>
      <c r="G14" s="897" t="str">
        <f>IFERROR(__xludf.DUMMYFUNCTION("""COMPUTED_VALUE"""),"Purwakarta")</f>
        <v>Purwakarta</v>
      </c>
      <c r="H14" s="898">
        <f>IFERROR(__xludf.DUMMYFUNCTION("""COMPUTED_VALUE"""),40097.0)</f>
        <v>40097</v>
      </c>
      <c r="I14" s="897" t="str">
        <f>IFERROR(__xludf.DUMMYFUNCTION("""COMPUTED_VALUE"""),"Laki-Laki")</f>
        <v>Laki-Laki</v>
      </c>
      <c r="J14" s="897" t="str">
        <f>IFERROR(__xludf.DUMMYFUNCTION("""COMPUTED_VALUE"""),"Islam")</f>
        <v>Islam</v>
      </c>
      <c r="K14" s="897" t="str">
        <f>IFERROR(__xludf.DUMMYFUNCTION("""COMPUTED_VALUE"""),"Anak Kandung")</f>
        <v>Anak Kandung</v>
      </c>
      <c r="L14" s="897" t="str">
        <f>IFERROR(__xludf.DUMMYFUNCTION("""COMPUTED_VALUE"""),"1 (Satu)")</f>
        <v>1 (Satu)</v>
      </c>
      <c r="M14" s="897" t="str">
        <f>IFERROR(__xludf.DUMMYFUNCTION("""COMPUTED_VALUE"""),"Kp. Depok RT/RW 013/005 Desa Depok Kec. Darangdan Kab. Purwakarta")</f>
        <v>Kp. Depok RT/RW 013/005 Desa Depok Kec. Darangdan Kab. Purwakarta</v>
      </c>
      <c r="N14" s="897" t="str">
        <f>IFERROR(__xludf.DUMMYFUNCTION("""COMPUTED_VALUE"""),"-")</f>
        <v>-</v>
      </c>
      <c r="O14" s="897" t="str">
        <f>IFERROR(__xludf.DUMMYFUNCTION("""COMPUTED_VALUE"""),"SMP Negeri 6 Darangdan")</f>
        <v>SMP Negeri 6 Darangdan</v>
      </c>
      <c r="P14" s="897" t="str">
        <f>IFERROR(__xludf.DUMMYFUNCTION("""COMPUTED_VALUE"""),"X TO 4")</f>
        <v>X TO 4</v>
      </c>
      <c r="Q14" s="897" t="str">
        <f>IFERROR(__xludf.DUMMYFUNCTION("""COMPUTED_VALUE"""),"14 Juli 2025")</f>
        <v>14 Juli 2025</v>
      </c>
      <c r="R14" s="897" t="str">
        <f>IFERROR(__xludf.DUMMYFUNCTION("""COMPUTED_VALUE"""),"Hasanudin")</f>
        <v>Hasanudin</v>
      </c>
      <c r="S14" s="897" t="str">
        <f>IFERROR(__xludf.DUMMYFUNCTION("""COMPUTED_VALUE"""),"Ade Oyoh")</f>
        <v>Ade Oyoh</v>
      </c>
      <c r="T14" s="897" t="str">
        <f>IFERROR(__xludf.DUMMYFUNCTION("""COMPUTED_VALUE"""),"Kp. Depok RT/RW 013/005 Desa Depok Kec. Darangdan Kab. Purwakarta")</f>
        <v>Kp. Depok RT/RW 013/005 Desa Depok Kec. Darangdan Kab. Purwakarta</v>
      </c>
      <c r="U14" s="897" t="str">
        <f>IFERROR(__xludf.DUMMYFUNCTION("""COMPUTED_VALUE"""),"-")</f>
        <v>-</v>
      </c>
      <c r="V14" s="897" t="str">
        <f>IFERROR(__xludf.DUMMYFUNCTION("""COMPUTED_VALUE"""),"Buruh")</f>
        <v>Buruh</v>
      </c>
      <c r="W14" s="897" t="str">
        <f>IFERROR(__xludf.DUMMYFUNCTION("""COMPUTED_VALUE"""),"Rumah Tangga")</f>
        <v>Rumah Tangga</v>
      </c>
      <c r="X14" s="897"/>
      <c r="Y14" s="897"/>
      <c r="Z14" s="897"/>
      <c r="AA14" s="897"/>
      <c r="AB14" s="897" t="str">
        <f>IFERROR(__xludf.DUMMYFUNCTION("""COMPUTED_VALUE"""),"20229659")</f>
        <v>20229659</v>
      </c>
      <c r="AC14" s="897"/>
      <c r="AD14" s="897" t="str">
        <f>IFERROR(__xludf.DUMMYFUNCTION("""COMPUTED_VALUE"""),"/appsheet/data/InputBiodataRaportX-3328125/FilePDF/IHSAN ABDULOH-df4db7c5.PDF")</f>
        <v>/appsheet/data/InputBiodataRaportX-3328125/FilePDF/IHSAN ABDULOH-df4db7c5.PDF</v>
      </c>
      <c r="AE14" s="897" t="str">
        <f>IFERROR(__xludf.DUMMYFUNCTION("""COMPUTED_VALUE"""),"2025 2026")</f>
        <v>2025 2026</v>
      </c>
      <c r="AF14" s="897" t="str">
        <f>IFERROR(__xludf.DUMMYFUNCTION("""COMPUTED_VALUE"""),"Purwakarta, 22 Desember 2025")</f>
        <v>Purwakarta, 22 Desember 2025</v>
      </c>
      <c r="AG14" s="897" t="str">
        <f>IFERROR(__xludf.DUMMYFUNCTION("""COMPUTED_VALUE"""),"X TO 4")</f>
        <v>X TO 4</v>
      </c>
      <c r="AH14" s="897" t="str">
        <f>IFERROR(__xludf.DUMMYFUNCTION("""COMPUTED_VALUE"""),"XI TSM 2")</f>
        <v>XI TSM 2</v>
      </c>
      <c r="AI14" s="897" t="str">
        <f>IFERROR(__xludf.DUMMYFUNCTION("""COMPUTED_VALUE"""),"XII TSM 2")</f>
        <v>XII TSM 2</v>
      </c>
      <c r="AJ14" s="899" t="str">
        <f>IFERROR(__xludf.DUMMYFUNCTION("""COMPUTED_VALUE"""),"XIII TSM 2")</f>
        <v>XIII TSM 2</v>
      </c>
      <c r="AK14" s="923"/>
      <c r="AL14" s="924" t="str">
        <f>IFERROR(__xludf.DUMMYFUNCTION("""COMPUTED_VALUE"""),"X TJKT 1")</f>
        <v>X TJKT 1</v>
      </c>
      <c r="AM14" s="902" t="str">
        <f>IFERROR(__xludf.DUMMYFUNCTION("""COMPUTED_VALUE"""),"Teknik Komputer Jaringan")</f>
        <v>Teknik Komputer Jaringan</v>
      </c>
      <c r="AN14" s="903" t="str">
        <f>IFERROR(__xludf.DUMMYFUNCTION("""COMPUTED_VALUE"""),"Teknik Jaringan Komputer dan Telekomunikasi")</f>
        <v>Teknik Jaringan Komputer dan Telekomunikasi</v>
      </c>
      <c r="AO14" s="904" t="str">
        <f>IFERROR(__xludf.DUMMYFUNCTION("""COMPUTED_VALUE"""),"Teknologi Informasi
")</f>
        <v>Teknologi Informasi
</v>
      </c>
      <c r="AP14" s="905" t="str">
        <f>IFERROR(__xludf.DUMMYFUNCTION("""COMPUTED_VALUE"""),"https://script.google.com/macros/s/AKfycbwZ6bYw9LEM7mMvyyj6FK5mpd6B48Ny6pFvBuWrWPLBwa9Ohh-3kba3IxYKSS2_eP0vFQ/exec")</f>
        <v>https://script.google.com/macros/s/AKfycbwZ6bYw9LEM7mMvyyj6FK5mpd6B48Ny6pFvBuWrWPLBwa9Ohh-3kba3IxYKSS2_eP0vFQ/exec</v>
      </c>
      <c r="AQ14" s="913"/>
      <c r="AR14" s="907" t="str">
        <f>IFERROR(__xludf.DUMMYFUNCTION("""COMPUTED_VALUE"""),"X TJKT 1")</f>
        <v>X TJKT 1</v>
      </c>
      <c r="AS14" s="908" t="str">
        <f>IFERROR(__xludf.DUMMYFUNCTION("""COMPUTED_VALUE"""),"INSANI SEPTY WULANSARI, S.Pd.")</f>
        <v>INSANI SEPTY WULANSARI, S.Pd.</v>
      </c>
      <c r="AT14" s="925" t="str">
        <f>IFERROR(__xludf.DUMMYFUNCTION("""COMPUTED_VALUE"""),"NIP. 198509232022212017")</f>
        <v>NIP. 198509232022212017</v>
      </c>
      <c r="AU14" s="2"/>
      <c r="AV14" s="842" t="str">
        <f>IFERROR(__xludf.DUMMYFUNCTION("""COMPUTED_VALUE"""),"Desa")</f>
        <v>Desa</v>
      </c>
      <c r="AW14" s="920" t="str">
        <f>IFERROR(__xludf.DUMMYFUNCTION("""COMPUTED_VALUE"""),"Rawasari")</f>
        <v>Rawasari</v>
      </c>
      <c r="AX14" s="842"/>
      <c r="AY14" s="2"/>
      <c r="AZ14" s="2"/>
    </row>
    <row r="15" ht="14.25" customHeight="1">
      <c r="A15" s="876">
        <f>IFERROR(__xludf.DUMMYFUNCTION("""COMPUTED_VALUE"""),1740.0)</f>
        <v>1740</v>
      </c>
      <c r="B15" s="876">
        <f>IFERROR(__xludf.DUMMYFUNCTION("""COMPUTED_VALUE"""),12.0)</f>
        <v>12</v>
      </c>
      <c r="C15" s="876" t="str">
        <f>IFERROR(__xludf.DUMMYFUNCTION("""COMPUTED_VALUE"""),"2526100425")</f>
        <v>2526100425</v>
      </c>
      <c r="D15" s="877" t="str">
        <f>IFERROR(__xludf.DUMMYFUNCTION("""COMPUTED_VALUE"""),"0095318140")</f>
        <v>0095318140</v>
      </c>
      <c r="E15" s="878" t="str">
        <f>IFERROR(__xludf.DUMMYFUNCTION("""COMPUTED_VALUE"""),"INDRA NURMAN")</f>
        <v>INDRA NURMAN</v>
      </c>
      <c r="F15" s="879" t="str">
        <f>IFERROR(__xludf.DUMMYFUNCTION("""COMPUTED_VALUE"""),"X TO 4")</f>
        <v>X TO 4</v>
      </c>
      <c r="G15" s="897" t="str">
        <f>IFERROR(__xludf.DUMMYFUNCTION("""COMPUTED_VALUE"""),"Purwakarta")</f>
        <v>Purwakarta</v>
      </c>
      <c r="H15" s="898">
        <f>IFERROR(__xludf.DUMMYFUNCTION("""COMPUTED_VALUE"""),39885.0)</f>
        <v>39885</v>
      </c>
      <c r="I15" s="897" t="str">
        <f>IFERROR(__xludf.DUMMYFUNCTION("""COMPUTED_VALUE"""),"Laki-Laki")</f>
        <v>Laki-Laki</v>
      </c>
      <c r="J15" s="897" t="str">
        <f>IFERROR(__xludf.DUMMYFUNCTION("""COMPUTED_VALUE"""),"Islam")</f>
        <v>Islam</v>
      </c>
      <c r="K15" s="897" t="str">
        <f>IFERROR(__xludf.DUMMYFUNCTION("""COMPUTED_VALUE"""),"Anak Kandung")</f>
        <v>Anak Kandung</v>
      </c>
      <c r="L15" s="897" t="str">
        <f>IFERROR(__xludf.DUMMYFUNCTION("""COMPUTED_VALUE"""),"2 (Dua)")</f>
        <v>2 (Dua)</v>
      </c>
      <c r="M15" s="897" t="str">
        <f>IFERROR(__xludf.DUMMYFUNCTION("""COMPUTED_VALUE"""),"Kp. Pasir Peuteuy RT/RW 010/003 Desa Pamoyanan Kec. Plered Kab. Purwakarta")</f>
        <v>Kp. Pasir Peuteuy RT/RW 010/003 Desa Pamoyanan Kec. Plered Kab. Purwakarta</v>
      </c>
      <c r="N15" s="897" t="str">
        <f>IFERROR(__xludf.DUMMYFUNCTION("""COMPUTED_VALUE"""),"-")</f>
        <v>-</v>
      </c>
      <c r="O15" s="897" t="str">
        <f>IFERROR(__xludf.DUMMYFUNCTION("""COMPUTED_VALUE"""),"SMPN Satu Atap Terpadu 2 Pamoyanan")</f>
        <v>SMPN Satu Atap Terpadu 2 Pamoyanan</v>
      </c>
      <c r="P15" s="897" t="str">
        <f>IFERROR(__xludf.DUMMYFUNCTION("""COMPUTED_VALUE"""),"X TO 4")</f>
        <v>X TO 4</v>
      </c>
      <c r="Q15" s="897" t="str">
        <f>IFERROR(__xludf.DUMMYFUNCTION("""COMPUTED_VALUE"""),"14 Juli 2025")</f>
        <v>14 Juli 2025</v>
      </c>
      <c r="R15" s="897" t="str">
        <f>IFERROR(__xludf.DUMMYFUNCTION("""COMPUTED_VALUE"""),"-")</f>
        <v>-</v>
      </c>
      <c r="S15" s="897" t="str">
        <f>IFERROR(__xludf.DUMMYFUNCTION("""COMPUTED_VALUE"""),"Lina Marlina")</f>
        <v>Lina Marlina</v>
      </c>
      <c r="T15" s="897" t="str">
        <f>IFERROR(__xludf.DUMMYFUNCTION("""COMPUTED_VALUE"""),"Kp. Pasir Peuteuy RT 010/003 Desa Pamoyanan Kec. Plered Kab. Purwakarta")</f>
        <v>Kp. Pasir Peuteuy RT 010/003 Desa Pamoyanan Kec. Plered Kab. Purwakarta</v>
      </c>
      <c r="U15" s="897" t="str">
        <f>IFERROR(__xludf.DUMMYFUNCTION("""COMPUTED_VALUE"""),"-")</f>
        <v>-</v>
      </c>
      <c r="V15" s="897"/>
      <c r="W15" s="897" t="str">
        <f>IFERROR(__xludf.DUMMYFUNCTION("""COMPUTED_VALUE"""),"Rumah Tangga")</f>
        <v>Rumah Tangga</v>
      </c>
      <c r="X15" s="897" t="str">
        <f>IFERROR(__xludf.DUMMYFUNCTION("""COMPUTED_VALUE"""),"-")</f>
        <v>-</v>
      </c>
      <c r="Y15" s="897" t="str">
        <f>IFERROR(__xludf.DUMMYFUNCTION("""COMPUTED_VALUE"""),"-")</f>
        <v>-</v>
      </c>
      <c r="Z15" s="897" t="str">
        <f>IFERROR(__xludf.DUMMYFUNCTION("""COMPUTED_VALUE"""),"-")</f>
        <v>-</v>
      </c>
      <c r="AA15" s="897"/>
      <c r="AB15" s="897" t="str">
        <f>IFERROR(__xludf.DUMMYFUNCTION("""COMPUTED_VALUE"""),"20229659")</f>
        <v>20229659</v>
      </c>
      <c r="AC15" s="897"/>
      <c r="AD15" s="897" t="str">
        <f>IFERROR(__xludf.DUMMYFUNCTION("""COMPUTED_VALUE"""),"/appsheet/data/InputBiodataRaportX-3328125/FilePDF/INDRA NURMAN-d52a892a.PDF")</f>
        <v>/appsheet/data/InputBiodataRaportX-3328125/FilePDF/INDRA NURMAN-d52a892a.PDF</v>
      </c>
      <c r="AE15" s="897" t="str">
        <f>IFERROR(__xludf.DUMMYFUNCTION("""COMPUTED_VALUE"""),"2025 2026")</f>
        <v>2025 2026</v>
      </c>
      <c r="AF15" s="897" t="str">
        <f>IFERROR(__xludf.DUMMYFUNCTION("""COMPUTED_VALUE"""),"Purwakarta, 22 Desember 2025")</f>
        <v>Purwakarta, 22 Desember 2025</v>
      </c>
      <c r="AG15" s="897" t="str">
        <f>IFERROR(__xludf.DUMMYFUNCTION("""COMPUTED_VALUE"""),"X TO 4")</f>
        <v>X TO 4</v>
      </c>
      <c r="AH15" s="897" t="str">
        <f>IFERROR(__xludf.DUMMYFUNCTION("""COMPUTED_VALUE"""),"XI TSM 2")</f>
        <v>XI TSM 2</v>
      </c>
      <c r="AI15" s="897" t="str">
        <f>IFERROR(__xludf.DUMMYFUNCTION("""COMPUTED_VALUE"""),"XII TSM 2")</f>
        <v>XII TSM 2</v>
      </c>
      <c r="AJ15" s="899" t="str">
        <f>IFERROR(__xludf.DUMMYFUNCTION("""COMPUTED_VALUE"""),"XIII TSM 2")</f>
        <v>XIII TSM 2</v>
      </c>
      <c r="AK15" s="923"/>
      <c r="AL15" s="924" t="str">
        <f>IFERROR(__xludf.DUMMYFUNCTION("""COMPUTED_VALUE"""),"X TJKT 2")</f>
        <v>X TJKT 2</v>
      </c>
      <c r="AM15" s="902" t="str">
        <f>IFERROR(__xludf.DUMMYFUNCTION("""COMPUTED_VALUE"""),"Teknik Komputer Jaringan")</f>
        <v>Teknik Komputer Jaringan</v>
      </c>
      <c r="AN15" s="903" t="str">
        <f>IFERROR(__xludf.DUMMYFUNCTION("""COMPUTED_VALUE"""),"Teknik Jaringan Komputer dan Telekomunikasi")</f>
        <v>Teknik Jaringan Komputer dan Telekomunikasi</v>
      </c>
      <c r="AO15" s="904" t="str">
        <f>IFERROR(__xludf.DUMMYFUNCTION("""COMPUTED_VALUE"""),"Teknologi Informasi
")</f>
        <v>Teknologi Informasi
</v>
      </c>
      <c r="AP15" s="905" t="str">
        <f>IFERROR(__xludf.DUMMYFUNCTION("""COMPUTED_VALUE"""),"https://script.google.com/macros/s/AKfycbzsreCRijV0r9MZokFyi8TiO_Ca0_OB0nE_0jLiVlXFvU2YkxCkUAAE-DCoKg4qXOgq/exec")</f>
        <v>https://script.google.com/macros/s/AKfycbzsreCRijV0r9MZokFyi8TiO_Ca0_OB0nE_0jLiVlXFvU2YkxCkUAAE-DCoKg4qXOgq/exec</v>
      </c>
      <c r="AQ15" s="913"/>
      <c r="AR15" s="907" t="str">
        <f>IFERROR(__xludf.DUMMYFUNCTION("""COMPUTED_VALUE"""),"X TJKT 2")</f>
        <v>X TJKT 2</v>
      </c>
      <c r="AS15" s="908" t="str">
        <f>IFERROR(__xludf.DUMMYFUNCTION("""COMPUTED_VALUE"""),"IIK SARINAH, S.Kom.")</f>
        <v>IIK SARINAH, S.Kom.</v>
      </c>
      <c r="AT15" s="925" t="str">
        <f>IFERROR(__xludf.DUMMYFUNCTION("""COMPUTED_VALUE"""),"NIP. 199405182025212164")</f>
        <v>NIP. 199405182025212164</v>
      </c>
      <c r="AU15" s="2"/>
      <c r="AV15" s="842" t="str">
        <f>IFERROR(__xludf.DUMMYFUNCTION("""COMPUTED_VALUE"""),"Kecamatan")</f>
        <v>Kecamatan</v>
      </c>
      <c r="AW15" s="842" t="str">
        <f>IFERROR(__xludf.DUMMYFUNCTION("""COMPUTED_VALUE"""),"Plered")</f>
        <v>Plered</v>
      </c>
      <c r="AX15" s="842"/>
      <c r="AY15" s="2"/>
      <c r="AZ15" s="2"/>
    </row>
    <row r="16" ht="14.25" customHeight="1">
      <c r="A16" s="876">
        <f>IFERROR(__xludf.DUMMYFUNCTION("""COMPUTED_VALUE"""),1741.0)</f>
        <v>1741</v>
      </c>
      <c r="B16" s="876">
        <f>IFERROR(__xludf.DUMMYFUNCTION("""COMPUTED_VALUE"""),13.0)</f>
        <v>13</v>
      </c>
      <c r="C16" s="876" t="str">
        <f>IFERROR(__xludf.DUMMYFUNCTION("""COMPUTED_VALUE"""),"2526100426")</f>
        <v>2526100426</v>
      </c>
      <c r="D16" s="877" t="str">
        <f>IFERROR(__xludf.DUMMYFUNCTION("""COMPUTED_VALUE"""),"3109448408")</f>
        <v>3109448408</v>
      </c>
      <c r="E16" s="878" t="str">
        <f>IFERROR(__xludf.DUMMYFUNCTION("""COMPUTED_VALUE"""),"IWAN SOPYAN")</f>
        <v>IWAN SOPYAN</v>
      </c>
      <c r="F16" s="879" t="str">
        <f>IFERROR(__xludf.DUMMYFUNCTION("""COMPUTED_VALUE"""),"X TO 4")</f>
        <v>X TO 4</v>
      </c>
      <c r="G16" s="897" t="str">
        <f>IFERROR(__xludf.DUMMYFUNCTION("""COMPUTED_VALUE"""),"Purwakarta")</f>
        <v>Purwakarta</v>
      </c>
      <c r="H16" s="898">
        <f>IFERROR(__xludf.DUMMYFUNCTION("""COMPUTED_VALUE"""),40529.0)</f>
        <v>40529</v>
      </c>
      <c r="I16" s="897" t="str">
        <f>IFERROR(__xludf.DUMMYFUNCTION("""COMPUTED_VALUE"""),"Laki-Laki")</f>
        <v>Laki-Laki</v>
      </c>
      <c r="J16" s="897" t="str">
        <f>IFERROR(__xludf.DUMMYFUNCTION("""COMPUTED_VALUE"""),"Islam")</f>
        <v>Islam</v>
      </c>
      <c r="K16" s="897" t="str">
        <f>IFERROR(__xludf.DUMMYFUNCTION("""COMPUTED_VALUE"""),"Anak Kandung")</f>
        <v>Anak Kandung</v>
      </c>
      <c r="L16" s="897" t="str">
        <f>IFERROR(__xludf.DUMMYFUNCTION("""COMPUTED_VALUE"""),"1 (Satu)")</f>
        <v>1 (Satu)</v>
      </c>
      <c r="M16" s="897" t="str">
        <f>IFERROR(__xludf.DUMMYFUNCTION("""COMPUTED_VALUE"""),"Kp. Cilangkap RT/RW 008/004 Desa Cadassari Kec. Tegalwaru Kab. Purwakarta")</f>
        <v>Kp. Cilangkap RT/RW 008/004 Desa Cadassari Kec. Tegalwaru Kab. Purwakarta</v>
      </c>
      <c r="N16" s="897" t="str">
        <f>IFERROR(__xludf.DUMMYFUNCTION("""COMPUTED_VALUE"""),"-")</f>
        <v>-</v>
      </c>
      <c r="O16" s="897" t="str">
        <f>IFERROR(__xludf.DUMMYFUNCTION("""COMPUTED_VALUE"""),"SMPN Satu Atap Terpadu 1 Cadassari")</f>
        <v>SMPN Satu Atap Terpadu 1 Cadassari</v>
      </c>
      <c r="P16" s="897" t="str">
        <f>IFERROR(__xludf.DUMMYFUNCTION("""COMPUTED_VALUE"""),"X TO 4")</f>
        <v>X TO 4</v>
      </c>
      <c r="Q16" s="897" t="str">
        <f>IFERROR(__xludf.DUMMYFUNCTION("""COMPUTED_VALUE"""),"14 Juli 2025")</f>
        <v>14 Juli 2025</v>
      </c>
      <c r="R16" s="897" t="str">
        <f>IFERROR(__xludf.DUMMYFUNCTION("""COMPUTED_VALUE"""),"Udin Rukmana")</f>
        <v>Udin Rukmana</v>
      </c>
      <c r="S16" s="897" t="str">
        <f>IFERROR(__xludf.DUMMYFUNCTION("""COMPUTED_VALUE"""),"Enen")</f>
        <v>Enen</v>
      </c>
      <c r="T16" s="897" t="str">
        <f>IFERROR(__xludf.DUMMYFUNCTION("""COMPUTED_VALUE"""),"Kp. Cilangkap RT 008/004 Desa Cadassari Kec. Tegalwaru Kab. Purwakarta")</f>
        <v>Kp. Cilangkap RT 008/004 Desa Cadassari Kec. Tegalwaru Kab. Purwakarta</v>
      </c>
      <c r="U16" s="897" t="str">
        <f>IFERROR(__xludf.DUMMYFUNCTION("""COMPUTED_VALUE"""),"-")</f>
        <v>-</v>
      </c>
      <c r="V16" s="897" t="str">
        <f>IFERROR(__xludf.DUMMYFUNCTION("""COMPUTED_VALUE"""),"Buruh")</f>
        <v>Buruh</v>
      </c>
      <c r="W16" s="897" t="str">
        <f>IFERROR(__xludf.DUMMYFUNCTION("""COMPUTED_VALUE"""),"Rumah Tangga")</f>
        <v>Rumah Tangga</v>
      </c>
      <c r="X16" s="897" t="str">
        <f>IFERROR(__xludf.DUMMYFUNCTION("""COMPUTED_VALUE"""),"-")</f>
        <v>-</v>
      </c>
      <c r="Y16" s="897" t="str">
        <f>IFERROR(__xludf.DUMMYFUNCTION("""COMPUTED_VALUE"""),"-")</f>
        <v>-</v>
      </c>
      <c r="Z16" s="897" t="str">
        <f>IFERROR(__xludf.DUMMYFUNCTION("""COMPUTED_VALUE"""),"-")</f>
        <v>-</v>
      </c>
      <c r="AA16" s="897"/>
      <c r="AB16" s="897" t="str">
        <f>IFERROR(__xludf.DUMMYFUNCTION("""COMPUTED_VALUE"""),"20229659")</f>
        <v>20229659</v>
      </c>
      <c r="AC16" s="897"/>
      <c r="AD16" s="897" t="str">
        <f>IFERROR(__xludf.DUMMYFUNCTION("""COMPUTED_VALUE"""),"/appsheet/data/InputBiodataRaportX-3328125/FilePDF/IWAN SOPYAN-64c551bc.PDF")</f>
        <v>/appsheet/data/InputBiodataRaportX-3328125/FilePDF/IWAN SOPYAN-64c551bc.PDF</v>
      </c>
      <c r="AE16" s="897" t="str">
        <f>IFERROR(__xludf.DUMMYFUNCTION("""COMPUTED_VALUE"""),"2025 2026")</f>
        <v>2025 2026</v>
      </c>
      <c r="AF16" s="897" t="str">
        <f>IFERROR(__xludf.DUMMYFUNCTION("""COMPUTED_VALUE"""),"Purwakarta, 22 Desember 2025")</f>
        <v>Purwakarta, 22 Desember 2025</v>
      </c>
      <c r="AG16" s="897" t="str">
        <f>IFERROR(__xludf.DUMMYFUNCTION("""COMPUTED_VALUE"""),"X TO 4")</f>
        <v>X TO 4</v>
      </c>
      <c r="AH16" s="897" t="str">
        <f>IFERROR(__xludf.DUMMYFUNCTION("""COMPUTED_VALUE"""),"XI TSM 2")</f>
        <v>XI TSM 2</v>
      </c>
      <c r="AI16" s="897" t="str">
        <f>IFERROR(__xludf.DUMMYFUNCTION("""COMPUTED_VALUE"""),"XII TSM 2")</f>
        <v>XII TSM 2</v>
      </c>
      <c r="AJ16" s="899" t="str">
        <f>IFERROR(__xludf.DUMMYFUNCTION("""COMPUTED_VALUE"""),"XIII TSM 2")</f>
        <v>XIII TSM 2</v>
      </c>
      <c r="AK16" s="884"/>
      <c r="AL16" s="901" t="str">
        <f>IFERROR(__xludf.DUMMYFUNCTION("""COMPUTED_VALUE"""),"X AKL 1")</f>
        <v>X AKL 1</v>
      </c>
      <c r="AM16" s="902" t="str">
        <f>IFERROR(__xludf.DUMMYFUNCTION("""COMPUTED_VALUE"""),"Akuntansi")</f>
        <v>Akuntansi</v>
      </c>
      <c r="AN16" s="914" t="str">
        <f>IFERROR(__xludf.DUMMYFUNCTION("""COMPUTED_VALUE"""),"Akuntansi dan Keuangan Lembaga")</f>
        <v>Akuntansi dan Keuangan Lembaga</v>
      </c>
      <c r="AO16" s="915" t="str">
        <f>IFERROR(__xludf.DUMMYFUNCTION("""COMPUTED_VALUE"""),"Bisnis dan Manajemen")</f>
        <v>Bisnis dan Manajemen</v>
      </c>
      <c r="AP16" s="916" t="str">
        <f>IFERROR(__xludf.DUMMYFUNCTION("""COMPUTED_VALUE"""),"https://script.google.com/macros/s/AKfycbzUidbKLLzw_xqQi12WoHq4TIaqfwJU6XiLXiXoK0u_lWByhoNyvhotihnjWX3qVeEH/exec")</f>
        <v>https://script.google.com/macros/s/AKfycbzUidbKLLzw_xqQi12WoHq4TIaqfwJU6XiLXiXoK0u_lWByhoNyvhotihnjWX3qVeEH/exec</v>
      </c>
      <c r="AQ16" s="913"/>
      <c r="AR16" s="907" t="str">
        <f>IFERROR(__xludf.DUMMYFUNCTION("""COMPUTED_VALUE"""),"X AKL 1")</f>
        <v>X AKL 1</v>
      </c>
      <c r="AS16" s="908" t="str">
        <f>IFERROR(__xludf.DUMMYFUNCTION("""COMPUTED_VALUE"""),"TATI KARYATI, S.Pd.")</f>
        <v>TATI KARYATI, S.Pd.</v>
      </c>
      <c r="AT16" s="911" t="str">
        <f>IFERROR(__xludf.DUMMYFUNCTION("""COMPUTED_VALUE"""),"NIP. 198509102022212020")</f>
        <v>NIP. 198509102022212020</v>
      </c>
      <c r="AU16" s="2"/>
      <c r="AV16" s="842" t="str">
        <f>IFERROR(__xludf.DUMMYFUNCTION("""COMPUTED_VALUE"""),"Kabupaten")</f>
        <v>Kabupaten</v>
      </c>
      <c r="AW16" s="920" t="str">
        <f>IFERROR(__xludf.DUMMYFUNCTION("""COMPUTED_VALUE"""),"Purwakarta")</f>
        <v>Purwakarta</v>
      </c>
      <c r="AX16" s="842"/>
      <c r="AY16" s="2"/>
      <c r="AZ16" s="2"/>
    </row>
    <row r="17" ht="14.25" customHeight="1">
      <c r="A17" s="876">
        <f>IFERROR(__xludf.DUMMYFUNCTION("""COMPUTED_VALUE"""),1742.0)</f>
        <v>1742</v>
      </c>
      <c r="B17" s="876">
        <f>IFERROR(__xludf.DUMMYFUNCTION("""COMPUTED_VALUE"""),14.0)</f>
        <v>14</v>
      </c>
      <c r="C17" s="876" t="str">
        <f>IFERROR(__xludf.DUMMYFUNCTION("""COMPUTED_VALUE"""),"2526100427")</f>
        <v>2526100427</v>
      </c>
      <c r="D17" s="877" t="str">
        <f>IFERROR(__xludf.DUMMYFUNCTION("""COMPUTED_VALUE"""),"0097319943")</f>
        <v>0097319943</v>
      </c>
      <c r="E17" s="878" t="str">
        <f>IFERROR(__xludf.DUMMYFUNCTION("""COMPUTED_VALUE"""),"JEJEN JAENI")</f>
        <v>JEJEN JAENI</v>
      </c>
      <c r="F17" s="879" t="str">
        <f>IFERROR(__xludf.DUMMYFUNCTION("""COMPUTED_VALUE"""),"X TO 4")</f>
        <v>X TO 4</v>
      </c>
      <c r="G17" s="897" t="str">
        <f>IFERROR(__xludf.DUMMYFUNCTION("""COMPUTED_VALUE"""),"Purwakarta")</f>
        <v>Purwakarta</v>
      </c>
      <c r="H17" s="898">
        <f>IFERROR(__xludf.DUMMYFUNCTION("""COMPUTED_VALUE"""),39815.0)</f>
        <v>39815</v>
      </c>
      <c r="I17" s="897" t="str">
        <f>IFERROR(__xludf.DUMMYFUNCTION("""COMPUTED_VALUE"""),"Laki-Laki")</f>
        <v>Laki-Laki</v>
      </c>
      <c r="J17" s="897" t="str">
        <f>IFERROR(__xludf.DUMMYFUNCTION("""COMPUTED_VALUE"""),"Islam")</f>
        <v>Islam</v>
      </c>
      <c r="K17" s="897" t="str">
        <f>IFERROR(__xludf.DUMMYFUNCTION("""COMPUTED_VALUE"""),"Anak Kandung")</f>
        <v>Anak Kandung</v>
      </c>
      <c r="L17" s="897" t="str">
        <f>IFERROR(__xludf.DUMMYFUNCTION("""COMPUTED_VALUE"""),"2 (Dua)")</f>
        <v>2 (Dua)</v>
      </c>
      <c r="M17" s="897" t="str">
        <f>IFERROR(__xludf.DUMMYFUNCTION("""COMPUTED_VALUE"""),"Kp. Babakan Sawah RT/RW 009/003 Desa Ganda Mekar Kec. Plered Kab.Purwakarta")</f>
        <v>Kp. Babakan Sawah RT/RW 009/003 Desa Ganda Mekar Kec. Plered Kab.Purwakarta</v>
      </c>
      <c r="N17" s="897" t="str">
        <f>IFERROR(__xludf.DUMMYFUNCTION("""COMPUTED_VALUE"""),"-")</f>
        <v>-</v>
      </c>
      <c r="O17" s="897" t="str">
        <f>IFERROR(__xludf.DUMMYFUNCTION("""COMPUTED_VALUE"""),"SMP Negeri 2 Darangdan")</f>
        <v>SMP Negeri 2 Darangdan</v>
      </c>
      <c r="P17" s="897" t="str">
        <f>IFERROR(__xludf.DUMMYFUNCTION("""COMPUTED_VALUE"""),"X TO 4")</f>
        <v>X TO 4</v>
      </c>
      <c r="Q17" s="897" t="str">
        <f>IFERROR(__xludf.DUMMYFUNCTION("""COMPUTED_VALUE"""),"14 Juli 2025")</f>
        <v>14 Juli 2025</v>
      </c>
      <c r="R17" s="897" t="str">
        <f>IFERROR(__xludf.DUMMYFUNCTION("""COMPUTED_VALUE"""),"Baban")</f>
        <v>Baban</v>
      </c>
      <c r="S17" s="897" t="str">
        <f>IFERROR(__xludf.DUMMYFUNCTION("""COMPUTED_VALUE"""),"Ucu Nia Kurniawati")</f>
        <v>Ucu Nia Kurniawati</v>
      </c>
      <c r="T17" s="897" t="str">
        <f>IFERROR(__xludf.DUMMYFUNCTION("""COMPUTED_VALUE"""),"Kp. Babakan Sawah RT 009/003 Desa Ganda Mekar Kec. Plered Kab.Purwakarta")</f>
        <v>Kp. Babakan Sawah RT 009/003 Desa Ganda Mekar Kec. Plered Kab.Purwakarta</v>
      </c>
      <c r="U17" s="897" t="str">
        <f>IFERROR(__xludf.DUMMYFUNCTION("""COMPUTED_VALUE"""),"-")</f>
        <v>-</v>
      </c>
      <c r="V17" s="897" t="str">
        <f>IFERROR(__xludf.DUMMYFUNCTION("""COMPUTED_VALUE"""),"Buruh")</f>
        <v>Buruh</v>
      </c>
      <c r="W17" s="897" t="str">
        <f>IFERROR(__xludf.DUMMYFUNCTION("""COMPUTED_VALUE"""),"Rumah Tangga")</f>
        <v>Rumah Tangga</v>
      </c>
      <c r="X17" s="897" t="str">
        <f>IFERROR(__xludf.DUMMYFUNCTION("""COMPUTED_VALUE"""),"-")</f>
        <v>-</v>
      </c>
      <c r="Y17" s="897" t="str">
        <f>IFERROR(__xludf.DUMMYFUNCTION("""COMPUTED_VALUE"""),"-")</f>
        <v>-</v>
      </c>
      <c r="Z17" s="897" t="str">
        <f>IFERROR(__xludf.DUMMYFUNCTION("""COMPUTED_VALUE"""),"-")</f>
        <v>-</v>
      </c>
      <c r="AA17" s="897"/>
      <c r="AB17" s="897" t="str">
        <f>IFERROR(__xludf.DUMMYFUNCTION("""COMPUTED_VALUE"""),"20229659")</f>
        <v>20229659</v>
      </c>
      <c r="AC17" s="897"/>
      <c r="AD17" s="897" t="str">
        <f>IFERROR(__xludf.DUMMYFUNCTION("""COMPUTED_VALUE"""),"/appsheet/data/InputBiodataRaportX-3328125/FilePDF/JEJEN JAENI-9f94df6f.PDF")</f>
        <v>/appsheet/data/InputBiodataRaportX-3328125/FilePDF/JEJEN JAENI-9f94df6f.PDF</v>
      </c>
      <c r="AE17" s="897" t="str">
        <f>IFERROR(__xludf.DUMMYFUNCTION("""COMPUTED_VALUE"""),"2025 2026")</f>
        <v>2025 2026</v>
      </c>
      <c r="AF17" s="897" t="str">
        <f>IFERROR(__xludf.DUMMYFUNCTION("""COMPUTED_VALUE"""),"Purwakarta, 22 Desember 2025")</f>
        <v>Purwakarta, 22 Desember 2025</v>
      </c>
      <c r="AG17" s="897" t="str">
        <f>IFERROR(__xludf.DUMMYFUNCTION("""COMPUTED_VALUE"""),"X TO 4")</f>
        <v>X TO 4</v>
      </c>
      <c r="AH17" s="897" t="str">
        <f>IFERROR(__xludf.DUMMYFUNCTION("""COMPUTED_VALUE"""),"XI TSM 2")</f>
        <v>XI TSM 2</v>
      </c>
      <c r="AI17" s="897" t="str">
        <f>IFERROR(__xludf.DUMMYFUNCTION("""COMPUTED_VALUE"""),"XII TSM 2")</f>
        <v>XII TSM 2</v>
      </c>
      <c r="AJ17" s="899" t="str">
        <f>IFERROR(__xludf.DUMMYFUNCTION("""COMPUTED_VALUE"""),"XIII TSM 2")</f>
        <v>XIII TSM 2</v>
      </c>
      <c r="AK17" s="884"/>
      <c r="AL17" s="901" t="str">
        <f>IFERROR(__xludf.DUMMYFUNCTION("""COMPUTED_VALUE"""),"X AKL 2")</f>
        <v>X AKL 2</v>
      </c>
      <c r="AM17" s="902" t="str">
        <f>IFERROR(__xludf.DUMMYFUNCTION("""COMPUTED_VALUE"""),"Akuntansi")</f>
        <v>Akuntansi</v>
      </c>
      <c r="AN17" s="914" t="str">
        <f>IFERROR(__xludf.DUMMYFUNCTION("""COMPUTED_VALUE"""),"Akuntansi dan Keuangan Lembaga")</f>
        <v>Akuntansi dan Keuangan Lembaga</v>
      </c>
      <c r="AO17" s="915" t="str">
        <f>IFERROR(__xludf.DUMMYFUNCTION("""COMPUTED_VALUE"""),"Bisnis dan Manajemen")</f>
        <v>Bisnis dan Manajemen</v>
      </c>
      <c r="AP17" s="916" t="str">
        <f>IFERROR(__xludf.DUMMYFUNCTION("""COMPUTED_VALUE"""),"https://script.google.com/macros/s/AKfycbw_lCxFFcWDKl6LUj48J-oD4dtPupOUprr-r8zZc1IdD_Issw18v1O7PNu9lh4bi-k2VA/exec")</f>
        <v>https://script.google.com/macros/s/AKfycbw_lCxFFcWDKl6LUj48J-oD4dtPupOUprr-r8zZc1IdD_Issw18v1O7PNu9lh4bi-k2VA/exec</v>
      </c>
      <c r="AQ17" s="913"/>
      <c r="AR17" s="907" t="str">
        <f>IFERROR(__xludf.DUMMYFUNCTION("""COMPUTED_VALUE"""),"X AKL 2")</f>
        <v>X AKL 2</v>
      </c>
      <c r="AS17" s="908" t="str">
        <f>IFERROR(__xludf.DUMMYFUNCTION("""COMPUTED_VALUE"""),"SRI RATNASARI, S.Pd.")</f>
        <v>SRI RATNASARI, S.Pd.</v>
      </c>
      <c r="AT17" s="925" t="str">
        <f>IFERROR(__xludf.DUMMYFUNCTION("""COMPUTED_VALUE"""),"NIP. 199403032025212193")</f>
        <v>NIP. 199403032025212193</v>
      </c>
      <c r="AU17" s="2"/>
      <c r="AV17" s="842" t="str">
        <f>IFERROR(__xludf.DUMMYFUNCTION("""COMPUTED_VALUE"""),"Provinsi")</f>
        <v>Provinsi</v>
      </c>
      <c r="AW17" s="920" t="str">
        <f>IFERROR(__xludf.DUMMYFUNCTION("""COMPUTED_VALUE"""),"Jawa Barat")</f>
        <v>Jawa Barat</v>
      </c>
      <c r="AX17" s="842"/>
      <c r="AY17" s="2"/>
      <c r="AZ17" s="2"/>
    </row>
    <row r="18" ht="14.25" customHeight="1">
      <c r="A18" s="876">
        <f>IFERROR(__xludf.DUMMYFUNCTION("""COMPUTED_VALUE"""),1743.0)</f>
        <v>1743</v>
      </c>
      <c r="B18" s="876">
        <f>IFERROR(__xludf.DUMMYFUNCTION("""COMPUTED_VALUE"""),15.0)</f>
        <v>15</v>
      </c>
      <c r="C18" s="876" t="str">
        <f>IFERROR(__xludf.DUMMYFUNCTION("""COMPUTED_VALUE"""),"2526100428")</f>
        <v>2526100428</v>
      </c>
      <c r="D18" s="877" t="str">
        <f>IFERROR(__xludf.DUMMYFUNCTION("""COMPUTED_VALUE"""),"0093753099")</f>
        <v>0093753099</v>
      </c>
      <c r="E18" s="878" t="str">
        <f>IFERROR(__xludf.DUMMYFUNCTION("""COMPUTED_VALUE"""),"M.HASAN ASARI")</f>
        <v>M.HASAN ASARI</v>
      </c>
      <c r="F18" s="879" t="str">
        <f>IFERROR(__xludf.DUMMYFUNCTION("""COMPUTED_VALUE"""),"X TO 4")</f>
        <v>X TO 4</v>
      </c>
      <c r="G18" s="897" t="str">
        <f>IFERROR(__xludf.DUMMYFUNCTION("""COMPUTED_VALUE"""),"Purwakarta")</f>
        <v>Purwakarta</v>
      </c>
      <c r="H18" s="898">
        <f>IFERROR(__xludf.DUMMYFUNCTION("""COMPUTED_VALUE"""),39816.0)</f>
        <v>39816</v>
      </c>
      <c r="I18" s="897" t="str">
        <f>IFERROR(__xludf.DUMMYFUNCTION("""COMPUTED_VALUE"""),"Laki-Laki")</f>
        <v>Laki-Laki</v>
      </c>
      <c r="J18" s="897" t="str">
        <f>IFERROR(__xludf.DUMMYFUNCTION("""COMPUTED_VALUE"""),"Islam")</f>
        <v>Islam</v>
      </c>
      <c r="K18" s="897" t="str">
        <f>IFERROR(__xludf.DUMMYFUNCTION("""COMPUTED_VALUE"""),"Anak Kandung")</f>
        <v>Anak Kandung</v>
      </c>
      <c r="L18" s="897" t="str">
        <f>IFERROR(__xludf.DUMMYFUNCTION("""COMPUTED_VALUE"""),"2 (Dua)")</f>
        <v>2 (Dua)</v>
      </c>
      <c r="M18" s="897" t="str">
        <f>IFERROR(__xludf.DUMMYFUNCTION("""COMPUTED_VALUE"""),"Kp. Nanggeleng RT/W 007/003, Desa Depok, Kecamatan Darangdan, Kabupaten Purwakarta")</f>
        <v>Kp. Nanggeleng RT/W 007/003, Desa Depok, Kecamatan Darangdan, Kabupaten Purwakarta</v>
      </c>
      <c r="N18" s="897" t="str">
        <f>IFERROR(__xludf.DUMMYFUNCTION("""COMPUTED_VALUE"""),"-")</f>
        <v>-</v>
      </c>
      <c r="O18" s="897" t="str">
        <f>IFERROR(__xludf.DUMMYFUNCTION("""COMPUTED_VALUE"""),"MTs. Al fatah")</f>
        <v>MTs. Al fatah</v>
      </c>
      <c r="P18" s="897" t="str">
        <f>IFERROR(__xludf.DUMMYFUNCTION("""COMPUTED_VALUE"""),"X TO 4")</f>
        <v>X TO 4</v>
      </c>
      <c r="Q18" s="897" t="str">
        <f>IFERROR(__xludf.DUMMYFUNCTION("""COMPUTED_VALUE"""),"14 Juli 2025")</f>
        <v>14 Juli 2025</v>
      </c>
      <c r="R18" s="897" t="str">
        <f>IFERROR(__xludf.DUMMYFUNCTION("""COMPUTED_VALUE"""),"Jakaria")</f>
        <v>Jakaria</v>
      </c>
      <c r="S18" s="897" t="str">
        <f>IFERROR(__xludf.DUMMYFUNCTION("""COMPUTED_VALUE"""),"Iyan Inayah")</f>
        <v>Iyan Inayah</v>
      </c>
      <c r="T18" s="897" t="str">
        <f>IFERROR(__xludf.DUMMYFUNCTION("""COMPUTED_VALUE"""),"Kp. Nanggeleng RT/W 007/003, Desa Depok, Kecamatan Darangdan, Kabupaten Purwakarta")</f>
        <v>Kp. Nanggeleng RT/W 007/003, Desa Depok, Kecamatan Darangdan, Kabupaten Purwakarta</v>
      </c>
      <c r="U18" s="897" t="str">
        <f>IFERROR(__xludf.DUMMYFUNCTION("""COMPUTED_VALUE"""),"-")</f>
        <v>-</v>
      </c>
      <c r="V18" s="897" t="str">
        <f>IFERROR(__xludf.DUMMYFUNCTION("""COMPUTED_VALUE"""),"Buruh")</f>
        <v>Buruh</v>
      </c>
      <c r="W18" s="897" t="str">
        <f>IFERROR(__xludf.DUMMYFUNCTION("""COMPUTED_VALUE"""),"Rumah Tangga")</f>
        <v>Rumah Tangga</v>
      </c>
      <c r="X18" s="897" t="str">
        <f>IFERROR(__xludf.DUMMYFUNCTION("""COMPUTED_VALUE"""),"-")</f>
        <v>-</v>
      </c>
      <c r="Y18" s="897" t="str">
        <f>IFERROR(__xludf.DUMMYFUNCTION("""COMPUTED_VALUE"""),"-")</f>
        <v>-</v>
      </c>
      <c r="Z18" s="897" t="str">
        <f>IFERROR(__xludf.DUMMYFUNCTION("""COMPUTED_VALUE"""),"-")</f>
        <v>-</v>
      </c>
      <c r="AA18" s="897"/>
      <c r="AB18" s="897" t="str">
        <f>IFERROR(__xludf.DUMMYFUNCTION("""COMPUTED_VALUE"""),"20229659")</f>
        <v>20229659</v>
      </c>
      <c r="AC18" s="897"/>
      <c r="AD18" s="897" t="str">
        <f>IFERROR(__xludf.DUMMYFUNCTION("""COMPUTED_VALUE"""),"/appsheet/data/InputBiodataRaportX-3328125/FilePDF/M.HASAN ASARI-4b637458.PDF")</f>
        <v>/appsheet/data/InputBiodataRaportX-3328125/FilePDF/M.HASAN ASARI-4b637458.PDF</v>
      </c>
      <c r="AE18" s="897" t="str">
        <f>IFERROR(__xludf.DUMMYFUNCTION("""COMPUTED_VALUE"""),"2025 2026")</f>
        <v>2025 2026</v>
      </c>
      <c r="AF18" s="897" t="str">
        <f>IFERROR(__xludf.DUMMYFUNCTION("""COMPUTED_VALUE"""),"Purwakarta, 22 Desember 2025")</f>
        <v>Purwakarta, 22 Desember 2025</v>
      </c>
      <c r="AG18" s="897" t="str">
        <f>IFERROR(__xludf.DUMMYFUNCTION("""COMPUTED_VALUE"""),"X TO 4")</f>
        <v>X TO 4</v>
      </c>
      <c r="AH18" s="897" t="str">
        <f>IFERROR(__xludf.DUMMYFUNCTION("""COMPUTED_VALUE"""),"XI TSM 2")</f>
        <v>XI TSM 2</v>
      </c>
      <c r="AI18" s="897" t="str">
        <f>IFERROR(__xludf.DUMMYFUNCTION("""COMPUTED_VALUE"""),"XII TSM 2")</f>
        <v>XII TSM 2</v>
      </c>
      <c r="AJ18" s="899" t="str">
        <f>IFERROR(__xludf.DUMMYFUNCTION("""COMPUTED_VALUE"""),"XIII TSM 2")</f>
        <v>XIII TSM 2</v>
      </c>
      <c r="AK18" s="884"/>
      <c r="AL18" s="901" t="str">
        <f>IFERROR(__xludf.DUMMYFUNCTION("""COMPUTED_VALUE"""),"X PHT")</f>
        <v>X PHT</v>
      </c>
      <c r="AM18" s="902" t="str">
        <f>IFERROR(__xludf.DUMMYFUNCTION("""COMPUTED_VALUE"""),"Perhotelan")</f>
        <v>Perhotelan</v>
      </c>
      <c r="AN18" s="903" t="str">
        <f>IFERROR(__xludf.DUMMYFUNCTION("""COMPUTED_VALUE"""),"Perhotelan")</f>
        <v>Perhotelan</v>
      </c>
      <c r="AO18" s="904" t="str">
        <f>IFERROR(__xludf.DUMMYFUNCTION("""COMPUTED_VALUE"""),"Pariwisata")</f>
        <v>Pariwisata</v>
      </c>
      <c r="AP18" s="905" t="str">
        <f>IFERROR(__xludf.DUMMYFUNCTION("""COMPUTED_VALUE"""),"https://script.google.com/macros/s/AKfycbyq05o4rDN10lVt-IgB1jTXQ7YW3RZBa2gHILzaWOPjtdKOU3fVYs4pEtrwN8l1sQkspw/exec")</f>
        <v>https://script.google.com/macros/s/AKfycbyq05o4rDN10lVt-IgB1jTXQ7YW3RZBa2gHILzaWOPjtdKOU3fVYs4pEtrwN8l1sQkspw/exec</v>
      </c>
      <c r="AQ18" s="913"/>
      <c r="AR18" s="907" t="str">
        <f>IFERROR(__xludf.DUMMYFUNCTION("""COMPUTED_VALUE"""),"X PHT")</f>
        <v>X PHT</v>
      </c>
      <c r="AS18" s="908" t="str">
        <f>IFERROR(__xludf.DUMMYFUNCTION("""COMPUTED_VALUE"""),"HERI JUNAEDI, S.E.")</f>
        <v>HERI JUNAEDI, S.E.</v>
      </c>
      <c r="AT18" s="911" t="str">
        <f>IFERROR(__xludf.DUMMYFUNCTION("""COMPUTED_VALUE"""),"NIP. 196907222025211018")</f>
        <v>NIP. 196907222025211018</v>
      </c>
      <c r="AU18" s="2"/>
      <c r="AV18" s="842" t="str">
        <f>IFERROR(__xludf.DUMMYFUNCTION("""COMPUTED_VALUE"""),"Website")</f>
        <v>Website</v>
      </c>
      <c r="AW18" s="931" t="str">
        <f>IFERROR(__xludf.DUMMYFUNCTION("""COMPUTED_VALUE"""),"smknegeri1plered.sch.id")</f>
        <v>smknegeri1plered.sch.id</v>
      </c>
      <c r="AX18" s="842"/>
      <c r="AY18" s="2"/>
      <c r="AZ18" s="2"/>
    </row>
    <row r="19" ht="14.25" customHeight="1">
      <c r="A19" s="876">
        <f>IFERROR(__xludf.DUMMYFUNCTION("""COMPUTED_VALUE"""),1744.0)</f>
        <v>1744</v>
      </c>
      <c r="B19" s="876">
        <f>IFERROR(__xludf.DUMMYFUNCTION("""COMPUTED_VALUE"""),16.0)</f>
        <v>16</v>
      </c>
      <c r="C19" s="876" t="str">
        <f>IFERROR(__xludf.DUMMYFUNCTION("""COMPUTED_VALUE"""),"2526100429")</f>
        <v>2526100429</v>
      </c>
      <c r="D19" s="877" t="str">
        <f>IFERROR(__xludf.DUMMYFUNCTION("""COMPUTED_VALUE"""),"0105910447")</f>
        <v>0105910447</v>
      </c>
      <c r="E19" s="878" t="str">
        <f>IFERROR(__xludf.DUMMYFUNCTION("""COMPUTED_VALUE"""),"MUHAMAD ABIB RIZAL")</f>
        <v>MUHAMAD ABIB RIZAL</v>
      </c>
      <c r="F19" s="879" t="str">
        <f>IFERROR(__xludf.DUMMYFUNCTION("""COMPUTED_VALUE"""),"X TO 4")</f>
        <v>X TO 4</v>
      </c>
      <c r="G19" s="897" t="str">
        <f>IFERROR(__xludf.DUMMYFUNCTION("""COMPUTED_VALUE"""),"Purwakarta")</f>
        <v>Purwakarta</v>
      </c>
      <c r="H19" s="898">
        <f>IFERROR(__xludf.DUMMYFUNCTION("""COMPUTED_VALUE"""),40265.0)</f>
        <v>40265</v>
      </c>
      <c r="I19" s="897" t="str">
        <f>IFERROR(__xludf.DUMMYFUNCTION("""COMPUTED_VALUE"""),"Laki-Laki")</f>
        <v>Laki-Laki</v>
      </c>
      <c r="J19" s="897" t="str">
        <f>IFERROR(__xludf.DUMMYFUNCTION("""COMPUTED_VALUE"""),"Islam")</f>
        <v>Islam</v>
      </c>
      <c r="K19" s="897" t="str">
        <f>IFERROR(__xludf.DUMMYFUNCTION("""COMPUTED_VALUE"""),"Anak Kandung")</f>
        <v>Anak Kandung</v>
      </c>
      <c r="L19" s="897" t="str">
        <f>IFERROR(__xludf.DUMMYFUNCTION("""COMPUTED_VALUE"""),"3 (Tiga)")</f>
        <v>3 (Tiga)</v>
      </c>
      <c r="M19" s="897" t="str">
        <f>IFERROR(__xludf.DUMMYFUNCTION("""COMPUTED_VALUE"""),"Kp. Cihuni RT/RW 015/003 Desa Sukamulya Kec. Tegalwaru Kab. Purwakarta")</f>
        <v>Kp. Cihuni RT/RW 015/003 Desa Sukamulya Kec. Tegalwaru Kab. Purwakarta</v>
      </c>
      <c r="N19" s="897" t="str">
        <f>IFERROR(__xludf.DUMMYFUNCTION("""COMPUTED_VALUE"""),"-")</f>
        <v>-</v>
      </c>
      <c r="O19" s="897" t="str">
        <f>IFERROR(__xludf.DUMMYFUNCTION("""COMPUTED_VALUE"""),"SMP Negeri 2 Tegalwaru")</f>
        <v>SMP Negeri 2 Tegalwaru</v>
      </c>
      <c r="P19" s="897" t="str">
        <f>IFERROR(__xludf.DUMMYFUNCTION("""COMPUTED_VALUE"""),"X TO 4")</f>
        <v>X TO 4</v>
      </c>
      <c r="Q19" s="897" t="str">
        <f>IFERROR(__xludf.DUMMYFUNCTION("""COMPUTED_VALUE"""),"14 Juli 2025")</f>
        <v>14 Juli 2025</v>
      </c>
      <c r="R19" s="897" t="str">
        <f>IFERROR(__xludf.DUMMYFUNCTION("""COMPUTED_VALUE"""),"Odi Suryadi")</f>
        <v>Odi Suryadi</v>
      </c>
      <c r="S19" s="897" t="str">
        <f>IFERROR(__xludf.DUMMYFUNCTION("""COMPUTED_VALUE"""),"Yayah Sobariah")</f>
        <v>Yayah Sobariah</v>
      </c>
      <c r="T19" s="897" t="str">
        <f>IFERROR(__xludf.DUMMYFUNCTION("""COMPUTED_VALUE"""),"Kp. Cihuni RT/RW 015/003 Desa Sukamulya Kec. Tegalwaru Kab. Purwakarta")</f>
        <v>Kp. Cihuni RT/RW 015/003 Desa Sukamulya Kec. Tegalwaru Kab. Purwakarta</v>
      </c>
      <c r="U19" s="897" t="str">
        <f>IFERROR(__xludf.DUMMYFUNCTION("""COMPUTED_VALUE"""),"-")</f>
        <v>-</v>
      </c>
      <c r="V19" s="897" t="str">
        <f>IFERROR(__xludf.DUMMYFUNCTION("""COMPUTED_VALUE"""),"Buruh")</f>
        <v>Buruh</v>
      </c>
      <c r="W19" s="897" t="str">
        <f>IFERROR(__xludf.DUMMYFUNCTION("""COMPUTED_VALUE"""),"Rumah Tangga")</f>
        <v>Rumah Tangga</v>
      </c>
      <c r="X19" s="897"/>
      <c r="Y19" s="897"/>
      <c r="Z19" s="897"/>
      <c r="AA19" s="897"/>
      <c r="AB19" s="897" t="str">
        <f>IFERROR(__xludf.DUMMYFUNCTION("""COMPUTED_VALUE"""),"20229659")</f>
        <v>20229659</v>
      </c>
      <c r="AC19" s="897"/>
      <c r="AD19" s="897" t="str">
        <f>IFERROR(__xludf.DUMMYFUNCTION("""COMPUTED_VALUE"""),"/appsheet/data/InputBiodataRaportX-3328125/FilePDF/MUHAMAD ABIB RIZAL-69d64c11.PDF")</f>
        <v>/appsheet/data/InputBiodataRaportX-3328125/FilePDF/MUHAMAD ABIB RIZAL-69d64c11.PDF</v>
      </c>
      <c r="AE19" s="897" t="str">
        <f>IFERROR(__xludf.DUMMYFUNCTION("""COMPUTED_VALUE"""),"2025 2026")</f>
        <v>2025 2026</v>
      </c>
      <c r="AF19" s="897" t="str">
        <f>IFERROR(__xludf.DUMMYFUNCTION("""COMPUTED_VALUE"""),"Purwakarta, 22 Desember 2025")</f>
        <v>Purwakarta, 22 Desember 2025</v>
      </c>
      <c r="AG19" s="897" t="str">
        <f>IFERROR(__xludf.DUMMYFUNCTION("""COMPUTED_VALUE"""),"X TO 4")</f>
        <v>X TO 4</v>
      </c>
      <c r="AH19" s="897" t="str">
        <f>IFERROR(__xludf.DUMMYFUNCTION("""COMPUTED_VALUE"""),"XI TSM 2")</f>
        <v>XI TSM 2</v>
      </c>
      <c r="AI19" s="897" t="str">
        <f>IFERROR(__xludf.DUMMYFUNCTION("""COMPUTED_VALUE"""),"XII TSM 2")</f>
        <v>XII TSM 2</v>
      </c>
      <c r="AJ19" s="899" t="str">
        <f>IFERROR(__xludf.DUMMYFUNCTION("""COMPUTED_VALUE"""),"XIII TSM 2")</f>
        <v>XIII TSM 2</v>
      </c>
      <c r="AK19" s="884"/>
      <c r="AL19" s="901" t="str">
        <f>IFERROR(__xludf.DUMMYFUNCTION("""COMPUTED_VALUE"""),"X KUL")</f>
        <v>X KUL</v>
      </c>
      <c r="AM19" s="902" t="str">
        <f>IFERROR(__xludf.DUMMYFUNCTION("""COMPUTED_VALUE"""),"Kuliner")</f>
        <v>Kuliner</v>
      </c>
      <c r="AN19" s="903" t="str">
        <f>IFERROR(__xludf.DUMMYFUNCTION("""COMPUTED_VALUE"""),"Kuliner")</f>
        <v>Kuliner</v>
      </c>
      <c r="AO19" s="904" t="str">
        <f>IFERROR(__xludf.DUMMYFUNCTION("""COMPUTED_VALUE"""),"Pariwisata")</f>
        <v>Pariwisata</v>
      </c>
      <c r="AP19" s="905" t="str">
        <f>IFERROR(__xludf.DUMMYFUNCTION("""COMPUTED_VALUE"""),"https://script.google.com/macros/s/AKfycbzdQ4eYVkxjH0GgSMoQ-RGTq50443ifzoPA9go_yZsW51FV4wD3MPR_VVURnHtV5EmI/exec")</f>
        <v>https://script.google.com/macros/s/AKfycbzdQ4eYVkxjH0GgSMoQ-RGTq50443ifzoPA9go_yZsW51FV4wD3MPR_VVURnHtV5EmI/exec</v>
      </c>
      <c r="AQ19" s="913"/>
      <c r="AR19" s="907" t="str">
        <f>IFERROR(__xludf.DUMMYFUNCTION("""COMPUTED_VALUE"""),"X KUL")</f>
        <v>X KUL</v>
      </c>
      <c r="AS19" s="908" t="str">
        <f>IFERROR(__xludf.DUMMYFUNCTION("""COMPUTED_VALUE"""),"ASTRILIANI DADARA, S.Pd.")</f>
        <v>ASTRILIANI DADARA, S.Pd.</v>
      </c>
      <c r="AT19" s="911" t="str">
        <f>IFERROR(__xludf.DUMMYFUNCTION("""COMPUTED_VALUE"""),"NIP. 197904232023212006")</f>
        <v>NIP. 197904232023212006</v>
      </c>
      <c r="AU19" s="2"/>
      <c r="AV19" s="842" t="str">
        <f>IFERROR(__xludf.DUMMYFUNCTION("""COMPUTED_VALUE"""),"Email")</f>
        <v>Email</v>
      </c>
      <c r="AW19" s="920" t="str">
        <f>IFERROR(__xludf.DUMMYFUNCTION("""COMPUTED_VALUE"""),"smkneple@gmail.com")</f>
        <v>smkneple@gmail.com</v>
      </c>
      <c r="AX19" s="842"/>
      <c r="AY19" s="2"/>
      <c r="AZ19" s="2"/>
    </row>
    <row r="20" ht="14.25" customHeight="1">
      <c r="A20" s="876">
        <f>IFERROR(__xludf.DUMMYFUNCTION("""COMPUTED_VALUE"""),1745.0)</f>
        <v>1745</v>
      </c>
      <c r="B20" s="876">
        <f>IFERROR(__xludf.DUMMYFUNCTION("""COMPUTED_VALUE"""),17.0)</f>
        <v>17</v>
      </c>
      <c r="C20" s="876" t="str">
        <f>IFERROR(__xludf.DUMMYFUNCTION("""COMPUTED_VALUE"""),"2526100430")</f>
        <v>2526100430</v>
      </c>
      <c r="D20" s="877" t="str">
        <f>IFERROR(__xludf.DUMMYFUNCTION("""COMPUTED_VALUE"""),"0099084784")</f>
        <v>0099084784</v>
      </c>
      <c r="E20" s="878" t="str">
        <f>IFERROR(__xludf.DUMMYFUNCTION("""COMPUTED_VALUE"""),"MUHAMAD AL FARIZ")</f>
        <v>MUHAMAD AL FARIZ</v>
      </c>
      <c r="F20" s="879" t="str">
        <f>IFERROR(__xludf.DUMMYFUNCTION("""COMPUTED_VALUE"""),"X TO 4")</f>
        <v>X TO 4</v>
      </c>
      <c r="G20" s="897" t="str">
        <f>IFERROR(__xludf.DUMMYFUNCTION("""COMPUTED_VALUE"""),"Purwakarta")</f>
        <v>Purwakarta</v>
      </c>
      <c r="H20" s="898">
        <f>IFERROR(__xludf.DUMMYFUNCTION("""COMPUTED_VALUE"""),40075.0)</f>
        <v>40075</v>
      </c>
      <c r="I20" s="897" t="str">
        <f>IFERROR(__xludf.DUMMYFUNCTION("""COMPUTED_VALUE"""),"Laki-Laki")</f>
        <v>Laki-Laki</v>
      </c>
      <c r="J20" s="897" t="str">
        <f>IFERROR(__xludf.DUMMYFUNCTION("""COMPUTED_VALUE"""),"Islam")</f>
        <v>Islam</v>
      </c>
      <c r="K20" s="897" t="str">
        <f>IFERROR(__xludf.DUMMYFUNCTION("""COMPUTED_VALUE"""),"Anak Kandung")</f>
        <v>Anak Kandung</v>
      </c>
      <c r="L20" s="897" t="str">
        <f>IFERROR(__xludf.DUMMYFUNCTION("""COMPUTED_VALUE"""),"1 (Satu)")</f>
        <v>1 (Satu)</v>
      </c>
      <c r="M20" s="897" t="str">
        <f>IFERROR(__xludf.DUMMYFUNCTION("""COMPUTED_VALUE"""),"Kp. Tegal Astana RT/RW 020/006 Desa Liunggunung Kec.Plered Kab. Purwakarta")</f>
        <v>Kp. Tegal Astana RT/RW 020/006 Desa Liunggunung Kec.Plered Kab. Purwakarta</v>
      </c>
      <c r="N20" s="897" t="str">
        <f>IFERROR(__xludf.DUMMYFUNCTION("""COMPUTED_VALUE"""),"-")</f>
        <v>-</v>
      </c>
      <c r="O20" s="897" t="str">
        <f>IFERROR(__xludf.DUMMYFUNCTION("""COMPUTED_VALUE"""),"SMPN Satu Atap Terpadu 1 Linggarsari")</f>
        <v>SMPN Satu Atap Terpadu 1 Linggarsari</v>
      </c>
      <c r="P20" s="897" t="str">
        <f>IFERROR(__xludf.DUMMYFUNCTION("""COMPUTED_VALUE"""),"X TO 4")</f>
        <v>X TO 4</v>
      </c>
      <c r="Q20" s="897" t="str">
        <f>IFERROR(__xludf.DUMMYFUNCTION("""COMPUTED_VALUE"""),"14 Juli 2025")</f>
        <v>14 Juli 2025</v>
      </c>
      <c r="R20" s="897" t="str">
        <f>IFERROR(__xludf.DUMMYFUNCTION("""COMPUTED_VALUE"""),"Agus Muharam Budiansah")</f>
        <v>Agus Muharam Budiansah</v>
      </c>
      <c r="S20" s="897" t="str">
        <f>IFERROR(__xludf.DUMMYFUNCTION("""COMPUTED_VALUE"""),"RD Liry Nurul Qolby Ridhoyani")</f>
        <v>RD Liry Nurul Qolby Ridhoyani</v>
      </c>
      <c r="T20" s="897" t="str">
        <f>IFERROR(__xludf.DUMMYFUNCTION("""COMPUTED_VALUE"""),"Kp. Tegal Astana RT 020/006 Desa Liunggunung Kec.Plered Kab. Purwakarta")</f>
        <v>Kp. Tegal Astana RT 020/006 Desa Liunggunung Kec.Plered Kab. Purwakarta</v>
      </c>
      <c r="U20" s="897" t="str">
        <f>IFERROR(__xludf.DUMMYFUNCTION("""COMPUTED_VALUE"""),"-")</f>
        <v>-</v>
      </c>
      <c r="V20" s="897" t="str">
        <f>IFERROR(__xludf.DUMMYFUNCTION("""COMPUTED_VALUE"""),"Pegawai Swasta")</f>
        <v>Pegawai Swasta</v>
      </c>
      <c r="W20" s="897" t="str">
        <f>IFERROR(__xludf.DUMMYFUNCTION("""COMPUTED_VALUE"""),"Rumah Tangga")</f>
        <v>Rumah Tangga</v>
      </c>
      <c r="X20" s="897" t="str">
        <f>IFERROR(__xludf.DUMMYFUNCTION("""COMPUTED_VALUE"""),"-")</f>
        <v>-</v>
      </c>
      <c r="Y20" s="897" t="str">
        <f>IFERROR(__xludf.DUMMYFUNCTION("""COMPUTED_VALUE"""),"-")</f>
        <v>-</v>
      </c>
      <c r="Z20" s="897" t="str">
        <f>IFERROR(__xludf.DUMMYFUNCTION("""COMPUTED_VALUE"""),"-")</f>
        <v>-</v>
      </c>
      <c r="AA20" s="897"/>
      <c r="AB20" s="897" t="str">
        <f>IFERROR(__xludf.DUMMYFUNCTION("""COMPUTED_VALUE"""),"20229659")</f>
        <v>20229659</v>
      </c>
      <c r="AC20" s="897"/>
      <c r="AD20" s="897" t="str">
        <f>IFERROR(__xludf.DUMMYFUNCTION("""COMPUTED_VALUE"""),"/appsheet/data/InputBiodataRaportX-3328125/FilePDF/MUHAMAD AL FARIZ-a823e995.PDF")</f>
        <v>/appsheet/data/InputBiodataRaportX-3328125/FilePDF/MUHAMAD AL FARIZ-a823e995.PDF</v>
      </c>
      <c r="AE20" s="897" t="str">
        <f>IFERROR(__xludf.DUMMYFUNCTION("""COMPUTED_VALUE"""),"2025 2026")</f>
        <v>2025 2026</v>
      </c>
      <c r="AF20" s="897" t="str">
        <f>IFERROR(__xludf.DUMMYFUNCTION("""COMPUTED_VALUE"""),"Purwakarta, 22 Desember 2025")</f>
        <v>Purwakarta, 22 Desember 2025</v>
      </c>
      <c r="AG20" s="897" t="str">
        <f>IFERROR(__xludf.DUMMYFUNCTION("""COMPUTED_VALUE"""),"X TO 4")</f>
        <v>X TO 4</v>
      </c>
      <c r="AH20" s="897" t="str">
        <f>IFERROR(__xludf.DUMMYFUNCTION("""COMPUTED_VALUE"""),"XI TSM 2")</f>
        <v>XI TSM 2</v>
      </c>
      <c r="AI20" s="897" t="str">
        <f>IFERROR(__xludf.DUMMYFUNCTION("""COMPUTED_VALUE"""),"XII TSM 2")</f>
        <v>XII TSM 2</v>
      </c>
      <c r="AJ20" s="899" t="str">
        <f>IFERROR(__xludf.DUMMYFUNCTION("""COMPUTED_VALUE"""),"XIII TSM 2")</f>
        <v>XIII TSM 2</v>
      </c>
      <c r="AK20" s="884"/>
      <c r="AL20" s="901"/>
      <c r="AM20" s="902" t="str">
        <f>IFERROR(__xludf.DUMMYFUNCTION("""COMPUTED_VALUE"""),"")</f>
        <v/>
      </c>
      <c r="AN20" s="932" t="str">
        <f>IFERROR(__xludf.DUMMYFUNCTION("""COMPUTED_VALUE"""),"")</f>
        <v/>
      </c>
      <c r="AO20" s="933" t="str">
        <f>IFERROR(__xludf.DUMMYFUNCTION("""COMPUTED_VALUE"""),"")</f>
        <v/>
      </c>
      <c r="AP20" s="934" t="str">
        <f>IFERROR(__xludf.DUMMYFUNCTION("""COMPUTED_VALUE"""),"#N/A")</f>
        <v>#N/A</v>
      </c>
      <c r="AQ20" s="913"/>
      <c r="AR20" s="935"/>
      <c r="AS20" s="936"/>
      <c r="AT20" s="909" t="str">
        <f>IFERROR(__xludf.DUMMYFUNCTION("""COMPUTED_VALUE"""),"#N/A")</f>
        <v>#N/A</v>
      </c>
      <c r="AU20" s="2"/>
      <c r="AV20" s="842" t="str">
        <f>IFERROR(__xludf.DUMMYFUNCTION("""COMPUTED_VALUE"""),"Tgl. Titimangsa")</f>
        <v>Tgl. Titimangsa</v>
      </c>
      <c r="AW20" s="920" t="str">
        <f>IFERROR(__xludf.DUMMYFUNCTION("""COMPUTED_VALUE"""),"Purwakarta, 20 Desember 2024")</f>
        <v>Purwakarta, 20 Desember 2024</v>
      </c>
      <c r="AX20" s="842"/>
      <c r="AY20" s="2"/>
      <c r="AZ20" s="2"/>
    </row>
    <row r="21" ht="14.25" customHeight="1">
      <c r="A21" s="876">
        <f>IFERROR(__xludf.DUMMYFUNCTION("""COMPUTED_VALUE"""),1746.0)</f>
        <v>1746</v>
      </c>
      <c r="B21" s="876">
        <f>IFERROR(__xludf.DUMMYFUNCTION("""COMPUTED_VALUE"""),18.0)</f>
        <v>18</v>
      </c>
      <c r="C21" s="876" t="str">
        <f>IFERROR(__xludf.DUMMYFUNCTION("""COMPUTED_VALUE"""),"2526100431")</f>
        <v>2526100431</v>
      </c>
      <c r="D21" s="877" t="str">
        <f>IFERROR(__xludf.DUMMYFUNCTION("""COMPUTED_VALUE"""),"0092469837")</f>
        <v>0092469837</v>
      </c>
      <c r="E21" s="878" t="str">
        <f>IFERROR(__xludf.DUMMYFUNCTION("""COMPUTED_VALUE"""),"MUHAMAD ASRUL")</f>
        <v>MUHAMAD ASRUL</v>
      </c>
      <c r="F21" s="879" t="str">
        <f>IFERROR(__xludf.DUMMYFUNCTION("""COMPUTED_VALUE"""),"X TO 4")</f>
        <v>X TO 4</v>
      </c>
      <c r="G21" s="897" t="str">
        <f>IFERROR(__xludf.DUMMYFUNCTION("""COMPUTED_VALUE"""),"Purwakarta")</f>
        <v>Purwakarta</v>
      </c>
      <c r="H21" s="898">
        <f>IFERROR(__xludf.DUMMYFUNCTION("""COMPUTED_VALUE"""),40041.0)</f>
        <v>40041</v>
      </c>
      <c r="I21" s="897" t="str">
        <f>IFERROR(__xludf.DUMMYFUNCTION("""COMPUTED_VALUE"""),"Laki-Laki")</f>
        <v>Laki-Laki</v>
      </c>
      <c r="J21" s="897" t="str">
        <f>IFERROR(__xludf.DUMMYFUNCTION("""COMPUTED_VALUE"""),"Islam")</f>
        <v>Islam</v>
      </c>
      <c r="K21" s="897" t="str">
        <f>IFERROR(__xludf.DUMMYFUNCTION("""COMPUTED_VALUE"""),"Anak Kandung")</f>
        <v>Anak Kandung</v>
      </c>
      <c r="L21" s="897" t="str">
        <f>IFERROR(__xludf.DUMMYFUNCTION("""COMPUTED_VALUE"""),"1 (Satu)")</f>
        <v>1 (Satu)</v>
      </c>
      <c r="M21" s="897" t="str">
        <f>IFERROR(__xludf.DUMMYFUNCTION("""COMPUTED_VALUE"""),"Kp. Baru RT/W 005/003, Desa Citeko, Kecamatan Plered, Kabupaten Purwakarta")</f>
        <v>Kp. Baru RT/W 005/003, Desa Citeko, Kecamatan Plered, Kabupaten Purwakarta</v>
      </c>
      <c r="N21" s="897" t="str">
        <f>IFERROR(__xludf.DUMMYFUNCTION("""COMPUTED_VALUE"""),"-")</f>
        <v>-</v>
      </c>
      <c r="O21" s="897" t="str">
        <f>IFERROR(__xludf.DUMMYFUNCTION("""COMPUTED_VALUE"""),"SMP Negeri 1 Plered")</f>
        <v>SMP Negeri 1 Plered</v>
      </c>
      <c r="P21" s="897" t="str">
        <f>IFERROR(__xludf.DUMMYFUNCTION("""COMPUTED_VALUE"""),"X TO 4")</f>
        <v>X TO 4</v>
      </c>
      <c r="Q21" s="897" t="str">
        <f>IFERROR(__xludf.DUMMYFUNCTION("""COMPUTED_VALUE"""),"14 Juli 2025")</f>
        <v>14 Juli 2025</v>
      </c>
      <c r="R21" s="897" t="str">
        <f>IFERROR(__xludf.DUMMYFUNCTION("""COMPUTED_VALUE"""),"Ade Indra")</f>
        <v>Ade Indra</v>
      </c>
      <c r="S21" s="897" t="str">
        <f>IFERROR(__xludf.DUMMYFUNCTION("""COMPUTED_VALUE"""),"Ratna Juwita")</f>
        <v>Ratna Juwita</v>
      </c>
      <c r="T21" s="897" t="str">
        <f>IFERROR(__xludf.DUMMYFUNCTION("""COMPUTED_VALUE"""),"Kp. Baru RT/W 005/003, Desa Citeko, Kecamatan Plered, Kabupaten Purwakarta")</f>
        <v>Kp. Baru RT/W 005/003, Desa Citeko, Kecamatan Plered, Kabupaten Purwakarta</v>
      </c>
      <c r="U21" s="897" t="str">
        <f>IFERROR(__xludf.DUMMYFUNCTION("""COMPUTED_VALUE"""),"-")</f>
        <v>-</v>
      </c>
      <c r="V21" s="897"/>
      <c r="W21" s="897" t="str">
        <f>IFERROR(__xludf.DUMMYFUNCTION("""COMPUTED_VALUE"""),"Rumah Tangga")</f>
        <v>Rumah Tangga</v>
      </c>
      <c r="X21" s="897" t="str">
        <f>IFERROR(__xludf.DUMMYFUNCTION("""COMPUTED_VALUE"""),"-")</f>
        <v>-</v>
      </c>
      <c r="Y21" s="897" t="str">
        <f>IFERROR(__xludf.DUMMYFUNCTION("""COMPUTED_VALUE"""),"-")</f>
        <v>-</v>
      </c>
      <c r="Z21" s="897" t="str">
        <f>IFERROR(__xludf.DUMMYFUNCTION("""COMPUTED_VALUE"""),"-")</f>
        <v>-</v>
      </c>
      <c r="AA21" s="897"/>
      <c r="AB21" s="897" t="str">
        <f>IFERROR(__xludf.DUMMYFUNCTION("""COMPUTED_VALUE"""),"20229659")</f>
        <v>20229659</v>
      </c>
      <c r="AC21" s="897"/>
      <c r="AD21" s="897" t="str">
        <f>IFERROR(__xludf.DUMMYFUNCTION("""COMPUTED_VALUE"""),"/appsheet/data/InputBiodataRaportX-3328125/FilePDF/MUHAMAD ASRUL-7577e93c.PDF")</f>
        <v>/appsheet/data/InputBiodataRaportX-3328125/FilePDF/MUHAMAD ASRUL-7577e93c.PDF</v>
      </c>
      <c r="AE21" s="897" t="str">
        <f>IFERROR(__xludf.DUMMYFUNCTION("""COMPUTED_VALUE"""),"2025 2026")</f>
        <v>2025 2026</v>
      </c>
      <c r="AF21" s="897" t="str">
        <f>IFERROR(__xludf.DUMMYFUNCTION("""COMPUTED_VALUE"""),"Purwakarta, 22 Desember 2025")</f>
        <v>Purwakarta, 22 Desember 2025</v>
      </c>
      <c r="AG21" s="897" t="str">
        <f>IFERROR(__xludf.DUMMYFUNCTION("""COMPUTED_VALUE"""),"X TO 4")</f>
        <v>X TO 4</v>
      </c>
      <c r="AH21" s="897" t="str">
        <f>IFERROR(__xludf.DUMMYFUNCTION("""COMPUTED_VALUE"""),"XI TSM 2")</f>
        <v>XI TSM 2</v>
      </c>
      <c r="AI21" s="897" t="str">
        <f>IFERROR(__xludf.DUMMYFUNCTION("""COMPUTED_VALUE"""),"XII TSM 2")</f>
        <v>XII TSM 2</v>
      </c>
      <c r="AJ21" s="899" t="str">
        <f>IFERROR(__xludf.DUMMYFUNCTION("""COMPUTED_VALUE"""),"XIII TSM 2")</f>
        <v>XIII TSM 2</v>
      </c>
      <c r="AK21" s="884"/>
      <c r="AL21" s="901"/>
      <c r="AM21" s="902" t="str">
        <f>IFERROR(__xludf.DUMMYFUNCTION("""COMPUTED_VALUE"""),"")</f>
        <v/>
      </c>
      <c r="AN21" s="932" t="str">
        <f>IFERROR(__xludf.DUMMYFUNCTION("""COMPUTED_VALUE"""),"")</f>
        <v/>
      </c>
      <c r="AO21" s="933" t="str">
        <f>IFERROR(__xludf.DUMMYFUNCTION("""COMPUTED_VALUE"""),"")</f>
        <v/>
      </c>
      <c r="AP21" s="934" t="str">
        <f>IFERROR(__xludf.DUMMYFUNCTION("""COMPUTED_VALUE"""),"#N/A")</f>
        <v>#N/A</v>
      </c>
      <c r="AQ21" s="913"/>
      <c r="AR21" s="935"/>
      <c r="AS21" s="936"/>
      <c r="AT21" s="909" t="str">
        <f>IFERROR(__xludf.DUMMYFUNCTION("""COMPUTED_VALUE"""),"#N/A")</f>
        <v>#N/A</v>
      </c>
      <c r="AU21" s="2"/>
      <c r="AV21" s="842" t="str">
        <f>IFERROR(__xludf.DUMMYFUNCTION("""COMPUTED_VALUE"""),"Nama Kepsek")</f>
        <v>Nama Kepsek</v>
      </c>
      <c r="AW21" s="920" t="str">
        <f>IFERROR(__xludf.DUMMYFUNCTION("""COMPUTED_VALUE"""),"WAHYU TAMIMBARKAH, S,Pd.")</f>
        <v>WAHYU TAMIMBARKAH, S,Pd.</v>
      </c>
      <c r="AX21" s="842"/>
      <c r="AY21" s="2"/>
      <c r="AZ21" s="2"/>
    </row>
    <row r="22" ht="14.25" customHeight="1">
      <c r="A22" s="876">
        <f>IFERROR(__xludf.DUMMYFUNCTION("""COMPUTED_VALUE"""),1747.0)</f>
        <v>1747</v>
      </c>
      <c r="B22" s="876">
        <f>IFERROR(__xludf.DUMMYFUNCTION("""COMPUTED_VALUE"""),19.0)</f>
        <v>19</v>
      </c>
      <c r="C22" s="876" t="str">
        <f>IFERROR(__xludf.DUMMYFUNCTION("""COMPUTED_VALUE"""),"2526100432")</f>
        <v>2526100432</v>
      </c>
      <c r="D22" s="877" t="str">
        <f>IFERROR(__xludf.DUMMYFUNCTION("""COMPUTED_VALUE"""),"0099940282")</f>
        <v>0099940282</v>
      </c>
      <c r="E22" s="878" t="str">
        <f>IFERROR(__xludf.DUMMYFUNCTION("""COMPUTED_VALUE"""),"MUHAMAD FARHAN")</f>
        <v>MUHAMAD FARHAN</v>
      </c>
      <c r="F22" s="879" t="str">
        <f>IFERROR(__xludf.DUMMYFUNCTION("""COMPUTED_VALUE"""),"X TO 4")</f>
        <v>X TO 4</v>
      </c>
      <c r="G22" s="897" t="str">
        <f>IFERROR(__xludf.DUMMYFUNCTION("""COMPUTED_VALUE"""),"Purwakarta")</f>
        <v>Purwakarta</v>
      </c>
      <c r="H22" s="898">
        <f>IFERROR(__xludf.DUMMYFUNCTION("""COMPUTED_VALUE"""),40022.0)</f>
        <v>40022</v>
      </c>
      <c r="I22" s="897" t="str">
        <f>IFERROR(__xludf.DUMMYFUNCTION("""COMPUTED_VALUE"""),"Laki-Laki")</f>
        <v>Laki-Laki</v>
      </c>
      <c r="J22" s="897" t="str">
        <f>IFERROR(__xludf.DUMMYFUNCTION("""COMPUTED_VALUE"""),"Islam")</f>
        <v>Islam</v>
      </c>
      <c r="K22" s="897" t="str">
        <f>IFERROR(__xludf.DUMMYFUNCTION("""COMPUTED_VALUE"""),"Anak Kandung")</f>
        <v>Anak Kandung</v>
      </c>
      <c r="L22" s="897" t="str">
        <f>IFERROR(__xludf.DUMMYFUNCTION("""COMPUTED_VALUE"""),"1 (Satu)")</f>
        <v>1 (Satu)</v>
      </c>
      <c r="M22" s="897" t="str">
        <f>IFERROR(__xludf.DUMMYFUNCTION("""COMPUTED_VALUE"""),"Kp. Ciwarengwetan RT/RW 015/006 Desa Cibogogirang Kec. Plered Kab. Purwakarta")</f>
        <v>Kp. Ciwarengwetan RT/RW 015/006 Desa Cibogogirang Kec. Plered Kab. Purwakarta</v>
      </c>
      <c r="N22" s="897" t="str">
        <f>IFERROR(__xludf.DUMMYFUNCTION("""COMPUTED_VALUE"""),"-")</f>
        <v>-</v>
      </c>
      <c r="O22" s="897" t="str">
        <f>IFERROR(__xludf.DUMMYFUNCTION("""COMPUTED_VALUE"""),"MTsS As Salam")</f>
        <v>MTsS As Salam</v>
      </c>
      <c r="P22" s="897" t="str">
        <f>IFERROR(__xludf.DUMMYFUNCTION("""COMPUTED_VALUE"""),"X TO 4")</f>
        <v>X TO 4</v>
      </c>
      <c r="Q22" s="897" t="str">
        <f>IFERROR(__xludf.DUMMYFUNCTION("""COMPUTED_VALUE"""),"14 Juli 2025")</f>
        <v>14 Juli 2025</v>
      </c>
      <c r="R22" s="897" t="str">
        <f>IFERROR(__xludf.DUMMYFUNCTION("""COMPUTED_VALUE"""),"Pandi")</f>
        <v>Pandi</v>
      </c>
      <c r="S22" s="897" t="str">
        <f>IFERROR(__xludf.DUMMYFUNCTION("""COMPUTED_VALUE"""),"Hj. Siti Sutinah")</f>
        <v>Hj. Siti Sutinah</v>
      </c>
      <c r="T22" s="897" t="str">
        <f>IFERROR(__xludf.DUMMYFUNCTION("""COMPUTED_VALUE"""),"Kp. Ciwarengwetan RT 015/006 Desa Cibogogirang Kec. Plered Kab. Purwakarta")</f>
        <v>Kp. Ciwarengwetan RT 015/006 Desa Cibogogirang Kec. Plered Kab. Purwakarta</v>
      </c>
      <c r="U22" s="897" t="str">
        <f>IFERROR(__xludf.DUMMYFUNCTION("""COMPUTED_VALUE"""),"-")</f>
        <v>-</v>
      </c>
      <c r="V22" s="897" t="str">
        <f>IFERROR(__xludf.DUMMYFUNCTION("""COMPUTED_VALUE"""),"Wiraswasta")</f>
        <v>Wiraswasta</v>
      </c>
      <c r="W22" s="897" t="str">
        <f>IFERROR(__xludf.DUMMYFUNCTION("""COMPUTED_VALUE"""),"Rumah Tangga")</f>
        <v>Rumah Tangga</v>
      </c>
      <c r="X22" s="897" t="str">
        <f>IFERROR(__xludf.DUMMYFUNCTION("""COMPUTED_VALUE"""),"-")</f>
        <v>-</v>
      </c>
      <c r="Y22" s="897" t="str">
        <f>IFERROR(__xludf.DUMMYFUNCTION("""COMPUTED_VALUE"""),"-")</f>
        <v>-</v>
      </c>
      <c r="Z22" s="897" t="str">
        <f>IFERROR(__xludf.DUMMYFUNCTION("""COMPUTED_VALUE"""),"-")</f>
        <v>-</v>
      </c>
      <c r="AA22" s="897"/>
      <c r="AB22" s="897" t="str">
        <f>IFERROR(__xludf.DUMMYFUNCTION("""COMPUTED_VALUE"""),"20229659")</f>
        <v>20229659</v>
      </c>
      <c r="AC22" s="897"/>
      <c r="AD22" s="897" t="str">
        <f>IFERROR(__xludf.DUMMYFUNCTION("""COMPUTED_VALUE"""),"/appsheet/data/InputBiodataRaportX-3328125/FilePDF/MUHAMAD FARHAN-ece04962.PDF")</f>
        <v>/appsheet/data/InputBiodataRaportX-3328125/FilePDF/MUHAMAD FARHAN-ece04962.PDF</v>
      </c>
      <c r="AE22" s="897" t="str">
        <f>IFERROR(__xludf.DUMMYFUNCTION("""COMPUTED_VALUE"""),"2025 2026")</f>
        <v>2025 2026</v>
      </c>
      <c r="AF22" s="897" t="str">
        <f>IFERROR(__xludf.DUMMYFUNCTION("""COMPUTED_VALUE"""),"Purwakarta, 22 Desember 2025")</f>
        <v>Purwakarta, 22 Desember 2025</v>
      </c>
      <c r="AG22" s="897" t="str">
        <f>IFERROR(__xludf.DUMMYFUNCTION("""COMPUTED_VALUE"""),"X TO 4")</f>
        <v>X TO 4</v>
      </c>
      <c r="AH22" s="897" t="str">
        <f>IFERROR(__xludf.DUMMYFUNCTION("""COMPUTED_VALUE"""),"XI TSM 2")</f>
        <v>XI TSM 2</v>
      </c>
      <c r="AI22" s="897" t="str">
        <f>IFERROR(__xludf.DUMMYFUNCTION("""COMPUTED_VALUE"""),"XII TSM 2")</f>
        <v>XII TSM 2</v>
      </c>
      <c r="AJ22" s="899" t="str">
        <f>IFERROR(__xludf.DUMMYFUNCTION("""COMPUTED_VALUE"""),"XIII TSM 2")</f>
        <v>XIII TSM 2</v>
      </c>
      <c r="AK22" s="884"/>
      <c r="AL22" s="901"/>
      <c r="AM22" s="902" t="str">
        <f>IFERROR(__xludf.DUMMYFUNCTION("""COMPUTED_VALUE"""),"")</f>
        <v/>
      </c>
      <c r="AN22" s="932" t="str">
        <f>IFERROR(__xludf.DUMMYFUNCTION("""COMPUTED_VALUE"""),"")</f>
        <v/>
      </c>
      <c r="AO22" s="933" t="str">
        <f>IFERROR(__xludf.DUMMYFUNCTION("""COMPUTED_VALUE"""),"")</f>
        <v/>
      </c>
      <c r="AP22" s="934" t="str">
        <f>IFERROR(__xludf.DUMMYFUNCTION("""COMPUTED_VALUE"""),"#N/A")</f>
        <v>#N/A</v>
      </c>
      <c r="AQ22" s="913"/>
      <c r="AR22" s="935"/>
      <c r="AS22" s="936"/>
      <c r="AT22" s="909" t="str">
        <f>IFERROR(__xludf.DUMMYFUNCTION("""COMPUTED_VALUE"""),"#N/A")</f>
        <v>#N/A</v>
      </c>
      <c r="AU22" s="2"/>
      <c r="AV22" s="842" t="str">
        <f>IFERROR(__xludf.DUMMYFUNCTION("""COMPUTED_VALUE"""),"NIP Kepsek")</f>
        <v>NIP Kepsek</v>
      </c>
      <c r="AW22" s="920" t="str">
        <f>IFERROR(__xludf.DUMMYFUNCTION("""COMPUTED_VALUE"""),"NIP. 197111022008011001")</f>
        <v>NIP. 197111022008011001</v>
      </c>
      <c r="AX22" s="842"/>
      <c r="AY22" s="2"/>
      <c r="AZ22" s="2"/>
    </row>
    <row r="23" ht="14.25" customHeight="1">
      <c r="A23" s="876">
        <f>IFERROR(__xludf.DUMMYFUNCTION("""COMPUTED_VALUE"""),1748.0)</f>
        <v>1748</v>
      </c>
      <c r="B23" s="876">
        <f>IFERROR(__xludf.DUMMYFUNCTION("""COMPUTED_VALUE"""),20.0)</f>
        <v>20</v>
      </c>
      <c r="C23" s="876" t="str">
        <f>IFERROR(__xludf.DUMMYFUNCTION("""COMPUTED_VALUE"""),"2526100433")</f>
        <v>2526100433</v>
      </c>
      <c r="D23" s="877" t="str">
        <f>IFERROR(__xludf.DUMMYFUNCTION("""COMPUTED_VALUE"""),"0088633294")</f>
        <v>0088633294</v>
      </c>
      <c r="E23" s="878" t="str">
        <f>IFERROR(__xludf.DUMMYFUNCTION("""COMPUTED_VALUE"""),"MUHAMAD MIFTAH NASHIRUDIN")</f>
        <v>MUHAMAD MIFTAH NASHIRUDIN</v>
      </c>
      <c r="F23" s="879" t="str">
        <f>IFERROR(__xludf.DUMMYFUNCTION("""COMPUTED_VALUE"""),"X TO 4")</f>
        <v>X TO 4</v>
      </c>
      <c r="G23" s="897" t="str">
        <f>IFERROR(__xludf.DUMMYFUNCTION("""COMPUTED_VALUE"""),"Purwakarta")</f>
        <v>Purwakarta</v>
      </c>
      <c r="H23" s="898">
        <f>IFERROR(__xludf.DUMMYFUNCTION("""COMPUTED_VALUE"""),39808.0)</f>
        <v>39808</v>
      </c>
      <c r="I23" s="897" t="str">
        <f>IFERROR(__xludf.DUMMYFUNCTION("""COMPUTED_VALUE"""),"Laki-Laki")</f>
        <v>Laki-Laki</v>
      </c>
      <c r="J23" s="897" t="str">
        <f>IFERROR(__xludf.DUMMYFUNCTION("""COMPUTED_VALUE"""),"Islam")</f>
        <v>Islam</v>
      </c>
      <c r="K23" s="897" t="str">
        <f>IFERROR(__xludf.DUMMYFUNCTION("""COMPUTED_VALUE"""),"Anak Kandung")</f>
        <v>Anak Kandung</v>
      </c>
      <c r="L23" s="897" t="str">
        <f>IFERROR(__xludf.DUMMYFUNCTION("""COMPUTED_VALUE"""),"2 (Dua)")</f>
        <v>2 (Dua)</v>
      </c>
      <c r="M23" s="897" t="str">
        <f>IFERROR(__xludf.DUMMYFUNCTION("""COMPUTED_VALUE"""),"Kp. Legokwaru RT/RW 006/003 Desa Legoksari Kec. Darangdan Kab. Purwakarta")</f>
        <v>Kp. Legokwaru RT/RW 006/003 Desa Legoksari Kec. Darangdan Kab. Purwakarta</v>
      </c>
      <c r="N23" s="897" t="str">
        <f>IFERROR(__xludf.DUMMYFUNCTION("""COMPUTED_VALUE"""),"-")</f>
        <v>-</v>
      </c>
      <c r="O23" s="897" t="str">
        <f>IFERROR(__xludf.DUMMYFUNCTION("""COMPUTED_VALUE"""),"SMP Negeri 2 Darangdan")</f>
        <v>SMP Negeri 2 Darangdan</v>
      </c>
      <c r="P23" s="897" t="str">
        <f>IFERROR(__xludf.DUMMYFUNCTION("""COMPUTED_VALUE"""),"X TO 4")</f>
        <v>X TO 4</v>
      </c>
      <c r="Q23" s="897" t="str">
        <f>IFERROR(__xludf.DUMMYFUNCTION("""COMPUTED_VALUE"""),"14 Juli 2025")</f>
        <v>14 Juli 2025</v>
      </c>
      <c r="R23" s="897" t="str">
        <f>IFERROR(__xludf.DUMMYFUNCTION("""COMPUTED_VALUE"""),"Didin")</f>
        <v>Didin</v>
      </c>
      <c r="S23" s="897" t="str">
        <f>IFERROR(__xludf.DUMMYFUNCTION("""COMPUTED_VALUE"""),"Mumu Maemunah")</f>
        <v>Mumu Maemunah</v>
      </c>
      <c r="T23" s="897" t="str">
        <f>IFERROR(__xludf.DUMMYFUNCTION("""COMPUTED_VALUE"""),"Kp. Legokwaru RT 006/003 Desa Legoksari Kec. Darangdan Kab. Purwakarta")</f>
        <v>Kp. Legokwaru RT 006/003 Desa Legoksari Kec. Darangdan Kab. Purwakarta</v>
      </c>
      <c r="U23" s="897" t="str">
        <f>IFERROR(__xludf.DUMMYFUNCTION("""COMPUTED_VALUE"""),"-")</f>
        <v>-</v>
      </c>
      <c r="V23" s="897" t="str">
        <f>IFERROR(__xludf.DUMMYFUNCTION("""COMPUTED_VALUE"""),"Buruh")</f>
        <v>Buruh</v>
      </c>
      <c r="W23" s="897" t="str">
        <f>IFERROR(__xludf.DUMMYFUNCTION("""COMPUTED_VALUE"""),"Rumah Tangga")</f>
        <v>Rumah Tangga</v>
      </c>
      <c r="X23" s="897" t="str">
        <f>IFERROR(__xludf.DUMMYFUNCTION("""COMPUTED_VALUE"""),"-")</f>
        <v>-</v>
      </c>
      <c r="Y23" s="897" t="str">
        <f>IFERROR(__xludf.DUMMYFUNCTION("""COMPUTED_VALUE"""),"-")</f>
        <v>-</v>
      </c>
      <c r="Z23" s="897" t="str">
        <f>IFERROR(__xludf.DUMMYFUNCTION("""COMPUTED_VALUE"""),"-")</f>
        <v>-</v>
      </c>
      <c r="AA23" s="897"/>
      <c r="AB23" s="897" t="str">
        <f>IFERROR(__xludf.DUMMYFUNCTION("""COMPUTED_VALUE"""),"20229659")</f>
        <v>20229659</v>
      </c>
      <c r="AC23" s="897"/>
      <c r="AD23" s="897" t="str">
        <f>IFERROR(__xludf.DUMMYFUNCTION("""COMPUTED_VALUE"""),"/appsheet/data/InputBiodataRaportX-3328125/FilePDF/MUHAMAD MIFTAH NASHIRUDIN-4fc16567.PDF")</f>
        <v>/appsheet/data/InputBiodataRaportX-3328125/FilePDF/MUHAMAD MIFTAH NASHIRUDIN-4fc16567.PDF</v>
      </c>
      <c r="AE23" s="897" t="str">
        <f>IFERROR(__xludf.DUMMYFUNCTION("""COMPUTED_VALUE"""),"2025 2026")</f>
        <v>2025 2026</v>
      </c>
      <c r="AF23" s="897" t="str">
        <f>IFERROR(__xludf.DUMMYFUNCTION("""COMPUTED_VALUE"""),"Purwakarta, 22 Desember 2025")</f>
        <v>Purwakarta, 22 Desember 2025</v>
      </c>
      <c r="AG23" s="897" t="str">
        <f>IFERROR(__xludf.DUMMYFUNCTION("""COMPUTED_VALUE"""),"X TO 4")</f>
        <v>X TO 4</v>
      </c>
      <c r="AH23" s="897" t="str">
        <f>IFERROR(__xludf.DUMMYFUNCTION("""COMPUTED_VALUE"""),"XI TSM 2")</f>
        <v>XI TSM 2</v>
      </c>
      <c r="AI23" s="897" t="str">
        <f>IFERROR(__xludf.DUMMYFUNCTION("""COMPUTED_VALUE"""),"XII TSM 2")</f>
        <v>XII TSM 2</v>
      </c>
      <c r="AJ23" s="899" t="str">
        <f>IFERROR(__xludf.DUMMYFUNCTION("""COMPUTED_VALUE"""),"XIII TSM 2")</f>
        <v>XIII TSM 2</v>
      </c>
      <c r="AK23" s="937"/>
      <c r="AL23" s="938"/>
      <c r="AM23" s="939" t="str">
        <f>IFERROR(__xludf.DUMMYFUNCTION("""COMPUTED_VALUE"""),"")</f>
        <v/>
      </c>
      <c r="AN23" s="932" t="str">
        <f>IFERROR(__xludf.DUMMYFUNCTION("""COMPUTED_VALUE"""),"")</f>
        <v/>
      </c>
      <c r="AO23" s="933" t="str">
        <f>IFERROR(__xludf.DUMMYFUNCTION("""COMPUTED_VALUE"""),"")</f>
        <v/>
      </c>
      <c r="AP23" s="934" t="str">
        <f>IFERROR(__xludf.DUMMYFUNCTION("""COMPUTED_VALUE"""),"#N/A")</f>
        <v>#N/A</v>
      </c>
      <c r="AQ23" s="913"/>
      <c r="AR23" s="940"/>
      <c r="AS23" s="902"/>
      <c r="AT23" s="941" t="str">
        <f>IFERROR(__xludf.DUMMYFUNCTION("""COMPUTED_VALUE"""),"#N/A")</f>
        <v>#N/A</v>
      </c>
      <c r="AU23" s="2"/>
      <c r="AV23" s="842"/>
      <c r="AW23" s="842"/>
      <c r="AX23" s="842"/>
      <c r="AY23" s="2"/>
      <c r="AZ23" s="2"/>
    </row>
    <row r="24" ht="14.25" customHeight="1">
      <c r="A24" s="876">
        <f>IFERROR(__xludf.DUMMYFUNCTION("""COMPUTED_VALUE"""),1749.0)</f>
        <v>1749</v>
      </c>
      <c r="B24" s="876">
        <f>IFERROR(__xludf.DUMMYFUNCTION("""COMPUTED_VALUE"""),21.0)</f>
        <v>21</v>
      </c>
      <c r="C24" s="876" t="str">
        <f>IFERROR(__xludf.DUMMYFUNCTION("""COMPUTED_VALUE"""),"2526100434")</f>
        <v>2526100434</v>
      </c>
      <c r="D24" s="877" t="str">
        <f>IFERROR(__xludf.DUMMYFUNCTION("""COMPUTED_VALUE"""),"0094805329")</f>
        <v>0094805329</v>
      </c>
      <c r="E24" s="878" t="str">
        <f>IFERROR(__xludf.DUMMYFUNCTION("""COMPUTED_VALUE"""),"MUHAMAD NUR KHOLIS ROMDONI")</f>
        <v>MUHAMAD NUR KHOLIS ROMDONI</v>
      </c>
      <c r="F24" s="879" t="str">
        <f>IFERROR(__xludf.DUMMYFUNCTION("""COMPUTED_VALUE"""),"X TO 4")</f>
        <v>X TO 4</v>
      </c>
      <c r="G24" s="897" t="str">
        <f>IFERROR(__xludf.DUMMYFUNCTION("""COMPUTED_VALUE"""),"Purwakarta")</f>
        <v>Purwakarta</v>
      </c>
      <c r="H24" s="898">
        <f>IFERROR(__xludf.DUMMYFUNCTION("""COMPUTED_VALUE"""),40065.0)</f>
        <v>40065</v>
      </c>
      <c r="I24" s="897" t="str">
        <f>IFERROR(__xludf.DUMMYFUNCTION("""COMPUTED_VALUE"""),"Laki-Laki")</f>
        <v>Laki-Laki</v>
      </c>
      <c r="J24" s="897" t="str">
        <f>IFERROR(__xludf.DUMMYFUNCTION("""COMPUTED_VALUE"""),"Islam")</f>
        <v>Islam</v>
      </c>
      <c r="K24" s="897" t="str">
        <f>IFERROR(__xludf.DUMMYFUNCTION("""COMPUTED_VALUE"""),"Anak Kandung")</f>
        <v>Anak Kandung</v>
      </c>
      <c r="L24" s="897" t="str">
        <f>IFERROR(__xludf.DUMMYFUNCTION("""COMPUTED_VALUE"""),"1 (Satu)")</f>
        <v>1 (Satu)</v>
      </c>
      <c r="M24" s="897" t="str">
        <f>IFERROR(__xludf.DUMMYFUNCTION("""COMPUTED_VALUE"""),"Kp. Cibeurih RT/W 007/004, Desa Galumpit, Kecamatan Tegalwaru, Kabupaten Purwakarta")</f>
        <v>Kp. Cibeurih RT/W 007/004, Desa Galumpit, Kecamatan Tegalwaru, Kabupaten Purwakarta</v>
      </c>
      <c r="N24" s="897" t="str">
        <f>IFERROR(__xludf.DUMMYFUNCTION("""COMPUTED_VALUE"""),"-")</f>
        <v>-</v>
      </c>
      <c r="O24" s="897" t="str">
        <f>IFERROR(__xludf.DUMMYFUNCTION("""COMPUTED_VALUE"""),"SMPN Satu Atap Terpadu 1 Warung Jeruk")</f>
        <v>SMPN Satu Atap Terpadu 1 Warung Jeruk</v>
      </c>
      <c r="P24" s="897" t="str">
        <f>IFERROR(__xludf.DUMMYFUNCTION("""COMPUTED_VALUE"""),"X TO 4")</f>
        <v>X TO 4</v>
      </c>
      <c r="Q24" s="897" t="str">
        <f>IFERROR(__xludf.DUMMYFUNCTION("""COMPUTED_VALUE"""),"14 Juli 2025")</f>
        <v>14 Juli 2025</v>
      </c>
      <c r="R24" s="897" t="str">
        <f>IFERROR(__xludf.DUMMYFUNCTION("""COMPUTED_VALUE"""),"Ayi Sholehudin")</f>
        <v>Ayi Sholehudin</v>
      </c>
      <c r="S24" s="897" t="str">
        <f>IFERROR(__xludf.DUMMYFUNCTION("""COMPUTED_VALUE"""),"Aidah")</f>
        <v>Aidah</v>
      </c>
      <c r="T24" s="897" t="str">
        <f>IFERROR(__xludf.DUMMYFUNCTION("""COMPUTED_VALUE"""),"Kp. Cibeurih RT/W 007/004, Desa Galumpit, Kecamatan Tegalwaru, Kabupaten Purwakarta")</f>
        <v>Kp. Cibeurih RT/W 007/004, Desa Galumpit, Kecamatan Tegalwaru, Kabupaten Purwakarta</v>
      </c>
      <c r="U24" s="897" t="str">
        <f>IFERROR(__xludf.DUMMYFUNCTION("""COMPUTED_VALUE"""),"-")</f>
        <v>-</v>
      </c>
      <c r="V24" s="897" t="str">
        <f>IFERROR(__xludf.DUMMYFUNCTION("""COMPUTED_VALUE"""),"Wiraswasta")</f>
        <v>Wiraswasta</v>
      </c>
      <c r="W24" s="897" t="str">
        <f>IFERROR(__xludf.DUMMYFUNCTION("""COMPUTED_VALUE"""),"Rumah Tangga")</f>
        <v>Rumah Tangga</v>
      </c>
      <c r="X24" s="897" t="str">
        <f>IFERROR(__xludf.DUMMYFUNCTION("""COMPUTED_VALUE"""),"-")</f>
        <v>-</v>
      </c>
      <c r="Y24" s="897" t="str">
        <f>IFERROR(__xludf.DUMMYFUNCTION("""COMPUTED_VALUE"""),"-")</f>
        <v>-</v>
      </c>
      <c r="Z24" s="897" t="str">
        <f>IFERROR(__xludf.DUMMYFUNCTION("""COMPUTED_VALUE"""),"-")</f>
        <v>-</v>
      </c>
      <c r="AA24" s="897"/>
      <c r="AB24" s="897" t="str">
        <f>IFERROR(__xludf.DUMMYFUNCTION("""COMPUTED_VALUE"""),"20229659")</f>
        <v>20229659</v>
      </c>
      <c r="AC24" s="897"/>
      <c r="AD24" s="897" t="str">
        <f>IFERROR(__xludf.DUMMYFUNCTION("""COMPUTED_VALUE"""),"/appsheet/data/InputBiodataRaportX-3328125/FilePDF/MUHAMAD NUR KHOLIS ROMDONI-e5136d0f.PDF")</f>
        <v>/appsheet/data/InputBiodataRaportX-3328125/FilePDF/MUHAMAD NUR KHOLIS ROMDONI-e5136d0f.PDF</v>
      </c>
      <c r="AE24" s="897" t="str">
        <f>IFERROR(__xludf.DUMMYFUNCTION("""COMPUTED_VALUE"""),"2025 2026")</f>
        <v>2025 2026</v>
      </c>
      <c r="AF24" s="897" t="str">
        <f>IFERROR(__xludf.DUMMYFUNCTION("""COMPUTED_VALUE"""),"Purwakarta, 22 Desember 2025")</f>
        <v>Purwakarta, 22 Desember 2025</v>
      </c>
      <c r="AG24" s="897" t="str">
        <f>IFERROR(__xludf.DUMMYFUNCTION("""COMPUTED_VALUE"""),"X TO 4")</f>
        <v>X TO 4</v>
      </c>
      <c r="AH24" s="897" t="str">
        <f>IFERROR(__xludf.DUMMYFUNCTION("""COMPUTED_VALUE"""),"XI TSM 2")</f>
        <v>XI TSM 2</v>
      </c>
      <c r="AI24" s="897" t="str">
        <f>IFERROR(__xludf.DUMMYFUNCTION("""COMPUTED_VALUE"""),"XII TSM 2")</f>
        <v>XII TSM 2</v>
      </c>
      <c r="AJ24" s="899" t="str">
        <f>IFERROR(__xludf.DUMMYFUNCTION("""COMPUTED_VALUE"""),"XIII TSM 2")</f>
        <v>XIII TSM 2</v>
      </c>
      <c r="AK24" s="937"/>
      <c r="AL24" s="938"/>
      <c r="AM24" s="939" t="str">
        <f>IFERROR(__xludf.DUMMYFUNCTION("""COMPUTED_VALUE"""),"")</f>
        <v/>
      </c>
      <c r="AN24" s="932" t="str">
        <f>IFERROR(__xludf.DUMMYFUNCTION("""COMPUTED_VALUE"""),"")</f>
        <v/>
      </c>
      <c r="AO24" s="933" t="str">
        <f>IFERROR(__xludf.DUMMYFUNCTION("""COMPUTED_VALUE"""),"")</f>
        <v/>
      </c>
      <c r="AP24" s="934" t="str">
        <f>IFERROR(__xludf.DUMMYFUNCTION("""COMPUTED_VALUE"""),"#N/A")</f>
        <v>#N/A</v>
      </c>
      <c r="AQ24" s="913"/>
      <c r="AR24" s="940"/>
      <c r="AS24" s="942"/>
      <c r="AT24" s="941" t="str">
        <f>IFERROR(__xludf.DUMMYFUNCTION("""COMPUTED_VALUE"""),"#N/A")</f>
        <v>#N/A</v>
      </c>
      <c r="AU24" s="2"/>
      <c r="AV24" s="842"/>
      <c r="AW24" s="842"/>
      <c r="AX24" s="842"/>
      <c r="AY24" s="2"/>
      <c r="AZ24" s="2"/>
    </row>
    <row r="25" ht="14.25" customHeight="1">
      <c r="A25" s="876">
        <f>IFERROR(__xludf.DUMMYFUNCTION("""COMPUTED_VALUE"""),1750.0)</f>
        <v>1750</v>
      </c>
      <c r="B25" s="876">
        <f>IFERROR(__xludf.DUMMYFUNCTION("""COMPUTED_VALUE"""),22.0)</f>
        <v>22</v>
      </c>
      <c r="C25" s="876" t="str">
        <f>IFERROR(__xludf.DUMMYFUNCTION("""COMPUTED_VALUE"""),"2526100435")</f>
        <v>2526100435</v>
      </c>
      <c r="D25" s="877" t="str">
        <f>IFERROR(__xludf.DUMMYFUNCTION("""COMPUTED_VALUE"""),"0098562523")</f>
        <v>0098562523</v>
      </c>
      <c r="E25" s="878" t="str">
        <f>IFERROR(__xludf.DUMMYFUNCTION("""COMPUTED_VALUE"""),"MUHAMAD RIDWAN")</f>
        <v>MUHAMAD RIDWAN</v>
      </c>
      <c r="F25" s="879" t="str">
        <f>IFERROR(__xludf.DUMMYFUNCTION("""COMPUTED_VALUE"""),"X TO 4")</f>
        <v>X TO 4</v>
      </c>
      <c r="G25" s="897" t="str">
        <f>IFERROR(__xludf.DUMMYFUNCTION("""COMPUTED_VALUE"""),"Purwakarta")</f>
        <v>Purwakarta</v>
      </c>
      <c r="H25" s="898">
        <f>IFERROR(__xludf.DUMMYFUNCTION("""COMPUTED_VALUE"""),40103.0)</f>
        <v>40103</v>
      </c>
      <c r="I25" s="897" t="str">
        <f>IFERROR(__xludf.DUMMYFUNCTION("""COMPUTED_VALUE"""),"Laki-Laki")</f>
        <v>Laki-Laki</v>
      </c>
      <c r="J25" s="897" t="str">
        <f>IFERROR(__xludf.DUMMYFUNCTION("""COMPUTED_VALUE"""),"Islam")</f>
        <v>Islam</v>
      </c>
      <c r="K25" s="897" t="str">
        <f>IFERROR(__xludf.DUMMYFUNCTION("""COMPUTED_VALUE"""),"Anak Kandung")</f>
        <v>Anak Kandung</v>
      </c>
      <c r="L25" s="897" t="str">
        <f>IFERROR(__xludf.DUMMYFUNCTION("""COMPUTED_VALUE"""),"3 (Tiga)")</f>
        <v>3 (Tiga)</v>
      </c>
      <c r="M25" s="897" t="str">
        <f>IFERROR(__xludf.DUMMYFUNCTION("""COMPUTED_VALUE"""),"Kp. Ciwareng Wetan RT/RW 014/005 Desa Cibogogirang Kec. Plered Kab. Purwakarta")</f>
        <v>Kp. Ciwareng Wetan RT/RW 014/005 Desa Cibogogirang Kec. Plered Kab. Purwakarta</v>
      </c>
      <c r="N25" s="897" t="str">
        <f>IFERROR(__xludf.DUMMYFUNCTION("""COMPUTED_VALUE"""),"-")</f>
        <v>-</v>
      </c>
      <c r="O25" s="897" t="str">
        <f>IFERROR(__xludf.DUMMYFUNCTION("""COMPUTED_VALUE"""),"SMP Islam Al Falah")</f>
        <v>SMP Islam Al Falah</v>
      </c>
      <c r="P25" s="897" t="str">
        <f>IFERROR(__xludf.DUMMYFUNCTION("""COMPUTED_VALUE"""),"X TO 4")</f>
        <v>X TO 4</v>
      </c>
      <c r="Q25" s="897" t="str">
        <f>IFERROR(__xludf.DUMMYFUNCTION("""COMPUTED_VALUE"""),"14 Juli 2025")</f>
        <v>14 Juli 2025</v>
      </c>
      <c r="R25" s="897"/>
      <c r="S25" s="897" t="str">
        <f>IFERROR(__xludf.DUMMYFUNCTION("""COMPUTED_VALUE"""),"Hj. Ade Hotimah")</f>
        <v>Hj. Ade Hotimah</v>
      </c>
      <c r="T25" s="897" t="str">
        <f>IFERROR(__xludf.DUMMYFUNCTION("""COMPUTED_VALUE"""),"Kp. Ciwareng Wetan RT 014/005 Desa Cibogogirang Kec. Plered Kab. Purwakarta")</f>
        <v>Kp. Ciwareng Wetan RT 014/005 Desa Cibogogirang Kec. Plered Kab. Purwakarta</v>
      </c>
      <c r="U25" s="897" t="str">
        <f>IFERROR(__xludf.DUMMYFUNCTION("""COMPUTED_VALUE"""),"-")</f>
        <v>-</v>
      </c>
      <c r="V25" s="897"/>
      <c r="W25" s="897" t="str">
        <f>IFERROR(__xludf.DUMMYFUNCTION("""COMPUTED_VALUE"""),"Rumah Tangga")</f>
        <v>Rumah Tangga</v>
      </c>
      <c r="X25" s="897" t="str">
        <f>IFERROR(__xludf.DUMMYFUNCTION("""COMPUTED_VALUE"""),"-")</f>
        <v>-</v>
      </c>
      <c r="Y25" s="897" t="str">
        <f>IFERROR(__xludf.DUMMYFUNCTION("""COMPUTED_VALUE"""),"-")</f>
        <v>-</v>
      </c>
      <c r="Z25" s="897" t="str">
        <f>IFERROR(__xludf.DUMMYFUNCTION("""COMPUTED_VALUE"""),"-")</f>
        <v>-</v>
      </c>
      <c r="AA25" s="897"/>
      <c r="AB25" s="897" t="str">
        <f>IFERROR(__xludf.DUMMYFUNCTION("""COMPUTED_VALUE"""),"20229659")</f>
        <v>20229659</v>
      </c>
      <c r="AC25" s="897"/>
      <c r="AD25" s="897" t="str">
        <f>IFERROR(__xludf.DUMMYFUNCTION("""COMPUTED_VALUE"""),"/appsheet/data/InputBiodataRaportX-3328125/FilePDF/MUHAMAD RIDWAN-5ff59ddd.PDF")</f>
        <v>/appsheet/data/InputBiodataRaportX-3328125/FilePDF/MUHAMAD RIDWAN-5ff59ddd.PDF</v>
      </c>
      <c r="AE25" s="897" t="str">
        <f>IFERROR(__xludf.DUMMYFUNCTION("""COMPUTED_VALUE"""),"2025 2026")</f>
        <v>2025 2026</v>
      </c>
      <c r="AF25" s="897" t="str">
        <f>IFERROR(__xludf.DUMMYFUNCTION("""COMPUTED_VALUE"""),"Purwakarta, 22 Desember 2025")</f>
        <v>Purwakarta, 22 Desember 2025</v>
      </c>
      <c r="AG25" s="897" t="str">
        <f>IFERROR(__xludf.DUMMYFUNCTION("""COMPUTED_VALUE"""),"X TO 4")</f>
        <v>X TO 4</v>
      </c>
      <c r="AH25" s="897" t="str">
        <f>IFERROR(__xludf.DUMMYFUNCTION("""COMPUTED_VALUE"""),"XI TSM 2")</f>
        <v>XI TSM 2</v>
      </c>
      <c r="AI25" s="897" t="str">
        <f>IFERROR(__xludf.DUMMYFUNCTION("""COMPUTED_VALUE"""),"XII TSM 2")</f>
        <v>XII TSM 2</v>
      </c>
      <c r="AJ25" s="899" t="str">
        <f>IFERROR(__xludf.DUMMYFUNCTION("""COMPUTED_VALUE"""),"XIII TSM 2")</f>
        <v>XIII TSM 2</v>
      </c>
      <c r="AK25" s="937"/>
      <c r="AL25" s="938"/>
      <c r="AM25" s="943" t="str">
        <f>IFERROR(__xludf.DUMMYFUNCTION("""COMPUTED_VALUE"""),"")</f>
        <v/>
      </c>
      <c r="AN25" s="932" t="str">
        <f>IFERROR(__xludf.DUMMYFUNCTION("""COMPUTED_VALUE"""),"")</f>
        <v/>
      </c>
      <c r="AO25" s="933" t="str">
        <f>IFERROR(__xludf.DUMMYFUNCTION("""COMPUTED_VALUE"""),"")</f>
        <v/>
      </c>
      <c r="AP25" s="934" t="str">
        <f>IFERROR(__xludf.DUMMYFUNCTION("""COMPUTED_VALUE"""),"#N/A")</f>
        <v>#N/A</v>
      </c>
      <c r="AQ25" s="913"/>
      <c r="AR25" s="940"/>
      <c r="AS25" s="942"/>
      <c r="AT25" s="941" t="str">
        <f>IFERROR(__xludf.DUMMYFUNCTION("""COMPUTED_VALUE"""),"#N/A")</f>
        <v>#N/A</v>
      </c>
      <c r="AU25" s="2"/>
      <c r="AV25" s="842"/>
      <c r="AW25" s="842"/>
      <c r="AX25" s="842"/>
      <c r="AY25" s="2"/>
      <c r="AZ25" s="2"/>
    </row>
    <row r="26" ht="14.25" customHeight="1">
      <c r="A26" s="876">
        <f>IFERROR(__xludf.DUMMYFUNCTION("""COMPUTED_VALUE"""),1751.0)</f>
        <v>1751</v>
      </c>
      <c r="B26" s="876">
        <f>IFERROR(__xludf.DUMMYFUNCTION("""COMPUTED_VALUE"""),23.0)</f>
        <v>23</v>
      </c>
      <c r="C26" s="876" t="str">
        <f>IFERROR(__xludf.DUMMYFUNCTION("""COMPUTED_VALUE"""),"2526100436")</f>
        <v>2526100436</v>
      </c>
      <c r="D26" s="877" t="str">
        <f>IFERROR(__xludf.DUMMYFUNCTION("""COMPUTED_VALUE"""),"0095384573")</f>
        <v>0095384573</v>
      </c>
      <c r="E26" s="878" t="str">
        <f>IFERROR(__xludf.DUMMYFUNCTION("""COMPUTED_VALUE"""),"MUHAMAD RUDI RIVIANSYAH")</f>
        <v>MUHAMAD RUDI RIVIANSYAH</v>
      </c>
      <c r="F26" s="879" t="str">
        <f>IFERROR(__xludf.DUMMYFUNCTION("""COMPUTED_VALUE"""),"X TO 4")</f>
        <v>X TO 4</v>
      </c>
      <c r="G26" s="897" t="str">
        <f>IFERROR(__xludf.DUMMYFUNCTION("""COMPUTED_VALUE"""),"Purwakarta")</f>
        <v>Purwakarta</v>
      </c>
      <c r="H26" s="898">
        <f>IFERROR(__xludf.DUMMYFUNCTION("""COMPUTED_VALUE"""),39984.0)</f>
        <v>39984</v>
      </c>
      <c r="I26" s="897" t="str">
        <f>IFERROR(__xludf.DUMMYFUNCTION("""COMPUTED_VALUE"""),"Laki-Laki")</f>
        <v>Laki-Laki</v>
      </c>
      <c r="J26" s="897" t="str">
        <f>IFERROR(__xludf.DUMMYFUNCTION("""COMPUTED_VALUE"""),"Islam")</f>
        <v>Islam</v>
      </c>
      <c r="K26" s="897" t="str">
        <f>IFERROR(__xludf.DUMMYFUNCTION("""COMPUTED_VALUE"""),"Anak Kandung")</f>
        <v>Anak Kandung</v>
      </c>
      <c r="L26" s="897" t="str">
        <f>IFERROR(__xludf.DUMMYFUNCTION("""COMPUTED_VALUE"""),"1 (Satu)")</f>
        <v>1 (Satu)</v>
      </c>
      <c r="M26" s="897" t="str">
        <f>IFERROR(__xludf.DUMMYFUNCTION("""COMPUTED_VALUE"""),"Kp. Rawabelut RT/RW 001/001 Desa Rawasari Kec. Plered Kab. Purwakarta")</f>
        <v>Kp. Rawabelut RT/RW 001/001 Desa Rawasari Kec. Plered Kab. Purwakarta</v>
      </c>
      <c r="N26" s="897" t="str">
        <f>IFERROR(__xludf.DUMMYFUNCTION("""COMPUTED_VALUE"""),"-")</f>
        <v>-</v>
      </c>
      <c r="O26" s="897" t="str">
        <f>IFERROR(__xludf.DUMMYFUNCTION("""COMPUTED_VALUE"""),"SMPN Satu Atap Terpadu Rawasari")</f>
        <v>SMPN Satu Atap Terpadu Rawasari</v>
      </c>
      <c r="P26" s="897" t="str">
        <f>IFERROR(__xludf.DUMMYFUNCTION("""COMPUTED_VALUE"""),"X TO 4")</f>
        <v>X TO 4</v>
      </c>
      <c r="Q26" s="897" t="str">
        <f>IFERROR(__xludf.DUMMYFUNCTION("""COMPUTED_VALUE"""),"14 Juli 2025")</f>
        <v>14 Juli 2025</v>
      </c>
      <c r="R26" s="897" t="str">
        <f>IFERROR(__xludf.DUMMYFUNCTION("""COMPUTED_VALUE"""),"Dadan Prasetio")</f>
        <v>Dadan Prasetio</v>
      </c>
      <c r="S26" s="897" t="str">
        <f>IFERROR(__xludf.DUMMYFUNCTION("""COMPUTED_VALUE"""),"Siti")</f>
        <v>Siti</v>
      </c>
      <c r="T26" s="897" t="str">
        <f>IFERROR(__xludf.DUMMYFUNCTION("""COMPUTED_VALUE"""),"Kp. Rawabelut RT 001/001 Desa Rawasari Kec. Plered Kab. Purwakarta")</f>
        <v>Kp. Rawabelut RT 001/001 Desa Rawasari Kec. Plered Kab. Purwakarta</v>
      </c>
      <c r="U26" s="897" t="str">
        <f>IFERROR(__xludf.DUMMYFUNCTION("""COMPUTED_VALUE"""),"-")</f>
        <v>-</v>
      </c>
      <c r="V26" s="897" t="str">
        <f>IFERROR(__xludf.DUMMYFUNCTION("""COMPUTED_VALUE"""),"Buruh")</f>
        <v>Buruh</v>
      </c>
      <c r="W26" s="897" t="str">
        <f>IFERROR(__xludf.DUMMYFUNCTION("""COMPUTED_VALUE"""),"Rumah Tangga")</f>
        <v>Rumah Tangga</v>
      </c>
      <c r="X26" s="897" t="str">
        <f>IFERROR(__xludf.DUMMYFUNCTION("""COMPUTED_VALUE"""),"-")</f>
        <v>-</v>
      </c>
      <c r="Y26" s="897" t="str">
        <f>IFERROR(__xludf.DUMMYFUNCTION("""COMPUTED_VALUE"""),"-")</f>
        <v>-</v>
      </c>
      <c r="Z26" s="897" t="str">
        <f>IFERROR(__xludf.DUMMYFUNCTION("""COMPUTED_VALUE"""),"-")</f>
        <v>-</v>
      </c>
      <c r="AA26" s="897"/>
      <c r="AB26" s="897" t="str">
        <f>IFERROR(__xludf.DUMMYFUNCTION("""COMPUTED_VALUE"""),"20229659")</f>
        <v>20229659</v>
      </c>
      <c r="AC26" s="897"/>
      <c r="AD26" s="897" t="str">
        <f>IFERROR(__xludf.DUMMYFUNCTION("""COMPUTED_VALUE"""),"/appsheet/data/InputBiodataRaportX-3328125/FilePDF/MUHAMAD RUDI RIVIANSYAH-b0e54b2b.PDF")</f>
        <v>/appsheet/data/InputBiodataRaportX-3328125/FilePDF/MUHAMAD RUDI RIVIANSYAH-b0e54b2b.PDF</v>
      </c>
      <c r="AE26" s="897" t="str">
        <f>IFERROR(__xludf.DUMMYFUNCTION("""COMPUTED_VALUE"""),"2025 2026")</f>
        <v>2025 2026</v>
      </c>
      <c r="AF26" s="897" t="str">
        <f>IFERROR(__xludf.DUMMYFUNCTION("""COMPUTED_VALUE"""),"Purwakarta, 22 Desember 2025")</f>
        <v>Purwakarta, 22 Desember 2025</v>
      </c>
      <c r="AG26" s="897" t="str">
        <f>IFERROR(__xludf.DUMMYFUNCTION("""COMPUTED_VALUE"""),"X TO 4")</f>
        <v>X TO 4</v>
      </c>
      <c r="AH26" s="897" t="str">
        <f>IFERROR(__xludf.DUMMYFUNCTION("""COMPUTED_VALUE"""),"XI TSM 2")</f>
        <v>XI TSM 2</v>
      </c>
      <c r="AI26" s="897" t="str">
        <f>IFERROR(__xludf.DUMMYFUNCTION("""COMPUTED_VALUE"""),"XII TSM 2")</f>
        <v>XII TSM 2</v>
      </c>
      <c r="AJ26" s="899" t="str">
        <f>IFERROR(__xludf.DUMMYFUNCTION("""COMPUTED_VALUE"""),"XIII TSM 2")</f>
        <v>XIII TSM 2</v>
      </c>
      <c r="AK26" s="937"/>
      <c r="AL26" s="938"/>
      <c r="AM26" s="943" t="str">
        <f>IFERROR(__xludf.DUMMYFUNCTION("""COMPUTED_VALUE"""),"")</f>
        <v/>
      </c>
      <c r="AN26" s="932" t="str">
        <f>IFERROR(__xludf.DUMMYFUNCTION("""COMPUTED_VALUE"""),"")</f>
        <v/>
      </c>
      <c r="AO26" s="933" t="str">
        <f>IFERROR(__xludf.DUMMYFUNCTION("""COMPUTED_VALUE"""),"")</f>
        <v/>
      </c>
      <c r="AP26" s="934" t="str">
        <f>IFERROR(__xludf.DUMMYFUNCTION("""COMPUTED_VALUE"""),"#N/A")</f>
        <v>#N/A</v>
      </c>
      <c r="AQ26" s="913"/>
      <c r="AR26" s="940"/>
      <c r="AS26" s="942"/>
      <c r="AT26" s="941" t="str">
        <f>IFERROR(__xludf.DUMMYFUNCTION("""COMPUTED_VALUE"""),"#N/A")</f>
        <v>#N/A</v>
      </c>
      <c r="AU26" s="2"/>
      <c r="AV26" s="842"/>
      <c r="AW26" s="842"/>
      <c r="AX26" s="842"/>
      <c r="AY26" s="2"/>
      <c r="AZ26" s="2"/>
    </row>
    <row r="27" ht="14.25" customHeight="1">
      <c r="A27" s="876">
        <f>IFERROR(__xludf.DUMMYFUNCTION("""COMPUTED_VALUE"""),1752.0)</f>
        <v>1752</v>
      </c>
      <c r="B27" s="876">
        <f>IFERROR(__xludf.DUMMYFUNCTION("""COMPUTED_VALUE"""),24.0)</f>
        <v>24</v>
      </c>
      <c r="C27" s="876" t="str">
        <f>IFERROR(__xludf.DUMMYFUNCTION("""COMPUTED_VALUE"""),"2526100437")</f>
        <v>2526100437</v>
      </c>
      <c r="D27" s="877" t="str">
        <f>IFERROR(__xludf.DUMMYFUNCTION("""COMPUTED_VALUE"""),"3098503903")</f>
        <v>3098503903</v>
      </c>
      <c r="E27" s="878" t="str">
        <f>IFERROR(__xludf.DUMMYFUNCTION("""COMPUTED_VALUE"""),"MUHAMAD SALMAN")</f>
        <v>MUHAMAD SALMAN</v>
      </c>
      <c r="F27" s="879" t="str">
        <f>IFERROR(__xludf.DUMMYFUNCTION("""COMPUTED_VALUE"""),"X TO 4")</f>
        <v>X TO 4</v>
      </c>
      <c r="G27" s="897" t="str">
        <f>IFERROR(__xludf.DUMMYFUNCTION("""COMPUTED_VALUE"""),"Purwakarta")</f>
        <v>Purwakarta</v>
      </c>
      <c r="H27" s="898">
        <f>IFERROR(__xludf.DUMMYFUNCTION("""COMPUTED_VALUE"""),39960.0)</f>
        <v>39960</v>
      </c>
      <c r="I27" s="897" t="str">
        <f>IFERROR(__xludf.DUMMYFUNCTION("""COMPUTED_VALUE"""),"Laki-Laki")</f>
        <v>Laki-Laki</v>
      </c>
      <c r="J27" s="897" t="str">
        <f>IFERROR(__xludf.DUMMYFUNCTION("""COMPUTED_VALUE"""),"Islam")</f>
        <v>Islam</v>
      </c>
      <c r="K27" s="897" t="str">
        <f>IFERROR(__xludf.DUMMYFUNCTION("""COMPUTED_VALUE"""),"Anak Kandung")</f>
        <v>Anak Kandung</v>
      </c>
      <c r="L27" s="897" t="str">
        <f>IFERROR(__xludf.DUMMYFUNCTION("""COMPUTED_VALUE"""),"2 (Dua)")</f>
        <v>2 (Dua)</v>
      </c>
      <c r="M27" s="897" t="str">
        <f>IFERROR(__xludf.DUMMYFUNCTION("""COMPUTED_VALUE"""),"Kp. Cicadas RT/W 005/003, Desa Cadasmekar, Kecamatan Tegalwaru, Kabupaten Purwakarta")</f>
        <v>Kp. Cicadas RT/W 005/003, Desa Cadasmekar, Kecamatan Tegalwaru, Kabupaten Purwakarta</v>
      </c>
      <c r="N27" s="897" t="str">
        <f>IFERROR(__xludf.DUMMYFUNCTION("""COMPUTED_VALUE"""),"-")</f>
        <v>-</v>
      </c>
      <c r="O27" s="897" t="str">
        <f>IFERROR(__xludf.DUMMYFUNCTION("""COMPUTED_VALUE"""),"MTsS Nurul Fata")</f>
        <v>MTsS Nurul Fata</v>
      </c>
      <c r="P27" s="897" t="str">
        <f>IFERROR(__xludf.DUMMYFUNCTION("""COMPUTED_VALUE"""),"X TO 4")</f>
        <v>X TO 4</v>
      </c>
      <c r="Q27" s="897" t="str">
        <f>IFERROR(__xludf.DUMMYFUNCTION("""COMPUTED_VALUE"""),"14 Juli 2025")</f>
        <v>14 Juli 2025</v>
      </c>
      <c r="R27" s="897" t="str">
        <f>IFERROR(__xludf.DUMMYFUNCTION("""COMPUTED_VALUE"""),"-")</f>
        <v>-</v>
      </c>
      <c r="S27" s="897" t="str">
        <f>IFERROR(__xludf.DUMMYFUNCTION("""COMPUTED_VALUE"""),"Robiah")</f>
        <v>Robiah</v>
      </c>
      <c r="T27" s="897" t="str">
        <f>IFERROR(__xludf.DUMMYFUNCTION("""COMPUTED_VALUE"""),"Kp. Cicadas RT/W 005/003, Desa Cadasmekar, Kecamatan Tegalwaru, Kabupaten Purwakarta")</f>
        <v>Kp. Cicadas RT/W 005/003, Desa Cadasmekar, Kecamatan Tegalwaru, Kabupaten Purwakarta</v>
      </c>
      <c r="U27" s="897" t="str">
        <f>IFERROR(__xludf.DUMMYFUNCTION("""COMPUTED_VALUE"""),"-")</f>
        <v>-</v>
      </c>
      <c r="V27" s="897"/>
      <c r="W27" s="897" t="str">
        <f>IFERROR(__xludf.DUMMYFUNCTION("""COMPUTED_VALUE"""),"Rumah Tangga")</f>
        <v>Rumah Tangga</v>
      </c>
      <c r="X27" s="897" t="str">
        <f>IFERROR(__xludf.DUMMYFUNCTION("""COMPUTED_VALUE"""),"-")</f>
        <v>-</v>
      </c>
      <c r="Y27" s="897" t="str">
        <f>IFERROR(__xludf.DUMMYFUNCTION("""COMPUTED_VALUE"""),"-")</f>
        <v>-</v>
      </c>
      <c r="Z27" s="897" t="str">
        <f>IFERROR(__xludf.DUMMYFUNCTION("""COMPUTED_VALUE"""),"-")</f>
        <v>-</v>
      </c>
      <c r="AA27" s="897"/>
      <c r="AB27" s="897" t="str">
        <f>IFERROR(__xludf.DUMMYFUNCTION("""COMPUTED_VALUE"""),"20229659")</f>
        <v>20229659</v>
      </c>
      <c r="AC27" s="897"/>
      <c r="AD27" s="897" t="str">
        <f>IFERROR(__xludf.DUMMYFUNCTION("""COMPUTED_VALUE"""),"/appsheet/data/InputBiodataRaportX-3328125/FilePDF/MUHAMAD SALMAN-b1e7a539.PDF")</f>
        <v>/appsheet/data/InputBiodataRaportX-3328125/FilePDF/MUHAMAD SALMAN-b1e7a539.PDF</v>
      </c>
      <c r="AE27" s="897" t="str">
        <f>IFERROR(__xludf.DUMMYFUNCTION("""COMPUTED_VALUE"""),"2025 2026")</f>
        <v>2025 2026</v>
      </c>
      <c r="AF27" s="897" t="str">
        <f>IFERROR(__xludf.DUMMYFUNCTION("""COMPUTED_VALUE"""),"Purwakarta, 22 Desember 2025")</f>
        <v>Purwakarta, 22 Desember 2025</v>
      </c>
      <c r="AG27" s="897" t="str">
        <f>IFERROR(__xludf.DUMMYFUNCTION("""COMPUTED_VALUE"""),"X TO 4")</f>
        <v>X TO 4</v>
      </c>
      <c r="AH27" s="897" t="str">
        <f>IFERROR(__xludf.DUMMYFUNCTION("""COMPUTED_VALUE"""),"XI TSM 2")</f>
        <v>XI TSM 2</v>
      </c>
      <c r="AI27" s="897" t="str">
        <f>IFERROR(__xludf.DUMMYFUNCTION("""COMPUTED_VALUE"""),"XII TSM 2")</f>
        <v>XII TSM 2</v>
      </c>
      <c r="AJ27" s="899" t="str">
        <f>IFERROR(__xludf.DUMMYFUNCTION("""COMPUTED_VALUE"""),"XIII TSM 2")</f>
        <v>XIII TSM 2</v>
      </c>
      <c r="AK27" s="937"/>
      <c r="AL27" s="938"/>
      <c r="AM27" s="943" t="str">
        <f>IFERROR(__xludf.DUMMYFUNCTION("""COMPUTED_VALUE"""),"")</f>
        <v/>
      </c>
      <c r="AN27" s="932" t="str">
        <f>IFERROR(__xludf.DUMMYFUNCTION("""COMPUTED_VALUE"""),"")</f>
        <v/>
      </c>
      <c r="AO27" s="933" t="str">
        <f>IFERROR(__xludf.DUMMYFUNCTION("""COMPUTED_VALUE"""),"")</f>
        <v/>
      </c>
      <c r="AP27" s="934" t="str">
        <f>IFERROR(__xludf.DUMMYFUNCTION("""COMPUTED_VALUE"""),"#N/A")</f>
        <v>#N/A</v>
      </c>
      <c r="AQ27" s="913"/>
      <c r="AR27" s="940"/>
      <c r="AS27" s="942"/>
      <c r="AT27" s="941" t="str">
        <f>IFERROR(__xludf.DUMMYFUNCTION("""COMPUTED_VALUE"""),"#N/A")</f>
        <v>#N/A</v>
      </c>
      <c r="AU27" s="2"/>
      <c r="AV27" s="842"/>
      <c r="AW27" s="842"/>
      <c r="AX27" s="842"/>
      <c r="AY27" s="2"/>
      <c r="AZ27" s="2"/>
    </row>
    <row r="28" ht="14.25" customHeight="1">
      <c r="A28" s="876">
        <f>IFERROR(__xludf.DUMMYFUNCTION("""COMPUTED_VALUE"""),1753.0)</f>
        <v>1753</v>
      </c>
      <c r="B28" s="876">
        <f>IFERROR(__xludf.DUMMYFUNCTION("""COMPUTED_VALUE"""),25.0)</f>
        <v>25</v>
      </c>
      <c r="C28" s="876" t="str">
        <f>IFERROR(__xludf.DUMMYFUNCTION("""COMPUTED_VALUE"""),"2526100438")</f>
        <v>2526100438</v>
      </c>
      <c r="D28" s="877" t="str">
        <f>IFERROR(__xludf.DUMMYFUNCTION("""COMPUTED_VALUE"""),"0096750607")</f>
        <v>0096750607</v>
      </c>
      <c r="E28" s="878" t="str">
        <f>IFERROR(__xludf.DUMMYFUNCTION("""COMPUTED_VALUE"""),"MUHAMAD SUTIAWAN ALI")</f>
        <v>MUHAMAD SUTIAWAN ALI</v>
      </c>
      <c r="F28" s="879" t="str">
        <f>IFERROR(__xludf.DUMMYFUNCTION("""COMPUTED_VALUE"""),"X TO 4")</f>
        <v>X TO 4</v>
      </c>
      <c r="G28" s="897"/>
      <c r="H28" s="898"/>
      <c r="I28" s="897"/>
      <c r="J28" s="897"/>
      <c r="K28" s="897"/>
      <c r="L28" s="897"/>
      <c r="M28" s="897"/>
      <c r="N28" s="897"/>
      <c r="O28" s="897"/>
      <c r="P28" s="897"/>
      <c r="Q28" s="897" t="str">
        <f>IFERROR(__xludf.DUMMYFUNCTION("""COMPUTED_VALUE"""),"14 Juli 2025")</f>
        <v>14 Juli 2025</v>
      </c>
      <c r="R28" s="897"/>
      <c r="S28" s="897"/>
      <c r="T28" s="897"/>
      <c r="U28" s="897"/>
      <c r="V28" s="897"/>
      <c r="W28" s="897"/>
      <c r="X28" s="897"/>
      <c r="Y28" s="897"/>
      <c r="Z28" s="897"/>
      <c r="AA28" s="897"/>
      <c r="AB28" s="897"/>
      <c r="AC28" s="897"/>
      <c r="AD28" s="897"/>
      <c r="AE28" s="897" t="str">
        <f>IFERROR(__xludf.DUMMYFUNCTION("""COMPUTED_VALUE"""),"2025 2026")</f>
        <v>2025 2026</v>
      </c>
      <c r="AF28" s="897" t="str">
        <f>IFERROR(__xludf.DUMMYFUNCTION("""COMPUTED_VALUE"""),"Purwakarta, 22 Desember 2025")</f>
        <v>Purwakarta, 22 Desember 2025</v>
      </c>
      <c r="AG28" s="897" t="str">
        <f>IFERROR(__xludf.DUMMYFUNCTION("""COMPUTED_VALUE"""),"X TO 4")</f>
        <v>X TO 4</v>
      </c>
      <c r="AH28" s="897" t="str">
        <f>IFERROR(__xludf.DUMMYFUNCTION("""COMPUTED_VALUE"""),"XI TSM 2")</f>
        <v>XI TSM 2</v>
      </c>
      <c r="AI28" s="897" t="str">
        <f>IFERROR(__xludf.DUMMYFUNCTION("""COMPUTED_VALUE"""),"XII TSM 2")</f>
        <v>XII TSM 2</v>
      </c>
      <c r="AJ28" s="899" t="str">
        <f>IFERROR(__xludf.DUMMYFUNCTION("""COMPUTED_VALUE"""),"XIII TSM 2")</f>
        <v>XIII TSM 2</v>
      </c>
      <c r="AK28" s="937"/>
      <c r="AL28" s="938"/>
      <c r="AM28" s="943" t="str">
        <f>IFERROR(__xludf.DUMMYFUNCTION("""COMPUTED_VALUE"""),"")</f>
        <v/>
      </c>
      <c r="AN28" s="932" t="str">
        <f>IFERROR(__xludf.DUMMYFUNCTION("""COMPUTED_VALUE"""),"")</f>
        <v/>
      </c>
      <c r="AO28" s="933" t="str">
        <f>IFERROR(__xludf.DUMMYFUNCTION("""COMPUTED_VALUE"""),"")</f>
        <v/>
      </c>
      <c r="AP28" s="934" t="str">
        <f>IFERROR(__xludf.DUMMYFUNCTION("""COMPUTED_VALUE"""),"#N/A")</f>
        <v>#N/A</v>
      </c>
      <c r="AQ28" s="913"/>
      <c r="AR28" s="940"/>
      <c r="AS28" s="942"/>
      <c r="AT28" s="941" t="str">
        <f>IFERROR(__xludf.DUMMYFUNCTION("""COMPUTED_VALUE"""),"#N/A")</f>
        <v>#N/A</v>
      </c>
      <c r="AU28" s="2"/>
      <c r="AV28" s="842"/>
      <c r="AW28" s="842"/>
      <c r="AX28" s="842"/>
      <c r="AY28" s="2"/>
      <c r="AZ28" s="2"/>
    </row>
    <row r="29" ht="14.25" customHeight="1">
      <c r="A29" s="876">
        <f>IFERROR(__xludf.DUMMYFUNCTION("""COMPUTED_VALUE"""),1754.0)</f>
        <v>1754</v>
      </c>
      <c r="B29" s="876">
        <f>IFERROR(__xludf.DUMMYFUNCTION("""COMPUTED_VALUE"""),26.0)</f>
        <v>26</v>
      </c>
      <c r="C29" s="876" t="str">
        <f>IFERROR(__xludf.DUMMYFUNCTION("""COMPUTED_VALUE"""),"2526100439")</f>
        <v>2526100439</v>
      </c>
      <c r="D29" s="877" t="str">
        <f>IFERROR(__xludf.DUMMYFUNCTION("""COMPUTED_VALUE"""),"0094990767")</f>
        <v>0094990767</v>
      </c>
      <c r="E29" s="878" t="str">
        <f>IFERROR(__xludf.DUMMYFUNCTION("""COMPUTED_VALUE"""),"MUHAMMAD FAHRI MAULANA")</f>
        <v>MUHAMMAD FAHRI MAULANA</v>
      </c>
      <c r="F29" s="879" t="str">
        <f>IFERROR(__xludf.DUMMYFUNCTION("""COMPUTED_VALUE"""),"X TO 4")</f>
        <v>X TO 4</v>
      </c>
      <c r="G29" s="897" t="str">
        <f>IFERROR(__xludf.DUMMYFUNCTION("""COMPUTED_VALUE"""),"Purwakarta")</f>
        <v>Purwakarta</v>
      </c>
      <c r="H29" s="898">
        <f>IFERROR(__xludf.DUMMYFUNCTION("""COMPUTED_VALUE"""),39922.0)</f>
        <v>39922</v>
      </c>
      <c r="I29" s="897" t="str">
        <f>IFERROR(__xludf.DUMMYFUNCTION("""COMPUTED_VALUE"""),"Laki-Laki")</f>
        <v>Laki-Laki</v>
      </c>
      <c r="J29" s="897" t="str">
        <f>IFERROR(__xludf.DUMMYFUNCTION("""COMPUTED_VALUE"""),"Islam")</f>
        <v>Islam</v>
      </c>
      <c r="K29" s="897" t="str">
        <f>IFERROR(__xludf.DUMMYFUNCTION("""COMPUTED_VALUE"""),"Anak Kandung")</f>
        <v>Anak Kandung</v>
      </c>
      <c r="L29" s="897" t="str">
        <f>IFERROR(__xludf.DUMMYFUNCTION("""COMPUTED_VALUE"""),"2 (Dua)")</f>
        <v>2 (Dua)</v>
      </c>
      <c r="M29" s="897" t="str">
        <f>IFERROR(__xludf.DUMMYFUNCTION("""COMPUTED_VALUE"""),"Kp. Warung Kandang RT/RW 013/003 Desa Sindangsari Kec. Plered Kab. Purwakarta")</f>
        <v>Kp. Warung Kandang RT/RW 013/003 Desa Sindangsari Kec. Plered Kab. Purwakarta</v>
      </c>
      <c r="N29" s="897" t="str">
        <f>IFERROR(__xludf.DUMMYFUNCTION("""COMPUTED_VALUE"""),"-")</f>
        <v>-</v>
      </c>
      <c r="O29" s="897" t="str">
        <f>IFERROR(__xludf.DUMMYFUNCTION("""COMPUTED_VALUE"""),"MTsN 2 Purwakarta")</f>
        <v>MTsN 2 Purwakarta</v>
      </c>
      <c r="P29" s="897" t="str">
        <f>IFERROR(__xludf.DUMMYFUNCTION("""COMPUTED_VALUE"""),"X TO 4")</f>
        <v>X TO 4</v>
      </c>
      <c r="Q29" s="897" t="str">
        <f>IFERROR(__xludf.DUMMYFUNCTION("""COMPUTED_VALUE"""),"14 Juli 2025")</f>
        <v>14 Juli 2025</v>
      </c>
      <c r="R29" s="897" t="str">
        <f>IFERROR(__xludf.DUMMYFUNCTION("""COMPUTED_VALUE"""),"Nasrul")</f>
        <v>Nasrul</v>
      </c>
      <c r="S29" s="897" t="str">
        <f>IFERROR(__xludf.DUMMYFUNCTION("""COMPUTED_VALUE"""),"Suhaemi")</f>
        <v>Suhaemi</v>
      </c>
      <c r="T29" s="897" t="str">
        <f>IFERROR(__xludf.DUMMYFUNCTION("""COMPUTED_VALUE"""),"Kp. Warung Kandang RT/RW 013/003 Desa Sindangsari Kec. Plered Kab. Purwakarta")</f>
        <v>Kp. Warung Kandang RT/RW 013/003 Desa Sindangsari Kec. Plered Kab. Purwakarta</v>
      </c>
      <c r="U29" s="897" t="str">
        <f>IFERROR(__xludf.DUMMYFUNCTION("""COMPUTED_VALUE"""),"-")</f>
        <v>-</v>
      </c>
      <c r="V29" s="897" t="str">
        <f>IFERROR(__xludf.DUMMYFUNCTION("""COMPUTED_VALUE"""),"Buruh")</f>
        <v>Buruh</v>
      </c>
      <c r="W29" s="897" t="str">
        <f>IFERROR(__xludf.DUMMYFUNCTION("""COMPUTED_VALUE"""),"Rumah Tangga")</f>
        <v>Rumah Tangga</v>
      </c>
      <c r="X29" s="897"/>
      <c r="Y29" s="897"/>
      <c r="Z29" s="897"/>
      <c r="AA29" s="897"/>
      <c r="AB29" s="897" t="str">
        <f>IFERROR(__xludf.DUMMYFUNCTION("""COMPUTED_VALUE"""),"20229659")</f>
        <v>20229659</v>
      </c>
      <c r="AC29" s="897"/>
      <c r="AD29" s="897" t="str">
        <f>IFERROR(__xludf.DUMMYFUNCTION("""COMPUTED_VALUE"""),"/appsheet/data/InputBiodataRaportX-3328125/FilePDF/MUHAMMAD FAHRI MAULANA-42231486.PDF")</f>
        <v>/appsheet/data/InputBiodataRaportX-3328125/FilePDF/MUHAMMAD FAHRI MAULANA-42231486.PDF</v>
      </c>
      <c r="AE29" s="897" t="str">
        <f>IFERROR(__xludf.DUMMYFUNCTION("""COMPUTED_VALUE"""),"2025 2026")</f>
        <v>2025 2026</v>
      </c>
      <c r="AF29" s="897" t="str">
        <f>IFERROR(__xludf.DUMMYFUNCTION("""COMPUTED_VALUE"""),"Purwakarta, 22 Desember 2025")</f>
        <v>Purwakarta, 22 Desember 2025</v>
      </c>
      <c r="AG29" s="897" t="str">
        <f>IFERROR(__xludf.DUMMYFUNCTION("""COMPUTED_VALUE"""),"X TO 4")</f>
        <v>X TO 4</v>
      </c>
      <c r="AH29" s="897" t="str">
        <f>IFERROR(__xludf.DUMMYFUNCTION("""COMPUTED_VALUE"""),"XI TSM 2")</f>
        <v>XI TSM 2</v>
      </c>
      <c r="AI29" s="897" t="str">
        <f>IFERROR(__xludf.DUMMYFUNCTION("""COMPUTED_VALUE"""),"XII TSM 2")</f>
        <v>XII TSM 2</v>
      </c>
      <c r="AJ29" s="899" t="str">
        <f>IFERROR(__xludf.DUMMYFUNCTION("""COMPUTED_VALUE"""),"XIII TSM 2")</f>
        <v>XIII TSM 2</v>
      </c>
      <c r="AK29" s="937"/>
      <c r="AL29" s="938"/>
      <c r="AM29" s="943" t="str">
        <f>IFERROR(__xludf.DUMMYFUNCTION("""COMPUTED_VALUE"""),"")</f>
        <v/>
      </c>
      <c r="AN29" s="932" t="str">
        <f>IFERROR(__xludf.DUMMYFUNCTION("""COMPUTED_VALUE"""),"")</f>
        <v/>
      </c>
      <c r="AO29" s="933" t="str">
        <f>IFERROR(__xludf.DUMMYFUNCTION("""COMPUTED_VALUE"""),"")</f>
        <v/>
      </c>
      <c r="AP29" s="934" t="str">
        <f>IFERROR(__xludf.DUMMYFUNCTION("""COMPUTED_VALUE"""),"#N/A")</f>
        <v>#N/A</v>
      </c>
      <c r="AQ29" s="913"/>
      <c r="AR29" s="940"/>
      <c r="AS29" s="942"/>
      <c r="AT29" s="941" t="str">
        <f>IFERROR(__xludf.DUMMYFUNCTION("""COMPUTED_VALUE"""),"#N/A")</f>
        <v>#N/A</v>
      </c>
      <c r="AU29" s="2"/>
      <c r="AV29" s="842"/>
      <c r="AW29" s="842"/>
      <c r="AX29" s="842"/>
      <c r="AY29" s="2"/>
      <c r="AZ29" s="2"/>
    </row>
    <row r="30" ht="14.25" customHeight="1">
      <c r="A30" s="876">
        <f>IFERROR(__xludf.DUMMYFUNCTION("""COMPUTED_VALUE"""),1755.0)</f>
        <v>1755</v>
      </c>
      <c r="B30" s="876">
        <f>IFERROR(__xludf.DUMMYFUNCTION("""COMPUTED_VALUE"""),27.0)</f>
        <v>27</v>
      </c>
      <c r="C30" s="876" t="str">
        <f>IFERROR(__xludf.DUMMYFUNCTION("""COMPUTED_VALUE"""),"2526100440")</f>
        <v>2526100440</v>
      </c>
      <c r="D30" s="877" t="str">
        <f>IFERROR(__xludf.DUMMYFUNCTION("""COMPUTED_VALUE"""),"0105005356")</f>
        <v>0105005356</v>
      </c>
      <c r="E30" s="878" t="str">
        <f>IFERROR(__xludf.DUMMYFUNCTION("""COMPUTED_VALUE"""),"MUHAMMAD GALANG GUNAWAN")</f>
        <v>MUHAMMAD GALANG GUNAWAN</v>
      </c>
      <c r="F30" s="879" t="str">
        <f>IFERROR(__xludf.DUMMYFUNCTION("""COMPUTED_VALUE"""),"X TO 4")</f>
        <v>X TO 4</v>
      </c>
      <c r="G30" s="897" t="str">
        <f>IFERROR(__xludf.DUMMYFUNCTION("""COMPUTED_VALUE"""),"Purwakarta")</f>
        <v>Purwakarta</v>
      </c>
      <c r="H30" s="898">
        <f>IFERROR(__xludf.DUMMYFUNCTION("""COMPUTED_VALUE"""),40459.0)</f>
        <v>40459</v>
      </c>
      <c r="I30" s="897" t="str">
        <f>IFERROR(__xludf.DUMMYFUNCTION("""COMPUTED_VALUE"""),"Laki-Laki")</f>
        <v>Laki-Laki</v>
      </c>
      <c r="J30" s="897" t="str">
        <f>IFERROR(__xludf.DUMMYFUNCTION("""COMPUTED_VALUE"""),"Islam")</f>
        <v>Islam</v>
      </c>
      <c r="K30" s="897" t="str">
        <f>IFERROR(__xludf.DUMMYFUNCTION("""COMPUTED_VALUE"""),"Anak Kandung")</f>
        <v>Anak Kandung</v>
      </c>
      <c r="L30" s="897" t="str">
        <f>IFERROR(__xludf.DUMMYFUNCTION("""COMPUTED_VALUE"""),"1 (Satu)")</f>
        <v>1 (Satu)</v>
      </c>
      <c r="M30" s="897" t="str">
        <f>IFERROR(__xludf.DUMMYFUNCTION("""COMPUTED_VALUE"""),"Gang Sekolah RT 09/03, Desa Plered, Kecamatan Plered, Kabupaten Purwakarta")</f>
        <v>Gang Sekolah RT 09/03, Desa Plered, Kecamatan Plered, Kabupaten Purwakarta</v>
      </c>
      <c r="N30" s="897"/>
      <c r="O30" s="897" t="str">
        <f>IFERROR(__xludf.DUMMYFUNCTION("""COMPUTED_VALUE"""),"MTsN 2 Purwakarta")</f>
        <v>MTsN 2 Purwakarta</v>
      </c>
      <c r="P30" s="897" t="str">
        <f>IFERROR(__xludf.DUMMYFUNCTION("""COMPUTED_VALUE"""),"X TO 4")</f>
        <v>X TO 4</v>
      </c>
      <c r="Q30" s="897" t="str">
        <f>IFERROR(__xludf.DUMMYFUNCTION("""COMPUTED_VALUE"""),"14 Juli 2025")</f>
        <v>14 Juli 2025</v>
      </c>
      <c r="R30" s="897" t="str">
        <f>IFERROR(__xludf.DUMMYFUNCTION("""COMPUTED_VALUE"""),"Egi Pria Gunawan")</f>
        <v>Egi Pria Gunawan</v>
      </c>
      <c r="S30" s="897" t="str">
        <f>IFERROR(__xludf.DUMMYFUNCTION("""COMPUTED_VALUE"""),"Ika Liskawati")</f>
        <v>Ika Liskawati</v>
      </c>
      <c r="T30" s="897" t="str">
        <f>IFERROR(__xludf.DUMMYFUNCTION("""COMPUTED_VALUE"""),"Gang Sekolah RT 09/03, Desa Plered, Kecamatan Plered, Kabupaten Purwakarta")</f>
        <v>Gang Sekolah RT 09/03, Desa Plered, Kecamatan Plered, Kabupaten Purwakarta</v>
      </c>
      <c r="U30" s="897"/>
      <c r="V30" s="897" t="str">
        <f>IFERROR(__xludf.DUMMYFUNCTION("""COMPUTED_VALUE"""),"Wiraswasta")</f>
        <v>Wiraswasta</v>
      </c>
      <c r="W30" s="897" t="str">
        <f>IFERROR(__xludf.DUMMYFUNCTION("""COMPUTED_VALUE"""),"Wiraswasta")</f>
        <v>Wiraswasta</v>
      </c>
      <c r="X30" s="897"/>
      <c r="Y30" s="897"/>
      <c r="Z30" s="897"/>
      <c r="AA30" s="897"/>
      <c r="AB30" s="897" t="str">
        <f>IFERROR(__xludf.DUMMYFUNCTION("""COMPUTED_VALUE"""),"20229659")</f>
        <v>20229659</v>
      </c>
      <c r="AC30" s="897"/>
      <c r="AD30" s="897" t="str">
        <f>IFERROR(__xludf.DUMMYFUNCTION("""COMPUTED_VALUE"""),"/appsheet/data/InputBiodataRaportX-3328125/FilePDF/MUHAMMAD GALANG GUNAWAN-944bd526.PDF")</f>
        <v>/appsheet/data/InputBiodataRaportX-3328125/FilePDF/MUHAMMAD GALANG GUNAWAN-944bd526.PDF</v>
      </c>
      <c r="AE30" s="897" t="str">
        <f>IFERROR(__xludf.DUMMYFUNCTION("""COMPUTED_VALUE"""),"2025 2026")</f>
        <v>2025 2026</v>
      </c>
      <c r="AF30" s="897" t="str">
        <f>IFERROR(__xludf.DUMMYFUNCTION("""COMPUTED_VALUE"""),"Purwakarta, 22 Desember 2025")</f>
        <v>Purwakarta, 22 Desember 2025</v>
      </c>
      <c r="AG30" s="897" t="str">
        <f>IFERROR(__xludf.DUMMYFUNCTION("""COMPUTED_VALUE"""),"X TO 4")</f>
        <v>X TO 4</v>
      </c>
      <c r="AH30" s="897" t="str">
        <f>IFERROR(__xludf.DUMMYFUNCTION("""COMPUTED_VALUE"""),"XI TSM 2")</f>
        <v>XI TSM 2</v>
      </c>
      <c r="AI30" s="897" t="str">
        <f>IFERROR(__xludf.DUMMYFUNCTION("""COMPUTED_VALUE"""),"XII TSM 2")</f>
        <v>XII TSM 2</v>
      </c>
      <c r="AJ30" s="899" t="str">
        <f>IFERROR(__xludf.DUMMYFUNCTION("""COMPUTED_VALUE"""),"XIII TSM 2")</f>
        <v>XIII TSM 2</v>
      </c>
      <c r="AK30" s="937"/>
      <c r="AL30" s="944"/>
      <c r="AM30" s="945" t="str">
        <f>IFERROR(__xludf.DUMMYFUNCTION("""COMPUTED_VALUE"""),"")</f>
        <v/>
      </c>
      <c r="AN30" s="946" t="str">
        <f>IFERROR(__xludf.DUMMYFUNCTION("""COMPUTED_VALUE"""),"")</f>
        <v/>
      </c>
      <c r="AO30" s="947" t="str">
        <f>IFERROR(__xludf.DUMMYFUNCTION("""COMPUTED_VALUE"""),"")</f>
        <v/>
      </c>
      <c r="AP30" s="948" t="str">
        <f>IFERROR(__xludf.DUMMYFUNCTION("""COMPUTED_VALUE"""),"#N/A")</f>
        <v>#N/A</v>
      </c>
      <c r="AQ30" s="949"/>
      <c r="AR30" s="950"/>
      <c r="AS30" s="951"/>
      <c r="AT30" s="952" t="str">
        <f>IFERROR(__xludf.DUMMYFUNCTION("""COMPUTED_VALUE"""),"#N/A")</f>
        <v>#N/A</v>
      </c>
      <c r="AU30" s="2"/>
      <c r="AV30" s="842"/>
      <c r="AW30" s="842"/>
      <c r="AX30" s="842"/>
      <c r="AY30" s="2"/>
      <c r="AZ30" s="2"/>
    </row>
    <row r="31" ht="14.25" customHeight="1">
      <c r="A31" s="876">
        <f>IFERROR(__xludf.DUMMYFUNCTION("""COMPUTED_VALUE"""),1756.0)</f>
        <v>1756</v>
      </c>
      <c r="B31" s="876">
        <f>IFERROR(__xludf.DUMMYFUNCTION("""COMPUTED_VALUE"""),28.0)</f>
        <v>28</v>
      </c>
      <c r="C31" s="876" t="str">
        <f>IFERROR(__xludf.DUMMYFUNCTION("""COMPUTED_VALUE"""),"2526100441")</f>
        <v>2526100441</v>
      </c>
      <c r="D31" s="877" t="str">
        <f>IFERROR(__xludf.DUMMYFUNCTION("""COMPUTED_VALUE"""),"0089904752")</f>
        <v>0089904752</v>
      </c>
      <c r="E31" s="878" t="str">
        <f>IFERROR(__xludf.DUMMYFUNCTION("""COMPUTED_VALUE"""),"MUHAMMAD GOZALI")</f>
        <v>MUHAMMAD GOZALI</v>
      </c>
      <c r="F31" s="879" t="str">
        <f>IFERROR(__xludf.DUMMYFUNCTION("""COMPUTED_VALUE"""),"X TO 4")</f>
        <v>X TO 4</v>
      </c>
      <c r="G31" s="897" t="str">
        <f>IFERROR(__xludf.DUMMYFUNCTION("""COMPUTED_VALUE"""),"Purwakarta")</f>
        <v>Purwakarta</v>
      </c>
      <c r="H31" s="898">
        <f>IFERROR(__xludf.DUMMYFUNCTION("""COMPUTED_VALUE"""),39807.0)</f>
        <v>39807</v>
      </c>
      <c r="I31" s="897" t="str">
        <f>IFERROR(__xludf.DUMMYFUNCTION("""COMPUTED_VALUE"""),"Laki-Laki")</f>
        <v>Laki-Laki</v>
      </c>
      <c r="J31" s="897" t="str">
        <f>IFERROR(__xludf.DUMMYFUNCTION("""COMPUTED_VALUE"""),"Islam")</f>
        <v>Islam</v>
      </c>
      <c r="K31" s="897" t="str">
        <f>IFERROR(__xludf.DUMMYFUNCTION("""COMPUTED_VALUE"""),"Anak Kandung")</f>
        <v>Anak Kandung</v>
      </c>
      <c r="L31" s="897" t="str">
        <f>IFERROR(__xludf.DUMMYFUNCTION("""COMPUTED_VALUE"""),"5 (Lima)")</f>
        <v>5 (Lima)</v>
      </c>
      <c r="M31" s="897" t="str">
        <f>IFERROR(__xludf.DUMMYFUNCTION("""COMPUTED_VALUE"""),"Kp. Ciwareng Wetan RT/RW 015/006 Desa Cibogo Girang Kec. Plered Kab. Purwakarta")</f>
        <v>Kp. Ciwareng Wetan RT/RW 015/006 Desa Cibogo Girang Kec. Plered Kab. Purwakarta</v>
      </c>
      <c r="N31" s="897" t="str">
        <f>IFERROR(__xludf.DUMMYFUNCTION("""COMPUTED_VALUE"""),"-")</f>
        <v>-</v>
      </c>
      <c r="O31" s="897" t="str">
        <f>IFERROR(__xludf.DUMMYFUNCTION("""COMPUTED_VALUE"""),"MTsS As Salam")</f>
        <v>MTsS As Salam</v>
      </c>
      <c r="P31" s="897" t="str">
        <f>IFERROR(__xludf.DUMMYFUNCTION("""COMPUTED_VALUE"""),"X TO 4")</f>
        <v>X TO 4</v>
      </c>
      <c r="Q31" s="897" t="str">
        <f>IFERROR(__xludf.DUMMYFUNCTION("""COMPUTED_VALUE"""),"14 Juli 2025")</f>
        <v>14 Juli 2025</v>
      </c>
      <c r="R31" s="897" t="str">
        <f>IFERROR(__xludf.DUMMYFUNCTION("""COMPUTED_VALUE"""),"Endang Sukanda")</f>
        <v>Endang Sukanda</v>
      </c>
      <c r="S31" s="897" t="str">
        <f>IFERROR(__xludf.DUMMYFUNCTION("""COMPUTED_VALUE"""),"Nolis Holisoh")</f>
        <v>Nolis Holisoh</v>
      </c>
      <c r="T31" s="897" t="str">
        <f>IFERROR(__xludf.DUMMYFUNCTION("""COMPUTED_VALUE"""),"Kp. Ciwareng Wetan RT 015/006 Desa Cibogo Girang Kec. Plered Kab. Purwakarta")</f>
        <v>Kp. Ciwareng Wetan RT 015/006 Desa Cibogo Girang Kec. Plered Kab. Purwakarta</v>
      </c>
      <c r="U31" s="897" t="str">
        <f>IFERROR(__xludf.DUMMYFUNCTION("""COMPUTED_VALUE"""),"-")</f>
        <v>-</v>
      </c>
      <c r="V31" s="897" t="str">
        <f>IFERROR(__xludf.DUMMYFUNCTION("""COMPUTED_VALUE"""),"Buruh")</f>
        <v>Buruh</v>
      </c>
      <c r="W31" s="897" t="str">
        <f>IFERROR(__xludf.DUMMYFUNCTION("""COMPUTED_VALUE"""),"Rumah Tangga")</f>
        <v>Rumah Tangga</v>
      </c>
      <c r="X31" s="897" t="str">
        <f>IFERROR(__xludf.DUMMYFUNCTION("""COMPUTED_VALUE"""),"-")</f>
        <v>-</v>
      </c>
      <c r="Y31" s="897" t="str">
        <f>IFERROR(__xludf.DUMMYFUNCTION("""COMPUTED_VALUE"""),"-")</f>
        <v>-</v>
      </c>
      <c r="Z31" s="897" t="str">
        <f>IFERROR(__xludf.DUMMYFUNCTION("""COMPUTED_VALUE"""),"-")</f>
        <v>-</v>
      </c>
      <c r="AA31" s="897"/>
      <c r="AB31" s="897" t="str">
        <f>IFERROR(__xludf.DUMMYFUNCTION("""COMPUTED_VALUE"""),"20229659")</f>
        <v>20229659</v>
      </c>
      <c r="AC31" s="897"/>
      <c r="AD31" s="897" t="str">
        <f>IFERROR(__xludf.DUMMYFUNCTION("""COMPUTED_VALUE"""),"/appsheet/data/InputBiodataRaportX-3328125/FilePDF/MUHAMMAD GOZALI-d2ee8a27.PDF")</f>
        <v>/appsheet/data/InputBiodataRaportX-3328125/FilePDF/MUHAMMAD GOZALI-d2ee8a27.PDF</v>
      </c>
      <c r="AE31" s="897" t="str">
        <f>IFERROR(__xludf.DUMMYFUNCTION("""COMPUTED_VALUE"""),"2025 2026")</f>
        <v>2025 2026</v>
      </c>
      <c r="AF31" s="897" t="str">
        <f>IFERROR(__xludf.DUMMYFUNCTION("""COMPUTED_VALUE"""),"Purwakarta, 22 Desember 2025")</f>
        <v>Purwakarta, 22 Desember 2025</v>
      </c>
      <c r="AG31" s="897" t="str">
        <f>IFERROR(__xludf.DUMMYFUNCTION("""COMPUTED_VALUE"""),"X TO 4")</f>
        <v>X TO 4</v>
      </c>
      <c r="AH31" s="897" t="str">
        <f>IFERROR(__xludf.DUMMYFUNCTION("""COMPUTED_VALUE"""),"XI TSM 2")</f>
        <v>XI TSM 2</v>
      </c>
      <c r="AI31" s="897" t="str">
        <f>IFERROR(__xludf.DUMMYFUNCTION("""COMPUTED_VALUE"""),"XII TSM 2")</f>
        <v>XII TSM 2</v>
      </c>
      <c r="AJ31" s="899" t="str">
        <f>IFERROR(__xludf.DUMMYFUNCTION("""COMPUTED_VALUE"""),"XIII TSM 2")</f>
        <v>XIII TSM 2</v>
      </c>
      <c r="AK31" s="432"/>
      <c r="AL31" s="432"/>
      <c r="AM31" s="432"/>
      <c r="AO31" s="953"/>
      <c r="AP31" s="953"/>
      <c r="AQ31" s="448"/>
      <c r="AR31" s="15"/>
      <c r="AS31" s="15"/>
      <c r="AT31" s="15"/>
      <c r="AV31" s="842"/>
      <c r="AW31" s="842"/>
      <c r="AX31" s="842"/>
    </row>
    <row r="32" ht="14.25" customHeight="1">
      <c r="A32" s="876">
        <f>IFERROR(__xludf.DUMMYFUNCTION("""COMPUTED_VALUE"""),1757.0)</f>
        <v>1757</v>
      </c>
      <c r="B32" s="876">
        <f>IFERROR(__xludf.DUMMYFUNCTION("""COMPUTED_VALUE"""),29.0)</f>
        <v>29</v>
      </c>
      <c r="C32" s="876" t="str">
        <f>IFERROR(__xludf.DUMMYFUNCTION("""COMPUTED_VALUE"""),"2526100442")</f>
        <v>2526100442</v>
      </c>
      <c r="D32" s="877" t="str">
        <f>IFERROR(__xludf.DUMMYFUNCTION("""COMPUTED_VALUE"""),"0093764470")</f>
        <v>0093764470</v>
      </c>
      <c r="E32" s="878" t="str">
        <f>IFERROR(__xludf.DUMMYFUNCTION("""COMPUTED_VALUE"""),"MUHAMMAD HADAD AT'TOILLAH")</f>
        <v>MUHAMMAD HADAD AT'TOILLAH</v>
      </c>
      <c r="F32" s="879" t="str">
        <f>IFERROR(__xludf.DUMMYFUNCTION("""COMPUTED_VALUE"""),"X TO 4")</f>
        <v>X TO 4</v>
      </c>
      <c r="G32" s="897" t="str">
        <f>IFERROR(__xludf.DUMMYFUNCTION("""COMPUTED_VALUE"""),"Purwakarta")</f>
        <v>Purwakarta</v>
      </c>
      <c r="H32" s="898">
        <f>IFERROR(__xludf.DUMMYFUNCTION("""COMPUTED_VALUE"""),39964.0)</f>
        <v>39964</v>
      </c>
      <c r="I32" s="897" t="str">
        <f>IFERROR(__xludf.DUMMYFUNCTION("""COMPUTED_VALUE"""),"Laki-Laki")</f>
        <v>Laki-Laki</v>
      </c>
      <c r="J32" s="897" t="str">
        <f>IFERROR(__xludf.DUMMYFUNCTION("""COMPUTED_VALUE"""),"Islam")</f>
        <v>Islam</v>
      </c>
      <c r="K32" s="897" t="str">
        <f>IFERROR(__xludf.DUMMYFUNCTION("""COMPUTED_VALUE"""),"Anak Kandung")</f>
        <v>Anak Kandung</v>
      </c>
      <c r="L32" s="897" t="str">
        <f>IFERROR(__xludf.DUMMYFUNCTION("""COMPUTED_VALUE"""),"2 (Dua)")</f>
        <v>2 (Dua)</v>
      </c>
      <c r="M32" s="897" t="str">
        <f>IFERROR(__xludf.DUMMYFUNCTION("""COMPUTED_VALUE"""),"Kp. Cinutug RT/W 008/003, Desa Depok, Kecamatan Darangdan, Kabupaten Purwakarta")</f>
        <v>Kp. Cinutug RT/W 008/003, Desa Depok, Kecamatan Darangdan, Kabupaten Purwakarta</v>
      </c>
      <c r="N32" s="897" t="str">
        <f>IFERROR(__xludf.DUMMYFUNCTION("""COMPUTED_VALUE"""),"-")</f>
        <v>-</v>
      </c>
      <c r="O32" s="897" t="str">
        <f>IFERROR(__xludf.DUMMYFUNCTION("""COMPUTED_VALUE"""),"SMP Negeri 6 Darangdan")</f>
        <v>SMP Negeri 6 Darangdan</v>
      </c>
      <c r="P32" s="897" t="str">
        <f>IFERROR(__xludf.DUMMYFUNCTION("""COMPUTED_VALUE"""),"X TO 4")</f>
        <v>X TO 4</v>
      </c>
      <c r="Q32" s="897" t="str">
        <f>IFERROR(__xludf.DUMMYFUNCTION("""COMPUTED_VALUE"""),"14 Juli 2025")</f>
        <v>14 Juli 2025</v>
      </c>
      <c r="R32" s="897" t="str">
        <f>IFERROR(__xludf.DUMMYFUNCTION("""COMPUTED_VALUE"""),"Cece Hidayat")</f>
        <v>Cece Hidayat</v>
      </c>
      <c r="S32" s="897" t="str">
        <f>IFERROR(__xludf.DUMMYFUNCTION("""COMPUTED_VALUE"""),"Dedah Siti Juariah")</f>
        <v>Dedah Siti Juariah</v>
      </c>
      <c r="T32" s="897" t="str">
        <f>IFERROR(__xludf.DUMMYFUNCTION("""COMPUTED_VALUE"""),"Kp. Cinutug RT/W 008/003, Desa Depok, Kecamatan Darangdan, Kabupaten Purwakarta")</f>
        <v>Kp. Cinutug RT/W 008/003, Desa Depok, Kecamatan Darangdan, Kabupaten Purwakarta</v>
      </c>
      <c r="U32" s="897" t="str">
        <f>IFERROR(__xludf.DUMMYFUNCTION("""COMPUTED_VALUE"""),"-")</f>
        <v>-</v>
      </c>
      <c r="V32" s="897" t="str">
        <f>IFERROR(__xludf.DUMMYFUNCTION("""COMPUTED_VALUE"""),"Buruh")</f>
        <v>Buruh</v>
      </c>
      <c r="W32" s="897" t="str">
        <f>IFERROR(__xludf.DUMMYFUNCTION("""COMPUTED_VALUE"""),"Rumah Tangga")</f>
        <v>Rumah Tangga</v>
      </c>
      <c r="X32" s="897" t="str">
        <f>IFERROR(__xludf.DUMMYFUNCTION("""COMPUTED_VALUE"""),"-")</f>
        <v>-</v>
      </c>
      <c r="Y32" s="897" t="str">
        <f>IFERROR(__xludf.DUMMYFUNCTION("""COMPUTED_VALUE"""),"-")</f>
        <v>-</v>
      </c>
      <c r="Z32" s="897"/>
      <c r="AA32" s="897"/>
      <c r="AB32" s="897" t="str">
        <f>IFERROR(__xludf.DUMMYFUNCTION("""COMPUTED_VALUE"""),"20229659")</f>
        <v>20229659</v>
      </c>
      <c r="AC32" s="897"/>
      <c r="AD32" s="897" t="str">
        <f>IFERROR(__xludf.DUMMYFUNCTION("""COMPUTED_VALUE"""),"/appsheet/data/InputBiodataRaportX-3328125/FilePDF/MUHAMMAD HADAD AT'TOILLAH-6e29b70d.PDF")</f>
        <v>/appsheet/data/InputBiodataRaportX-3328125/FilePDF/MUHAMMAD HADAD AT'TOILLAH-6e29b70d.PDF</v>
      </c>
      <c r="AE32" s="897" t="str">
        <f>IFERROR(__xludf.DUMMYFUNCTION("""COMPUTED_VALUE"""),"2025 2026")</f>
        <v>2025 2026</v>
      </c>
      <c r="AF32" s="897" t="str">
        <f>IFERROR(__xludf.DUMMYFUNCTION("""COMPUTED_VALUE"""),"Purwakarta, 22 Desember 2025")</f>
        <v>Purwakarta, 22 Desember 2025</v>
      </c>
      <c r="AG32" s="897" t="str">
        <f>IFERROR(__xludf.DUMMYFUNCTION("""COMPUTED_VALUE"""),"X TO 4")</f>
        <v>X TO 4</v>
      </c>
      <c r="AH32" s="897" t="str">
        <f>IFERROR(__xludf.DUMMYFUNCTION("""COMPUTED_VALUE"""),"XI TSM 2")</f>
        <v>XI TSM 2</v>
      </c>
      <c r="AI32" s="897" t="str">
        <f>IFERROR(__xludf.DUMMYFUNCTION("""COMPUTED_VALUE"""),"XII TSM 2")</f>
        <v>XII TSM 2</v>
      </c>
      <c r="AJ32" s="899" t="str">
        <f>IFERROR(__xludf.DUMMYFUNCTION("""COMPUTED_VALUE"""),"XIII TSM 2")</f>
        <v>XIII TSM 2</v>
      </c>
      <c r="AK32" s="432"/>
      <c r="AL32" s="432"/>
      <c r="AM32" s="432"/>
      <c r="AO32" s="953"/>
      <c r="AP32" s="953"/>
      <c r="AQ32" s="448"/>
      <c r="AR32" s="15"/>
      <c r="AS32" s="15"/>
      <c r="AT32" s="15"/>
      <c r="AV32" s="842"/>
      <c r="AW32" s="842"/>
      <c r="AX32" s="842"/>
    </row>
    <row r="33" ht="14.25" customHeight="1">
      <c r="A33" s="876">
        <f>IFERROR(__xludf.DUMMYFUNCTION("""COMPUTED_VALUE"""),1758.0)</f>
        <v>1758</v>
      </c>
      <c r="B33" s="876">
        <f>IFERROR(__xludf.DUMMYFUNCTION("""COMPUTED_VALUE"""),30.0)</f>
        <v>30</v>
      </c>
      <c r="C33" s="876" t="str">
        <f>IFERROR(__xludf.DUMMYFUNCTION("""COMPUTED_VALUE"""),"2526100443")</f>
        <v>2526100443</v>
      </c>
      <c r="D33" s="877" t="str">
        <f>IFERROR(__xludf.DUMMYFUNCTION("""COMPUTED_VALUE"""),"0092995954")</f>
        <v>0092995954</v>
      </c>
      <c r="E33" s="878" t="str">
        <f>IFERROR(__xludf.DUMMYFUNCTION("""COMPUTED_VALUE"""),"MUHAMMAD ILHAM")</f>
        <v>MUHAMMAD ILHAM</v>
      </c>
      <c r="F33" s="879" t="str">
        <f>IFERROR(__xludf.DUMMYFUNCTION("""COMPUTED_VALUE"""),"X TO 4")</f>
        <v>X TO 4</v>
      </c>
      <c r="G33" s="897" t="str">
        <f>IFERROR(__xludf.DUMMYFUNCTION("""COMPUTED_VALUE"""),"Purwakarta")</f>
        <v>Purwakarta</v>
      </c>
      <c r="H33" s="898">
        <f>IFERROR(__xludf.DUMMYFUNCTION("""COMPUTED_VALUE"""),40176.0)</f>
        <v>40176</v>
      </c>
      <c r="I33" s="897" t="str">
        <f>IFERROR(__xludf.DUMMYFUNCTION("""COMPUTED_VALUE"""),"Laki-Laki")</f>
        <v>Laki-Laki</v>
      </c>
      <c r="J33" s="897" t="str">
        <f>IFERROR(__xludf.DUMMYFUNCTION("""COMPUTED_VALUE"""),"Islam")</f>
        <v>Islam</v>
      </c>
      <c r="K33" s="897" t="str">
        <f>IFERROR(__xludf.DUMMYFUNCTION("""COMPUTED_VALUE"""),"Anak Kandung")</f>
        <v>Anak Kandung</v>
      </c>
      <c r="L33" s="897" t="str">
        <f>IFERROR(__xludf.DUMMYFUNCTION("""COMPUTED_VALUE"""),"2 (Dua)")</f>
        <v>2 (Dua)</v>
      </c>
      <c r="M33" s="897" t="str">
        <f>IFERROR(__xludf.DUMMYFUNCTION("""COMPUTED_VALUE"""),"Kp. cileutak RT/RW 009/003 Desa Gandasoli Kec.Plered Kab.Purwakarta")</f>
        <v>Kp. cileutak RT/RW 009/003 Desa Gandasoli Kec.Plered Kab.Purwakarta</v>
      </c>
      <c r="N33" s="897" t="str">
        <f>IFERROR(__xludf.DUMMYFUNCTION("""COMPUTED_VALUE"""),"-")</f>
        <v>-</v>
      </c>
      <c r="O33" s="897" t="str">
        <f>IFERROR(__xludf.DUMMYFUNCTION("""COMPUTED_VALUE"""),"SMP Negeri 2 Darangdan")</f>
        <v>SMP Negeri 2 Darangdan</v>
      </c>
      <c r="P33" s="897" t="str">
        <f>IFERROR(__xludf.DUMMYFUNCTION("""COMPUTED_VALUE"""),"X TO 4")</f>
        <v>X TO 4</v>
      </c>
      <c r="Q33" s="897" t="str">
        <f>IFERROR(__xludf.DUMMYFUNCTION("""COMPUTED_VALUE"""),"14 Juli 2025")</f>
        <v>14 Juli 2025</v>
      </c>
      <c r="R33" s="897" t="str">
        <f>IFERROR(__xludf.DUMMYFUNCTION("""COMPUTED_VALUE"""),"Sarip Hidayat")</f>
        <v>Sarip Hidayat</v>
      </c>
      <c r="S33" s="897" t="str">
        <f>IFERROR(__xludf.DUMMYFUNCTION("""COMPUTED_VALUE"""),"Yayah")</f>
        <v>Yayah</v>
      </c>
      <c r="T33" s="897" t="str">
        <f>IFERROR(__xludf.DUMMYFUNCTION("""COMPUTED_VALUE"""),"Kp. cileutak RT 009/003 Desa Gandasoli Kec.Plered Kab.Purwakarta")</f>
        <v>Kp. cileutak RT 009/003 Desa Gandasoli Kec.Plered Kab.Purwakarta</v>
      </c>
      <c r="U33" s="897" t="str">
        <f>IFERROR(__xludf.DUMMYFUNCTION("""COMPUTED_VALUE"""),"-")</f>
        <v>-</v>
      </c>
      <c r="V33" s="897" t="str">
        <f>IFERROR(__xludf.DUMMYFUNCTION("""COMPUTED_VALUE"""),"Buruh")</f>
        <v>Buruh</v>
      </c>
      <c r="W33" s="897" t="str">
        <f>IFERROR(__xludf.DUMMYFUNCTION("""COMPUTED_VALUE"""),"Rumah Tangga")</f>
        <v>Rumah Tangga</v>
      </c>
      <c r="X33" s="897" t="str">
        <f>IFERROR(__xludf.DUMMYFUNCTION("""COMPUTED_VALUE"""),"-")</f>
        <v>-</v>
      </c>
      <c r="Y33" s="897" t="str">
        <f>IFERROR(__xludf.DUMMYFUNCTION("""COMPUTED_VALUE"""),"-")</f>
        <v>-</v>
      </c>
      <c r="Z33" s="897" t="str">
        <f>IFERROR(__xludf.DUMMYFUNCTION("""COMPUTED_VALUE"""),"-")</f>
        <v>-</v>
      </c>
      <c r="AA33" s="897"/>
      <c r="AB33" s="897" t="str">
        <f>IFERROR(__xludf.DUMMYFUNCTION("""COMPUTED_VALUE"""),"20229659")</f>
        <v>20229659</v>
      </c>
      <c r="AC33" s="897"/>
      <c r="AD33" s="897" t="str">
        <f>IFERROR(__xludf.DUMMYFUNCTION("""COMPUTED_VALUE"""),"/appsheet/data/InputBiodataRaportX-3328125/FilePDF/MUHAMMAD ILHAM-65092203.PDF")</f>
        <v>/appsheet/data/InputBiodataRaportX-3328125/FilePDF/MUHAMMAD ILHAM-65092203.PDF</v>
      </c>
      <c r="AE33" s="897" t="str">
        <f>IFERROR(__xludf.DUMMYFUNCTION("""COMPUTED_VALUE"""),"2025 2026")</f>
        <v>2025 2026</v>
      </c>
      <c r="AF33" s="897" t="str">
        <f>IFERROR(__xludf.DUMMYFUNCTION("""COMPUTED_VALUE"""),"Purwakarta, 22 Desember 2025")</f>
        <v>Purwakarta, 22 Desember 2025</v>
      </c>
      <c r="AG33" s="897" t="str">
        <f>IFERROR(__xludf.DUMMYFUNCTION("""COMPUTED_VALUE"""),"X TO 4")</f>
        <v>X TO 4</v>
      </c>
      <c r="AH33" s="897" t="str">
        <f>IFERROR(__xludf.DUMMYFUNCTION("""COMPUTED_VALUE"""),"XI TSM 2")</f>
        <v>XI TSM 2</v>
      </c>
      <c r="AI33" s="897" t="str">
        <f>IFERROR(__xludf.DUMMYFUNCTION("""COMPUTED_VALUE"""),"XII TSM 2")</f>
        <v>XII TSM 2</v>
      </c>
      <c r="AJ33" s="899" t="str">
        <f>IFERROR(__xludf.DUMMYFUNCTION("""COMPUTED_VALUE"""),"XIII TSM 2")</f>
        <v>XIII TSM 2</v>
      </c>
      <c r="AK33" s="432"/>
      <c r="AL33" s="432"/>
      <c r="AM33" s="432"/>
      <c r="AO33" s="953"/>
      <c r="AP33" s="953"/>
      <c r="AQ33" s="448"/>
      <c r="AR33" s="15"/>
      <c r="AS33" s="15"/>
      <c r="AT33" s="15"/>
      <c r="AV33" s="842"/>
      <c r="AW33" s="842"/>
      <c r="AX33" s="842"/>
    </row>
    <row r="34" ht="14.25" customHeight="1">
      <c r="A34" s="876">
        <f>IFERROR(__xludf.DUMMYFUNCTION("""COMPUTED_VALUE"""),1759.0)</f>
        <v>1759</v>
      </c>
      <c r="B34" s="876">
        <f>IFERROR(__xludf.DUMMYFUNCTION("""COMPUTED_VALUE"""),31.0)</f>
        <v>31</v>
      </c>
      <c r="C34" s="876" t="str">
        <f>IFERROR(__xludf.DUMMYFUNCTION("""COMPUTED_VALUE"""),"2526100444")</f>
        <v>2526100444</v>
      </c>
      <c r="D34" s="877" t="str">
        <f>IFERROR(__xludf.DUMMYFUNCTION("""COMPUTED_VALUE"""),"0091433917")</f>
        <v>0091433917</v>
      </c>
      <c r="E34" s="878" t="str">
        <f>IFERROR(__xludf.DUMMYFUNCTION("""COMPUTED_VALUE"""),"M. IRPAN SAEPUL IBRAHIM ")</f>
        <v>M. IRPAN SAEPUL IBRAHIM </v>
      </c>
      <c r="F34" s="879" t="str">
        <f>IFERROR(__xludf.DUMMYFUNCTION("""COMPUTED_VALUE"""),"X TO 4")</f>
        <v>X TO 4</v>
      </c>
      <c r="G34" s="897" t="str">
        <f>IFERROR(__xludf.DUMMYFUNCTION("""COMPUTED_VALUE"""),"Purwakarta")</f>
        <v>Purwakarta</v>
      </c>
      <c r="H34" s="898">
        <f>IFERROR(__xludf.DUMMYFUNCTION("""COMPUTED_VALUE"""),40000.0)</f>
        <v>40000</v>
      </c>
      <c r="I34" s="897" t="str">
        <f>IFERROR(__xludf.DUMMYFUNCTION("""COMPUTED_VALUE"""),"Laki-Laki")</f>
        <v>Laki-Laki</v>
      </c>
      <c r="J34" s="897" t="str">
        <f>IFERROR(__xludf.DUMMYFUNCTION("""COMPUTED_VALUE"""),"Islam")</f>
        <v>Islam</v>
      </c>
      <c r="K34" s="897" t="str">
        <f>IFERROR(__xludf.DUMMYFUNCTION("""COMPUTED_VALUE"""),"Anak Kandung")</f>
        <v>Anak Kandung</v>
      </c>
      <c r="L34" s="897" t="str">
        <f>IFERROR(__xludf.DUMMYFUNCTION("""COMPUTED_VALUE"""),"2 (Dua)")</f>
        <v>2 (Dua)</v>
      </c>
      <c r="M34" s="897" t="str">
        <f>IFERROR(__xludf.DUMMYFUNCTION("""COMPUTED_VALUE"""),"Kp. Cijati No.06 RT/RW 020/010 Desa Warungjeruk Kec. Tegalwaru Kab. Purwakarta")</f>
        <v>Kp. Cijati No.06 RT/RW 020/010 Desa Warungjeruk Kec. Tegalwaru Kab. Purwakarta</v>
      </c>
      <c r="N34" s="897" t="str">
        <f>IFERROR(__xludf.DUMMYFUNCTION("""COMPUTED_VALUE"""),"-")</f>
        <v>-</v>
      </c>
      <c r="O34" s="897" t="str">
        <f>IFERROR(__xludf.DUMMYFUNCTION("""COMPUTED_VALUE"""),"MTsS Nurul Huda")</f>
        <v>MTsS Nurul Huda</v>
      </c>
      <c r="P34" s="897" t="str">
        <f>IFERROR(__xludf.DUMMYFUNCTION("""COMPUTED_VALUE"""),"X TO 4")</f>
        <v>X TO 4</v>
      </c>
      <c r="Q34" s="897" t="str">
        <f>IFERROR(__xludf.DUMMYFUNCTION("""COMPUTED_VALUE"""),"14 Juli 2025")</f>
        <v>14 Juli 2025</v>
      </c>
      <c r="R34" s="897" t="str">
        <f>IFERROR(__xludf.DUMMYFUNCTION("""COMPUTED_VALUE"""),"Dadi Wisnu")</f>
        <v>Dadi Wisnu</v>
      </c>
      <c r="S34" s="897" t="str">
        <f>IFERROR(__xludf.DUMMYFUNCTION("""COMPUTED_VALUE"""),"Farida")</f>
        <v>Farida</v>
      </c>
      <c r="T34" s="897" t="str">
        <f>IFERROR(__xludf.DUMMYFUNCTION("""COMPUTED_VALUE"""),"Kp. Cijati No.06 RT 020/010 Desa Warungjeruk Kec. Tegalwaru Kab. Purwakarta")</f>
        <v>Kp. Cijati No.06 RT 020/010 Desa Warungjeruk Kec. Tegalwaru Kab. Purwakarta</v>
      </c>
      <c r="U34" s="897" t="str">
        <f>IFERROR(__xludf.DUMMYFUNCTION("""COMPUTED_VALUE"""),"-")</f>
        <v>-</v>
      </c>
      <c r="V34" s="897" t="str">
        <f>IFERROR(__xludf.DUMMYFUNCTION("""COMPUTED_VALUE"""),"Buruh")</f>
        <v>Buruh</v>
      </c>
      <c r="W34" s="897" t="str">
        <f>IFERROR(__xludf.DUMMYFUNCTION("""COMPUTED_VALUE"""),"Rumah Tangga")</f>
        <v>Rumah Tangga</v>
      </c>
      <c r="X34" s="897" t="str">
        <f>IFERROR(__xludf.DUMMYFUNCTION("""COMPUTED_VALUE"""),"-")</f>
        <v>-</v>
      </c>
      <c r="Y34" s="897" t="str">
        <f>IFERROR(__xludf.DUMMYFUNCTION("""COMPUTED_VALUE"""),"-")</f>
        <v>-</v>
      </c>
      <c r="Z34" s="897" t="str">
        <f>IFERROR(__xludf.DUMMYFUNCTION("""COMPUTED_VALUE"""),"-")</f>
        <v>-</v>
      </c>
      <c r="AA34" s="897"/>
      <c r="AB34" s="897" t="str">
        <f>IFERROR(__xludf.DUMMYFUNCTION("""COMPUTED_VALUE"""),"20229659")</f>
        <v>20229659</v>
      </c>
      <c r="AC34" s="897"/>
      <c r="AD34" s="897" t="str">
        <f>IFERROR(__xludf.DUMMYFUNCTION("""COMPUTED_VALUE"""),"/appsheet/data/InputBiodataRaportX-3328125/FilePDF/M. IRPAN SAEPUL IBRAHIM-c698c521.PDF")</f>
        <v>/appsheet/data/InputBiodataRaportX-3328125/FilePDF/M. IRPAN SAEPUL IBRAHIM-c698c521.PDF</v>
      </c>
      <c r="AE34" s="897" t="str">
        <f>IFERROR(__xludf.DUMMYFUNCTION("""COMPUTED_VALUE"""),"2025 2026")</f>
        <v>2025 2026</v>
      </c>
      <c r="AF34" s="897" t="str">
        <f>IFERROR(__xludf.DUMMYFUNCTION("""COMPUTED_VALUE"""),"Purwakarta, 22 Desember 2025")</f>
        <v>Purwakarta, 22 Desember 2025</v>
      </c>
      <c r="AG34" s="897" t="str">
        <f>IFERROR(__xludf.DUMMYFUNCTION("""COMPUTED_VALUE"""),"X TO 4")</f>
        <v>X TO 4</v>
      </c>
      <c r="AH34" s="897" t="str">
        <f>IFERROR(__xludf.DUMMYFUNCTION("""COMPUTED_VALUE"""),"XI TSM 2")</f>
        <v>XI TSM 2</v>
      </c>
      <c r="AI34" s="897" t="str">
        <f>IFERROR(__xludf.DUMMYFUNCTION("""COMPUTED_VALUE"""),"XII TSM 2")</f>
        <v>XII TSM 2</v>
      </c>
      <c r="AJ34" s="899" t="str">
        <f>IFERROR(__xludf.DUMMYFUNCTION("""COMPUTED_VALUE"""),"XIII TSM 2")</f>
        <v>XIII TSM 2</v>
      </c>
      <c r="AK34" s="432"/>
      <c r="AL34" s="432"/>
      <c r="AM34" s="432"/>
      <c r="AO34" s="953"/>
      <c r="AP34" s="953"/>
      <c r="AQ34" s="448"/>
      <c r="AR34" s="15"/>
      <c r="AS34" s="15"/>
      <c r="AT34" s="15"/>
      <c r="AV34" s="954"/>
      <c r="AW34" s="954"/>
      <c r="AX34" s="353"/>
    </row>
    <row r="35" ht="14.25" customHeight="1">
      <c r="A35" s="876">
        <f>IFERROR(__xludf.DUMMYFUNCTION("""COMPUTED_VALUE"""),1760.0)</f>
        <v>1760</v>
      </c>
      <c r="B35" s="876">
        <f>IFERROR(__xludf.DUMMYFUNCTION("""COMPUTED_VALUE"""),32.0)</f>
        <v>32</v>
      </c>
      <c r="C35" s="876" t="str">
        <f>IFERROR(__xludf.DUMMYFUNCTION("""COMPUTED_VALUE"""),"2526100445")</f>
        <v>2526100445</v>
      </c>
      <c r="D35" s="877" t="str">
        <f>IFERROR(__xludf.DUMMYFUNCTION("""COMPUTED_VALUE"""),"0093505472")</f>
        <v>0093505472</v>
      </c>
      <c r="E35" s="878" t="str">
        <f>IFERROR(__xludf.DUMMYFUNCTION("""COMPUTED_VALUE"""),"MUHAMMAD NAZIL SIBTHURRIDHO")</f>
        <v>MUHAMMAD NAZIL SIBTHURRIDHO</v>
      </c>
      <c r="F35" s="879" t="str">
        <f>IFERROR(__xludf.DUMMYFUNCTION("""COMPUTED_VALUE"""),"X TO 4")</f>
        <v>X TO 4</v>
      </c>
      <c r="G35" s="897" t="str">
        <f>IFERROR(__xludf.DUMMYFUNCTION("""COMPUTED_VALUE"""),"Purwakarta")</f>
        <v>Purwakarta</v>
      </c>
      <c r="H35" s="898">
        <f>IFERROR(__xludf.DUMMYFUNCTION("""COMPUTED_VALUE"""),40177.0)</f>
        <v>40177</v>
      </c>
      <c r="I35" s="897" t="str">
        <f>IFERROR(__xludf.DUMMYFUNCTION("""COMPUTED_VALUE"""),"Laki-Laki")</f>
        <v>Laki-Laki</v>
      </c>
      <c r="J35" s="897" t="str">
        <f>IFERROR(__xludf.DUMMYFUNCTION("""COMPUTED_VALUE"""),"Islam")</f>
        <v>Islam</v>
      </c>
      <c r="K35" s="897" t="str">
        <f>IFERROR(__xludf.DUMMYFUNCTION("""COMPUTED_VALUE"""),"Anak Kandung")</f>
        <v>Anak Kandung</v>
      </c>
      <c r="L35" s="897" t="str">
        <f>IFERROR(__xludf.DUMMYFUNCTION("""COMPUTED_VALUE"""),"1 (Satu)")</f>
        <v>1 (Satu)</v>
      </c>
      <c r="M35" s="897" t="str">
        <f>IFERROR(__xludf.DUMMYFUNCTION("""COMPUTED_VALUE"""),"Kp. Kiaralawang RT/RW 015/009 Desa Cisarua Kec. Tegalwaru Kab. Purwakarta")</f>
        <v>Kp. Kiaralawang RT/RW 015/009 Desa Cisarua Kec. Tegalwaru Kab. Purwakarta</v>
      </c>
      <c r="N35" s="897" t="str">
        <f>IFERROR(__xludf.DUMMYFUNCTION("""COMPUTED_VALUE"""),"-")</f>
        <v>-</v>
      </c>
      <c r="O35" s="897" t="str">
        <f>IFERROR(__xludf.DUMMYFUNCTION("""COMPUTED_VALUE"""),"MTsS Al Fatah")</f>
        <v>MTsS Al Fatah</v>
      </c>
      <c r="P35" s="897" t="str">
        <f>IFERROR(__xludf.DUMMYFUNCTION("""COMPUTED_VALUE"""),"X TO 4")</f>
        <v>X TO 4</v>
      </c>
      <c r="Q35" s="897" t="str">
        <f>IFERROR(__xludf.DUMMYFUNCTION("""COMPUTED_VALUE"""),"14 Juli 2025")</f>
        <v>14 Juli 2025</v>
      </c>
      <c r="R35" s="897" t="str">
        <f>IFERROR(__xludf.DUMMYFUNCTION("""COMPUTED_VALUE"""),"Hendra")</f>
        <v>Hendra</v>
      </c>
      <c r="S35" s="897" t="str">
        <f>IFERROR(__xludf.DUMMYFUNCTION("""COMPUTED_VALUE"""),"Wini Najiah")</f>
        <v>Wini Najiah</v>
      </c>
      <c r="T35" s="897" t="str">
        <f>IFERROR(__xludf.DUMMYFUNCTION("""COMPUTED_VALUE"""),"Kp. Kiaralawang RT 015/009 Desa Cisarua Kec. Tegalwaru Kab. Purwakarta")</f>
        <v>Kp. Kiaralawang RT 015/009 Desa Cisarua Kec. Tegalwaru Kab. Purwakarta</v>
      </c>
      <c r="U35" s="897" t="str">
        <f>IFERROR(__xludf.DUMMYFUNCTION("""COMPUTED_VALUE"""),"-")</f>
        <v>-</v>
      </c>
      <c r="V35" s="897" t="str">
        <f>IFERROR(__xludf.DUMMYFUNCTION("""COMPUTED_VALUE"""),"PNS (Guru)")</f>
        <v>PNS (Guru)</v>
      </c>
      <c r="W35" s="897" t="str">
        <f>IFERROR(__xludf.DUMMYFUNCTION("""COMPUTED_VALUE"""),"Guru Non PNS")</f>
        <v>Guru Non PNS</v>
      </c>
      <c r="X35" s="897" t="str">
        <f>IFERROR(__xludf.DUMMYFUNCTION("""COMPUTED_VALUE"""),"-")</f>
        <v>-</v>
      </c>
      <c r="Y35" s="897" t="str">
        <f>IFERROR(__xludf.DUMMYFUNCTION("""COMPUTED_VALUE"""),"-")</f>
        <v>-</v>
      </c>
      <c r="Z35" s="897" t="str">
        <f>IFERROR(__xludf.DUMMYFUNCTION("""COMPUTED_VALUE"""),"-")</f>
        <v>-</v>
      </c>
      <c r="AA35" s="897"/>
      <c r="AB35" s="897" t="str">
        <f>IFERROR(__xludf.DUMMYFUNCTION("""COMPUTED_VALUE"""),"20229659")</f>
        <v>20229659</v>
      </c>
      <c r="AC35" s="897"/>
      <c r="AD35" s="897" t="str">
        <f>IFERROR(__xludf.DUMMYFUNCTION("""COMPUTED_VALUE"""),"/appsheet/data/InputBiodataRaportX-3328125/FilePDF/MUHAMMAD NAZIL SIBTHURRIDHO-616b63bc.PDF")</f>
        <v>/appsheet/data/InputBiodataRaportX-3328125/FilePDF/MUHAMMAD NAZIL SIBTHURRIDHO-616b63bc.PDF</v>
      </c>
      <c r="AE35" s="897" t="str">
        <f>IFERROR(__xludf.DUMMYFUNCTION("""COMPUTED_VALUE"""),"2025 2026")</f>
        <v>2025 2026</v>
      </c>
      <c r="AF35" s="897" t="str">
        <f>IFERROR(__xludf.DUMMYFUNCTION("""COMPUTED_VALUE"""),"Purwakarta, 22 Desember 2025")</f>
        <v>Purwakarta, 22 Desember 2025</v>
      </c>
      <c r="AG35" s="897" t="str">
        <f>IFERROR(__xludf.DUMMYFUNCTION("""COMPUTED_VALUE"""),"X TO 4")</f>
        <v>X TO 4</v>
      </c>
      <c r="AH35" s="897" t="str">
        <f>IFERROR(__xludf.DUMMYFUNCTION("""COMPUTED_VALUE"""),"XI TSM 2")</f>
        <v>XI TSM 2</v>
      </c>
      <c r="AI35" s="897" t="str">
        <f>IFERROR(__xludf.DUMMYFUNCTION("""COMPUTED_VALUE"""),"XII TSM 2")</f>
        <v>XII TSM 2</v>
      </c>
      <c r="AJ35" s="899" t="str">
        <f>IFERROR(__xludf.DUMMYFUNCTION("""COMPUTED_VALUE"""),"XIII TSM 2")</f>
        <v>XIII TSM 2</v>
      </c>
      <c r="AK35" s="432"/>
      <c r="AL35" s="432"/>
      <c r="AM35" s="432"/>
      <c r="AO35" s="953"/>
      <c r="AP35" s="953"/>
      <c r="AQ35" s="448"/>
      <c r="AR35" s="15"/>
      <c r="AS35" s="15"/>
      <c r="AT35" s="15"/>
      <c r="AV35" s="954"/>
      <c r="AW35" s="954"/>
      <c r="AX35" s="353"/>
    </row>
    <row r="36" ht="14.25" customHeight="1">
      <c r="A36" s="876">
        <f>IFERROR(__xludf.DUMMYFUNCTION("""COMPUTED_VALUE"""),1761.0)</f>
        <v>1761</v>
      </c>
      <c r="B36" s="876">
        <f>IFERROR(__xludf.DUMMYFUNCTION("""COMPUTED_VALUE"""),33.0)</f>
        <v>33</v>
      </c>
      <c r="C36" s="876" t="str">
        <f>IFERROR(__xludf.DUMMYFUNCTION("""COMPUTED_VALUE"""),"2526100446")</f>
        <v>2526100446</v>
      </c>
      <c r="D36" s="877" t="str">
        <f>IFERROR(__xludf.DUMMYFUNCTION("""COMPUTED_VALUE"""),"0078810983")</f>
        <v>0078810983</v>
      </c>
      <c r="E36" s="878" t="str">
        <f>IFERROR(__xludf.DUMMYFUNCTION("""COMPUTED_VALUE"""),"MUHAMMAD RAGIL")</f>
        <v>MUHAMMAD RAGIL</v>
      </c>
      <c r="F36" s="879" t="str">
        <f>IFERROR(__xludf.DUMMYFUNCTION("""COMPUTED_VALUE"""),"X TO 4")</f>
        <v>X TO 4</v>
      </c>
      <c r="G36" s="897" t="str">
        <f>IFERROR(__xludf.DUMMYFUNCTION("""COMPUTED_VALUE"""),"Purwakarta")</f>
        <v>Purwakarta</v>
      </c>
      <c r="H36" s="898">
        <f>IFERROR(__xludf.DUMMYFUNCTION("""COMPUTED_VALUE"""),39157.0)</f>
        <v>39157</v>
      </c>
      <c r="I36" s="897" t="str">
        <f>IFERROR(__xludf.DUMMYFUNCTION("""COMPUTED_VALUE"""),"Laki-Laki")</f>
        <v>Laki-Laki</v>
      </c>
      <c r="J36" s="897" t="str">
        <f>IFERROR(__xludf.DUMMYFUNCTION("""COMPUTED_VALUE"""),"Islam")</f>
        <v>Islam</v>
      </c>
      <c r="K36" s="897" t="str">
        <f>IFERROR(__xludf.DUMMYFUNCTION("""COMPUTED_VALUE"""),"Anak Kandung")</f>
        <v>Anak Kandung</v>
      </c>
      <c r="L36" s="897" t="str">
        <f>IFERROR(__xludf.DUMMYFUNCTION("""COMPUTED_VALUE"""),"1 (Satu)")</f>
        <v>1 (Satu)</v>
      </c>
      <c r="M36" s="897" t="str">
        <f>IFERROR(__xludf.DUMMYFUNCTION("""COMPUTED_VALUE"""),"Kp. Cihamerang RT/RW 021/008 Desa Cibogo Girang Kec. Plered Kab. Purwakarta")</f>
        <v>Kp. Cihamerang RT/RW 021/008 Desa Cibogo Girang Kec. Plered Kab. Purwakarta</v>
      </c>
      <c r="N36" s="897" t="str">
        <f>IFERROR(__xludf.DUMMYFUNCTION("""COMPUTED_VALUE"""),"-")</f>
        <v>-</v>
      </c>
      <c r="O36" s="897" t="str">
        <f>IFERROR(__xludf.DUMMYFUNCTION("""COMPUTED_VALUE"""),"MTsS Islahul Aqidah")</f>
        <v>MTsS Islahul Aqidah</v>
      </c>
      <c r="P36" s="897" t="str">
        <f>IFERROR(__xludf.DUMMYFUNCTION("""COMPUTED_VALUE"""),"X TO 4")</f>
        <v>X TO 4</v>
      </c>
      <c r="Q36" s="897" t="str">
        <f>IFERROR(__xludf.DUMMYFUNCTION("""COMPUTED_VALUE"""),"14 Juli 2025")</f>
        <v>14 Juli 2025</v>
      </c>
      <c r="R36" s="897" t="str">
        <f>IFERROR(__xludf.DUMMYFUNCTION("""COMPUTED_VALUE"""),"Jajang")</f>
        <v>Jajang</v>
      </c>
      <c r="S36" s="897" t="str">
        <f>IFERROR(__xludf.DUMMYFUNCTION("""COMPUTED_VALUE"""),"Ai Enen")</f>
        <v>Ai Enen</v>
      </c>
      <c r="T36" s="897" t="str">
        <f>IFERROR(__xludf.DUMMYFUNCTION("""COMPUTED_VALUE"""),"Kp. Cihamerang RT 021/008 Desa Cibogo Girang Kec. Plered Kab. Purwakarta")</f>
        <v>Kp. Cihamerang RT 021/008 Desa Cibogo Girang Kec. Plered Kab. Purwakarta</v>
      </c>
      <c r="U36" s="897" t="str">
        <f>IFERROR(__xludf.DUMMYFUNCTION("""COMPUTED_VALUE"""),"-")</f>
        <v>-</v>
      </c>
      <c r="V36" s="897" t="str">
        <f>IFERROR(__xludf.DUMMYFUNCTION("""COMPUTED_VALUE"""),"Lainnya")</f>
        <v>Lainnya</v>
      </c>
      <c r="W36" s="897" t="str">
        <f>IFERROR(__xludf.DUMMYFUNCTION("""COMPUTED_VALUE"""),"Rumah Tangga")</f>
        <v>Rumah Tangga</v>
      </c>
      <c r="X36" s="897" t="str">
        <f>IFERROR(__xludf.DUMMYFUNCTION("""COMPUTED_VALUE"""),"-")</f>
        <v>-</v>
      </c>
      <c r="Y36" s="897" t="str">
        <f>IFERROR(__xludf.DUMMYFUNCTION("""COMPUTED_VALUE"""),"-")</f>
        <v>-</v>
      </c>
      <c r="Z36" s="897" t="str">
        <f>IFERROR(__xludf.DUMMYFUNCTION("""COMPUTED_VALUE"""),"-")</f>
        <v>-</v>
      </c>
      <c r="AA36" s="897"/>
      <c r="AB36" s="897" t="str">
        <f>IFERROR(__xludf.DUMMYFUNCTION("""COMPUTED_VALUE"""),"20229659")</f>
        <v>20229659</v>
      </c>
      <c r="AC36" s="897"/>
      <c r="AD36" s="897" t="str">
        <f>IFERROR(__xludf.DUMMYFUNCTION("""COMPUTED_VALUE"""),"/appsheet/data/InputBiodataRaportX-3328125/FilePDF/MUHAMMAD RAGIL-26759ae1.PDF")</f>
        <v>/appsheet/data/InputBiodataRaportX-3328125/FilePDF/MUHAMMAD RAGIL-26759ae1.PDF</v>
      </c>
      <c r="AE36" s="897" t="str">
        <f>IFERROR(__xludf.DUMMYFUNCTION("""COMPUTED_VALUE"""),"2025 2026")</f>
        <v>2025 2026</v>
      </c>
      <c r="AF36" s="897" t="str">
        <f>IFERROR(__xludf.DUMMYFUNCTION("""COMPUTED_VALUE"""),"Purwakarta, 22 Desember 2025")</f>
        <v>Purwakarta, 22 Desember 2025</v>
      </c>
      <c r="AG36" s="897" t="str">
        <f>IFERROR(__xludf.DUMMYFUNCTION("""COMPUTED_VALUE"""),"X TO 4")</f>
        <v>X TO 4</v>
      </c>
      <c r="AH36" s="897" t="str">
        <f>IFERROR(__xludf.DUMMYFUNCTION("""COMPUTED_VALUE"""),"XI TSM 2")</f>
        <v>XI TSM 2</v>
      </c>
      <c r="AI36" s="897" t="str">
        <f>IFERROR(__xludf.DUMMYFUNCTION("""COMPUTED_VALUE"""),"XII TSM 2")</f>
        <v>XII TSM 2</v>
      </c>
      <c r="AJ36" s="899" t="str">
        <f>IFERROR(__xludf.DUMMYFUNCTION("""COMPUTED_VALUE"""),"XIII TSM 2")</f>
        <v>XIII TSM 2</v>
      </c>
      <c r="AK36" s="432"/>
      <c r="AL36" s="432"/>
      <c r="AM36" s="432"/>
      <c r="AO36" s="953"/>
      <c r="AP36" s="953"/>
      <c r="AQ36" s="448"/>
      <c r="AR36" s="15"/>
      <c r="AS36" s="15"/>
      <c r="AT36" s="15"/>
      <c r="AV36" s="954"/>
      <c r="AW36" s="954"/>
      <c r="AX36" s="353"/>
    </row>
    <row r="37" ht="14.25" customHeight="1">
      <c r="A37" s="876">
        <f>IFERROR(__xludf.DUMMYFUNCTION("""COMPUTED_VALUE"""),1762.0)</f>
        <v>1762</v>
      </c>
      <c r="B37" s="876">
        <f>IFERROR(__xludf.DUMMYFUNCTION("""COMPUTED_VALUE"""),34.0)</f>
        <v>34</v>
      </c>
      <c r="C37" s="876" t="str">
        <f>IFERROR(__xludf.DUMMYFUNCTION("""COMPUTED_VALUE"""),"2526100447")</f>
        <v>2526100447</v>
      </c>
      <c r="D37" s="877" t="str">
        <f>IFERROR(__xludf.DUMMYFUNCTION("""COMPUTED_VALUE"""),"0098041660")</f>
        <v>0098041660</v>
      </c>
      <c r="E37" s="878" t="str">
        <f>IFERROR(__xludf.DUMMYFUNCTION("""COMPUTED_VALUE"""),"NAJMI ERIANA")</f>
        <v>NAJMI ERIANA</v>
      </c>
      <c r="F37" s="879" t="str">
        <f>IFERROR(__xludf.DUMMYFUNCTION("""COMPUTED_VALUE"""),"X TO 4")</f>
        <v>X TO 4</v>
      </c>
      <c r="G37" s="897" t="str">
        <f>IFERROR(__xludf.DUMMYFUNCTION("""COMPUTED_VALUE"""),"Purwakarta")</f>
        <v>Purwakarta</v>
      </c>
      <c r="H37" s="898">
        <f>IFERROR(__xludf.DUMMYFUNCTION("""COMPUTED_VALUE"""),40081.0)</f>
        <v>40081</v>
      </c>
      <c r="I37" s="897" t="str">
        <f>IFERROR(__xludf.DUMMYFUNCTION("""COMPUTED_VALUE"""),"Laki-Laki")</f>
        <v>Laki-Laki</v>
      </c>
      <c r="J37" s="897" t="str">
        <f>IFERROR(__xludf.DUMMYFUNCTION("""COMPUTED_VALUE"""),"Islam")</f>
        <v>Islam</v>
      </c>
      <c r="K37" s="897" t="str">
        <f>IFERROR(__xludf.DUMMYFUNCTION("""COMPUTED_VALUE"""),"Anak Kandung")</f>
        <v>Anak Kandung</v>
      </c>
      <c r="L37" s="897" t="str">
        <f>IFERROR(__xludf.DUMMYFUNCTION("""COMPUTED_VALUE"""),"2 (Dua)")</f>
        <v>2 (Dua)</v>
      </c>
      <c r="M37" s="897" t="str">
        <f>IFERROR(__xludf.DUMMYFUNCTION("""COMPUTED_VALUE"""),"Kp. Pasanggrahan RT/RW 013/005 Desa Pasanggrahan Kec. Tegalwaru Kab. Purwakarta")</f>
        <v>Kp. Pasanggrahan RT/RW 013/005 Desa Pasanggrahan Kec. Tegalwaru Kab. Purwakarta</v>
      </c>
      <c r="N37" s="897" t="str">
        <f>IFERROR(__xludf.DUMMYFUNCTION("""COMPUTED_VALUE"""),"-")</f>
        <v>-</v>
      </c>
      <c r="O37" s="897" t="str">
        <f>IFERROR(__xludf.DUMMYFUNCTION("""COMPUTED_VALUE"""),"SMP Negeri 3 Tegalwaru")</f>
        <v>SMP Negeri 3 Tegalwaru</v>
      </c>
      <c r="P37" s="897" t="str">
        <f>IFERROR(__xludf.DUMMYFUNCTION("""COMPUTED_VALUE"""),"X TO 4")</f>
        <v>X TO 4</v>
      </c>
      <c r="Q37" s="897" t="str">
        <f>IFERROR(__xludf.DUMMYFUNCTION("""COMPUTED_VALUE"""),"14 Juli 2025")</f>
        <v>14 Juli 2025</v>
      </c>
      <c r="R37" s="897" t="str">
        <f>IFERROR(__xludf.DUMMYFUNCTION("""COMPUTED_VALUE"""),"Usup")</f>
        <v>Usup</v>
      </c>
      <c r="S37" s="897" t="str">
        <f>IFERROR(__xludf.DUMMYFUNCTION("""COMPUTED_VALUE"""),"Yeyeh")</f>
        <v>Yeyeh</v>
      </c>
      <c r="T37" s="897" t="str">
        <f>IFERROR(__xludf.DUMMYFUNCTION("""COMPUTED_VALUE"""),"Kp. Pasanggrahan RT/RW 013/005 Desa Pasanggrahan Kec. Tegalwaru Kab. Purwakarta")</f>
        <v>Kp. Pasanggrahan RT/RW 013/005 Desa Pasanggrahan Kec. Tegalwaru Kab. Purwakarta</v>
      </c>
      <c r="U37" s="897" t="str">
        <f>IFERROR(__xludf.DUMMYFUNCTION("""COMPUTED_VALUE"""),"-")</f>
        <v>-</v>
      </c>
      <c r="V37" s="897" t="str">
        <f>IFERROR(__xludf.DUMMYFUNCTION("""COMPUTED_VALUE"""),"Buruh")</f>
        <v>Buruh</v>
      </c>
      <c r="W37" s="897" t="str">
        <f>IFERROR(__xludf.DUMMYFUNCTION("""COMPUTED_VALUE"""),"Rumah Tangga")</f>
        <v>Rumah Tangga</v>
      </c>
      <c r="X37" s="897"/>
      <c r="Y37" s="897"/>
      <c r="Z37" s="897"/>
      <c r="AA37" s="897"/>
      <c r="AB37" s="897" t="str">
        <f>IFERROR(__xludf.DUMMYFUNCTION("""COMPUTED_VALUE"""),"20229659")</f>
        <v>20229659</v>
      </c>
      <c r="AC37" s="897"/>
      <c r="AD37" s="897" t="str">
        <f>IFERROR(__xludf.DUMMYFUNCTION("""COMPUTED_VALUE"""),"/appsheet/data/InputBiodataRaportX-3328125/FilePDF/NAJMI ERIANA-26c8f395.PDF")</f>
        <v>/appsheet/data/InputBiodataRaportX-3328125/FilePDF/NAJMI ERIANA-26c8f395.PDF</v>
      </c>
      <c r="AE37" s="897" t="str">
        <f>IFERROR(__xludf.DUMMYFUNCTION("""COMPUTED_VALUE"""),"2025 2026")</f>
        <v>2025 2026</v>
      </c>
      <c r="AF37" s="897" t="str">
        <f>IFERROR(__xludf.DUMMYFUNCTION("""COMPUTED_VALUE"""),"Purwakarta, 22 Desember 2025")</f>
        <v>Purwakarta, 22 Desember 2025</v>
      </c>
      <c r="AG37" s="897" t="str">
        <f>IFERROR(__xludf.DUMMYFUNCTION("""COMPUTED_VALUE"""),"X TO 4")</f>
        <v>X TO 4</v>
      </c>
      <c r="AH37" s="897" t="str">
        <f>IFERROR(__xludf.DUMMYFUNCTION("""COMPUTED_VALUE"""),"XI TSM 2")</f>
        <v>XI TSM 2</v>
      </c>
      <c r="AI37" s="897" t="str">
        <f>IFERROR(__xludf.DUMMYFUNCTION("""COMPUTED_VALUE"""),"XII TSM 2")</f>
        <v>XII TSM 2</v>
      </c>
      <c r="AJ37" s="899" t="str">
        <f>IFERROR(__xludf.DUMMYFUNCTION("""COMPUTED_VALUE"""),"XIII TSM 2")</f>
        <v>XIII TSM 2</v>
      </c>
      <c r="AK37" s="432"/>
      <c r="AL37" s="432"/>
      <c r="AM37" s="432"/>
      <c r="AO37" s="953"/>
      <c r="AP37" s="953"/>
      <c r="AQ37" s="448"/>
      <c r="AR37" s="15"/>
      <c r="AS37" s="15"/>
      <c r="AT37" s="15"/>
      <c r="AV37" s="954"/>
      <c r="AW37" s="954"/>
      <c r="AX37" s="353"/>
    </row>
    <row r="38" ht="14.25" customHeight="1">
      <c r="A38" s="876">
        <f>IFERROR(__xludf.DUMMYFUNCTION("""COMPUTED_VALUE"""),1763.0)</f>
        <v>1763</v>
      </c>
      <c r="B38" s="876">
        <f>IFERROR(__xludf.DUMMYFUNCTION("""COMPUTED_VALUE"""),35.0)</f>
        <v>35</v>
      </c>
      <c r="C38" s="876" t="str">
        <f>IFERROR(__xludf.DUMMYFUNCTION("""COMPUTED_VALUE"""),"2526100448")</f>
        <v>2526100448</v>
      </c>
      <c r="D38" s="877" t="str">
        <f>IFERROR(__xludf.DUMMYFUNCTION("""COMPUTED_VALUE"""),"0094411174")</f>
        <v>0094411174</v>
      </c>
      <c r="E38" s="878" t="str">
        <f>IFERROR(__xludf.DUMMYFUNCTION("""COMPUTED_VALUE"""),"PANO PAIZAL")</f>
        <v>PANO PAIZAL</v>
      </c>
      <c r="F38" s="879" t="str">
        <f>IFERROR(__xludf.DUMMYFUNCTION("""COMPUTED_VALUE"""),"X TO 4")</f>
        <v>X TO 4</v>
      </c>
      <c r="G38" s="897" t="str">
        <f>IFERROR(__xludf.DUMMYFUNCTION("""COMPUTED_VALUE"""),"Kab. Bandung Barat")</f>
        <v>Kab. Bandung Barat</v>
      </c>
      <c r="H38" s="898">
        <f>IFERROR(__xludf.DUMMYFUNCTION("""COMPUTED_VALUE"""),39966.0)</f>
        <v>39966</v>
      </c>
      <c r="I38" s="897" t="str">
        <f>IFERROR(__xludf.DUMMYFUNCTION("""COMPUTED_VALUE"""),"Laki-Laki")</f>
        <v>Laki-Laki</v>
      </c>
      <c r="J38" s="897" t="str">
        <f>IFERROR(__xludf.DUMMYFUNCTION("""COMPUTED_VALUE"""),"Islam")</f>
        <v>Islam</v>
      </c>
      <c r="K38" s="897" t="str">
        <f>IFERROR(__xludf.DUMMYFUNCTION("""COMPUTED_VALUE"""),"Anak Kandung")</f>
        <v>Anak Kandung</v>
      </c>
      <c r="L38" s="897" t="str">
        <f>IFERROR(__xludf.DUMMYFUNCTION("""COMPUTED_VALUE"""),"1 (Satu)")</f>
        <v>1 (Satu)</v>
      </c>
      <c r="M38" s="897" t="str">
        <f>IFERROR(__xludf.DUMMYFUNCTION("""COMPUTED_VALUE"""),"Kp. Cilumber RT/RW 002/009 Desa Cibogo Kec. Lembang Kab. Bandung Barat")</f>
        <v>Kp. Cilumber RT/RW 002/009 Desa Cibogo Kec. Lembang Kab. Bandung Barat</v>
      </c>
      <c r="N38" s="897" t="str">
        <f>IFERROR(__xludf.DUMMYFUNCTION("""COMPUTED_VALUE"""),"-")</f>
        <v>-</v>
      </c>
      <c r="O38" s="897" t="str">
        <f>IFERROR(__xludf.DUMMYFUNCTION("""COMPUTED_VALUE"""),"MTsS Nurul Huda Lembang")</f>
        <v>MTsS Nurul Huda Lembang</v>
      </c>
      <c r="P38" s="897" t="str">
        <f>IFERROR(__xludf.DUMMYFUNCTION("""COMPUTED_VALUE"""),"X TO 4")</f>
        <v>X TO 4</v>
      </c>
      <c r="Q38" s="897" t="str">
        <f>IFERROR(__xludf.DUMMYFUNCTION("""COMPUTED_VALUE"""),"14 Juli 2025")</f>
        <v>14 Juli 2025</v>
      </c>
      <c r="R38" s="897"/>
      <c r="S38" s="897" t="str">
        <f>IFERROR(__xludf.DUMMYFUNCTION("""COMPUTED_VALUE"""),"Euneng Irna")</f>
        <v>Euneng Irna</v>
      </c>
      <c r="T38" s="897" t="str">
        <f>IFERROR(__xludf.DUMMYFUNCTION("""COMPUTED_VALUE"""),"Kp. Cilumber RT/RW 002/009 Desa Cibogo Kec. Lembang Kab. Bandung Barat")</f>
        <v>Kp. Cilumber RT/RW 002/009 Desa Cibogo Kec. Lembang Kab. Bandung Barat</v>
      </c>
      <c r="U38" s="897" t="str">
        <f>IFERROR(__xludf.DUMMYFUNCTION("""COMPUTED_VALUE"""),"-")</f>
        <v>-</v>
      </c>
      <c r="V38" s="897"/>
      <c r="W38" s="897" t="str">
        <f>IFERROR(__xludf.DUMMYFUNCTION("""COMPUTED_VALUE"""),"Rumah Tangga")</f>
        <v>Rumah Tangga</v>
      </c>
      <c r="X38" s="897" t="str">
        <f>IFERROR(__xludf.DUMMYFUNCTION("""COMPUTED_VALUE"""),"-")</f>
        <v>-</v>
      </c>
      <c r="Y38" s="897" t="str">
        <f>IFERROR(__xludf.DUMMYFUNCTION("""COMPUTED_VALUE"""),"-")</f>
        <v>-</v>
      </c>
      <c r="Z38" s="897" t="str">
        <f>IFERROR(__xludf.DUMMYFUNCTION("""COMPUTED_VALUE"""),"-")</f>
        <v>-</v>
      </c>
      <c r="AA38" s="897"/>
      <c r="AB38" s="897" t="str">
        <f>IFERROR(__xludf.DUMMYFUNCTION("""COMPUTED_VALUE"""),"20229659")</f>
        <v>20229659</v>
      </c>
      <c r="AC38" s="897"/>
      <c r="AD38" s="897" t="str">
        <f>IFERROR(__xludf.DUMMYFUNCTION("""COMPUTED_VALUE"""),"/appsheet/data/InputBiodataRaportX-3328125/FilePDF/PANO PAIZAL-c328ba2c.PDF")</f>
        <v>/appsheet/data/InputBiodataRaportX-3328125/FilePDF/PANO PAIZAL-c328ba2c.PDF</v>
      </c>
      <c r="AE38" s="897" t="str">
        <f>IFERROR(__xludf.DUMMYFUNCTION("""COMPUTED_VALUE"""),"2025 2026")</f>
        <v>2025 2026</v>
      </c>
      <c r="AF38" s="897" t="str">
        <f>IFERROR(__xludf.DUMMYFUNCTION("""COMPUTED_VALUE"""),"Purwakarta, 22 Desember 2025")</f>
        <v>Purwakarta, 22 Desember 2025</v>
      </c>
      <c r="AG38" s="897" t="str">
        <f>IFERROR(__xludf.DUMMYFUNCTION("""COMPUTED_VALUE"""),"X TO 4")</f>
        <v>X TO 4</v>
      </c>
      <c r="AH38" s="897" t="str">
        <f>IFERROR(__xludf.DUMMYFUNCTION("""COMPUTED_VALUE"""),"XI TSM 2")</f>
        <v>XI TSM 2</v>
      </c>
      <c r="AI38" s="897" t="str">
        <f>IFERROR(__xludf.DUMMYFUNCTION("""COMPUTED_VALUE"""),"XII TSM 2")</f>
        <v>XII TSM 2</v>
      </c>
      <c r="AJ38" s="899" t="str">
        <f>IFERROR(__xludf.DUMMYFUNCTION("""COMPUTED_VALUE"""),"XIII TSM 2")</f>
        <v>XIII TSM 2</v>
      </c>
      <c r="AK38" s="432"/>
      <c r="AL38" s="432"/>
      <c r="AM38" s="432"/>
      <c r="AO38" s="953"/>
      <c r="AP38" s="953"/>
      <c r="AQ38" s="448"/>
      <c r="AR38" s="15"/>
      <c r="AS38" s="15"/>
      <c r="AT38" s="15"/>
      <c r="AV38" s="954"/>
      <c r="AW38" s="954"/>
      <c r="AX38" s="353"/>
    </row>
    <row r="39" ht="14.25" customHeight="1">
      <c r="A39" s="876">
        <f>IFERROR(__xludf.DUMMYFUNCTION("""COMPUTED_VALUE"""),1764.0)</f>
        <v>1764</v>
      </c>
      <c r="B39" s="876">
        <f>IFERROR(__xludf.DUMMYFUNCTION("""COMPUTED_VALUE"""),36.0)</f>
        <v>36</v>
      </c>
      <c r="C39" s="877" t="str">
        <f>IFERROR(__xludf.DUMMYFUNCTION("""COMPUTED_VALUE"""),"2526100449")</f>
        <v>2526100449</v>
      </c>
      <c r="D39" s="877" t="str">
        <f>IFERROR(__xludf.DUMMYFUNCTION("""COMPUTED_VALUE"""),"3104749923")</f>
        <v>3104749923</v>
      </c>
      <c r="E39" s="878" t="str">
        <f>IFERROR(__xludf.DUMMYFUNCTION("""COMPUTED_VALUE"""),"PIRMAN ADRIYANI PUTRA")</f>
        <v>PIRMAN ADRIYANI PUTRA</v>
      </c>
      <c r="F39" s="879" t="str">
        <f>IFERROR(__xludf.DUMMYFUNCTION("""COMPUTED_VALUE"""),"X TO 4")</f>
        <v>X TO 4</v>
      </c>
      <c r="G39" s="897" t="str">
        <f>IFERROR(__xludf.DUMMYFUNCTION("""COMPUTED_VALUE"""),"Purwakarta")</f>
        <v>Purwakarta</v>
      </c>
      <c r="H39" s="898">
        <f>IFERROR(__xludf.DUMMYFUNCTION("""COMPUTED_VALUE"""),40339.0)</f>
        <v>40339</v>
      </c>
      <c r="I39" s="897" t="str">
        <f>IFERROR(__xludf.DUMMYFUNCTION("""COMPUTED_VALUE"""),"Laki-Laki")</f>
        <v>Laki-Laki</v>
      </c>
      <c r="J39" s="897" t="str">
        <f>IFERROR(__xludf.DUMMYFUNCTION("""COMPUTED_VALUE"""),"Islam")</f>
        <v>Islam</v>
      </c>
      <c r="K39" s="897" t="str">
        <f>IFERROR(__xludf.DUMMYFUNCTION("""COMPUTED_VALUE"""),"Anak Kandung")</f>
        <v>Anak Kandung</v>
      </c>
      <c r="L39" s="897" t="str">
        <f>IFERROR(__xludf.DUMMYFUNCTION("""COMPUTED_VALUE"""),"1 (Satu)")</f>
        <v>1 (Satu)</v>
      </c>
      <c r="M39" s="897" t="str">
        <f>IFERROR(__xludf.DUMMYFUNCTION("""COMPUTED_VALUE"""),"Kp. Cihuni RT/RW 006/003 Desa Sukamulya Kec. Tegalwaru Kab. Purwakarta")</f>
        <v>Kp. Cihuni RT/RW 006/003 Desa Sukamulya Kec. Tegalwaru Kab. Purwakarta</v>
      </c>
      <c r="N39" s="897" t="str">
        <f>IFERROR(__xludf.DUMMYFUNCTION("""COMPUTED_VALUE"""),"-")</f>
        <v>-</v>
      </c>
      <c r="O39" s="897" t="str">
        <f>IFERROR(__xludf.DUMMYFUNCTION("""COMPUTED_VALUE"""),"SMP Negeri 2 Tegalwaru")</f>
        <v>SMP Negeri 2 Tegalwaru</v>
      </c>
      <c r="P39" s="897" t="str">
        <f>IFERROR(__xludf.DUMMYFUNCTION("""COMPUTED_VALUE"""),"X TO 4")</f>
        <v>X TO 4</v>
      </c>
      <c r="Q39" s="897" t="str">
        <f>IFERROR(__xludf.DUMMYFUNCTION("""COMPUTED_VALUE"""),"14 Juli 2025")</f>
        <v>14 Juli 2025</v>
      </c>
      <c r="R39" s="897" t="str">
        <f>IFERROR(__xludf.DUMMYFUNCTION("""COMPUTED_VALUE"""),"Yahya Supriatna")</f>
        <v>Yahya Supriatna</v>
      </c>
      <c r="S39" s="897" t="str">
        <f>IFERROR(__xludf.DUMMYFUNCTION("""COMPUTED_VALUE"""),"Marini")</f>
        <v>Marini</v>
      </c>
      <c r="T39" s="897" t="str">
        <f>IFERROR(__xludf.DUMMYFUNCTION("""COMPUTED_VALUE"""),"Kp. Cihuni RT/RW 006/003 Desa Sukamulya Kec. Tegalwaru Kab. Purwakarta")</f>
        <v>Kp. Cihuni RT/RW 006/003 Desa Sukamulya Kec. Tegalwaru Kab. Purwakarta</v>
      </c>
      <c r="U39" s="897" t="str">
        <f>IFERROR(__xludf.DUMMYFUNCTION("""COMPUTED_VALUE"""),"-")</f>
        <v>-</v>
      </c>
      <c r="V39" s="897" t="str">
        <f>IFERROR(__xludf.DUMMYFUNCTION("""COMPUTED_VALUE"""),"Buruh")</f>
        <v>Buruh</v>
      </c>
      <c r="W39" s="897" t="str">
        <f>IFERROR(__xludf.DUMMYFUNCTION("""COMPUTED_VALUE"""),"Rumah Tangga")</f>
        <v>Rumah Tangga</v>
      </c>
      <c r="X39" s="897"/>
      <c r="Y39" s="897"/>
      <c r="Z39" s="897"/>
      <c r="AA39" s="897"/>
      <c r="AB39" s="897" t="str">
        <f>IFERROR(__xludf.DUMMYFUNCTION("""COMPUTED_VALUE"""),"20229659")</f>
        <v>20229659</v>
      </c>
      <c r="AC39" s="897"/>
      <c r="AD39" s="897" t="str">
        <f>IFERROR(__xludf.DUMMYFUNCTION("""COMPUTED_VALUE"""),"/appsheet/data/InputBiodataRaportX-3328125/FilePDF/PIRMAN ADRIYANI PUTRA-c18f6690.PDF")</f>
        <v>/appsheet/data/InputBiodataRaportX-3328125/FilePDF/PIRMAN ADRIYANI PUTRA-c18f6690.PDF</v>
      </c>
      <c r="AE39" s="897" t="str">
        <f>IFERROR(__xludf.DUMMYFUNCTION("""COMPUTED_VALUE"""),"2025 2026")</f>
        <v>2025 2026</v>
      </c>
      <c r="AF39" s="897" t="str">
        <f>IFERROR(__xludf.DUMMYFUNCTION("""COMPUTED_VALUE"""),"Purwakarta, 22 Desember 2025")</f>
        <v>Purwakarta, 22 Desember 2025</v>
      </c>
      <c r="AG39" s="897" t="str">
        <f>IFERROR(__xludf.DUMMYFUNCTION("""COMPUTED_VALUE"""),"X TO 4")</f>
        <v>X TO 4</v>
      </c>
      <c r="AH39" s="897" t="str">
        <f>IFERROR(__xludf.DUMMYFUNCTION("""COMPUTED_VALUE"""),"XI TSM 2")</f>
        <v>XI TSM 2</v>
      </c>
      <c r="AI39" s="897" t="str">
        <f>IFERROR(__xludf.DUMMYFUNCTION("""COMPUTED_VALUE"""),"XII TSM 2")</f>
        <v>XII TSM 2</v>
      </c>
      <c r="AJ39" s="899" t="str">
        <f>IFERROR(__xludf.DUMMYFUNCTION("""COMPUTED_VALUE"""),"XIII TSM 2")</f>
        <v>XIII TSM 2</v>
      </c>
      <c r="AK39" s="432"/>
      <c r="AL39" s="432"/>
      <c r="AM39" s="432"/>
      <c r="AO39" s="953"/>
      <c r="AP39" s="953"/>
      <c r="AQ39" s="448"/>
      <c r="AR39" s="15"/>
      <c r="AS39" s="15"/>
      <c r="AT39" s="15"/>
      <c r="AV39" s="954"/>
      <c r="AW39" s="954"/>
      <c r="AX39" s="353"/>
    </row>
    <row r="40" ht="14.25" customHeight="1">
      <c r="A40" s="876">
        <f>IFERROR(__xludf.DUMMYFUNCTION("""COMPUTED_VALUE"""),1765.0)</f>
        <v>1765</v>
      </c>
      <c r="B40" s="876">
        <f>IFERROR(__xludf.DUMMYFUNCTION("""COMPUTED_VALUE"""),37.0)</f>
        <v>37</v>
      </c>
      <c r="C40" s="876" t="str">
        <f>IFERROR(__xludf.DUMMYFUNCTION("""COMPUTED_VALUE"""),"2526100450")</f>
        <v>2526100450</v>
      </c>
      <c r="D40" s="877" t="str">
        <f>IFERROR(__xludf.DUMMYFUNCTION("""COMPUTED_VALUE"""),"0106511353")</f>
        <v>0106511353</v>
      </c>
      <c r="E40" s="957" t="str">
        <f>IFERROR(__xludf.DUMMYFUNCTION("""COMPUTED_VALUE"""),"RAFFA RAMADHAN")</f>
        <v>RAFFA RAMADHAN</v>
      </c>
      <c r="F40" s="879" t="str">
        <f>IFERROR(__xludf.DUMMYFUNCTION("""COMPUTED_VALUE"""),"X TO 4")</f>
        <v>X TO 4</v>
      </c>
      <c r="G40" s="897" t="str">
        <f>IFERROR(__xludf.DUMMYFUNCTION("""COMPUTED_VALUE"""),"Bandung Barat")</f>
        <v>Bandung Barat</v>
      </c>
      <c r="H40" s="898">
        <f>IFERROR(__xludf.DUMMYFUNCTION("""COMPUTED_VALUE"""),40411.0)</f>
        <v>40411</v>
      </c>
      <c r="I40" s="897" t="str">
        <f>IFERROR(__xludf.DUMMYFUNCTION("""COMPUTED_VALUE"""),"Laki-Laki")</f>
        <v>Laki-Laki</v>
      </c>
      <c r="J40" s="897" t="str">
        <f>IFERROR(__xludf.DUMMYFUNCTION("""COMPUTED_VALUE"""),"Islam")</f>
        <v>Islam</v>
      </c>
      <c r="K40" s="897" t="str">
        <f>IFERROR(__xludf.DUMMYFUNCTION("""COMPUTED_VALUE"""),"Anak Kandung")</f>
        <v>Anak Kandung</v>
      </c>
      <c r="L40" s="897" t="str">
        <f>IFERROR(__xludf.DUMMYFUNCTION("""COMPUTED_VALUE"""),"3 (Tiga)")</f>
        <v>3 (Tiga)</v>
      </c>
      <c r="M40" s="897" t="str">
        <f>IFERROR(__xludf.DUMMYFUNCTION("""COMPUTED_VALUE"""),"Kp. Cibitung RT/RW 008/003 Desa Ciroyom Kec. Cipeundeuy Kab. Bandung Barat")</f>
        <v>Kp. Cibitung RT/RW 008/003 Desa Ciroyom Kec. Cipeundeuy Kab. Bandung Barat</v>
      </c>
      <c r="N40" s="897" t="str">
        <f>IFERROR(__xludf.DUMMYFUNCTION("""COMPUTED_VALUE"""),"-")</f>
        <v>-</v>
      </c>
      <c r="O40" s="897" t="str">
        <f>IFERROR(__xludf.DUMMYFUNCTION("""COMPUTED_VALUE"""),"SMP Negeri 3 Cipeundeuy")</f>
        <v>SMP Negeri 3 Cipeundeuy</v>
      </c>
      <c r="P40" s="897" t="str">
        <f>IFERROR(__xludf.DUMMYFUNCTION("""COMPUTED_VALUE"""),"X TO 4")</f>
        <v>X TO 4</v>
      </c>
      <c r="Q40" s="897" t="str">
        <f>IFERROR(__xludf.DUMMYFUNCTION("""COMPUTED_VALUE"""),"14 Juli 2025")</f>
        <v>14 Juli 2025</v>
      </c>
      <c r="R40" s="897" t="str">
        <f>IFERROR(__xludf.DUMMYFUNCTION("""COMPUTED_VALUE"""),"Saepudin")</f>
        <v>Saepudin</v>
      </c>
      <c r="S40" s="897" t="str">
        <f>IFERROR(__xludf.DUMMYFUNCTION("""COMPUTED_VALUE"""),"Neng Sri Susmiati")</f>
        <v>Neng Sri Susmiati</v>
      </c>
      <c r="T40" s="897" t="str">
        <f>IFERROR(__xludf.DUMMYFUNCTION("""COMPUTED_VALUE"""),"Kp. Cibitung RT 008/003 Desa Ciroyom Kec. Cipeundeuy Kab. Bandung Barat")</f>
        <v>Kp. Cibitung RT 008/003 Desa Ciroyom Kec. Cipeundeuy Kab. Bandung Barat</v>
      </c>
      <c r="U40" s="897" t="str">
        <f>IFERROR(__xludf.DUMMYFUNCTION("""COMPUTED_VALUE"""),"-")</f>
        <v>-</v>
      </c>
      <c r="V40" s="897" t="str">
        <f>IFERROR(__xludf.DUMMYFUNCTION("""COMPUTED_VALUE"""),"Pegawai Swasta")</f>
        <v>Pegawai Swasta</v>
      </c>
      <c r="W40" s="897" t="str">
        <f>IFERROR(__xludf.DUMMYFUNCTION("""COMPUTED_VALUE"""),"Rumah Tangga")</f>
        <v>Rumah Tangga</v>
      </c>
      <c r="X40" s="897" t="str">
        <f>IFERROR(__xludf.DUMMYFUNCTION("""COMPUTED_VALUE"""),"-")</f>
        <v>-</v>
      </c>
      <c r="Y40" s="897" t="str">
        <f>IFERROR(__xludf.DUMMYFUNCTION("""COMPUTED_VALUE"""),"-")</f>
        <v>-</v>
      </c>
      <c r="Z40" s="897" t="str">
        <f>IFERROR(__xludf.DUMMYFUNCTION("""COMPUTED_VALUE"""),"-")</f>
        <v>-</v>
      </c>
      <c r="AA40" s="897"/>
      <c r="AB40" s="897" t="str">
        <f>IFERROR(__xludf.DUMMYFUNCTION("""COMPUTED_VALUE"""),"20229659")</f>
        <v>20229659</v>
      </c>
      <c r="AC40" s="897"/>
      <c r="AD40" s="897" t="str">
        <f>IFERROR(__xludf.DUMMYFUNCTION("""COMPUTED_VALUE"""),"/appsheet/data/InputBiodataRaportX-3328125/FilePDF/RAFFA RAMADHAN-533a0022.PDF")</f>
        <v>/appsheet/data/InputBiodataRaportX-3328125/FilePDF/RAFFA RAMADHAN-533a0022.PDF</v>
      </c>
      <c r="AE40" s="897" t="str">
        <f>IFERROR(__xludf.DUMMYFUNCTION("""COMPUTED_VALUE"""),"2025 2026")</f>
        <v>2025 2026</v>
      </c>
      <c r="AF40" s="897" t="str">
        <f>IFERROR(__xludf.DUMMYFUNCTION("""COMPUTED_VALUE"""),"Purwakarta, 22 Desember 2025")</f>
        <v>Purwakarta, 22 Desember 2025</v>
      </c>
      <c r="AG40" s="897" t="str">
        <f>IFERROR(__xludf.DUMMYFUNCTION("""COMPUTED_VALUE"""),"X TO 4")</f>
        <v>X TO 4</v>
      </c>
      <c r="AH40" s="897" t="str">
        <f>IFERROR(__xludf.DUMMYFUNCTION("""COMPUTED_VALUE"""),"XI TSM 2")</f>
        <v>XI TSM 2</v>
      </c>
      <c r="AI40" s="897" t="str">
        <f>IFERROR(__xludf.DUMMYFUNCTION("""COMPUTED_VALUE"""),"XII TSM 2")</f>
        <v>XII TSM 2</v>
      </c>
      <c r="AJ40" s="899" t="str">
        <f>IFERROR(__xludf.DUMMYFUNCTION("""COMPUTED_VALUE"""),"XIII TSM 2")</f>
        <v>XIII TSM 2</v>
      </c>
      <c r="AK40" s="432"/>
      <c r="AL40" s="432"/>
      <c r="AM40" s="432"/>
      <c r="AO40" s="953"/>
      <c r="AP40" s="953"/>
      <c r="AQ40" s="448"/>
      <c r="AR40" s="15"/>
      <c r="AS40" s="15"/>
      <c r="AT40" s="15"/>
      <c r="AV40" s="954"/>
      <c r="AW40" s="954"/>
      <c r="AX40" s="353"/>
    </row>
    <row r="41" ht="14.25" customHeight="1">
      <c r="A41" s="876">
        <f>IFERROR(__xludf.DUMMYFUNCTION("""COMPUTED_VALUE"""),1766.0)</f>
        <v>1766</v>
      </c>
      <c r="B41" s="876">
        <f>IFERROR(__xludf.DUMMYFUNCTION("""COMPUTED_VALUE"""),38.0)</f>
        <v>38</v>
      </c>
      <c r="C41" s="876" t="str">
        <f>IFERROR(__xludf.DUMMYFUNCTION("""COMPUTED_VALUE"""),"2526100451")</f>
        <v>2526100451</v>
      </c>
      <c r="D41" s="877" t="str">
        <f>IFERROR(__xludf.DUMMYFUNCTION("""COMPUTED_VALUE"""),"3100673583")</f>
        <v>3100673583</v>
      </c>
      <c r="E41" s="957" t="str">
        <f>IFERROR(__xludf.DUMMYFUNCTION("""COMPUTED_VALUE"""),"RAFQA NUZULUL AKBAR SETIANA")</f>
        <v>RAFQA NUZULUL AKBAR SETIANA</v>
      </c>
      <c r="F41" s="879" t="str">
        <f>IFERROR(__xludf.DUMMYFUNCTION("""COMPUTED_VALUE"""),"X TO 4")</f>
        <v>X TO 4</v>
      </c>
      <c r="G41" s="897" t="str">
        <f>IFERROR(__xludf.DUMMYFUNCTION("""COMPUTED_VALUE"""),"Purwakarta")</f>
        <v>Purwakarta</v>
      </c>
      <c r="H41" s="898">
        <f>IFERROR(__xludf.DUMMYFUNCTION("""COMPUTED_VALUE"""),40265.0)</f>
        <v>40265</v>
      </c>
      <c r="I41" s="897" t="str">
        <f>IFERROR(__xludf.DUMMYFUNCTION("""COMPUTED_VALUE"""),"Laki-Laki")</f>
        <v>Laki-Laki</v>
      </c>
      <c r="J41" s="897" t="str">
        <f>IFERROR(__xludf.DUMMYFUNCTION("""COMPUTED_VALUE"""),"Islam")</f>
        <v>Islam</v>
      </c>
      <c r="K41" s="897" t="str">
        <f>IFERROR(__xludf.DUMMYFUNCTION("""COMPUTED_VALUE"""),"Anak Kandung")</f>
        <v>Anak Kandung</v>
      </c>
      <c r="L41" s="897" t="str">
        <f>IFERROR(__xludf.DUMMYFUNCTION("""COMPUTED_VALUE"""),"1 (Satu)")</f>
        <v>1 (Satu)</v>
      </c>
      <c r="M41" s="897" t="str">
        <f>IFERROR(__xludf.DUMMYFUNCTION("""COMPUTED_VALUE"""),"Kp. Pamoyanan RT/W 001/001, Kecamatan Plered, Kabupaten Purwakarta")</f>
        <v>Kp. Pamoyanan RT/W 001/001, Kecamatan Plered, Kabupaten Purwakarta</v>
      </c>
      <c r="N41" s="897" t="str">
        <f>IFERROR(__xludf.DUMMYFUNCTION("""COMPUTED_VALUE"""),"081287250605")</f>
        <v>081287250605</v>
      </c>
      <c r="O41" s="897" t="str">
        <f>IFERROR(__xludf.DUMMYFUNCTION("""COMPUTED_VALUE"""),"SMP Negeri 1 Plered")</f>
        <v>SMP Negeri 1 Plered</v>
      </c>
      <c r="P41" s="897" t="str">
        <f>IFERROR(__xludf.DUMMYFUNCTION("""COMPUTED_VALUE"""),"X TO 4")</f>
        <v>X TO 4</v>
      </c>
      <c r="Q41" s="897" t="str">
        <f>IFERROR(__xludf.DUMMYFUNCTION("""COMPUTED_VALUE"""),"14 Juli 2025")</f>
        <v>14 Juli 2025</v>
      </c>
      <c r="R41" s="897" t="str">
        <f>IFERROR(__xludf.DUMMYFUNCTION("""COMPUTED_VALUE"""),"Yana Setiana")</f>
        <v>Yana Setiana</v>
      </c>
      <c r="S41" s="897" t="str">
        <f>IFERROR(__xludf.DUMMYFUNCTION("""COMPUTED_VALUE"""),"Astriliani Dadara")</f>
        <v>Astriliani Dadara</v>
      </c>
      <c r="T41" s="897" t="str">
        <f>IFERROR(__xludf.DUMMYFUNCTION("""COMPUTED_VALUE"""),"Kp. Pamoyanan RT/W 001/001, Kecamatan Plered, Kabupaten Purwakarta")</f>
        <v>Kp. Pamoyanan RT/W 001/001, Kecamatan Plered, Kabupaten Purwakarta</v>
      </c>
      <c r="U41" s="897" t="str">
        <f>IFERROR(__xludf.DUMMYFUNCTION("""COMPUTED_VALUE"""),"081321990139")</f>
        <v>081321990139</v>
      </c>
      <c r="V41" s="897" t="str">
        <f>IFERROR(__xludf.DUMMYFUNCTION("""COMPUTED_VALUE"""),"PNS (Guru)")</f>
        <v>PNS (Guru)</v>
      </c>
      <c r="W41" s="897" t="str">
        <f>IFERROR(__xludf.DUMMYFUNCTION("""COMPUTED_VALUE"""),"PNS (Guru)")</f>
        <v>PNS (Guru)</v>
      </c>
      <c r="X41" s="897" t="str">
        <f>IFERROR(__xludf.DUMMYFUNCTION("""COMPUTED_VALUE"""),"-")</f>
        <v>-</v>
      </c>
      <c r="Y41" s="897" t="str">
        <f>IFERROR(__xludf.DUMMYFUNCTION("""COMPUTED_VALUE"""),"-")</f>
        <v>-</v>
      </c>
      <c r="Z41" s="897" t="str">
        <f>IFERROR(__xludf.DUMMYFUNCTION("""COMPUTED_VALUE"""),"-")</f>
        <v>-</v>
      </c>
      <c r="AA41" s="897"/>
      <c r="AB41" s="897" t="str">
        <f>IFERROR(__xludf.DUMMYFUNCTION("""COMPUTED_VALUE"""),"20229659")</f>
        <v>20229659</v>
      </c>
      <c r="AC41" s="897"/>
      <c r="AD41" s="897" t="str">
        <f>IFERROR(__xludf.DUMMYFUNCTION("""COMPUTED_VALUE"""),"/appsheet/data/InputBiodataRaportX-3328125/FilePDF/RAFQA NUZULUL AKBAR SETIANA-65f621db.PDF")</f>
        <v>/appsheet/data/InputBiodataRaportX-3328125/FilePDF/RAFQA NUZULUL AKBAR SETIANA-65f621db.PDF</v>
      </c>
      <c r="AE41" s="897" t="str">
        <f>IFERROR(__xludf.DUMMYFUNCTION("""COMPUTED_VALUE"""),"2025 2026")</f>
        <v>2025 2026</v>
      </c>
      <c r="AF41" s="897" t="str">
        <f>IFERROR(__xludf.DUMMYFUNCTION("""COMPUTED_VALUE"""),"Purwakarta, 22 Desember 2025")</f>
        <v>Purwakarta, 22 Desember 2025</v>
      </c>
      <c r="AG41" s="897" t="str">
        <f>IFERROR(__xludf.DUMMYFUNCTION("""COMPUTED_VALUE"""),"X TO 4")</f>
        <v>X TO 4</v>
      </c>
      <c r="AH41" s="897" t="str">
        <f>IFERROR(__xludf.DUMMYFUNCTION("""COMPUTED_VALUE"""),"XI TSM 2")</f>
        <v>XI TSM 2</v>
      </c>
      <c r="AI41" s="897" t="str">
        <f>IFERROR(__xludf.DUMMYFUNCTION("""COMPUTED_VALUE"""),"XII TSM 2")</f>
        <v>XII TSM 2</v>
      </c>
      <c r="AJ41" s="899" t="str">
        <f>IFERROR(__xludf.DUMMYFUNCTION("""COMPUTED_VALUE"""),"XIII TSM 2")</f>
        <v>XIII TSM 2</v>
      </c>
      <c r="AK41" s="432"/>
      <c r="AL41" s="432"/>
      <c r="AM41" s="432"/>
      <c r="AO41" s="953"/>
      <c r="AP41" s="953"/>
      <c r="AQ41" s="448"/>
      <c r="AR41" s="15"/>
      <c r="AS41" s="15"/>
      <c r="AT41" s="15"/>
      <c r="AV41" s="954"/>
      <c r="AW41" s="954"/>
      <c r="AX41" s="353"/>
    </row>
    <row r="42" ht="14.25" customHeight="1">
      <c r="A42" s="876">
        <f>IFERROR(__xludf.DUMMYFUNCTION("""COMPUTED_VALUE"""),1767.0)</f>
        <v>1767</v>
      </c>
      <c r="B42" s="876">
        <f>IFERROR(__xludf.DUMMYFUNCTION("""COMPUTED_VALUE"""),39.0)</f>
        <v>39</v>
      </c>
      <c r="C42" s="876" t="str">
        <f>IFERROR(__xludf.DUMMYFUNCTION("""COMPUTED_VALUE"""),"2526100452")</f>
        <v>2526100452</v>
      </c>
      <c r="D42" s="877" t="str">
        <f>IFERROR(__xludf.DUMMYFUNCTION("""COMPUTED_VALUE"""),"0098144365")</f>
        <v>0098144365</v>
      </c>
      <c r="E42" s="957" t="str">
        <f>IFERROR(__xludf.DUMMYFUNCTION("""COMPUTED_VALUE"""),"RIDO MUHAMAD NUR FADILAH")</f>
        <v>RIDO MUHAMAD NUR FADILAH</v>
      </c>
      <c r="F42" s="879" t="str">
        <f>IFERROR(__xludf.DUMMYFUNCTION("""COMPUTED_VALUE"""),"X TO 4")</f>
        <v>X TO 4</v>
      </c>
      <c r="G42" s="897" t="str">
        <f>IFERROR(__xludf.DUMMYFUNCTION("""COMPUTED_VALUE"""),"Purwakarta")</f>
        <v>Purwakarta</v>
      </c>
      <c r="H42" s="898">
        <f>IFERROR(__xludf.DUMMYFUNCTION("""COMPUTED_VALUE"""),39917.0)</f>
        <v>39917</v>
      </c>
      <c r="I42" s="897" t="str">
        <f>IFERROR(__xludf.DUMMYFUNCTION("""COMPUTED_VALUE"""),"Laki-Laki")</f>
        <v>Laki-Laki</v>
      </c>
      <c r="J42" s="897" t="str">
        <f>IFERROR(__xludf.DUMMYFUNCTION("""COMPUTED_VALUE"""),"Islam")</f>
        <v>Islam</v>
      </c>
      <c r="K42" s="897" t="str">
        <f>IFERROR(__xludf.DUMMYFUNCTION("""COMPUTED_VALUE"""),"Anak Kandung")</f>
        <v>Anak Kandung</v>
      </c>
      <c r="L42" s="897" t="str">
        <f>IFERROR(__xludf.DUMMYFUNCTION("""COMPUTED_VALUE"""),"1 (Satu)")</f>
        <v>1 (Satu)</v>
      </c>
      <c r="M42" s="897" t="str">
        <f>IFERROR(__xludf.DUMMYFUNCTION("""COMPUTED_VALUE"""),"Kp. Cidadapan RT/RW 016/004 Desa Anjun Kec.Plered Kab. Purwakarta")</f>
        <v>Kp. Cidadapan RT/RW 016/004 Desa Anjun Kec.Plered Kab. Purwakarta</v>
      </c>
      <c r="N42" s="897" t="str">
        <f>IFERROR(__xludf.DUMMYFUNCTION("""COMPUTED_VALUE"""),"-")</f>
        <v>-</v>
      </c>
      <c r="O42" s="897" t="str">
        <f>IFERROR(__xludf.DUMMYFUNCTION("""COMPUTED_VALUE"""),"SMP Negeri 2 Plered")</f>
        <v>SMP Negeri 2 Plered</v>
      </c>
      <c r="P42" s="897" t="str">
        <f>IFERROR(__xludf.DUMMYFUNCTION("""COMPUTED_VALUE"""),"X TO 4")</f>
        <v>X TO 4</v>
      </c>
      <c r="Q42" s="897" t="str">
        <f>IFERROR(__xludf.DUMMYFUNCTION("""COMPUTED_VALUE"""),"14 Juli 2025")</f>
        <v>14 Juli 2025</v>
      </c>
      <c r="R42" s="897"/>
      <c r="S42" s="897" t="str">
        <f>IFERROR(__xludf.DUMMYFUNCTION("""COMPUTED_VALUE"""),"Kentik Rohayati")</f>
        <v>Kentik Rohayati</v>
      </c>
      <c r="T42" s="897" t="str">
        <f>IFERROR(__xludf.DUMMYFUNCTION("""COMPUTED_VALUE"""),"Kp. Cidadapan RT/RW 016/004 Desa Anjun Kec.Plered Kab. Purwakarta")</f>
        <v>Kp. Cidadapan RT/RW 016/004 Desa Anjun Kec.Plered Kab. Purwakarta</v>
      </c>
      <c r="U42" s="897" t="str">
        <f>IFERROR(__xludf.DUMMYFUNCTION("""COMPUTED_VALUE"""),"-")</f>
        <v>-</v>
      </c>
      <c r="V42" s="897"/>
      <c r="W42" s="897" t="str">
        <f>IFERROR(__xludf.DUMMYFUNCTION("""COMPUTED_VALUE"""),"Rumah Tangga")</f>
        <v>Rumah Tangga</v>
      </c>
      <c r="X42" s="897"/>
      <c r="Y42" s="897"/>
      <c r="Z42" s="897"/>
      <c r="AA42" s="897"/>
      <c r="AB42" s="897" t="str">
        <f>IFERROR(__xludf.DUMMYFUNCTION("""COMPUTED_VALUE"""),"20229659")</f>
        <v>20229659</v>
      </c>
      <c r="AC42" s="897"/>
      <c r="AD42" s="897" t="str">
        <f>IFERROR(__xludf.DUMMYFUNCTION("""COMPUTED_VALUE"""),"/appsheet/data/InputBiodataRaportX-3328125/FilePDF/RIDO MUHAMAD NUR FADILAH-956db20e.PDF")</f>
        <v>/appsheet/data/InputBiodataRaportX-3328125/FilePDF/RIDO MUHAMAD NUR FADILAH-956db20e.PDF</v>
      </c>
      <c r="AE42" s="897" t="str">
        <f>IFERROR(__xludf.DUMMYFUNCTION("""COMPUTED_VALUE"""),"2025 2026")</f>
        <v>2025 2026</v>
      </c>
      <c r="AF42" s="897" t="str">
        <f>IFERROR(__xludf.DUMMYFUNCTION("""COMPUTED_VALUE"""),"Purwakarta, 22 Desember 2025")</f>
        <v>Purwakarta, 22 Desember 2025</v>
      </c>
      <c r="AG42" s="897" t="str">
        <f>IFERROR(__xludf.DUMMYFUNCTION("""COMPUTED_VALUE"""),"X TO 4")</f>
        <v>X TO 4</v>
      </c>
      <c r="AH42" s="897" t="str">
        <f>IFERROR(__xludf.DUMMYFUNCTION("""COMPUTED_VALUE"""),"XI TSM 2")</f>
        <v>XI TSM 2</v>
      </c>
      <c r="AI42" s="897" t="str">
        <f>IFERROR(__xludf.DUMMYFUNCTION("""COMPUTED_VALUE"""),"XII TSM 2")</f>
        <v>XII TSM 2</v>
      </c>
      <c r="AJ42" s="899" t="str">
        <f>IFERROR(__xludf.DUMMYFUNCTION("""COMPUTED_VALUE"""),"XIII TSM 2")</f>
        <v>XIII TSM 2</v>
      </c>
      <c r="AK42" s="432"/>
      <c r="AL42" s="432"/>
      <c r="AM42" s="432"/>
      <c r="AO42" s="953"/>
      <c r="AP42" s="953"/>
      <c r="AQ42" s="448"/>
      <c r="AR42" s="15"/>
      <c r="AS42" s="15"/>
      <c r="AT42" s="15"/>
      <c r="AV42" s="954"/>
      <c r="AW42" s="954"/>
      <c r="AX42" s="353"/>
    </row>
    <row r="43" ht="14.25" customHeight="1">
      <c r="A43" s="876">
        <f>IFERROR(__xludf.DUMMYFUNCTION("""COMPUTED_VALUE"""),1768.0)</f>
        <v>1768</v>
      </c>
      <c r="B43" s="876">
        <f>IFERROR(__xludf.DUMMYFUNCTION("""COMPUTED_VALUE"""),40.0)</f>
        <v>40</v>
      </c>
      <c r="C43" s="876" t="str">
        <f>IFERROR(__xludf.DUMMYFUNCTION("""COMPUTED_VALUE"""),"2526100453")</f>
        <v>2526100453</v>
      </c>
      <c r="D43" s="877" t="str">
        <f>IFERROR(__xludf.DUMMYFUNCTION("""COMPUTED_VALUE"""),"0101384399")</f>
        <v>0101384399</v>
      </c>
      <c r="E43" s="957" t="str">
        <f>IFERROR(__xludf.DUMMYFUNCTION("""COMPUTED_VALUE"""),"RIFAL KAMILUL AJHAR")</f>
        <v>RIFAL KAMILUL AJHAR</v>
      </c>
      <c r="F43" s="879" t="str">
        <f>IFERROR(__xludf.DUMMYFUNCTION("""COMPUTED_VALUE"""),"X TO 4")</f>
        <v>X TO 4</v>
      </c>
      <c r="G43" s="897" t="str">
        <f>IFERROR(__xludf.DUMMYFUNCTION("""COMPUTED_VALUE"""),"Purwakarta")</f>
        <v>Purwakarta</v>
      </c>
      <c r="H43" s="898">
        <f>IFERROR(__xludf.DUMMYFUNCTION("""COMPUTED_VALUE"""),40247.0)</f>
        <v>40247</v>
      </c>
      <c r="I43" s="897" t="str">
        <f>IFERROR(__xludf.DUMMYFUNCTION("""COMPUTED_VALUE"""),"Laki-Laki")</f>
        <v>Laki-Laki</v>
      </c>
      <c r="J43" s="897" t="str">
        <f>IFERROR(__xludf.DUMMYFUNCTION("""COMPUTED_VALUE"""),"Islam")</f>
        <v>Islam</v>
      </c>
      <c r="K43" s="897" t="str">
        <f>IFERROR(__xludf.DUMMYFUNCTION("""COMPUTED_VALUE"""),"Anak Kandung")</f>
        <v>Anak Kandung</v>
      </c>
      <c r="L43" s="897" t="str">
        <f>IFERROR(__xludf.DUMMYFUNCTION("""COMPUTED_VALUE"""),"1 (Satu)")</f>
        <v>1 (Satu)</v>
      </c>
      <c r="M43" s="897" t="str">
        <f>IFERROR(__xludf.DUMMYFUNCTION("""COMPUTED_VALUE"""),"Kp. Tegal Kalapa RT/RW 008/003 Desa Citeko Kec. Plered Kab. Purwakarta")</f>
        <v>Kp. Tegal Kalapa RT/RW 008/003 Desa Citeko Kec. Plered Kab. Purwakarta</v>
      </c>
      <c r="N43" s="897" t="str">
        <f>IFERROR(__xludf.DUMMYFUNCTION("""COMPUTED_VALUE"""),"-")</f>
        <v>-</v>
      </c>
      <c r="O43" s="897" t="str">
        <f>IFERROR(__xludf.DUMMYFUNCTION("""COMPUTED_VALUE"""),"SMP Negeri 1 Plered")</f>
        <v>SMP Negeri 1 Plered</v>
      </c>
      <c r="P43" s="897" t="str">
        <f>IFERROR(__xludf.DUMMYFUNCTION("""COMPUTED_VALUE"""),"X TO 4")</f>
        <v>X TO 4</v>
      </c>
      <c r="Q43" s="897" t="str">
        <f>IFERROR(__xludf.DUMMYFUNCTION("""COMPUTED_VALUE"""),"14 Juli 2025")</f>
        <v>14 Juli 2025</v>
      </c>
      <c r="R43" s="897" t="str">
        <f>IFERROR(__xludf.DUMMYFUNCTION("""COMPUTED_VALUE"""),"Aripin Ajhar")</f>
        <v>Aripin Ajhar</v>
      </c>
      <c r="S43" s="897" t="str">
        <f>IFERROR(__xludf.DUMMYFUNCTION("""COMPUTED_VALUE"""),"Tia Setiawati")</f>
        <v>Tia Setiawati</v>
      </c>
      <c r="T43" s="897" t="str">
        <f>IFERROR(__xludf.DUMMYFUNCTION("""COMPUTED_VALUE"""),"Kp. Tegal Kalapa RT 008/003 Desa Citeko Kec. Plered Kab. Purwakarta")</f>
        <v>Kp. Tegal Kalapa RT 008/003 Desa Citeko Kec. Plered Kab. Purwakarta</v>
      </c>
      <c r="U43" s="897" t="str">
        <f>IFERROR(__xludf.DUMMYFUNCTION("""COMPUTED_VALUE"""),"-")</f>
        <v>-</v>
      </c>
      <c r="V43" s="897" t="str">
        <f>IFERROR(__xludf.DUMMYFUNCTION("""COMPUTED_VALUE"""),"Wiraswasta")</f>
        <v>Wiraswasta</v>
      </c>
      <c r="W43" s="897" t="str">
        <f>IFERROR(__xludf.DUMMYFUNCTION("""COMPUTED_VALUE"""),"Rumah Tangga")</f>
        <v>Rumah Tangga</v>
      </c>
      <c r="X43" s="897" t="str">
        <f>IFERROR(__xludf.DUMMYFUNCTION("""COMPUTED_VALUE"""),"-")</f>
        <v>-</v>
      </c>
      <c r="Y43" s="897" t="str">
        <f>IFERROR(__xludf.DUMMYFUNCTION("""COMPUTED_VALUE"""),"-")</f>
        <v>-</v>
      </c>
      <c r="Z43" s="897" t="str">
        <f>IFERROR(__xludf.DUMMYFUNCTION("""COMPUTED_VALUE"""),"-")</f>
        <v>-</v>
      </c>
      <c r="AA43" s="897"/>
      <c r="AB43" s="897" t="str">
        <f>IFERROR(__xludf.DUMMYFUNCTION("""COMPUTED_VALUE"""),"20229659")</f>
        <v>20229659</v>
      </c>
      <c r="AC43" s="897"/>
      <c r="AD43" s="897" t="str">
        <f>IFERROR(__xludf.DUMMYFUNCTION("""COMPUTED_VALUE"""),"/appsheet/data/InputBiodataRaportX-3328125/FilePDF/RIFAL KAMILUL AJHAR-a194c648.PDF")</f>
        <v>/appsheet/data/InputBiodataRaportX-3328125/FilePDF/RIFAL KAMILUL AJHAR-a194c648.PDF</v>
      </c>
      <c r="AE43" s="897" t="str">
        <f>IFERROR(__xludf.DUMMYFUNCTION("""COMPUTED_VALUE"""),"2025 2026")</f>
        <v>2025 2026</v>
      </c>
      <c r="AF43" s="897" t="str">
        <f>IFERROR(__xludf.DUMMYFUNCTION("""COMPUTED_VALUE"""),"Purwakarta, 22 Desember 2025")</f>
        <v>Purwakarta, 22 Desember 2025</v>
      </c>
      <c r="AG43" s="897" t="str">
        <f>IFERROR(__xludf.DUMMYFUNCTION("""COMPUTED_VALUE"""),"X TO 4")</f>
        <v>X TO 4</v>
      </c>
      <c r="AH43" s="897" t="str">
        <f>IFERROR(__xludf.DUMMYFUNCTION("""COMPUTED_VALUE"""),"XI TSM 2")</f>
        <v>XI TSM 2</v>
      </c>
      <c r="AI43" s="897" t="str">
        <f>IFERROR(__xludf.DUMMYFUNCTION("""COMPUTED_VALUE"""),"XII TSM 2")</f>
        <v>XII TSM 2</v>
      </c>
      <c r="AJ43" s="899" t="str">
        <f>IFERROR(__xludf.DUMMYFUNCTION("""COMPUTED_VALUE"""),"XIII TSM 2")</f>
        <v>XIII TSM 2</v>
      </c>
      <c r="AK43" s="432"/>
      <c r="AL43" s="432"/>
      <c r="AM43" s="432"/>
      <c r="AO43" s="953"/>
      <c r="AP43" s="953"/>
      <c r="AQ43" s="448"/>
      <c r="AR43" s="15"/>
      <c r="AS43" s="15"/>
      <c r="AT43" s="15"/>
      <c r="AV43" s="954"/>
      <c r="AW43" s="954"/>
      <c r="AX43" s="353"/>
    </row>
    <row r="44" ht="14.25" customHeight="1">
      <c r="A44" s="876">
        <f>IFERROR(__xludf.DUMMYFUNCTION("""COMPUTED_VALUE"""),1769.0)</f>
        <v>1769</v>
      </c>
      <c r="B44" s="876">
        <f>IFERROR(__xludf.DUMMYFUNCTION("""COMPUTED_VALUE"""),41.0)</f>
        <v>41</v>
      </c>
      <c r="C44" s="876" t="str">
        <f>IFERROR(__xludf.DUMMYFUNCTION("""COMPUTED_VALUE"""),"2526100454")</f>
        <v>2526100454</v>
      </c>
      <c r="D44" s="877" t="str">
        <f>IFERROR(__xludf.DUMMYFUNCTION("""COMPUTED_VALUE"""),"0095007656")</f>
        <v>0095007656</v>
      </c>
      <c r="E44" s="957" t="str">
        <f>IFERROR(__xludf.DUMMYFUNCTION("""COMPUTED_VALUE"""),"RIVALDI MAULANA")</f>
        <v>RIVALDI MAULANA</v>
      </c>
      <c r="F44" s="879" t="str">
        <f>IFERROR(__xludf.DUMMYFUNCTION("""COMPUTED_VALUE"""),"X TO 4")</f>
        <v>X TO 4</v>
      </c>
      <c r="G44" s="897"/>
      <c r="H44" s="898"/>
      <c r="I44" s="897"/>
      <c r="J44" s="897"/>
      <c r="K44" s="897"/>
      <c r="L44" s="897"/>
      <c r="M44" s="897"/>
      <c r="N44" s="897"/>
      <c r="O44" s="897"/>
      <c r="P44" s="897"/>
      <c r="Q44" s="897" t="str">
        <f>IFERROR(__xludf.DUMMYFUNCTION("""COMPUTED_VALUE"""),"14 Juli 2025")</f>
        <v>14 Juli 2025</v>
      </c>
      <c r="R44" s="897"/>
      <c r="S44" s="897"/>
      <c r="T44" s="897"/>
      <c r="U44" s="897"/>
      <c r="V44" s="897"/>
      <c r="W44" s="897"/>
      <c r="X44" s="897"/>
      <c r="Y44" s="897"/>
      <c r="Z44" s="897"/>
      <c r="AA44" s="897"/>
      <c r="AB44" s="897"/>
      <c r="AC44" s="897"/>
      <c r="AD44" s="897"/>
      <c r="AE44" s="897" t="str">
        <f>IFERROR(__xludf.DUMMYFUNCTION("""COMPUTED_VALUE"""),"2025 2026")</f>
        <v>2025 2026</v>
      </c>
      <c r="AF44" s="897" t="str">
        <f>IFERROR(__xludf.DUMMYFUNCTION("""COMPUTED_VALUE"""),"Purwakarta, 22 Desember 2025")</f>
        <v>Purwakarta, 22 Desember 2025</v>
      </c>
      <c r="AG44" s="897" t="str">
        <f>IFERROR(__xludf.DUMMYFUNCTION("""COMPUTED_VALUE"""),"X TO 4")</f>
        <v>X TO 4</v>
      </c>
      <c r="AH44" s="897" t="str">
        <f>IFERROR(__xludf.DUMMYFUNCTION("""COMPUTED_VALUE"""),"XI TSM 2")</f>
        <v>XI TSM 2</v>
      </c>
      <c r="AI44" s="897" t="str">
        <f>IFERROR(__xludf.DUMMYFUNCTION("""COMPUTED_VALUE"""),"XII TSM 2")</f>
        <v>XII TSM 2</v>
      </c>
      <c r="AJ44" s="899" t="str">
        <f>IFERROR(__xludf.DUMMYFUNCTION("""COMPUTED_VALUE"""),"XIII TSM 2")</f>
        <v>XIII TSM 2</v>
      </c>
      <c r="AK44" s="432"/>
      <c r="AL44" s="432"/>
      <c r="AM44" s="432"/>
      <c r="AO44" s="953"/>
      <c r="AP44" s="953"/>
      <c r="AQ44" s="448"/>
      <c r="AR44" s="15"/>
      <c r="AS44" s="15"/>
      <c r="AT44" s="15"/>
      <c r="AV44" s="954"/>
      <c r="AW44" s="954"/>
      <c r="AX44" s="353"/>
    </row>
    <row r="45" ht="14.25" customHeight="1">
      <c r="A45" s="876">
        <f>IFERROR(__xludf.DUMMYFUNCTION("""COMPUTED_VALUE"""),1770.0)</f>
        <v>1770</v>
      </c>
      <c r="B45" s="876">
        <f>IFERROR(__xludf.DUMMYFUNCTION("""COMPUTED_VALUE"""),42.0)</f>
        <v>42</v>
      </c>
      <c r="C45" s="876" t="str">
        <f>IFERROR(__xludf.DUMMYFUNCTION("""COMPUTED_VALUE"""),"2526100455")</f>
        <v>2526100455</v>
      </c>
      <c r="D45" s="877" t="str">
        <f>IFERROR(__xludf.DUMMYFUNCTION("""COMPUTED_VALUE"""),"3095900062")</f>
        <v>3095900062</v>
      </c>
      <c r="E45" s="957" t="str">
        <f>IFERROR(__xludf.DUMMYFUNCTION("""COMPUTED_VALUE"""),"RIZAL RISMAYANDI")</f>
        <v>RIZAL RISMAYANDI</v>
      </c>
      <c r="F45" s="879" t="str">
        <f>IFERROR(__xludf.DUMMYFUNCTION("""COMPUTED_VALUE"""),"X TO 4")</f>
        <v>X TO 4</v>
      </c>
      <c r="G45" s="897" t="str">
        <f>IFERROR(__xludf.DUMMYFUNCTION("""COMPUTED_VALUE"""),"Purwakarta")</f>
        <v>Purwakarta</v>
      </c>
      <c r="H45" s="898">
        <f>IFERROR(__xludf.DUMMYFUNCTION("""COMPUTED_VALUE"""),40016.0)</f>
        <v>40016</v>
      </c>
      <c r="I45" s="897" t="str">
        <f>IFERROR(__xludf.DUMMYFUNCTION("""COMPUTED_VALUE"""),"Laki-Laki")</f>
        <v>Laki-Laki</v>
      </c>
      <c r="J45" s="897" t="str">
        <f>IFERROR(__xludf.DUMMYFUNCTION("""COMPUTED_VALUE"""),"Islam")</f>
        <v>Islam</v>
      </c>
      <c r="K45" s="897" t="str">
        <f>IFERROR(__xludf.DUMMYFUNCTION("""COMPUTED_VALUE"""),"Anak Kandung")</f>
        <v>Anak Kandung</v>
      </c>
      <c r="L45" s="897" t="str">
        <f>IFERROR(__xludf.DUMMYFUNCTION("""COMPUTED_VALUE"""),"3 (Tiga)")</f>
        <v>3 (Tiga)</v>
      </c>
      <c r="M45" s="897" t="str">
        <f>IFERROR(__xludf.DUMMYFUNCTION("""COMPUTED_VALUE"""),"Kp. Nagrak RT/RW 006/003 Desa Nagrak Kec. Darangdan Kab. Purwakarta")</f>
        <v>Kp. Nagrak RT/RW 006/003 Desa Nagrak Kec. Darangdan Kab. Purwakarta</v>
      </c>
      <c r="N45" s="897" t="str">
        <f>IFERROR(__xludf.DUMMYFUNCTION("""COMPUTED_VALUE"""),"-")</f>
        <v>-</v>
      </c>
      <c r="O45" s="897" t="str">
        <f>IFERROR(__xludf.DUMMYFUNCTION("""COMPUTED_VALUE"""),"MTsS Al- Musyarofah")</f>
        <v>MTsS Al- Musyarofah</v>
      </c>
      <c r="P45" s="897" t="str">
        <f>IFERROR(__xludf.DUMMYFUNCTION("""COMPUTED_VALUE"""),"X TO 4")</f>
        <v>X TO 4</v>
      </c>
      <c r="Q45" s="897" t="str">
        <f>IFERROR(__xludf.DUMMYFUNCTION("""COMPUTED_VALUE"""),"14 Juli 2025")</f>
        <v>14 Juli 2025</v>
      </c>
      <c r="R45" s="897" t="str">
        <f>IFERROR(__xludf.DUMMYFUNCTION("""COMPUTED_VALUE"""),"Rudi Supardi")</f>
        <v>Rudi Supardi</v>
      </c>
      <c r="S45" s="897" t="str">
        <f>IFERROR(__xludf.DUMMYFUNCTION("""COMPUTED_VALUE"""),"Maemunah")</f>
        <v>Maemunah</v>
      </c>
      <c r="T45" s="897" t="str">
        <f>IFERROR(__xludf.DUMMYFUNCTION("""COMPUTED_VALUE"""),"Kp. Nagrak RT 006/003 Desa Nagrak Kec. Darangdan Kab. Purwakarta")</f>
        <v>Kp. Nagrak RT 006/003 Desa Nagrak Kec. Darangdan Kab. Purwakarta</v>
      </c>
      <c r="U45" s="897" t="str">
        <f>IFERROR(__xludf.DUMMYFUNCTION("""COMPUTED_VALUE"""),"-")</f>
        <v>-</v>
      </c>
      <c r="V45" s="897" t="str">
        <f>IFERROR(__xludf.DUMMYFUNCTION("""COMPUTED_VALUE"""),"Lainnya")</f>
        <v>Lainnya</v>
      </c>
      <c r="W45" s="897" t="str">
        <f>IFERROR(__xludf.DUMMYFUNCTION("""COMPUTED_VALUE"""),"Rumah Tangga")</f>
        <v>Rumah Tangga</v>
      </c>
      <c r="X45" s="897" t="str">
        <f>IFERROR(__xludf.DUMMYFUNCTION("""COMPUTED_VALUE"""),"-")</f>
        <v>-</v>
      </c>
      <c r="Y45" s="897" t="str">
        <f>IFERROR(__xludf.DUMMYFUNCTION("""COMPUTED_VALUE"""),"-")</f>
        <v>-</v>
      </c>
      <c r="Z45" s="897" t="str">
        <f>IFERROR(__xludf.DUMMYFUNCTION("""COMPUTED_VALUE"""),"-")</f>
        <v>-</v>
      </c>
      <c r="AA45" s="897"/>
      <c r="AB45" s="897" t="str">
        <f>IFERROR(__xludf.DUMMYFUNCTION("""COMPUTED_VALUE"""),"20229659")</f>
        <v>20229659</v>
      </c>
      <c r="AC45" s="897"/>
      <c r="AD45" s="897" t="str">
        <f>IFERROR(__xludf.DUMMYFUNCTION("""COMPUTED_VALUE"""),"/appsheet/data/InputBiodataRaportX-3328125/FilePDF/RIZAL RISMAYANDI-cd774c3d.PDF")</f>
        <v>/appsheet/data/InputBiodataRaportX-3328125/FilePDF/RIZAL RISMAYANDI-cd774c3d.PDF</v>
      </c>
      <c r="AE45" s="897" t="str">
        <f>IFERROR(__xludf.DUMMYFUNCTION("""COMPUTED_VALUE"""),"2025 2026")</f>
        <v>2025 2026</v>
      </c>
      <c r="AF45" s="897" t="str">
        <f>IFERROR(__xludf.DUMMYFUNCTION("""COMPUTED_VALUE"""),"Purwakarta, 22 Desember 2025")</f>
        <v>Purwakarta, 22 Desember 2025</v>
      </c>
      <c r="AG45" s="897" t="str">
        <f>IFERROR(__xludf.DUMMYFUNCTION("""COMPUTED_VALUE"""),"X TO 4")</f>
        <v>X TO 4</v>
      </c>
      <c r="AH45" s="897" t="str">
        <f>IFERROR(__xludf.DUMMYFUNCTION("""COMPUTED_VALUE"""),"XI TSM 2")</f>
        <v>XI TSM 2</v>
      </c>
      <c r="AI45" s="897" t="str">
        <f>IFERROR(__xludf.DUMMYFUNCTION("""COMPUTED_VALUE"""),"XII TSM 2")</f>
        <v>XII TSM 2</v>
      </c>
      <c r="AJ45" s="899" t="str">
        <f>IFERROR(__xludf.DUMMYFUNCTION("""COMPUTED_VALUE"""),"XIII TSM 2")</f>
        <v>XIII TSM 2</v>
      </c>
      <c r="AK45" s="432"/>
      <c r="AL45" s="432"/>
      <c r="AM45" s="432"/>
      <c r="AO45" s="953"/>
      <c r="AP45" s="953"/>
      <c r="AQ45" s="448"/>
      <c r="AR45" s="15"/>
      <c r="AS45" s="15"/>
      <c r="AT45" s="15"/>
      <c r="AV45" s="954"/>
      <c r="AW45" s="954"/>
      <c r="AX45" s="353"/>
    </row>
    <row r="46" ht="14.25" customHeight="1">
      <c r="A46" s="876">
        <f>IFERROR(__xludf.DUMMYFUNCTION("""COMPUTED_VALUE"""),1771.0)</f>
        <v>1771</v>
      </c>
      <c r="B46" s="876">
        <f>IFERROR(__xludf.DUMMYFUNCTION("""COMPUTED_VALUE"""),43.0)</f>
        <v>43</v>
      </c>
      <c r="C46" s="876" t="str">
        <f>IFERROR(__xludf.DUMMYFUNCTION("""COMPUTED_VALUE"""),"2526100456")</f>
        <v>2526100456</v>
      </c>
      <c r="D46" s="877" t="str">
        <f>IFERROR(__xludf.DUMMYFUNCTION("""COMPUTED_VALUE"""),"0097206975")</f>
        <v>0097206975</v>
      </c>
      <c r="E46" s="957" t="str">
        <f>IFERROR(__xludf.DUMMYFUNCTION("""COMPUTED_VALUE"""),"RIZKI ADITIA PRATAMA")</f>
        <v>RIZKI ADITIA PRATAMA</v>
      </c>
      <c r="F46" s="879" t="str">
        <f>IFERROR(__xludf.DUMMYFUNCTION("""COMPUTED_VALUE"""),"X TO 4")</f>
        <v>X TO 4</v>
      </c>
      <c r="G46" s="897" t="str">
        <f>IFERROR(__xludf.DUMMYFUNCTION("""COMPUTED_VALUE"""),"Bekasi")</f>
        <v>Bekasi</v>
      </c>
      <c r="H46" s="898">
        <f>IFERROR(__xludf.DUMMYFUNCTION("""COMPUTED_VALUE"""),39993.0)</f>
        <v>39993</v>
      </c>
      <c r="I46" s="897" t="str">
        <f>IFERROR(__xludf.DUMMYFUNCTION("""COMPUTED_VALUE"""),"Laki-Laki")</f>
        <v>Laki-Laki</v>
      </c>
      <c r="J46" s="897" t="str">
        <f>IFERROR(__xludf.DUMMYFUNCTION("""COMPUTED_VALUE"""),"Islam")</f>
        <v>Islam</v>
      </c>
      <c r="K46" s="897" t="str">
        <f>IFERROR(__xludf.DUMMYFUNCTION("""COMPUTED_VALUE"""),"Anak Kandung")</f>
        <v>Anak Kandung</v>
      </c>
      <c r="L46" s="897" t="str">
        <f>IFERROR(__xludf.DUMMYFUNCTION("""COMPUTED_VALUE"""),"1 (Satu)")</f>
        <v>1 (Satu)</v>
      </c>
      <c r="M46" s="897" t="str">
        <f>IFERROR(__xludf.DUMMYFUNCTION("""COMPUTED_VALUE"""),"Kp. Baru RT/RW 005/003 Desa Citeko Kec.Plered Kab.Purwakarta")</f>
        <v>Kp. Baru RT/RW 005/003 Desa Citeko Kec.Plered Kab.Purwakarta</v>
      </c>
      <c r="N46" s="897" t="str">
        <f>IFERROR(__xludf.DUMMYFUNCTION("""COMPUTED_VALUE"""),"-")</f>
        <v>-</v>
      </c>
      <c r="O46" s="897" t="str">
        <f>IFERROR(__xludf.DUMMYFUNCTION("""COMPUTED_VALUE"""),"SMP Negeri 1 Plered")</f>
        <v>SMP Negeri 1 Plered</v>
      </c>
      <c r="P46" s="897" t="str">
        <f>IFERROR(__xludf.DUMMYFUNCTION("""COMPUTED_VALUE"""),"X TO 4")</f>
        <v>X TO 4</v>
      </c>
      <c r="Q46" s="897" t="str">
        <f>IFERROR(__xludf.DUMMYFUNCTION("""COMPUTED_VALUE"""),"14 Juli 2025")</f>
        <v>14 Juli 2025</v>
      </c>
      <c r="R46" s="897" t="str">
        <f>IFERROR(__xludf.DUMMYFUNCTION("""COMPUTED_VALUE"""),"Asep Yandi Sentosa")</f>
        <v>Asep Yandi Sentosa</v>
      </c>
      <c r="S46" s="897" t="str">
        <f>IFERROR(__xludf.DUMMYFUNCTION("""COMPUTED_VALUE"""),"Fitri Sulastri")</f>
        <v>Fitri Sulastri</v>
      </c>
      <c r="T46" s="897" t="str">
        <f>IFERROR(__xludf.DUMMYFUNCTION("""COMPUTED_VALUE"""),"Kp. Baru RT 005/003 Desa Citeko Kec.Plered Kab. Purwakarta")</f>
        <v>Kp. Baru RT 005/003 Desa Citeko Kec.Plered Kab. Purwakarta</v>
      </c>
      <c r="U46" s="897" t="str">
        <f>IFERROR(__xludf.DUMMYFUNCTION("""COMPUTED_VALUE"""),"-")</f>
        <v>-</v>
      </c>
      <c r="V46" s="897" t="str">
        <f>IFERROR(__xludf.DUMMYFUNCTION("""COMPUTED_VALUE"""),"Buruh")</f>
        <v>Buruh</v>
      </c>
      <c r="W46" s="897" t="str">
        <f>IFERROR(__xludf.DUMMYFUNCTION("""COMPUTED_VALUE"""),"Rumah Tangga")</f>
        <v>Rumah Tangga</v>
      </c>
      <c r="X46" s="897" t="str">
        <f>IFERROR(__xludf.DUMMYFUNCTION("""COMPUTED_VALUE"""),"-")</f>
        <v>-</v>
      </c>
      <c r="Y46" s="897" t="str">
        <f>IFERROR(__xludf.DUMMYFUNCTION("""COMPUTED_VALUE"""),"-")</f>
        <v>-</v>
      </c>
      <c r="Z46" s="897" t="str">
        <f>IFERROR(__xludf.DUMMYFUNCTION("""COMPUTED_VALUE"""),"-")</f>
        <v>-</v>
      </c>
      <c r="AA46" s="897"/>
      <c r="AB46" s="897" t="str">
        <f>IFERROR(__xludf.DUMMYFUNCTION("""COMPUTED_VALUE"""),"20229659")</f>
        <v>20229659</v>
      </c>
      <c r="AC46" s="897"/>
      <c r="AD46" s="897" t="str">
        <f>IFERROR(__xludf.DUMMYFUNCTION("""COMPUTED_VALUE"""),"/appsheet/data/InputBiodataRaportX-3328125/FilePDF/RIZKI ADITIA PRATAMA-1545462c.PDF")</f>
        <v>/appsheet/data/InputBiodataRaportX-3328125/FilePDF/RIZKI ADITIA PRATAMA-1545462c.PDF</v>
      </c>
      <c r="AE46" s="897" t="str">
        <f>IFERROR(__xludf.DUMMYFUNCTION("""COMPUTED_VALUE"""),"2025 2026")</f>
        <v>2025 2026</v>
      </c>
      <c r="AF46" s="897" t="str">
        <f>IFERROR(__xludf.DUMMYFUNCTION("""COMPUTED_VALUE"""),"Purwakarta, 22 Desember 2025")</f>
        <v>Purwakarta, 22 Desember 2025</v>
      </c>
      <c r="AG46" s="897" t="str">
        <f>IFERROR(__xludf.DUMMYFUNCTION("""COMPUTED_VALUE"""),"X TO 4")</f>
        <v>X TO 4</v>
      </c>
      <c r="AH46" s="897" t="str">
        <f>IFERROR(__xludf.DUMMYFUNCTION("""COMPUTED_VALUE"""),"XI TSM 2")</f>
        <v>XI TSM 2</v>
      </c>
      <c r="AI46" s="897" t="str">
        <f>IFERROR(__xludf.DUMMYFUNCTION("""COMPUTED_VALUE"""),"XII TSM 2")</f>
        <v>XII TSM 2</v>
      </c>
      <c r="AJ46" s="899" t="str">
        <f>IFERROR(__xludf.DUMMYFUNCTION("""COMPUTED_VALUE"""),"XIII TSM 2")</f>
        <v>XIII TSM 2</v>
      </c>
      <c r="AK46" s="432"/>
      <c r="AL46" s="432"/>
      <c r="AM46" s="432"/>
      <c r="AO46" s="953"/>
      <c r="AP46" s="953"/>
      <c r="AQ46" s="448"/>
      <c r="AR46" s="15"/>
      <c r="AS46" s="15"/>
      <c r="AT46" s="15"/>
      <c r="AV46" s="954"/>
      <c r="AW46" s="954"/>
      <c r="AX46" s="353"/>
    </row>
    <row r="47" ht="14.25" customHeight="1">
      <c r="A47" s="876">
        <f>IFERROR(__xludf.DUMMYFUNCTION("""COMPUTED_VALUE"""),1772.0)</f>
        <v>1772</v>
      </c>
      <c r="B47" s="876">
        <f>IFERROR(__xludf.DUMMYFUNCTION("""COMPUTED_VALUE"""),44.0)</f>
        <v>44</v>
      </c>
      <c r="C47" s="876" t="str">
        <f>IFERROR(__xludf.DUMMYFUNCTION("""COMPUTED_VALUE"""),"2526100457")</f>
        <v>2526100457</v>
      </c>
      <c r="D47" s="877" t="str">
        <f>IFERROR(__xludf.DUMMYFUNCTION("""COMPUTED_VALUE"""),"0099911084")</f>
        <v>0099911084</v>
      </c>
      <c r="E47" s="957" t="str">
        <f>IFERROR(__xludf.DUMMYFUNCTION("""COMPUTED_VALUE"""),"SURYA BAGJA JUNIOR")</f>
        <v>SURYA BAGJA JUNIOR</v>
      </c>
      <c r="F47" s="879" t="str">
        <f>IFERROR(__xludf.DUMMYFUNCTION("""COMPUTED_VALUE"""),"X TO 4")</f>
        <v>X TO 4</v>
      </c>
      <c r="G47" s="897" t="str">
        <f>IFERROR(__xludf.DUMMYFUNCTION("""COMPUTED_VALUE"""),"Purwakarta")</f>
        <v>Purwakarta</v>
      </c>
      <c r="H47" s="898">
        <f>IFERROR(__xludf.DUMMYFUNCTION("""COMPUTED_VALUE"""),39994.0)</f>
        <v>39994</v>
      </c>
      <c r="I47" s="897" t="str">
        <f>IFERROR(__xludf.DUMMYFUNCTION("""COMPUTED_VALUE"""),"Laki-Laki")</f>
        <v>Laki-Laki</v>
      </c>
      <c r="J47" s="897" t="str">
        <f>IFERROR(__xludf.DUMMYFUNCTION("""COMPUTED_VALUE"""),"Islam")</f>
        <v>Islam</v>
      </c>
      <c r="K47" s="897" t="str">
        <f>IFERROR(__xludf.DUMMYFUNCTION("""COMPUTED_VALUE"""),"Anak Kandung")</f>
        <v>Anak Kandung</v>
      </c>
      <c r="L47" s="897" t="str">
        <f>IFERROR(__xludf.DUMMYFUNCTION("""COMPUTED_VALUE"""),"3 (Tiga)")</f>
        <v>3 (Tiga)</v>
      </c>
      <c r="M47" s="897" t="str">
        <f>IFERROR(__xludf.DUMMYFUNCTION("""COMPUTED_VALUE"""),"Kp. Cipadali RT/RW 002/002 Desa Babakansari Kec. Plered Kab. Purwakarta")</f>
        <v>Kp. Cipadali RT/RW 002/002 Desa Babakansari Kec. Plered Kab. Purwakarta</v>
      </c>
      <c r="N47" s="897" t="str">
        <f>IFERROR(__xludf.DUMMYFUNCTION("""COMPUTED_VALUE"""),"-")</f>
        <v>-</v>
      </c>
      <c r="O47" s="897" t="str">
        <f>IFERROR(__xludf.DUMMYFUNCTION("""COMPUTED_VALUE"""),"SMP Negeri 1 Plered")</f>
        <v>SMP Negeri 1 Plered</v>
      </c>
      <c r="P47" s="897" t="str">
        <f>IFERROR(__xludf.DUMMYFUNCTION("""COMPUTED_VALUE"""),"X TO 4")</f>
        <v>X TO 4</v>
      </c>
      <c r="Q47" s="897" t="str">
        <f>IFERROR(__xludf.DUMMYFUNCTION("""COMPUTED_VALUE"""),"14 Juli 2025")</f>
        <v>14 Juli 2025</v>
      </c>
      <c r="R47" s="897"/>
      <c r="S47" s="897" t="str">
        <f>IFERROR(__xludf.DUMMYFUNCTION("""COMPUTED_VALUE"""),"Yuli Susanti")</f>
        <v>Yuli Susanti</v>
      </c>
      <c r="T47" s="897" t="str">
        <f>IFERROR(__xludf.DUMMYFUNCTION("""COMPUTED_VALUE"""),"Kp. Cipadali RT 002/002 Desa Babakansari Kec. Plered Kab. Purwakarta")</f>
        <v>Kp. Cipadali RT 002/002 Desa Babakansari Kec. Plered Kab. Purwakarta</v>
      </c>
      <c r="U47" s="897" t="str">
        <f>IFERROR(__xludf.DUMMYFUNCTION("""COMPUTED_VALUE"""),"-")</f>
        <v>-</v>
      </c>
      <c r="V47" s="897"/>
      <c r="W47" s="897" t="str">
        <f>IFERROR(__xludf.DUMMYFUNCTION("""COMPUTED_VALUE"""),"Rumah Tangga")</f>
        <v>Rumah Tangga</v>
      </c>
      <c r="X47" s="897" t="str">
        <f>IFERROR(__xludf.DUMMYFUNCTION("""COMPUTED_VALUE"""),"-")</f>
        <v>-</v>
      </c>
      <c r="Y47" s="897" t="str">
        <f>IFERROR(__xludf.DUMMYFUNCTION("""COMPUTED_VALUE"""),"-")</f>
        <v>-</v>
      </c>
      <c r="Z47" s="897" t="str">
        <f>IFERROR(__xludf.DUMMYFUNCTION("""COMPUTED_VALUE"""),"-")</f>
        <v>-</v>
      </c>
      <c r="AA47" s="897"/>
      <c r="AB47" s="897" t="str">
        <f>IFERROR(__xludf.DUMMYFUNCTION("""COMPUTED_VALUE"""),"20229659")</f>
        <v>20229659</v>
      </c>
      <c r="AC47" s="897"/>
      <c r="AD47" s="897" t="str">
        <f>IFERROR(__xludf.DUMMYFUNCTION("""COMPUTED_VALUE"""),"/appsheet/data/InputBiodataRaportX-3328125/FilePDF/SURYA BAGJA JUNIOR-d6cd486d.PDF")</f>
        <v>/appsheet/data/InputBiodataRaportX-3328125/FilePDF/SURYA BAGJA JUNIOR-d6cd486d.PDF</v>
      </c>
      <c r="AE47" s="897" t="str">
        <f>IFERROR(__xludf.DUMMYFUNCTION("""COMPUTED_VALUE"""),"2025 2026")</f>
        <v>2025 2026</v>
      </c>
      <c r="AF47" s="897" t="str">
        <f>IFERROR(__xludf.DUMMYFUNCTION("""COMPUTED_VALUE"""),"Purwakarta, 22 Desember 2025")</f>
        <v>Purwakarta, 22 Desember 2025</v>
      </c>
      <c r="AG47" s="897" t="str">
        <f>IFERROR(__xludf.DUMMYFUNCTION("""COMPUTED_VALUE"""),"X TO 4")</f>
        <v>X TO 4</v>
      </c>
      <c r="AH47" s="897" t="str">
        <f>IFERROR(__xludf.DUMMYFUNCTION("""COMPUTED_VALUE"""),"XI TSM 2")</f>
        <v>XI TSM 2</v>
      </c>
      <c r="AI47" s="897" t="str">
        <f>IFERROR(__xludf.DUMMYFUNCTION("""COMPUTED_VALUE"""),"XII TSM 2")</f>
        <v>XII TSM 2</v>
      </c>
      <c r="AJ47" s="899" t="str">
        <f>IFERROR(__xludf.DUMMYFUNCTION("""COMPUTED_VALUE"""),"XIII TSM 2")</f>
        <v>XIII TSM 2</v>
      </c>
      <c r="AK47" s="432"/>
      <c r="AL47" s="432"/>
      <c r="AM47" s="432"/>
      <c r="AO47" s="953"/>
      <c r="AP47" s="953"/>
      <c r="AQ47" s="448"/>
      <c r="AR47" s="15"/>
      <c r="AS47" s="15"/>
      <c r="AT47" s="15"/>
      <c r="AV47" s="954"/>
      <c r="AW47" s="954"/>
      <c r="AX47" s="353"/>
    </row>
    <row r="48" ht="14.25" customHeight="1">
      <c r="A48" s="876">
        <f>IFERROR(__xludf.DUMMYFUNCTION("""COMPUTED_VALUE"""),1773.0)</f>
        <v>1773</v>
      </c>
      <c r="B48" s="876">
        <f>IFERROR(__xludf.DUMMYFUNCTION("""COMPUTED_VALUE"""),45.0)</f>
        <v>45</v>
      </c>
      <c r="C48" s="876" t="str">
        <f>IFERROR(__xludf.DUMMYFUNCTION("""COMPUTED_VALUE"""),"2526100458")</f>
        <v>2526100458</v>
      </c>
      <c r="D48" s="877" t="str">
        <f>IFERROR(__xludf.DUMMYFUNCTION("""COMPUTED_VALUE"""),"3096786504")</f>
        <v>3096786504</v>
      </c>
      <c r="E48" s="957" t="str">
        <f>IFERROR(__xludf.DUMMYFUNCTION("""COMPUTED_VALUE"""),"WILDAN RIPAI")</f>
        <v>WILDAN RIPAI</v>
      </c>
      <c r="F48" s="879" t="str">
        <f>IFERROR(__xludf.DUMMYFUNCTION("""COMPUTED_VALUE"""),"X TO 4")</f>
        <v>X TO 4</v>
      </c>
      <c r="G48" s="897" t="str">
        <f>IFERROR(__xludf.DUMMYFUNCTION("""COMPUTED_VALUE"""),"Purwakarta")</f>
        <v>Purwakarta</v>
      </c>
      <c r="H48" s="898">
        <f>IFERROR(__xludf.DUMMYFUNCTION("""COMPUTED_VALUE"""),39903.0)</f>
        <v>39903</v>
      </c>
      <c r="I48" s="897" t="str">
        <f>IFERROR(__xludf.DUMMYFUNCTION("""COMPUTED_VALUE"""),"Laki-Laki")</f>
        <v>Laki-Laki</v>
      </c>
      <c r="J48" s="897" t="str">
        <f>IFERROR(__xludf.DUMMYFUNCTION("""COMPUTED_VALUE"""),"Islam")</f>
        <v>Islam</v>
      </c>
      <c r="K48" s="897" t="str">
        <f>IFERROR(__xludf.DUMMYFUNCTION("""COMPUTED_VALUE"""),"Anak Kandung")</f>
        <v>Anak Kandung</v>
      </c>
      <c r="L48" s="897" t="str">
        <f>IFERROR(__xludf.DUMMYFUNCTION("""COMPUTED_VALUE"""),"2 (Dua)")</f>
        <v>2 (Dua)</v>
      </c>
      <c r="M48" s="897" t="str">
        <f>IFERROR(__xludf.DUMMYFUNCTION("""COMPUTED_VALUE"""),"Kp. Cisalak RT/RW 005/003 Desa Karoya Kec. Tegalwaru Kab. Purwakarta")</f>
        <v>Kp. Cisalak RT/RW 005/003 Desa Karoya Kec. Tegalwaru Kab. Purwakarta</v>
      </c>
      <c r="N48" s="897" t="str">
        <f>IFERROR(__xludf.DUMMYFUNCTION("""COMPUTED_VALUE"""),"-")</f>
        <v>-</v>
      </c>
      <c r="O48" s="897" t="str">
        <f>IFERROR(__xludf.DUMMYFUNCTION("""COMPUTED_VALUE"""),"MTsS YPPA Cipulus")</f>
        <v>MTsS YPPA Cipulus</v>
      </c>
      <c r="P48" s="897" t="str">
        <f>IFERROR(__xludf.DUMMYFUNCTION("""COMPUTED_VALUE"""),"X TO 4")</f>
        <v>X TO 4</v>
      </c>
      <c r="Q48" s="897" t="str">
        <f>IFERROR(__xludf.DUMMYFUNCTION("""COMPUTED_VALUE"""),"14 Juli 2025")</f>
        <v>14 Juli 2025</v>
      </c>
      <c r="R48" s="897" t="str">
        <f>IFERROR(__xludf.DUMMYFUNCTION("""COMPUTED_VALUE"""),"Hapipudin")</f>
        <v>Hapipudin</v>
      </c>
      <c r="S48" s="897" t="str">
        <f>IFERROR(__xludf.DUMMYFUNCTION("""COMPUTED_VALUE"""),"Nanih")</f>
        <v>Nanih</v>
      </c>
      <c r="T48" s="897" t="str">
        <f>IFERROR(__xludf.DUMMYFUNCTION("""COMPUTED_VALUE"""),"Kp. Cisalak RT 005/003 Desa Karoya Kec. Tegalwaru Kab. Purwakarta")</f>
        <v>Kp. Cisalak RT 005/003 Desa Karoya Kec. Tegalwaru Kab. Purwakarta</v>
      </c>
      <c r="U48" s="897" t="str">
        <f>IFERROR(__xludf.DUMMYFUNCTION("""COMPUTED_VALUE"""),"-")</f>
        <v>-</v>
      </c>
      <c r="V48" s="897" t="str">
        <f>IFERROR(__xludf.DUMMYFUNCTION("""COMPUTED_VALUE"""),"Wiraswasta")</f>
        <v>Wiraswasta</v>
      </c>
      <c r="W48" s="897" t="str">
        <f>IFERROR(__xludf.DUMMYFUNCTION("""COMPUTED_VALUE"""),"Rumah Tangga")</f>
        <v>Rumah Tangga</v>
      </c>
      <c r="X48" s="897" t="str">
        <f>IFERROR(__xludf.DUMMYFUNCTION("""COMPUTED_VALUE"""),"-")</f>
        <v>-</v>
      </c>
      <c r="Y48" s="897" t="str">
        <f>IFERROR(__xludf.DUMMYFUNCTION("""COMPUTED_VALUE"""),"-")</f>
        <v>-</v>
      </c>
      <c r="Z48" s="897" t="str">
        <f>IFERROR(__xludf.DUMMYFUNCTION("""COMPUTED_VALUE"""),"-")</f>
        <v>-</v>
      </c>
      <c r="AA48" s="897"/>
      <c r="AB48" s="897" t="str">
        <f>IFERROR(__xludf.DUMMYFUNCTION("""COMPUTED_VALUE"""),"20229659")</f>
        <v>20229659</v>
      </c>
      <c r="AC48" s="897"/>
      <c r="AD48" s="897" t="str">
        <f>IFERROR(__xludf.DUMMYFUNCTION("""COMPUTED_VALUE"""),"/appsheet/data/InputBiodataRaportX-3328125/FilePDF/WILDAN RIPAI-54a19d69.PDF")</f>
        <v>/appsheet/data/InputBiodataRaportX-3328125/FilePDF/WILDAN RIPAI-54a19d69.PDF</v>
      </c>
      <c r="AE48" s="897" t="str">
        <f>IFERROR(__xludf.DUMMYFUNCTION("""COMPUTED_VALUE"""),"2025 2026")</f>
        <v>2025 2026</v>
      </c>
      <c r="AF48" s="897" t="str">
        <f>IFERROR(__xludf.DUMMYFUNCTION("""COMPUTED_VALUE"""),"Purwakarta, 22 Desember 2025")</f>
        <v>Purwakarta, 22 Desember 2025</v>
      </c>
      <c r="AG48" s="897" t="str">
        <f>IFERROR(__xludf.DUMMYFUNCTION("""COMPUTED_VALUE"""),"X TO 4")</f>
        <v>X TO 4</v>
      </c>
      <c r="AH48" s="897" t="str">
        <f>IFERROR(__xludf.DUMMYFUNCTION("""COMPUTED_VALUE"""),"XI TSM 2")</f>
        <v>XI TSM 2</v>
      </c>
      <c r="AI48" s="897" t="str">
        <f>IFERROR(__xludf.DUMMYFUNCTION("""COMPUTED_VALUE"""),"XII TSM 2")</f>
        <v>XII TSM 2</v>
      </c>
      <c r="AJ48" s="899" t="str">
        <f>IFERROR(__xludf.DUMMYFUNCTION("""COMPUTED_VALUE"""),"XIII TSM 2")</f>
        <v>XIII TSM 2</v>
      </c>
      <c r="AK48" s="432"/>
      <c r="AL48" s="432"/>
      <c r="AM48" s="432"/>
      <c r="AO48" s="953"/>
      <c r="AP48" s="953"/>
      <c r="AQ48" s="448"/>
      <c r="AR48" s="15"/>
      <c r="AS48" s="15"/>
      <c r="AT48" s="15"/>
      <c r="AV48" s="954"/>
      <c r="AW48" s="954"/>
      <c r="AX48" s="353"/>
    </row>
    <row r="49" ht="14.25" customHeight="1">
      <c r="A49" s="876">
        <f>IFERROR(__xludf.DUMMYFUNCTION("""COMPUTED_VALUE"""),1774.0)</f>
        <v>1774</v>
      </c>
      <c r="B49" s="876">
        <f>IFERROR(__xludf.DUMMYFUNCTION("""COMPUTED_VALUE"""),46.0)</f>
        <v>46</v>
      </c>
      <c r="C49" s="876" t="str">
        <f>IFERROR(__xludf.DUMMYFUNCTION("""COMPUTED_VALUE"""),"2526100459")</f>
        <v>2526100459</v>
      </c>
      <c r="D49" s="877" t="str">
        <f>IFERROR(__xludf.DUMMYFUNCTION("""COMPUTED_VALUE"""),"3100392230")</f>
        <v>3100392230</v>
      </c>
      <c r="E49" s="957" t="str">
        <f>IFERROR(__xludf.DUMMYFUNCTION("""COMPUTED_VALUE"""),"YUDHA PRASETYO")</f>
        <v>YUDHA PRASETYO</v>
      </c>
      <c r="F49" s="879" t="str">
        <f>IFERROR(__xludf.DUMMYFUNCTION("""COMPUTED_VALUE"""),"X TO 4")</f>
        <v>X TO 4</v>
      </c>
      <c r="G49" s="897" t="str">
        <f>IFERROR(__xludf.DUMMYFUNCTION("""COMPUTED_VALUE"""),"Purwakarta")</f>
        <v>Purwakarta</v>
      </c>
      <c r="H49" s="898">
        <f>IFERROR(__xludf.DUMMYFUNCTION("""COMPUTED_VALUE"""),40355.0)</f>
        <v>40355</v>
      </c>
      <c r="I49" s="897" t="str">
        <f>IFERROR(__xludf.DUMMYFUNCTION("""COMPUTED_VALUE"""),"Laki-Laki")</f>
        <v>Laki-Laki</v>
      </c>
      <c r="J49" s="897" t="str">
        <f>IFERROR(__xludf.DUMMYFUNCTION("""COMPUTED_VALUE"""),"Islam")</f>
        <v>Islam</v>
      </c>
      <c r="K49" s="897" t="str">
        <f>IFERROR(__xludf.DUMMYFUNCTION("""COMPUTED_VALUE"""),"Anak Kandung")</f>
        <v>Anak Kandung</v>
      </c>
      <c r="L49" s="897" t="str">
        <f>IFERROR(__xludf.DUMMYFUNCTION("""COMPUTED_VALUE"""),"2 (Dua)")</f>
        <v>2 (Dua)</v>
      </c>
      <c r="M49" s="897" t="str">
        <f>IFERROR(__xludf.DUMMYFUNCTION("""COMPUTED_VALUE"""),"Kp. Legok RT/RW 010/001 Desa Palinggihan Kec. Plered Kab. Purwakarta")</f>
        <v>Kp. Legok RT/RW 010/001 Desa Palinggihan Kec. Plered Kab. Purwakarta</v>
      </c>
      <c r="N49" s="897" t="str">
        <f>IFERROR(__xludf.DUMMYFUNCTION("""COMPUTED_VALUE"""),"-")</f>
        <v>-</v>
      </c>
      <c r="O49" s="897" t="str">
        <f>IFERROR(__xludf.DUMMYFUNCTION("""COMPUTED_VALUE"""),"SMP Negeri 1 Plered")</f>
        <v>SMP Negeri 1 Plered</v>
      </c>
      <c r="P49" s="897" t="str">
        <f>IFERROR(__xludf.DUMMYFUNCTION("""COMPUTED_VALUE"""),"X TO 4")</f>
        <v>X TO 4</v>
      </c>
      <c r="Q49" s="897" t="str">
        <f>IFERROR(__xludf.DUMMYFUNCTION("""COMPUTED_VALUE"""),"14 Juli 2025")</f>
        <v>14 Juli 2025</v>
      </c>
      <c r="R49" s="897" t="str">
        <f>IFERROR(__xludf.DUMMYFUNCTION("""COMPUTED_VALUE"""),"Soni Sadewo")</f>
        <v>Soni Sadewo</v>
      </c>
      <c r="S49" s="897" t="str">
        <f>IFERROR(__xludf.DUMMYFUNCTION("""COMPUTED_VALUE"""),"Siti Nurjanah")</f>
        <v>Siti Nurjanah</v>
      </c>
      <c r="T49" s="897" t="str">
        <f>IFERROR(__xludf.DUMMYFUNCTION("""COMPUTED_VALUE"""),"Kp. Legok RT/RW 010/001 Desa Palinggihan Kec. Plered Kab. Purwakarta")</f>
        <v>Kp. Legok RT/RW 010/001 Desa Palinggihan Kec. Plered Kab. Purwakarta</v>
      </c>
      <c r="U49" s="897" t="str">
        <f>IFERROR(__xludf.DUMMYFUNCTION("""COMPUTED_VALUE"""),"-")</f>
        <v>-</v>
      </c>
      <c r="V49" s="897" t="str">
        <f>IFERROR(__xludf.DUMMYFUNCTION("""COMPUTED_VALUE"""),"Buruh")</f>
        <v>Buruh</v>
      </c>
      <c r="W49" s="897" t="str">
        <f>IFERROR(__xludf.DUMMYFUNCTION("""COMPUTED_VALUE"""),"Rumah Tangga")</f>
        <v>Rumah Tangga</v>
      </c>
      <c r="X49" s="897" t="str">
        <f>IFERROR(__xludf.DUMMYFUNCTION("""COMPUTED_VALUE"""),"-")</f>
        <v>-</v>
      </c>
      <c r="Y49" s="897" t="str">
        <f>IFERROR(__xludf.DUMMYFUNCTION("""COMPUTED_VALUE"""),"-")</f>
        <v>-</v>
      </c>
      <c r="Z49" s="897" t="str">
        <f>IFERROR(__xludf.DUMMYFUNCTION("""COMPUTED_VALUE"""),"-")</f>
        <v>-</v>
      </c>
      <c r="AA49" s="897"/>
      <c r="AB49" s="897" t="str">
        <f>IFERROR(__xludf.DUMMYFUNCTION("""COMPUTED_VALUE"""),"20229659")</f>
        <v>20229659</v>
      </c>
      <c r="AC49" s="897"/>
      <c r="AD49" s="897" t="str">
        <f>IFERROR(__xludf.DUMMYFUNCTION("""COMPUTED_VALUE"""),"/appsheet/data/InputBiodataRaportX-3328125/FilePDF/YUDHA PRASETYO-75970b16.PDF")</f>
        <v>/appsheet/data/InputBiodataRaportX-3328125/FilePDF/YUDHA PRASETYO-75970b16.PDF</v>
      </c>
      <c r="AE49" s="897" t="str">
        <f>IFERROR(__xludf.DUMMYFUNCTION("""COMPUTED_VALUE"""),"2025 2026")</f>
        <v>2025 2026</v>
      </c>
      <c r="AF49" s="897" t="str">
        <f>IFERROR(__xludf.DUMMYFUNCTION("""COMPUTED_VALUE"""),"Purwakarta, 22 Desember 2025")</f>
        <v>Purwakarta, 22 Desember 2025</v>
      </c>
      <c r="AG49" s="897" t="str">
        <f>IFERROR(__xludf.DUMMYFUNCTION("""COMPUTED_VALUE"""),"X TO 4")</f>
        <v>X TO 4</v>
      </c>
      <c r="AH49" s="897" t="str">
        <f>IFERROR(__xludf.DUMMYFUNCTION("""COMPUTED_VALUE"""),"XI TSM 2")</f>
        <v>XI TSM 2</v>
      </c>
      <c r="AI49" s="897" t="str">
        <f>IFERROR(__xludf.DUMMYFUNCTION("""COMPUTED_VALUE"""),"XII TSM 2")</f>
        <v>XII TSM 2</v>
      </c>
      <c r="AJ49" s="899" t="str">
        <f>IFERROR(__xludf.DUMMYFUNCTION("""COMPUTED_VALUE"""),"XIII TSM 2")</f>
        <v>XIII TSM 2</v>
      </c>
      <c r="AK49" s="432"/>
      <c r="AL49" s="432"/>
      <c r="AM49" s="432"/>
      <c r="AO49" s="953"/>
      <c r="AP49" s="953"/>
      <c r="AQ49" s="448"/>
      <c r="AR49" s="15"/>
      <c r="AS49" s="15"/>
      <c r="AT49" s="15"/>
      <c r="AV49" s="954"/>
      <c r="AW49" s="954"/>
      <c r="AX49" s="353"/>
    </row>
    <row r="50" ht="14.25" customHeight="1">
      <c r="A50" s="876"/>
      <c r="B50" s="876"/>
      <c r="C50" s="876"/>
      <c r="D50" s="877"/>
      <c r="E50" s="957"/>
      <c r="F50" s="879"/>
      <c r="G50" s="897"/>
      <c r="H50" s="898"/>
      <c r="I50" s="897"/>
      <c r="J50" s="897"/>
      <c r="K50" s="897"/>
      <c r="L50" s="897"/>
      <c r="M50" s="897"/>
      <c r="N50" s="897"/>
      <c r="O50" s="897"/>
      <c r="P50" s="897"/>
      <c r="Q50" s="897"/>
      <c r="R50" s="897"/>
      <c r="S50" s="897"/>
      <c r="T50" s="897"/>
      <c r="U50" s="897"/>
      <c r="V50" s="897"/>
      <c r="W50" s="897"/>
      <c r="X50" s="897"/>
      <c r="Y50" s="897"/>
      <c r="Z50" s="897"/>
      <c r="AA50" s="897"/>
      <c r="AB50" s="897"/>
      <c r="AC50" s="897"/>
      <c r="AD50" s="897"/>
      <c r="AE50" s="897"/>
      <c r="AF50" s="897"/>
      <c r="AG50" s="897"/>
      <c r="AH50" s="897"/>
      <c r="AI50" s="897"/>
      <c r="AJ50" s="899"/>
      <c r="AK50" s="432"/>
      <c r="AL50" s="432"/>
      <c r="AM50" s="432"/>
      <c r="AO50" s="953"/>
      <c r="AP50" s="953"/>
      <c r="AQ50" s="448"/>
      <c r="AR50" s="15"/>
      <c r="AS50" s="15"/>
      <c r="AT50" s="15"/>
      <c r="AV50" s="954"/>
      <c r="AW50" s="954"/>
      <c r="AX50" s="353"/>
    </row>
    <row r="51" ht="14.25" customHeight="1">
      <c r="A51" s="876"/>
      <c r="B51" s="876"/>
      <c r="C51" s="876"/>
      <c r="D51" s="877"/>
      <c r="E51" s="957"/>
      <c r="F51" s="879"/>
      <c r="G51" s="897"/>
      <c r="H51" s="898"/>
      <c r="I51" s="897"/>
      <c r="J51" s="897"/>
      <c r="K51" s="897"/>
      <c r="L51" s="897"/>
      <c r="M51" s="897"/>
      <c r="N51" s="897"/>
      <c r="O51" s="897"/>
      <c r="P51" s="897"/>
      <c r="Q51" s="897"/>
      <c r="R51" s="897"/>
      <c r="S51" s="897"/>
      <c r="T51" s="897"/>
      <c r="U51" s="897"/>
      <c r="V51" s="897"/>
      <c r="W51" s="897"/>
      <c r="X51" s="897"/>
      <c r="Y51" s="897"/>
      <c r="Z51" s="897"/>
      <c r="AA51" s="897"/>
      <c r="AB51" s="897"/>
      <c r="AC51" s="897"/>
      <c r="AD51" s="897"/>
      <c r="AE51" s="897"/>
      <c r="AF51" s="897"/>
      <c r="AG51" s="897"/>
      <c r="AH51" s="897"/>
      <c r="AI51" s="897"/>
      <c r="AJ51" s="899"/>
      <c r="AK51" s="432"/>
      <c r="AL51" s="432"/>
      <c r="AM51" s="432"/>
      <c r="AO51" s="953"/>
      <c r="AP51" s="953"/>
      <c r="AQ51" s="448"/>
      <c r="AR51" s="15"/>
      <c r="AS51" s="15"/>
      <c r="AT51" s="15"/>
      <c r="AV51" s="954"/>
      <c r="AW51" s="954"/>
      <c r="AX51" s="353"/>
    </row>
    <row r="52" ht="14.25" customHeight="1">
      <c r="A52" s="876"/>
      <c r="B52" s="876"/>
      <c r="C52" s="876"/>
      <c r="D52" s="877"/>
      <c r="E52" s="957"/>
      <c r="F52" s="879"/>
      <c r="G52" s="897"/>
      <c r="H52" s="898"/>
      <c r="I52" s="897"/>
      <c r="J52" s="897"/>
      <c r="K52" s="897"/>
      <c r="L52" s="897"/>
      <c r="M52" s="897"/>
      <c r="N52" s="897"/>
      <c r="O52" s="897"/>
      <c r="P52" s="897"/>
      <c r="Q52" s="897"/>
      <c r="R52" s="897"/>
      <c r="S52" s="897"/>
      <c r="T52" s="897"/>
      <c r="U52" s="897"/>
      <c r="V52" s="897"/>
      <c r="W52" s="897"/>
      <c r="X52" s="897"/>
      <c r="Y52" s="897"/>
      <c r="Z52" s="897"/>
      <c r="AA52" s="897"/>
      <c r="AB52" s="897"/>
      <c r="AC52" s="897"/>
      <c r="AD52" s="897"/>
      <c r="AE52" s="897"/>
      <c r="AF52" s="897"/>
      <c r="AG52" s="897"/>
      <c r="AH52" s="897"/>
      <c r="AI52" s="897"/>
      <c r="AJ52" s="899"/>
      <c r="AK52" s="432"/>
      <c r="AL52" s="432"/>
      <c r="AM52" s="432"/>
      <c r="AO52" s="953"/>
      <c r="AP52" s="953"/>
      <c r="AQ52" s="448"/>
      <c r="AR52" s="15"/>
      <c r="AS52" s="15"/>
      <c r="AT52" s="15"/>
      <c r="AV52" s="954"/>
      <c r="AW52" s="954"/>
      <c r="AX52" s="353"/>
    </row>
    <row r="53" ht="14.25" customHeight="1">
      <c r="A53" s="876"/>
      <c r="B53" s="876"/>
      <c r="C53" s="876"/>
      <c r="D53" s="877"/>
      <c r="E53" s="957"/>
      <c r="F53" s="879"/>
      <c r="G53" s="897"/>
      <c r="H53" s="898"/>
      <c r="I53" s="897"/>
      <c r="J53" s="897"/>
      <c r="K53" s="897"/>
      <c r="L53" s="897"/>
      <c r="M53" s="897"/>
      <c r="N53" s="897"/>
      <c r="O53" s="897"/>
      <c r="P53" s="897"/>
      <c r="Q53" s="897"/>
      <c r="R53" s="897"/>
      <c r="S53" s="897"/>
      <c r="T53" s="897"/>
      <c r="U53" s="897"/>
      <c r="V53" s="897"/>
      <c r="W53" s="897"/>
      <c r="X53" s="897"/>
      <c r="Y53" s="897"/>
      <c r="Z53" s="897"/>
      <c r="AA53" s="897"/>
      <c r="AB53" s="897"/>
      <c r="AC53" s="897"/>
      <c r="AD53" s="897"/>
      <c r="AE53" s="897"/>
      <c r="AF53" s="897"/>
      <c r="AG53" s="897"/>
      <c r="AH53" s="897"/>
      <c r="AI53" s="897"/>
      <c r="AJ53" s="899"/>
      <c r="AK53" s="432"/>
      <c r="AL53" s="432"/>
      <c r="AM53" s="432"/>
      <c r="AO53" s="953"/>
      <c r="AP53" s="953"/>
      <c r="AQ53" s="448"/>
      <c r="AR53" s="15"/>
      <c r="AS53" s="15"/>
      <c r="AT53" s="15"/>
      <c r="AV53" s="954"/>
      <c r="AW53" s="954"/>
      <c r="AX53" s="353"/>
    </row>
    <row r="54" ht="14.25" customHeight="1">
      <c r="A54" s="876"/>
      <c r="B54" s="876"/>
      <c r="C54" s="876"/>
      <c r="D54" s="877"/>
      <c r="E54" s="957"/>
      <c r="F54" s="879"/>
      <c r="G54" s="897"/>
      <c r="H54" s="898"/>
      <c r="I54" s="897"/>
      <c r="J54" s="897"/>
      <c r="K54" s="897"/>
      <c r="L54" s="897"/>
      <c r="M54" s="897"/>
      <c r="N54" s="897"/>
      <c r="O54" s="897"/>
      <c r="P54" s="897"/>
      <c r="Q54" s="897"/>
      <c r="R54" s="897"/>
      <c r="S54" s="897"/>
      <c r="T54" s="897"/>
      <c r="U54" s="897"/>
      <c r="V54" s="897"/>
      <c r="W54" s="897"/>
      <c r="X54" s="897"/>
      <c r="Y54" s="897"/>
      <c r="Z54" s="897"/>
      <c r="AA54" s="897"/>
      <c r="AB54" s="897"/>
      <c r="AC54" s="897"/>
      <c r="AD54" s="897"/>
      <c r="AE54" s="897"/>
      <c r="AF54" s="897"/>
      <c r="AG54" s="897"/>
      <c r="AH54" s="897"/>
      <c r="AI54" s="897"/>
      <c r="AJ54" s="899"/>
      <c r="AK54" s="432"/>
      <c r="AL54" s="432"/>
      <c r="AM54" s="432"/>
      <c r="AO54" s="953"/>
      <c r="AP54" s="953"/>
      <c r="AQ54" s="448"/>
      <c r="AR54" s="15"/>
      <c r="AS54" s="15"/>
      <c r="AT54" s="15"/>
      <c r="AV54" s="954"/>
      <c r="AW54" s="954"/>
      <c r="AX54" s="353"/>
    </row>
    <row r="55" ht="14.25" customHeight="1">
      <c r="A55" s="876"/>
      <c r="B55" s="876"/>
      <c r="C55" s="876"/>
      <c r="D55" s="877"/>
      <c r="E55" s="957"/>
      <c r="F55" s="879"/>
      <c r="G55" s="897"/>
      <c r="H55" s="898"/>
      <c r="I55" s="897"/>
      <c r="J55" s="897"/>
      <c r="K55" s="897"/>
      <c r="L55" s="897"/>
      <c r="M55" s="897"/>
      <c r="N55" s="897"/>
      <c r="O55" s="897"/>
      <c r="P55" s="897"/>
      <c r="Q55" s="897"/>
      <c r="R55" s="897"/>
      <c r="S55" s="897"/>
      <c r="T55" s="897"/>
      <c r="U55" s="897"/>
      <c r="V55" s="897"/>
      <c r="W55" s="897"/>
      <c r="X55" s="897"/>
      <c r="Y55" s="897"/>
      <c r="Z55" s="897"/>
      <c r="AA55" s="897"/>
      <c r="AB55" s="897"/>
      <c r="AC55" s="897"/>
      <c r="AD55" s="897"/>
      <c r="AE55" s="897"/>
      <c r="AF55" s="897"/>
      <c r="AG55" s="897"/>
      <c r="AH55" s="897"/>
      <c r="AI55" s="897"/>
      <c r="AJ55" s="899"/>
      <c r="AK55" s="432"/>
      <c r="AL55" s="432"/>
      <c r="AM55" s="432"/>
      <c r="AO55" s="953"/>
      <c r="AP55" s="953"/>
      <c r="AQ55" s="448"/>
      <c r="AR55" s="15"/>
      <c r="AS55" s="15"/>
      <c r="AT55" s="15"/>
      <c r="AV55" s="954"/>
      <c r="AW55" s="954"/>
      <c r="AX55" s="353"/>
    </row>
    <row r="56" ht="14.25" customHeight="1">
      <c r="A56" s="876"/>
      <c r="B56" s="876"/>
      <c r="C56" s="876"/>
      <c r="D56" s="877"/>
      <c r="E56" s="957"/>
      <c r="F56" s="879"/>
      <c r="G56" s="897"/>
      <c r="H56" s="898"/>
      <c r="I56" s="897"/>
      <c r="J56" s="897"/>
      <c r="K56" s="897"/>
      <c r="L56" s="897"/>
      <c r="M56" s="897"/>
      <c r="N56" s="897"/>
      <c r="O56" s="897"/>
      <c r="P56" s="897"/>
      <c r="Q56" s="897"/>
      <c r="R56" s="897"/>
      <c r="S56" s="897"/>
      <c r="T56" s="897"/>
      <c r="U56" s="897"/>
      <c r="V56" s="897"/>
      <c r="W56" s="897"/>
      <c r="X56" s="897"/>
      <c r="Y56" s="897"/>
      <c r="Z56" s="897"/>
      <c r="AA56" s="897"/>
      <c r="AB56" s="897"/>
      <c r="AC56" s="897"/>
      <c r="AD56" s="897"/>
      <c r="AE56" s="897"/>
      <c r="AF56" s="897"/>
      <c r="AG56" s="897"/>
      <c r="AH56" s="897"/>
      <c r="AI56" s="897"/>
      <c r="AJ56" s="899"/>
      <c r="AK56" s="432"/>
      <c r="AL56" s="432"/>
      <c r="AM56" s="432"/>
      <c r="AO56" s="953"/>
      <c r="AP56" s="953"/>
      <c r="AQ56" s="448"/>
      <c r="AR56" s="15"/>
      <c r="AS56" s="15"/>
      <c r="AT56" s="15"/>
      <c r="AV56" s="954"/>
      <c r="AW56" s="954"/>
      <c r="AX56" s="353"/>
    </row>
    <row r="57" ht="14.25" customHeight="1">
      <c r="A57" s="876"/>
      <c r="B57" s="876"/>
      <c r="C57" s="876"/>
      <c r="D57" s="877"/>
      <c r="E57" s="957"/>
      <c r="F57" s="879"/>
      <c r="G57" s="897"/>
      <c r="H57" s="898"/>
      <c r="I57" s="897"/>
      <c r="J57" s="897"/>
      <c r="K57" s="897"/>
      <c r="L57" s="897"/>
      <c r="M57" s="897"/>
      <c r="N57" s="897"/>
      <c r="O57" s="897"/>
      <c r="P57" s="897"/>
      <c r="Q57" s="897"/>
      <c r="R57" s="897"/>
      <c r="S57" s="897"/>
      <c r="T57" s="897"/>
      <c r="U57" s="897"/>
      <c r="V57" s="897"/>
      <c r="W57" s="897"/>
      <c r="X57" s="897"/>
      <c r="Y57" s="897"/>
      <c r="Z57" s="897"/>
      <c r="AA57" s="897"/>
      <c r="AB57" s="897"/>
      <c r="AC57" s="897"/>
      <c r="AD57" s="897"/>
      <c r="AE57" s="897"/>
      <c r="AF57" s="897"/>
      <c r="AG57" s="897"/>
      <c r="AH57" s="897"/>
      <c r="AI57" s="897"/>
      <c r="AJ57" s="899"/>
      <c r="AK57" s="432"/>
      <c r="AL57" s="432"/>
      <c r="AM57" s="432"/>
      <c r="AO57" s="953"/>
      <c r="AP57" s="953"/>
      <c r="AQ57" s="448"/>
      <c r="AV57" s="954"/>
      <c r="AW57" s="954"/>
      <c r="AX57" s="353"/>
    </row>
    <row r="58" ht="14.25" customHeight="1">
      <c r="A58" s="876"/>
      <c r="B58" s="876"/>
      <c r="C58" s="876"/>
      <c r="D58" s="877"/>
      <c r="E58" s="957"/>
      <c r="F58" s="879"/>
      <c r="G58" s="897"/>
      <c r="H58" s="898"/>
      <c r="I58" s="897"/>
      <c r="J58" s="897"/>
      <c r="K58" s="897"/>
      <c r="L58" s="897"/>
      <c r="M58" s="897"/>
      <c r="N58" s="897"/>
      <c r="O58" s="897"/>
      <c r="P58" s="897"/>
      <c r="Q58" s="897"/>
      <c r="R58" s="897"/>
      <c r="S58" s="897"/>
      <c r="T58" s="897"/>
      <c r="U58" s="897"/>
      <c r="V58" s="897"/>
      <c r="W58" s="897"/>
      <c r="X58" s="897"/>
      <c r="Y58" s="897"/>
      <c r="Z58" s="897"/>
      <c r="AA58" s="897"/>
      <c r="AB58" s="897"/>
      <c r="AC58" s="897"/>
      <c r="AD58" s="897"/>
      <c r="AE58" s="897"/>
      <c r="AF58" s="897"/>
      <c r="AG58" s="897"/>
      <c r="AH58" s="897"/>
      <c r="AI58" s="897"/>
      <c r="AJ58" s="899"/>
      <c r="AK58" s="432"/>
      <c r="AL58" s="432"/>
      <c r="AM58" s="432"/>
      <c r="AO58" s="953"/>
      <c r="AP58" s="953"/>
      <c r="AQ58" s="448"/>
      <c r="AV58" s="954"/>
      <c r="AW58" s="954"/>
      <c r="AX58" s="353"/>
    </row>
    <row r="59" ht="14.25" customHeight="1">
      <c r="A59" s="876"/>
      <c r="B59" s="876"/>
      <c r="C59" s="876"/>
      <c r="D59" s="877"/>
      <c r="E59" s="957"/>
      <c r="F59" s="879"/>
      <c r="G59" s="897"/>
      <c r="H59" s="898"/>
      <c r="I59" s="897"/>
      <c r="J59" s="897"/>
      <c r="K59" s="897"/>
      <c r="L59" s="897"/>
      <c r="M59" s="897"/>
      <c r="N59" s="897"/>
      <c r="O59" s="897"/>
      <c r="P59" s="897"/>
      <c r="Q59" s="897"/>
      <c r="R59" s="897"/>
      <c r="S59" s="897"/>
      <c r="T59" s="897"/>
      <c r="U59" s="897"/>
      <c r="V59" s="897"/>
      <c r="W59" s="897"/>
      <c r="X59" s="897"/>
      <c r="Y59" s="897"/>
      <c r="Z59" s="897"/>
      <c r="AA59" s="897"/>
      <c r="AB59" s="897"/>
      <c r="AC59" s="897"/>
      <c r="AD59" s="897"/>
      <c r="AE59" s="897"/>
      <c r="AF59" s="897"/>
      <c r="AG59" s="897"/>
      <c r="AH59" s="897"/>
      <c r="AI59" s="897"/>
      <c r="AJ59" s="899"/>
      <c r="AK59" s="432"/>
      <c r="AL59" s="432"/>
      <c r="AM59" s="432"/>
      <c r="AO59" s="953"/>
      <c r="AP59" s="953"/>
      <c r="AQ59" s="448"/>
      <c r="AV59" s="954"/>
      <c r="AW59" s="954"/>
      <c r="AX59" s="353"/>
    </row>
    <row r="60" ht="14.25" customHeight="1">
      <c r="A60" s="876"/>
      <c r="B60" s="876"/>
      <c r="C60" s="876"/>
      <c r="D60" s="877"/>
      <c r="E60" s="957"/>
      <c r="F60" s="879"/>
      <c r="G60" s="897"/>
      <c r="H60" s="898"/>
      <c r="I60" s="897"/>
      <c r="J60" s="897"/>
      <c r="K60" s="897"/>
      <c r="L60" s="897"/>
      <c r="M60" s="897"/>
      <c r="N60" s="897"/>
      <c r="O60" s="897"/>
      <c r="P60" s="897"/>
      <c r="Q60" s="897"/>
      <c r="R60" s="897"/>
      <c r="S60" s="897"/>
      <c r="T60" s="897"/>
      <c r="U60" s="897"/>
      <c r="V60" s="897"/>
      <c r="W60" s="897"/>
      <c r="X60" s="897"/>
      <c r="Y60" s="897"/>
      <c r="Z60" s="897"/>
      <c r="AA60" s="897"/>
      <c r="AB60" s="897"/>
      <c r="AC60" s="897"/>
      <c r="AD60" s="897"/>
      <c r="AE60" s="897"/>
      <c r="AF60" s="897"/>
      <c r="AG60" s="897"/>
      <c r="AH60" s="897"/>
      <c r="AI60" s="897"/>
      <c r="AJ60" s="899"/>
      <c r="AK60" s="432"/>
      <c r="AL60" s="432"/>
      <c r="AM60" s="432"/>
      <c r="AO60" s="953"/>
      <c r="AP60" s="953"/>
      <c r="AQ60" s="448"/>
      <c r="AV60" s="954"/>
      <c r="AW60" s="954"/>
      <c r="AX60" s="353"/>
    </row>
  </sheetData>
  <mergeCells count="4">
    <mergeCell ref="A1:B1"/>
    <mergeCell ref="C1:D1"/>
    <mergeCell ref="AR1:AT1"/>
    <mergeCell ref="B3:E3"/>
  </mergeCells>
  <hyperlinks>
    <hyperlink r:id="rId1" ref="AP4"/>
    <hyperlink r:id="rId2" ref="AP5"/>
    <hyperlink r:id="rId3" ref="AP6"/>
    <hyperlink r:id="rId4" ref="AP7"/>
    <hyperlink r:id="rId5" ref="AP8"/>
    <hyperlink r:id="rId6" ref="AP9"/>
    <hyperlink r:id="rId7" ref="AP10"/>
    <hyperlink r:id="rId8" ref="AP11"/>
    <hyperlink r:id="rId9" ref="AP12"/>
    <hyperlink r:id="rId10" ref="AP13"/>
    <hyperlink r:id="rId11" ref="AP14"/>
    <hyperlink r:id="rId12" ref="AP15"/>
    <hyperlink r:id="rId13" ref="AP16"/>
    <hyperlink r:id="rId14" ref="AP17"/>
    <hyperlink r:id="rId15" ref="AP18"/>
    <hyperlink r:id="rId16" ref="AW18"/>
    <hyperlink r:id="rId17" ref="AP19"/>
  </hyperlinks>
  <printOptions/>
  <pageMargins bottom="0.7480314960629921" footer="0.0" header="0.0" left="0.34" right="0.34" top="0.7480314960629921"/>
  <pageSetup paperSize="9" scale="75" orientation="portrait"/>
  <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1" t="s">
        <v>635</v>
      </c>
      <c r="B1" s="201" t="s">
        <v>636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4" width="33.86"/>
    <col customWidth="1" min="5" max="5" width="70.57"/>
    <col customWidth="1" min="6" max="6" width="33.86"/>
    <col customWidth="1" min="7" max="7" width="46.57"/>
  </cols>
  <sheetData>
    <row r="1" ht="25.5" customHeight="1">
      <c r="A1" s="756" t="s">
        <v>637</v>
      </c>
      <c r="B1" s="756" t="s">
        <v>638</v>
      </c>
      <c r="C1" s="756" t="s">
        <v>639</v>
      </c>
      <c r="D1" s="756" t="s">
        <v>640</v>
      </c>
      <c r="E1" s="756" t="s">
        <v>641</v>
      </c>
      <c r="F1" s="756" t="s">
        <v>642</v>
      </c>
      <c r="G1" s="756" t="s">
        <v>643</v>
      </c>
      <c r="H1" s="756" t="s">
        <v>644</v>
      </c>
      <c r="I1" s="964"/>
      <c r="J1" s="964"/>
      <c r="K1" s="964"/>
      <c r="L1" s="964"/>
      <c r="M1" s="964"/>
      <c r="N1" s="964"/>
      <c r="O1" s="964"/>
      <c r="P1" s="964"/>
      <c r="Q1" s="964"/>
      <c r="R1" s="964"/>
      <c r="S1" s="964"/>
      <c r="T1" s="964"/>
      <c r="U1" s="964"/>
      <c r="V1" s="964"/>
      <c r="W1" s="964"/>
      <c r="X1" s="964"/>
      <c r="Y1" s="964"/>
      <c r="Z1" s="964"/>
    </row>
    <row r="2">
      <c r="A2" s="965">
        <v>46008.99486210648</v>
      </c>
      <c r="B2" s="201" t="s">
        <v>213</v>
      </c>
      <c r="C2" s="201" t="s">
        <v>646</v>
      </c>
      <c r="D2" s="201" t="s">
        <v>647</v>
      </c>
      <c r="E2" s="201" t="s">
        <v>648</v>
      </c>
      <c r="F2" s="201" t="s">
        <v>213</v>
      </c>
      <c r="G2" s="201" t="s">
        <v>649</v>
      </c>
      <c r="H2" s="201" t="s">
        <v>650</v>
      </c>
    </row>
    <row r="3">
      <c r="A3" s="965">
        <v>46009.96949505787</v>
      </c>
      <c r="B3" s="201" t="s">
        <v>213</v>
      </c>
      <c r="C3" s="201" t="s">
        <v>651</v>
      </c>
      <c r="D3" s="201" t="s">
        <v>652</v>
      </c>
      <c r="E3" s="201" t="s">
        <v>213</v>
      </c>
      <c r="F3" s="201" t="s">
        <v>213</v>
      </c>
      <c r="G3" s="201" t="s">
        <v>650</v>
      </c>
      <c r="H3" s="201" t="s">
        <v>650</v>
      </c>
    </row>
    <row r="4">
      <c r="A4" s="965">
        <v>46009.96950381945</v>
      </c>
      <c r="B4" s="966">
        <v>1.0</v>
      </c>
      <c r="C4" s="201" t="s">
        <v>279</v>
      </c>
      <c r="D4" s="201" t="s">
        <v>653</v>
      </c>
      <c r="E4" s="201" t="s">
        <v>654</v>
      </c>
      <c r="F4" s="201" t="s">
        <v>213</v>
      </c>
      <c r="G4" s="201" t="s">
        <v>655</v>
      </c>
      <c r="H4" s="201" t="s">
        <v>650</v>
      </c>
    </row>
    <row r="5">
      <c r="A5" s="965">
        <v>46009.969640763884</v>
      </c>
      <c r="B5" s="201" t="s">
        <v>213</v>
      </c>
      <c r="C5" s="201" t="s">
        <v>646</v>
      </c>
      <c r="D5" s="201" t="s">
        <v>647</v>
      </c>
      <c r="E5" s="201" t="s">
        <v>656</v>
      </c>
      <c r="F5" s="201" t="s">
        <v>213</v>
      </c>
      <c r="G5" s="201" t="s">
        <v>657</v>
      </c>
      <c r="H5" s="201" t="s">
        <v>650</v>
      </c>
    </row>
    <row r="6">
      <c r="A6" s="965">
        <v>46009.9696495949</v>
      </c>
      <c r="B6" s="966">
        <v>1.0</v>
      </c>
      <c r="C6" s="201" t="s">
        <v>281</v>
      </c>
      <c r="D6" s="201" t="s">
        <v>658</v>
      </c>
      <c r="E6" s="201" t="s">
        <v>213</v>
      </c>
      <c r="F6" s="201" t="s">
        <v>213</v>
      </c>
      <c r="G6" s="201" t="s">
        <v>655</v>
      </c>
      <c r="H6" s="201" t="s">
        <v>650</v>
      </c>
    </row>
    <row r="7">
      <c r="A7" s="965">
        <v>46009.96980060185</v>
      </c>
      <c r="B7" s="201" t="s">
        <v>213</v>
      </c>
      <c r="C7" s="201" t="s">
        <v>646</v>
      </c>
      <c r="D7" s="201" t="s">
        <v>647</v>
      </c>
      <c r="E7" s="201" t="s">
        <v>659</v>
      </c>
      <c r="F7" s="201" t="s">
        <v>213</v>
      </c>
      <c r="G7" s="201" t="s">
        <v>660</v>
      </c>
      <c r="H7" s="201" t="s">
        <v>650</v>
      </c>
    </row>
    <row r="8">
      <c r="A8" s="965">
        <v>46009.96980453704</v>
      </c>
      <c r="B8" s="966">
        <v>1.0</v>
      </c>
      <c r="C8" s="201" t="s">
        <v>283</v>
      </c>
      <c r="D8" s="201" t="s">
        <v>658</v>
      </c>
      <c r="E8" s="201" t="s">
        <v>213</v>
      </c>
      <c r="F8" s="201" t="s">
        <v>213</v>
      </c>
      <c r="G8" s="201" t="s">
        <v>655</v>
      </c>
      <c r="H8" s="201" t="s">
        <v>650</v>
      </c>
    </row>
    <row r="9">
      <c r="A9" s="965">
        <v>46009.96994248843</v>
      </c>
      <c r="B9" s="201" t="s">
        <v>213</v>
      </c>
      <c r="C9" s="201" t="s">
        <v>646</v>
      </c>
      <c r="D9" s="201" t="s">
        <v>647</v>
      </c>
      <c r="E9" s="201" t="s">
        <v>661</v>
      </c>
      <c r="F9" s="201" t="s">
        <v>213</v>
      </c>
      <c r="G9" s="201" t="s">
        <v>662</v>
      </c>
      <c r="H9" s="201" t="s">
        <v>650</v>
      </c>
    </row>
    <row r="10">
      <c r="A10" s="965">
        <v>46009.96994709491</v>
      </c>
      <c r="B10" s="966">
        <v>1.0</v>
      </c>
      <c r="C10" s="201" t="s">
        <v>284</v>
      </c>
      <c r="D10" s="201" t="s">
        <v>658</v>
      </c>
      <c r="E10" s="201" t="s">
        <v>213</v>
      </c>
      <c r="F10" s="201" t="s">
        <v>213</v>
      </c>
      <c r="G10" s="201" t="s">
        <v>655</v>
      </c>
      <c r="H10" s="201" t="s">
        <v>650</v>
      </c>
    </row>
    <row r="11">
      <c r="A11" s="965">
        <v>46009.97009016204</v>
      </c>
      <c r="B11" s="201" t="s">
        <v>213</v>
      </c>
      <c r="C11" s="201" t="s">
        <v>646</v>
      </c>
      <c r="D11" s="201" t="s">
        <v>647</v>
      </c>
      <c r="E11" s="201" t="s">
        <v>663</v>
      </c>
      <c r="F11" s="201" t="s">
        <v>213</v>
      </c>
      <c r="G11" s="201" t="s">
        <v>664</v>
      </c>
      <c r="H11" s="201" t="s">
        <v>650</v>
      </c>
    </row>
    <row r="12">
      <c r="A12" s="965">
        <v>46009.97009447917</v>
      </c>
      <c r="B12" s="966">
        <v>1.0</v>
      </c>
      <c r="C12" s="201" t="s">
        <v>285</v>
      </c>
      <c r="D12" s="201" t="s">
        <v>658</v>
      </c>
      <c r="E12" s="201" t="s">
        <v>213</v>
      </c>
      <c r="F12" s="201" t="s">
        <v>213</v>
      </c>
      <c r="G12" s="201" t="s">
        <v>655</v>
      </c>
      <c r="H12" s="201" t="s">
        <v>650</v>
      </c>
    </row>
    <row r="13">
      <c r="A13" s="965">
        <v>46009.97023178241</v>
      </c>
      <c r="B13" s="201" t="s">
        <v>213</v>
      </c>
      <c r="C13" s="201" t="s">
        <v>646</v>
      </c>
      <c r="D13" s="201" t="s">
        <v>647</v>
      </c>
      <c r="E13" s="201" t="s">
        <v>665</v>
      </c>
      <c r="F13" s="201" t="s">
        <v>213</v>
      </c>
      <c r="G13" s="201" t="s">
        <v>666</v>
      </c>
      <c r="H13" s="201" t="s">
        <v>650</v>
      </c>
    </row>
    <row r="14">
      <c r="A14" s="965">
        <v>46009.97023861111</v>
      </c>
      <c r="B14" s="966">
        <v>1.0</v>
      </c>
      <c r="C14" s="201" t="s">
        <v>286</v>
      </c>
      <c r="D14" s="201" t="s">
        <v>658</v>
      </c>
      <c r="E14" s="201" t="s">
        <v>213</v>
      </c>
      <c r="F14" s="201" t="s">
        <v>213</v>
      </c>
      <c r="G14" s="201" t="s">
        <v>655</v>
      </c>
      <c r="H14" s="201" t="s">
        <v>650</v>
      </c>
    </row>
    <row r="15">
      <c r="A15" s="965">
        <v>46009.97041488426</v>
      </c>
      <c r="B15" s="201" t="s">
        <v>213</v>
      </c>
      <c r="C15" s="201" t="s">
        <v>646</v>
      </c>
      <c r="D15" s="201" t="s">
        <v>647</v>
      </c>
      <c r="E15" s="201" t="s">
        <v>667</v>
      </c>
      <c r="F15" s="201" t="s">
        <v>213</v>
      </c>
      <c r="G15" s="201" t="s">
        <v>668</v>
      </c>
      <c r="H15" s="201" t="s">
        <v>650</v>
      </c>
    </row>
    <row r="16">
      <c r="A16" s="965">
        <v>46009.97041980324</v>
      </c>
      <c r="B16" s="966">
        <v>1.0</v>
      </c>
      <c r="C16" s="201" t="s">
        <v>287</v>
      </c>
      <c r="D16" s="201" t="s">
        <v>658</v>
      </c>
      <c r="E16" s="201" t="s">
        <v>213</v>
      </c>
      <c r="F16" s="201" t="s">
        <v>213</v>
      </c>
      <c r="G16" s="201" t="s">
        <v>655</v>
      </c>
      <c r="H16" s="201" t="s">
        <v>650</v>
      </c>
    </row>
    <row r="17">
      <c r="A17" s="965">
        <v>46009.97056667824</v>
      </c>
      <c r="B17" s="201" t="s">
        <v>213</v>
      </c>
      <c r="C17" s="201" t="s">
        <v>646</v>
      </c>
      <c r="D17" s="201" t="s">
        <v>647</v>
      </c>
      <c r="E17" s="201" t="s">
        <v>669</v>
      </c>
      <c r="F17" s="201" t="s">
        <v>213</v>
      </c>
      <c r="G17" s="201" t="s">
        <v>670</v>
      </c>
      <c r="H17" s="201" t="s">
        <v>650</v>
      </c>
    </row>
    <row r="18">
      <c r="A18" s="965">
        <v>46009.97057075231</v>
      </c>
      <c r="B18" s="966">
        <v>2.0</v>
      </c>
      <c r="C18" s="201" t="s">
        <v>288</v>
      </c>
      <c r="D18" s="201" t="s">
        <v>658</v>
      </c>
      <c r="E18" s="201" t="s">
        <v>213</v>
      </c>
      <c r="F18" s="201" t="s">
        <v>213</v>
      </c>
      <c r="G18" s="201" t="s">
        <v>655</v>
      </c>
      <c r="H18" s="201" t="s">
        <v>650</v>
      </c>
    </row>
    <row r="19">
      <c r="A19" s="965">
        <v>46009.970722881946</v>
      </c>
      <c r="B19" s="201" t="s">
        <v>213</v>
      </c>
      <c r="C19" s="201" t="s">
        <v>646</v>
      </c>
      <c r="D19" s="201" t="s">
        <v>647</v>
      </c>
      <c r="E19" s="201" t="s">
        <v>671</v>
      </c>
      <c r="F19" s="201" t="s">
        <v>213</v>
      </c>
      <c r="G19" s="201" t="s">
        <v>672</v>
      </c>
      <c r="H19" s="201" t="s">
        <v>650</v>
      </c>
    </row>
    <row r="20">
      <c r="A20" s="965">
        <v>46009.97075476852</v>
      </c>
      <c r="B20" s="966">
        <v>2.0</v>
      </c>
      <c r="C20" s="201" t="s">
        <v>289</v>
      </c>
      <c r="D20" s="201" t="s">
        <v>658</v>
      </c>
      <c r="E20" s="201" t="s">
        <v>213</v>
      </c>
      <c r="F20" s="201" t="s">
        <v>213</v>
      </c>
      <c r="G20" s="201" t="s">
        <v>655</v>
      </c>
      <c r="H20" s="201" t="s">
        <v>650</v>
      </c>
    </row>
    <row r="21">
      <c r="A21" s="965">
        <v>46009.97090003472</v>
      </c>
      <c r="B21" s="201" t="s">
        <v>213</v>
      </c>
      <c r="C21" s="201" t="s">
        <v>646</v>
      </c>
      <c r="D21" s="201" t="s">
        <v>647</v>
      </c>
      <c r="E21" s="201" t="s">
        <v>673</v>
      </c>
      <c r="F21" s="201" t="s">
        <v>213</v>
      </c>
      <c r="G21" s="201" t="s">
        <v>675</v>
      </c>
      <c r="H21" s="201" t="s">
        <v>650</v>
      </c>
    </row>
    <row r="22">
      <c r="A22" s="965">
        <v>46009.97091241898</v>
      </c>
      <c r="B22" s="966">
        <v>2.0</v>
      </c>
      <c r="C22" s="201" t="s">
        <v>290</v>
      </c>
      <c r="D22" s="201" t="s">
        <v>658</v>
      </c>
      <c r="E22" s="201" t="s">
        <v>213</v>
      </c>
      <c r="F22" s="201" t="s">
        <v>213</v>
      </c>
      <c r="G22" s="201" t="s">
        <v>655</v>
      </c>
      <c r="H22" s="201" t="s">
        <v>650</v>
      </c>
    </row>
    <row r="23">
      <c r="A23" s="965">
        <v>46009.97108795139</v>
      </c>
      <c r="B23" s="201" t="s">
        <v>213</v>
      </c>
      <c r="C23" s="201" t="s">
        <v>646</v>
      </c>
      <c r="D23" s="201" t="s">
        <v>647</v>
      </c>
      <c r="E23" s="201" t="s">
        <v>676</v>
      </c>
      <c r="F23" s="201" t="s">
        <v>213</v>
      </c>
      <c r="G23" s="201" t="s">
        <v>677</v>
      </c>
      <c r="H23" s="201" t="s">
        <v>650</v>
      </c>
    </row>
    <row r="24">
      <c r="A24" s="965">
        <v>46009.97109266203</v>
      </c>
      <c r="B24" s="966">
        <v>2.0</v>
      </c>
      <c r="C24" s="201" t="s">
        <v>292</v>
      </c>
      <c r="D24" s="201" t="s">
        <v>658</v>
      </c>
      <c r="E24" s="201" t="s">
        <v>213</v>
      </c>
      <c r="F24" s="201" t="s">
        <v>213</v>
      </c>
      <c r="G24" s="201" t="s">
        <v>655</v>
      </c>
      <c r="H24" s="201" t="s">
        <v>650</v>
      </c>
    </row>
    <row r="25">
      <c r="A25" s="965">
        <v>46009.971234745375</v>
      </c>
      <c r="B25" s="201" t="s">
        <v>213</v>
      </c>
      <c r="C25" s="201" t="s">
        <v>646</v>
      </c>
      <c r="D25" s="201" t="s">
        <v>647</v>
      </c>
      <c r="E25" s="201" t="s">
        <v>678</v>
      </c>
      <c r="F25" s="201" t="s">
        <v>213</v>
      </c>
      <c r="G25" s="201" t="s">
        <v>679</v>
      </c>
      <c r="H25" s="201" t="s">
        <v>650</v>
      </c>
    </row>
    <row r="26">
      <c r="A26" s="965">
        <v>46009.97124320602</v>
      </c>
      <c r="B26" s="966">
        <v>2.0</v>
      </c>
      <c r="C26" s="201" t="s">
        <v>293</v>
      </c>
      <c r="D26" s="201" t="s">
        <v>658</v>
      </c>
      <c r="E26" s="201" t="s">
        <v>213</v>
      </c>
      <c r="F26" s="201" t="s">
        <v>213</v>
      </c>
      <c r="G26" s="201" t="s">
        <v>655</v>
      </c>
      <c r="H26" s="201" t="s">
        <v>650</v>
      </c>
    </row>
    <row r="27">
      <c r="A27" s="965">
        <v>46009.971382800926</v>
      </c>
      <c r="B27" s="201" t="s">
        <v>213</v>
      </c>
      <c r="C27" s="201" t="s">
        <v>646</v>
      </c>
      <c r="D27" s="201" t="s">
        <v>647</v>
      </c>
      <c r="E27" s="201" t="s">
        <v>680</v>
      </c>
      <c r="F27" s="201" t="s">
        <v>213</v>
      </c>
      <c r="G27" s="201" t="s">
        <v>681</v>
      </c>
      <c r="H27" s="201" t="s">
        <v>650</v>
      </c>
    </row>
    <row r="28">
      <c r="A28" s="965">
        <v>46009.97139564814</v>
      </c>
      <c r="B28" s="966">
        <v>2.0</v>
      </c>
      <c r="C28" s="201" t="s">
        <v>294</v>
      </c>
      <c r="D28" s="201" t="s">
        <v>658</v>
      </c>
      <c r="E28" s="201" t="s">
        <v>213</v>
      </c>
      <c r="F28" s="201" t="s">
        <v>213</v>
      </c>
      <c r="G28" s="201" t="s">
        <v>655</v>
      </c>
      <c r="H28" s="201" t="s">
        <v>650</v>
      </c>
    </row>
    <row r="29">
      <c r="A29" s="965">
        <v>46009.971529409726</v>
      </c>
      <c r="B29" s="201" t="s">
        <v>213</v>
      </c>
      <c r="C29" s="201" t="s">
        <v>646</v>
      </c>
      <c r="D29" s="201" t="s">
        <v>647</v>
      </c>
      <c r="E29" s="201" t="s">
        <v>682</v>
      </c>
      <c r="F29" s="201" t="s">
        <v>213</v>
      </c>
      <c r="G29" s="201" t="s">
        <v>683</v>
      </c>
      <c r="H29" s="201" t="s">
        <v>650</v>
      </c>
    </row>
    <row r="30">
      <c r="A30" s="965">
        <v>46009.97153386574</v>
      </c>
      <c r="B30" s="966">
        <v>2.0</v>
      </c>
      <c r="C30" s="201" t="s">
        <v>295</v>
      </c>
      <c r="D30" s="201" t="s">
        <v>658</v>
      </c>
      <c r="E30" s="201" t="s">
        <v>213</v>
      </c>
      <c r="F30" s="201" t="s">
        <v>213</v>
      </c>
      <c r="G30" s="201" t="s">
        <v>655</v>
      </c>
      <c r="H30" s="201" t="s">
        <v>650</v>
      </c>
    </row>
    <row r="31">
      <c r="A31" s="965">
        <v>46009.971686122684</v>
      </c>
      <c r="B31" s="201" t="s">
        <v>213</v>
      </c>
      <c r="C31" s="201" t="s">
        <v>646</v>
      </c>
      <c r="D31" s="201" t="s">
        <v>647</v>
      </c>
      <c r="E31" s="201" t="s">
        <v>684</v>
      </c>
      <c r="F31" s="201" t="s">
        <v>213</v>
      </c>
      <c r="G31" s="201" t="s">
        <v>685</v>
      </c>
      <c r="H31" s="201" t="s">
        <v>650</v>
      </c>
    </row>
    <row r="32">
      <c r="A32" s="965">
        <v>46009.97169119213</v>
      </c>
      <c r="B32" s="966">
        <v>2.0</v>
      </c>
      <c r="C32" s="201" t="s">
        <v>296</v>
      </c>
      <c r="D32" s="201" t="s">
        <v>658</v>
      </c>
      <c r="E32" s="201" t="s">
        <v>213</v>
      </c>
      <c r="F32" s="201" t="s">
        <v>213</v>
      </c>
      <c r="G32" s="201" t="s">
        <v>655</v>
      </c>
      <c r="H32" s="201" t="s">
        <v>650</v>
      </c>
    </row>
    <row r="33">
      <c r="A33" s="965">
        <v>46009.971838819445</v>
      </c>
      <c r="B33" s="201" t="s">
        <v>213</v>
      </c>
      <c r="C33" s="201" t="s">
        <v>646</v>
      </c>
      <c r="D33" s="201" t="s">
        <v>647</v>
      </c>
      <c r="E33" s="201" t="s">
        <v>686</v>
      </c>
      <c r="F33" s="201" t="s">
        <v>213</v>
      </c>
      <c r="G33" s="201" t="s">
        <v>687</v>
      </c>
      <c r="H33" s="201" t="s">
        <v>650</v>
      </c>
    </row>
    <row r="34">
      <c r="A34" s="965">
        <v>46009.9718430787</v>
      </c>
      <c r="B34" s="966">
        <v>3.0</v>
      </c>
      <c r="C34" s="201" t="s">
        <v>297</v>
      </c>
      <c r="D34" s="201" t="s">
        <v>658</v>
      </c>
      <c r="E34" s="201" t="s">
        <v>213</v>
      </c>
      <c r="F34" s="201" t="s">
        <v>213</v>
      </c>
      <c r="G34" s="201" t="s">
        <v>655</v>
      </c>
      <c r="H34" s="201" t="s">
        <v>650</v>
      </c>
    </row>
    <row r="35">
      <c r="A35" s="965">
        <v>46009.97197835648</v>
      </c>
      <c r="B35" s="201" t="s">
        <v>213</v>
      </c>
      <c r="C35" s="201" t="s">
        <v>646</v>
      </c>
      <c r="D35" s="201" t="s">
        <v>647</v>
      </c>
      <c r="E35" s="201" t="s">
        <v>688</v>
      </c>
      <c r="F35" s="201" t="s">
        <v>213</v>
      </c>
      <c r="G35" s="201" t="s">
        <v>689</v>
      </c>
      <c r="H35" s="201" t="s">
        <v>650</v>
      </c>
    </row>
    <row r="36">
      <c r="A36" s="965">
        <v>46009.97198293982</v>
      </c>
      <c r="B36" s="966">
        <v>3.0</v>
      </c>
      <c r="C36" s="201" t="s">
        <v>298</v>
      </c>
      <c r="D36" s="201" t="s">
        <v>658</v>
      </c>
      <c r="E36" s="201" t="s">
        <v>213</v>
      </c>
      <c r="F36" s="201" t="s">
        <v>213</v>
      </c>
      <c r="G36" s="201" t="s">
        <v>655</v>
      </c>
      <c r="H36" s="201" t="s">
        <v>650</v>
      </c>
    </row>
    <row r="37">
      <c r="A37" s="965">
        <v>46009.97212247685</v>
      </c>
      <c r="B37" s="201" t="s">
        <v>213</v>
      </c>
      <c r="C37" s="201" t="s">
        <v>646</v>
      </c>
      <c r="D37" s="201" t="s">
        <v>647</v>
      </c>
      <c r="E37" s="201" t="s">
        <v>690</v>
      </c>
      <c r="F37" s="201" t="s">
        <v>213</v>
      </c>
      <c r="G37" s="201" t="s">
        <v>691</v>
      </c>
      <c r="H37" s="201" t="s">
        <v>650</v>
      </c>
    </row>
    <row r="38">
      <c r="A38" s="965">
        <v>46009.9721271875</v>
      </c>
      <c r="B38" s="966">
        <v>3.0</v>
      </c>
      <c r="C38" s="201" t="s">
        <v>299</v>
      </c>
      <c r="D38" s="201" t="s">
        <v>658</v>
      </c>
      <c r="E38" s="201" t="s">
        <v>213</v>
      </c>
      <c r="F38" s="201" t="s">
        <v>213</v>
      </c>
      <c r="G38" s="201" t="s">
        <v>655</v>
      </c>
      <c r="H38" s="201" t="s">
        <v>650</v>
      </c>
    </row>
    <row r="39">
      <c r="A39" s="965">
        <v>46009.97214385417</v>
      </c>
      <c r="B39" s="201" t="s">
        <v>213</v>
      </c>
      <c r="C39" s="201" t="s">
        <v>692</v>
      </c>
      <c r="D39" s="201" t="s">
        <v>693</v>
      </c>
      <c r="E39" s="201" t="s">
        <v>213</v>
      </c>
      <c r="F39" s="966">
        <v>18.0</v>
      </c>
      <c r="G39" s="201" t="s">
        <v>655</v>
      </c>
      <c r="H39" s="201" t="s">
        <v>650</v>
      </c>
    </row>
    <row r="40">
      <c r="A40" s="965">
        <v>46009.97216118056</v>
      </c>
      <c r="B40" s="201" t="s">
        <v>213</v>
      </c>
      <c r="C40" s="201" t="s">
        <v>694</v>
      </c>
      <c r="D40" s="201" t="s">
        <v>695</v>
      </c>
      <c r="E40" s="201" t="s">
        <v>213</v>
      </c>
      <c r="F40" s="966">
        <v>18.0</v>
      </c>
      <c r="G40" s="201" t="s">
        <v>655</v>
      </c>
      <c r="H40" s="201" t="s">
        <v>650</v>
      </c>
    </row>
    <row r="41">
      <c r="A41" s="965">
        <v>46009.97309944444</v>
      </c>
      <c r="B41" s="201" t="s">
        <v>213</v>
      </c>
      <c r="C41" s="201" t="s">
        <v>646</v>
      </c>
      <c r="D41" s="201" t="s">
        <v>647</v>
      </c>
      <c r="E41" s="201" t="s">
        <v>696</v>
      </c>
      <c r="F41" s="201" t="s">
        <v>213</v>
      </c>
      <c r="G41" s="201" t="s">
        <v>697</v>
      </c>
      <c r="H41" s="201" t="s">
        <v>698</v>
      </c>
    </row>
    <row r="42">
      <c r="A42" s="965">
        <v>46009.97310765046</v>
      </c>
      <c r="B42" s="966">
        <v>3.0</v>
      </c>
      <c r="C42" s="201" t="s">
        <v>300</v>
      </c>
      <c r="D42" s="201" t="s">
        <v>658</v>
      </c>
      <c r="E42" s="201" t="s">
        <v>213</v>
      </c>
      <c r="F42" s="966">
        <v>18.0</v>
      </c>
      <c r="G42" s="201" t="s">
        <v>699</v>
      </c>
      <c r="H42" s="201" t="s">
        <v>698</v>
      </c>
    </row>
    <row r="43">
      <c r="A43" s="965">
        <v>46009.973265347224</v>
      </c>
      <c r="B43" s="201" t="s">
        <v>213</v>
      </c>
      <c r="C43" s="201" t="s">
        <v>646</v>
      </c>
      <c r="D43" s="201" t="s">
        <v>647</v>
      </c>
      <c r="E43" s="201" t="s">
        <v>700</v>
      </c>
      <c r="F43" s="201" t="s">
        <v>213</v>
      </c>
      <c r="G43" s="201" t="s">
        <v>701</v>
      </c>
      <c r="H43" s="201" t="s">
        <v>698</v>
      </c>
    </row>
    <row r="44">
      <c r="A44" s="965">
        <v>46009.97327159722</v>
      </c>
      <c r="B44" s="966">
        <v>3.0</v>
      </c>
      <c r="C44" s="201" t="s">
        <v>301</v>
      </c>
      <c r="D44" s="201" t="s">
        <v>658</v>
      </c>
      <c r="E44" s="201" t="s">
        <v>213</v>
      </c>
      <c r="F44" s="966">
        <v>18.0</v>
      </c>
      <c r="G44" s="201" t="s">
        <v>699</v>
      </c>
      <c r="H44" s="201" t="s">
        <v>698</v>
      </c>
    </row>
    <row r="45">
      <c r="A45" s="965">
        <v>46009.973422800926</v>
      </c>
      <c r="B45" s="201" t="s">
        <v>213</v>
      </c>
      <c r="C45" s="201" t="s">
        <v>646</v>
      </c>
      <c r="D45" s="201" t="s">
        <v>647</v>
      </c>
      <c r="E45" s="201" t="s">
        <v>702</v>
      </c>
      <c r="F45" s="201" t="s">
        <v>213</v>
      </c>
      <c r="G45" s="201" t="s">
        <v>703</v>
      </c>
      <c r="H45" s="201" t="s">
        <v>698</v>
      </c>
    </row>
    <row r="46">
      <c r="A46" s="965">
        <v>46009.97342877315</v>
      </c>
      <c r="B46" s="966">
        <v>3.0</v>
      </c>
      <c r="C46" s="201" t="s">
        <v>303</v>
      </c>
      <c r="D46" s="201" t="s">
        <v>658</v>
      </c>
      <c r="E46" s="201" t="s">
        <v>213</v>
      </c>
      <c r="F46" s="966">
        <v>18.0</v>
      </c>
      <c r="G46" s="201" t="s">
        <v>699</v>
      </c>
      <c r="H46" s="201" t="s">
        <v>698</v>
      </c>
    </row>
    <row r="47">
      <c r="A47" s="965">
        <v>46009.97362653935</v>
      </c>
      <c r="B47" s="201" t="s">
        <v>213</v>
      </c>
      <c r="C47" s="201" t="s">
        <v>646</v>
      </c>
      <c r="D47" s="201" t="s">
        <v>647</v>
      </c>
      <c r="E47" s="201" t="s">
        <v>704</v>
      </c>
      <c r="F47" s="201" t="s">
        <v>213</v>
      </c>
      <c r="G47" s="201" t="s">
        <v>705</v>
      </c>
      <c r="H47" s="201" t="s">
        <v>698</v>
      </c>
    </row>
    <row r="48">
      <c r="A48" s="965">
        <v>46009.97364708333</v>
      </c>
      <c r="B48" s="966">
        <v>3.0</v>
      </c>
      <c r="C48" s="201" t="s">
        <v>304</v>
      </c>
      <c r="D48" s="201" t="s">
        <v>658</v>
      </c>
      <c r="E48" s="201" t="s">
        <v>213</v>
      </c>
      <c r="F48" s="966">
        <v>18.0</v>
      </c>
      <c r="G48" s="201" t="s">
        <v>699</v>
      </c>
      <c r="H48" s="201" t="s">
        <v>698</v>
      </c>
    </row>
    <row r="49">
      <c r="A49" s="965">
        <v>46009.97383054398</v>
      </c>
      <c r="B49" s="201" t="s">
        <v>213</v>
      </c>
      <c r="C49" s="201" t="s">
        <v>646</v>
      </c>
      <c r="D49" s="201" t="s">
        <v>647</v>
      </c>
      <c r="E49" s="201" t="s">
        <v>706</v>
      </c>
      <c r="F49" s="201" t="s">
        <v>213</v>
      </c>
      <c r="G49" s="201" t="s">
        <v>707</v>
      </c>
      <c r="H49" s="201" t="s">
        <v>698</v>
      </c>
    </row>
    <row r="50">
      <c r="A50" s="965">
        <v>46009.97384269676</v>
      </c>
      <c r="B50" s="966">
        <v>3.0</v>
      </c>
      <c r="C50" s="201" t="s">
        <v>305</v>
      </c>
      <c r="D50" s="201" t="s">
        <v>658</v>
      </c>
      <c r="E50" s="201" t="s">
        <v>213</v>
      </c>
      <c r="F50" s="966">
        <v>18.0</v>
      </c>
      <c r="G50" s="201" t="s">
        <v>699</v>
      </c>
      <c r="H50" s="201" t="s">
        <v>698</v>
      </c>
    </row>
    <row r="51">
      <c r="A51" s="965">
        <v>46009.97401770833</v>
      </c>
      <c r="B51" s="201" t="s">
        <v>213</v>
      </c>
      <c r="C51" s="201" t="s">
        <v>646</v>
      </c>
      <c r="D51" s="201" t="s">
        <v>647</v>
      </c>
      <c r="E51" s="201" t="s">
        <v>708</v>
      </c>
      <c r="F51" s="201" t="s">
        <v>213</v>
      </c>
      <c r="G51" s="201" t="s">
        <v>709</v>
      </c>
      <c r="H51" s="201" t="s">
        <v>698</v>
      </c>
    </row>
    <row r="52">
      <c r="A52" s="965">
        <v>46009.97402451389</v>
      </c>
      <c r="B52" s="966">
        <v>4.0</v>
      </c>
      <c r="C52" s="201" t="s">
        <v>306</v>
      </c>
      <c r="D52" s="201" t="s">
        <v>658</v>
      </c>
      <c r="E52" s="201" t="s">
        <v>213</v>
      </c>
      <c r="F52" s="966">
        <v>18.0</v>
      </c>
      <c r="G52" s="201" t="s">
        <v>699</v>
      </c>
      <c r="H52" s="201" t="s">
        <v>698</v>
      </c>
    </row>
    <row r="53">
      <c r="A53" s="965">
        <v>46009.97418994213</v>
      </c>
      <c r="B53" s="201" t="s">
        <v>213</v>
      </c>
      <c r="C53" s="201" t="s">
        <v>646</v>
      </c>
      <c r="D53" s="201" t="s">
        <v>647</v>
      </c>
      <c r="E53" s="201" t="s">
        <v>710</v>
      </c>
      <c r="F53" s="201" t="s">
        <v>213</v>
      </c>
      <c r="G53" s="201" t="s">
        <v>711</v>
      </c>
      <c r="H53" s="201" t="s">
        <v>698</v>
      </c>
    </row>
    <row r="54">
      <c r="A54" s="965">
        <v>46009.974196678246</v>
      </c>
      <c r="B54" s="966">
        <v>4.0</v>
      </c>
      <c r="C54" s="201" t="s">
        <v>307</v>
      </c>
      <c r="D54" s="201" t="s">
        <v>658</v>
      </c>
      <c r="E54" s="201" t="s">
        <v>213</v>
      </c>
      <c r="F54" s="966">
        <v>18.0</v>
      </c>
      <c r="G54" s="201" t="s">
        <v>699</v>
      </c>
      <c r="H54" s="201" t="s">
        <v>698</v>
      </c>
    </row>
    <row r="55">
      <c r="A55" s="965">
        <v>46009.974349502314</v>
      </c>
      <c r="B55" s="201" t="s">
        <v>213</v>
      </c>
      <c r="C55" s="201" t="s">
        <v>646</v>
      </c>
      <c r="D55" s="201" t="s">
        <v>647</v>
      </c>
      <c r="E55" s="201" t="s">
        <v>712</v>
      </c>
      <c r="F55" s="201" t="s">
        <v>213</v>
      </c>
      <c r="G55" s="201" t="s">
        <v>713</v>
      </c>
      <c r="H55" s="201" t="s">
        <v>698</v>
      </c>
    </row>
    <row r="56">
      <c r="A56" s="965">
        <v>46009.97435668981</v>
      </c>
      <c r="B56" s="966">
        <v>4.0</v>
      </c>
      <c r="C56" s="201" t="s">
        <v>308</v>
      </c>
      <c r="D56" s="201" t="s">
        <v>658</v>
      </c>
      <c r="E56" s="201" t="s">
        <v>213</v>
      </c>
      <c r="F56" s="966">
        <v>18.0</v>
      </c>
      <c r="G56" s="201" t="s">
        <v>699</v>
      </c>
      <c r="H56" s="201" t="s">
        <v>698</v>
      </c>
    </row>
    <row r="57">
      <c r="A57" s="965">
        <v>46009.97451259259</v>
      </c>
      <c r="B57" s="201" t="s">
        <v>213</v>
      </c>
      <c r="C57" s="201" t="s">
        <v>646</v>
      </c>
      <c r="D57" s="201" t="s">
        <v>647</v>
      </c>
      <c r="E57" s="201" t="s">
        <v>715</v>
      </c>
      <c r="F57" s="201" t="s">
        <v>213</v>
      </c>
      <c r="G57" s="201" t="s">
        <v>716</v>
      </c>
      <c r="H57" s="201" t="s">
        <v>698</v>
      </c>
    </row>
    <row r="58">
      <c r="A58" s="965">
        <v>46009.97451893518</v>
      </c>
      <c r="B58" s="966">
        <v>4.0</v>
      </c>
      <c r="C58" s="201" t="s">
        <v>255</v>
      </c>
      <c r="D58" s="201" t="s">
        <v>658</v>
      </c>
      <c r="E58" s="201" t="s">
        <v>213</v>
      </c>
      <c r="F58" s="966">
        <v>18.0</v>
      </c>
      <c r="G58" s="201" t="s">
        <v>699</v>
      </c>
      <c r="H58" s="201" t="s">
        <v>698</v>
      </c>
    </row>
    <row r="59">
      <c r="A59" s="965">
        <v>46009.97468600694</v>
      </c>
      <c r="B59" s="201" t="s">
        <v>213</v>
      </c>
      <c r="C59" s="201" t="s">
        <v>646</v>
      </c>
      <c r="D59" s="201" t="s">
        <v>647</v>
      </c>
      <c r="E59" s="201" t="s">
        <v>717</v>
      </c>
      <c r="F59" s="201" t="s">
        <v>213</v>
      </c>
      <c r="G59" s="201" t="s">
        <v>718</v>
      </c>
      <c r="H59" s="201" t="s">
        <v>698</v>
      </c>
    </row>
    <row r="60">
      <c r="A60" s="965">
        <v>46009.97469290509</v>
      </c>
      <c r="B60" s="966">
        <v>4.0</v>
      </c>
      <c r="C60" s="201" t="s">
        <v>309</v>
      </c>
      <c r="D60" s="201" t="s">
        <v>658</v>
      </c>
      <c r="E60" s="201" t="s">
        <v>213</v>
      </c>
      <c r="F60" s="966">
        <v>18.0</v>
      </c>
      <c r="G60" s="201" t="s">
        <v>699</v>
      </c>
      <c r="H60" s="201" t="s">
        <v>698</v>
      </c>
    </row>
    <row r="61">
      <c r="A61" s="965">
        <v>46009.974843703705</v>
      </c>
      <c r="B61" s="201" t="s">
        <v>213</v>
      </c>
      <c r="C61" s="201" t="s">
        <v>646</v>
      </c>
      <c r="D61" s="201" t="s">
        <v>647</v>
      </c>
      <c r="E61" s="201" t="s">
        <v>719</v>
      </c>
      <c r="F61" s="201" t="s">
        <v>213</v>
      </c>
      <c r="G61" s="201" t="s">
        <v>720</v>
      </c>
      <c r="H61" s="201" t="s">
        <v>698</v>
      </c>
    </row>
    <row r="62">
      <c r="A62" s="965">
        <v>46009.974850949075</v>
      </c>
      <c r="B62" s="966">
        <v>4.0</v>
      </c>
      <c r="C62" s="201" t="s">
        <v>310</v>
      </c>
      <c r="D62" s="201" t="s">
        <v>658</v>
      </c>
      <c r="E62" s="201" t="s">
        <v>213</v>
      </c>
      <c r="F62" s="966">
        <v>18.0</v>
      </c>
      <c r="G62" s="201" t="s">
        <v>699</v>
      </c>
      <c r="H62" s="201" t="s">
        <v>698</v>
      </c>
    </row>
    <row r="63">
      <c r="A63" s="965">
        <v>46009.97504630787</v>
      </c>
      <c r="B63" s="201" t="s">
        <v>213</v>
      </c>
      <c r="C63" s="201" t="s">
        <v>646</v>
      </c>
      <c r="D63" s="201" t="s">
        <v>647</v>
      </c>
      <c r="E63" s="201" t="s">
        <v>721</v>
      </c>
      <c r="F63" s="201" t="s">
        <v>213</v>
      </c>
      <c r="G63" s="201" t="s">
        <v>722</v>
      </c>
      <c r="H63" s="201" t="s">
        <v>698</v>
      </c>
    </row>
    <row r="64">
      <c r="A64" s="965">
        <v>46009.975052974536</v>
      </c>
      <c r="B64" s="966">
        <v>4.0</v>
      </c>
      <c r="C64" s="201" t="s">
        <v>311</v>
      </c>
      <c r="D64" s="201" t="s">
        <v>658</v>
      </c>
      <c r="E64" s="201" t="s">
        <v>213</v>
      </c>
      <c r="F64" s="966">
        <v>18.0</v>
      </c>
      <c r="G64" s="201" t="s">
        <v>699</v>
      </c>
      <c r="H64" s="201" t="s">
        <v>698</v>
      </c>
    </row>
    <row r="65">
      <c r="A65" s="965">
        <v>46009.975218657404</v>
      </c>
      <c r="B65" s="201" t="s">
        <v>213</v>
      </c>
      <c r="C65" s="201" t="s">
        <v>646</v>
      </c>
      <c r="D65" s="201" t="s">
        <v>647</v>
      </c>
      <c r="E65" s="201" t="s">
        <v>723</v>
      </c>
      <c r="F65" s="201" t="s">
        <v>213</v>
      </c>
      <c r="G65" s="201" t="s">
        <v>724</v>
      </c>
      <c r="H65" s="201" t="s">
        <v>698</v>
      </c>
    </row>
    <row r="66">
      <c r="A66" s="965">
        <v>46009.975224236114</v>
      </c>
      <c r="B66" s="966">
        <v>4.0</v>
      </c>
      <c r="C66" s="201" t="s">
        <v>313</v>
      </c>
      <c r="D66" s="201" t="s">
        <v>658</v>
      </c>
      <c r="E66" s="201" t="s">
        <v>213</v>
      </c>
      <c r="F66" s="966">
        <v>18.0</v>
      </c>
      <c r="G66" s="201" t="s">
        <v>699</v>
      </c>
      <c r="H66" s="201" t="s">
        <v>698</v>
      </c>
    </row>
    <row r="67">
      <c r="A67" s="965">
        <v>46009.97536856482</v>
      </c>
      <c r="B67" s="201" t="s">
        <v>213</v>
      </c>
      <c r="C67" s="201" t="s">
        <v>725</v>
      </c>
      <c r="D67" s="201" t="s">
        <v>647</v>
      </c>
      <c r="E67" s="201" t="s">
        <v>726</v>
      </c>
      <c r="F67" s="201" t="s">
        <v>213</v>
      </c>
      <c r="G67" s="201" t="s">
        <v>727</v>
      </c>
      <c r="H67" s="201" t="s">
        <v>650</v>
      </c>
    </row>
    <row r="68">
      <c r="A68" s="965">
        <v>46009.975403969904</v>
      </c>
      <c r="B68" s="201" t="s">
        <v>213</v>
      </c>
      <c r="C68" s="201" t="s">
        <v>646</v>
      </c>
      <c r="D68" s="201" t="s">
        <v>647</v>
      </c>
      <c r="E68" s="201" t="s">
        <v>728</v>
      </c>
      <c r="F68" s="201" t="s">
        <v>213</v>
      </c>
      <c r="G68" s="201" t="s">
        <v>729</v>
      </c>
      <c r="H68" s="201" t="s">
        <v>698</v>
      </c>
    </row>
    <row r="69">
      <c r="A69" s="965">
        <v>46009.975410162035</v>
      </c>
      <c r="B69" s="966">
        <v>5.0</v>
      </c>
      <c r="C69" s="201" t="s">
        <v>314</v>
      </c>
      <c r="D69" s="201" t="s">
        <v>658</v>
      </c>
      <c r="E69" s="201" t="s">
        <v>213</v>
      </c>
      <c r="F69" s="966">
        <v>18.0</v>
      </c>
      <c r="G69" s="201" t="s">
        <v>699</v>
      </c>
      <c r="H69" s="201" t="s">
        <v>698</v>
      </c>
    </row>
    <row r="70">
      <c r="A70" s="965">
        <v>46009.97557163195</v>
      </c>
      <c r="B70" s="201" t="s">
        <v>213</v>
      </c>
      <c r="C70" s="201" t="s">
        <v>646</v>
      </c>
      <c r="D70" s="201" t="s">
        <v>647</v>
      </c>
      <c r="E70" s="201" t="s">
        <v>730</v>
      </c>
      <c r="F70" s="201" t="s">
        <v>213</v>
      </c>
      <c r="G70" s="201" t="s">
        <v>731</v>
      </c>
      <c r="H70" s="201" t="s">
        <v>698</v>
      </c>
    </row>
    <row r="71">
      <c r="A71" s="965">
        <v>46009.97558496528</v>
      </c>
      <c r="B71" s="966">
        <v>5.0</v>
      </c>
      <c r="C71" s="201" t="s">
        <v>315</v>
      </c>
      <c r="D71" s="201" t="s">
        <v>658</v>
      </c>
      <c r="E71" s="201" t="s">
        <v>213</v>
      </c>
      <c r="F71" s="966">
        <v>18.0</v>
      </c>
      <c r="G71" s="201" t="s">
        <v>699</v>
      </c>
      <c r="H71" s="201" t="s">
        <v>698</v>
      </c>
    </row>
    <row r="72">
      <c r="A72" s="965">
        <v>46009.97575719908</v>
      </c>
      <c r="B72" s="201" t="s">
        <v>213</v>
      </c>
      <c r="C72" s="201" t="s">
        <v>646</v>
      </c>
      <c r="D72" s="201" t="s">
        <v>647</v>
      </c>
      <c r="E72" s="201" t="s">
        <v>732</v>
      </c>
      <c r="F72" s="201" t="s">
        <v>213</v>
      </c>
      <c r="G72" s="201" t="s">
        <v>733</v>
      </c>
      <c r="H72" s="201" t="s">
        <v>698</v>
      </c>
    </row>
    <row r="73">
      <c r="A73" s="965">
        <v>46009.97576354167</v>
      </c>
      <c r="B73" s="966">
        <v>5.0</v>
      </c>
      <c r="C73" s="201" t="s">
        <v>316</v>
      </c>
      <c r="D73" s="201" t="s">
        <v>658</v>
      </c>
      <c r="E73" s="201" t="s">
        <v>213</v>
      </c>
      <c r="F73" s="966">
        <v>18.0</v>
      </c>
      <c r="G73" s="201" t="s">
        <v>699</v>
      </c>
      <c r="H73" s="201" t="s">
        <v>698</v>
      </c>
    </row>
    <row r="74">
      <c r="A74" s="965">
        <v>46009.97594225695</v>
      </c>
      <c r="B74" s="201" t="s">
        <v>213</v>
      </c>
      <c r="C74" s="201" t="s">
        <v>646</v>
      </c>
      <c r="D74" s="201" t="s">
        <v>647</v>
      </c>
      <c r="E74" s="201" t="s">
        <v>734</v>
      </c>
      <c r="F74" s="201" t="s">
        <v>213</v>
      </c>
      <c r="G74" s="201" t="s">
        <v>735</v>
      </c>
      <c r="H74" s="201" t="s">
        <v>698</v>
      </c>
    </row>
    <row r="75">
      <c r="A75" s="965">
        <v>46009.97594914352</v>
      </c>
      <c r="B75" s="966">
        <v>5.0</v>
      </c>
      <c r="C75" s="201" t="s">
        <v>317</v>
      </c>
      <c r="D75" s="201" t="s">
        <v>658</v>
      </c>
      <c r="E75" s="201" t="s">
        <v>213</v>
      </c>
      <c r="F75" s="966">
        <v>18.0</v>
      </c>
      <c r="G75" s="201" t="s">
        <v>699</v>
      </c>
      <c r="H75" s="201" t="s">
        <v>698</v>
      </c>
    </row>
    <row r="76">
      <c r="A76" s="965">
        <v>46009.97610528935</v>
      </c>
      <c r="B76" s="201" t="s">
        <v>213</v>
      </c>
      <c r="C76" s="201" t="s">
        <v>646</v>
      </c>
      <c r="D76" s="201" t="s">
        <v>647</v>
      </c>
      <c r="E76" s="201" t="s">
        <v>736</v>
      </c>
      <c r="F76" s="201" t="s">
        <v>213</v>
      </c>
      <c r="G76" s="201" t="s">
        <v>737</v>
      </c>
      <c r="H76" s="201" t="s">
        <v>698</v>
      </c>
    </row>
    <row r="77">
      <c r="A77" s="965">
        <v>46009.976112627315</v>
      </c>
      <c r="B77" s="966">
        <v>5.0</v>
      </c>
      <c r="C77" s="201" t="s">
        <v>318</v>
      </c>
      <c r="D77" s="201" t="s">
        <v>658</v>
      </c>
      <c r="E77" s="201" t="s">
        <v>213</v>
      </c>
      <c r="F77" s="966">
        <v>18.0</v>
      </c>
      <c r="G77" s="201" t="s">
        <v>699</v>
      </c>
      <c r="H77" s="201" t="s">
        <v>698</v>
      </c>
    </row>
    <row r="78">
      <c r="A78" s="965">
        <v>46009.976138530095</v>
      </c>
      <c r="B78" s="201" t="s">
        <v>213</v>
      </c>
      <c r="C78" s="201" t="s">
        <v>692</v>
      </c>
      <c r="D78" s="201" t="s">
        <v>693</v>
      </c>
      <c r="E78" s="201" t="s">
        <v>213</v>
      </c>
      <c r="F78" s="966">
        <v>36.0</v>
      </c>
      <c r="G78" s="201" t="s">
        <v>699</v>
      </c>
      <c r="H78" s="201" t="s">
        <v>698</v>
      </c>
    </row>
    <row r="79">
      <c r="A79" s="965">
        <v>46009.976168090274</v>
      </c>
      <c r="B79" s="201" t="s">
        <v>213</v>
      </c>
      <c r="C79" s="201" t="s">
        <v>694</v>
      </c>
      <c r="D79" s="201" t="s">
        <v>695</v>
      </c>
      <c r="E79" s="201" t="s">
        <v>213</v>
      </c>
      <c r="F79" s="966">
        <v>36.0</v>
      </c>
      <c r="G79" s="201" t="s">
        <v>699</v>
      </c>
      <c r="H79" s="201" t="s">
        <v>698</v>
      </c>
    </row>
    <row r="80">
      <c r="A80" s="965">
        <v>46009.977192164355</v>
      </c>
      <c r="B80" s="201" t="s">
        <v>213</v>
      </c>
      <c r="C80" s="201" t="s">
        <v>646</v>
      </c>
      <c r="D80" s="201" t="s">
        <v>647</v>
      </c>
      <c r="E80" s="201" t="s">
        <v>738</v>
      </c>
      <c r="F80" s="201" t="s">
        <v>213</v>
      </c>
      <c r="G80" s="201" t="s">
        <v>739</v>
      </c>
      <c r="H80" s="201" t="s">
        <v>698</v>
      </c>
    </row>
    <row r="81">
      <c r="A81" s="965">
        <v>46009.97719693287</v>
      </c>
      <c r="B81" s="966">
        <v>5.0</v>
      </c>
      <c r="C81" s="201" t="s">
        <v>319</v>
      </c>
      <c r="D81" s="201" t="s">
        <v>658</v>
      </c>
      <c r="E81" s="201" t="s">
        <v>213</v>
      </c>
      <c r="F81" s="966">
        <v>36.0</v>
      </c>
      <c r="G81" s="201" t="s">
        <v>740</v>
      </c>
      <c r="H81" s="201" t="s">
        <v>698</v>
      </c>
    </row>
    <row r="82">
      <c r="A82" s="965">
        <v>46009.97734258102</v>
      </c>
      <c r="B82" s="201" t="s">
        <v>213</v>
      </c>
      <c r="C82" s="201" t="s">
        <v>646</v>
      </c>
      <c r="D82" s="201" t="s">
        <v>647</v>
      </c>
      <c r="E82" s="201" t="s">
        <v>741</v>
      </c>
      <c r="F82" s="201" t="s">
        <v>213</v>
      </c>
      <c r="G82" s="201" t="s">
        <v>742</v>
      </c>
      <c r="H82" s="201" t="s">
        <v>698</v>
      </c>
    </row>
    <row r="83">
      <c r="A83" s="965">
        <v>46009.97734715277</v>
      </c>
      <c r="B83" s="966">
        <v>5.0</v>
      </c>
      <c r="C83" s="201" t="s">
        <v>320</v>
      </c>
      <c r="D83" s="201" t="s">
        <v>658</v>
      </c>
      <c r="E83" s="201" t="s">
        <v>213</v>
      </c>
      <c r="F83" s="966">
        <v>36.0</v>
      </c>
      <c r="G83" s="201" t="s">
        <v>740</v>
      </c>
      <c r="H83" s="201" t="s">
        <v>698</v>
      </c>
    </row>
    <row r="84">
      <c r="A84" s="965">
        <v>46009.97750947917</v>
      </c>
      <c r="B84" s="201" t="s">
        <v>213</v>
      </c>
      <c r="C84" s="201" t="s">
        <v>646</v>
      </c>
      <c r="D84" s="201" t="s">
        <v>647</v>
      </c>
      <c r="E84" s="201" t="s">
        <v>743</v>
      </c>
      <c r="F84" s="201" t="s">
        <v>213</v>
      </c>
      <c r="G84" s="201" t="s">
        <v>744</v>
      </c>
      <c r="H84" s="201" t="s">
        <v>698</v>
      </c>
    </row>
    <row r="85">
      <c r="A85" s="965">
        <v>46009.977514074075</v>
      </c>
      <c r="B85" s="966">
        <v>5.0</v>
      </c>
      <c r="C85" s="201" t="s">
        <v>322</v>
      </c>
      <c r="D85" s="201" t="s">
        <v>658</v>
      </c>
      <c r="E85" s="201" t="s">
        <v>213</v>
      </c>
      <c r="F85" s="966">
        <v>36.0</v>
      </c>
      <c r="G85" s="201" t="s">
        <v>740</v>
      </c>
      <c r="H85" s="201" t="s">
        <v>698</v>
      </c>
    </row>
    <row r="86">
      <c r="A86" s="965">
        <v>46009.97764518519</v>
      </c>
      <c r="B86" s="201" t="s">
        <v>213</v>
      </c>
      <c r="C86" s="201" t="s">
        <v>646</v>
      </c>
      <c r="D86" s="201" t="s">
        <v>647</v>
      </c>
      <c r="E86" s="201" t="s">
        <v>746</v>
      </c>
      <c r="F86" s="201" t="s">
        <v>213</v>
      </c>
      <c r="G86" s="201" t="s">
        <v>747</v>
      </c>
      <c r="H86" s="201" t="s">
        <v>698</v>
      </c>
    </row>
    <row r="87">
      <c r="A87" s="965">
        <v>46009.97764990741</v>
      </c>
      <c r="B87" s="966">
        <v>6.0</v>
      </c>
      <c r="C87" s="201" t="s">
        <v>323</v>
      </c>
      <c r="D87" s="201" t="s">
        <v>658</v>
      </c>
      <c r="E87" s="201" t="s">
        <v>213</v>
      </c>
      <c r="F87" s="966">
        <v>36.0</v>
      </c>
      <c r="G87" s="201" t="s">
        <v>740</v>
      </c>
      <c r="H87" s="201" t="s">
        <v>698</v>
      </c>
    </row>
    <row r="88">
      <c r="A88" s="965">
        <v>46009.97778769676</v>
      </c>
      <c r="B88" s="201" t="s">
        <v>213</v>
      </c>
      <c r="C88" s="201" t="s">
        <v>646</v>
      </c>
      <c r="D88" s="201" t="s">
        <v>647</v>
      </c>
      <c r="E88" s="201" t="s">
        <v>748</v>
      </c>
      <c r="F88" s="201" t="s">
        <v>213</v>
      </c>
      <c r="G88" s="201" t="s">
        <v>749</v>
      </c>
      <c r="H88" s="201" t="s">
        <v>698</v>
      </c>
    </row>
    <row r="89">
      <c r="A89" s="965">
        <v>46009.97779222223</v>
      </c>
      <c r="B89" s="966">
        <v>6.0</v>
      </c>
      <c r="C89" s="201" t="s">
        <v>324</v>
      </c>
      <c r="D89" s="201" t="s">
        <v>658</v>
      </c>
      <c r="E89" s="201" t="s">
        <v>213</v>
      </c>
      <c r="F89" s="966">
        <v>36.0</v>
      </c>
      <c r="G89" s="201" t="s">
        <v>740</v>
      </c>
      <c r="H89" s="201" t="s">
        <v>698</v>
      </c>
    </row>
    <row r="90">
      <c r="A90" s="965">
        <v>46009.9779653125</v>
      </c>
      <c r="B90" s="201" t="s">
        <v>213</v>
      </c>
      <c r="C90" s="201" t="s">
        <v>646</v>
      </c>
      <c r="D90" s="201" t="s">
        <v>647</v>
      </c>
      <c r="E90" s="201" t="s">
        <v>750</v>
      </c>
      <c r="F90" s="201" t="s">
        <v>213</v>
      </c>
      <c r="G90" s="201" t="s">
        <v>751</v>
      </c>
      <c r="H90" s="201" t="s">
        <v>698</v>
      </c>
    </row>
    <row r="91">
      <c r="A91" s="965">
        <v>46009.97797209491</v>
      </c>
      <c r="B91" s="966">
        <v>6.0</v>
      </c>
      <c r="C91" s="201" t="s">
        <v>325</v>
      </c>
      <c r="D91" s="201" t="s">
        <v>658</v>
      </c>
      <c r="E91" s="201" t="s">
        <v>213</v>
      </c>
      <c r="F91" s="966">
        <v>36.0</v>
      </c>
      <c r="G91" s="201" t="s">
        <v>740</v>
      </c>
      <c r="H91" s="201" t="s">
        <v>698</v>
      </c>
    </row>
    <row r="92">
      <c r="A92" s="965">
        <v>46009.97811984953</v>
      </c>
      <c r="B92" s="201" t="s">
        <v>213</v>
      </c>
      <c r="C92" s="201" t="s">
        <v>646</v>
      </c>
      <c r="D92" s="201" t="s">
        <v>647</v>
      </c>
      <c r="E92" s="201" t="s">
        <v>752</v>
      </c>
      <c r="F92" s="201" t="s">
        <v>213</v>
      </c>
      <c r="G92" s="201" t="s">
        <v>753</v>
      </c>
      <c r="H92" s="201" t="s">
        <v>698</v>
      </c>
    </row>
    <row r="93">
      <c r="A93" s="965">
        <v>46009.97812505787</v>
      </c>
      <c r="B93" s="966">
        <v>6.0</v>
      </c>
      <c r="C93" s="201" t="s">
        <v>326</v>
      </c>
      <c r="D93" s="201" t="s">
        <v>658</v>
      </c>
      <c r="E93" s="201" t="s">
        <v>213</v>
      </c>
      <c r="F93" s="966">
        <v>36.0</v>
      </c>
      <c r="G93" s="201" t="s">
        <v>740</v>
      </c>
      <c r="H93" s="201" t="s">
        <v>698</v>
      </c>
    </row>
    <row r="94">
      <c r="A94" s="965">
        <v>46009.9782608449</v>
      </c>
      <c r="B94" s="201" t="s">
        <v>213</v>
      </c>
      <c r="C94" s="201" t="s">
        <v>646</v>
      </c>
      <c r="D94" s="201" t="s">
        <v>647</v>
      </c>
      <c r="E94" s="201" t="s">
        <v>754</v>
      </c>
      <c r="F94" s="201" t="s">
        <v>213</v>
      </c>
      <c r="G94" s="201" t="s">
        <v>755</v>
      </c>
      <c r="H94" s="201" t="s">
        <v>698</v>
      </c>
    </row>
    <row r="95">
      <c r="A95" s="965">
        <v>46009.97826564815</v>
      </c>
      <c r="B95" s="966">
        <v>6.0</v>
      </c>
      <c r="C95" s="201" t="s">
        <v>327</v>
      </c>
      <c r="D95" s="201" t="s">
        <v>658</v>
      </c>
      <c r="E95" s="201" t="s">
        <v>213</v>
      </c>
      <c r="F95" s="966">
        <v>36.0</v>
      </c>
      <c r="G95" s="201" t="s">
        <v>740</v>
      </c>
      <c r="H95" s="201" t="s">
        <v>698</v>
      </c>
    </row>
    <row r="96">
      <c r="A96" s="965">
        <v>46009.9784137963</v>
      </c>
      <c r="B96" s="201" t="s">
        <v>213</v>
      </c>
      <c r="C96" s="201" t="s">
        <v>646</v>
      </c>
      <c r="D96" s="201" t="s">
        <v>647</v>
      </c>
      <c r="E96" s="201" t="s">
        <v>756</v>
      </c>
      <c r="F96" s="201" t="s">
        <v>213</v>
      </c>
      <c r="G96" s="201" t="s">
        <v>757</v>
      </c>
      <c r="H96" s="201" t="s">
        <v>698</v>
      </c>
    </row>
    <row r="97">
      <c r="A97" s="965">
        <v>46009.97841826389</v>
      </c>
      <c r="B97" s="966">
        <v>6.0</v>
      </c>
      <c r="C97" s="201" t="s">
        <v>328</v>
      </c>
      <c r="D97" s="201" t="s">
        <v>658</v>
      </c>
      <c r="E97" s="201" t="s">
        <v>213</v>
      </c>
      <c r="F97" s="966">
        <v>36.0</v>
      </c>
      <c r="G97" s="201" t="s">
        <v>740</v>
      </c>
      <c r="H97" s="201" t="s">
        <v>698</v>
      </c>
    </row>
    <row r="98">
      <c r="A98" s="965">
        <v>46009.97856094908</v>
      </c>
      <c r="B98" s="201" t="s">
        <v>213</v>
      </c>
      <c r="C98" s="201" t="s">
        <v>646</v>
      </c>
      <c r="D98" s="201" t="s">
        <v>647</v>
      </c>
      <c r="E98" s="201" t="s">
        <v>758</v>
      </c>
      <c r="F98" s="201" t="s">
        <v>213</v>
      </c>
      <c r="G98" s="201" t="s">
        <v>759</v>
      </c>
      <c r="H98" s="201" t="s">
        <v>698</v>
      </c>
    </row>
    <row r="99">
      <c r="A99" s="965">
        <v>46009.97856563657</v>
      </c>
      <c r="B99" s="966">
        <v>6.0</v>
      </c>
      <c r="C99" s="201" t="s">
        <v>329</v>
      </c>
      <c r="D99" s="201" t="s">
        <v>658</v>
      </c>
      <c r="E99" s="201" t="s">
        <v>213</v>
      </c>
      <c r="F99" s="966">
        <v>36.0</v>
      </c>
      <c r="G99" s="201" t="s">
        <v>740</v>
      </c>
      <c r="H99" s="201" t="s">
        <v>698</v>
      </c>
    </row>
    <row r="100">
      <c r="A100" s="965">
        <v>46009.97859758102</v>
      </c>
      <c r="B100" s="201" t="s">
        <v>213</v>
      </c>
      <c r="C100" s="201" t="s">
        <v>692</v>
      </c>
      <c r="D100" s="201" t="s">
        <v>693</v>
      </c>
      <c r="E100" s="201" t="s">
        <v>213</v>
      </c>
      <c r="F100" s="966">
        <v>54.0</v>
      </c>
      <c r="G100" s="201" t="s">
        <v>740</v>
      </c>
      <c r="H100" s="201" t="s">
        <v>698</v>
      </c>
    </row>
    <row r="101">
      <c r="A101" s="965">
        <v>46009.97862040509</v>
      </c>
      <c r="B101" s="201" t="s">
        <v>213</v>
      </c>
      <c r="C101" s="201" t="s">
        <v>760</v>
      </c>
      <c r="D101" s="201" t="s">
        <v>761</v>
      </c>
      <c r="E101" s="201" t="s">
        <v>213</v>
      </c>
      <c r="F101" s="966">
        <v>54.0</v>
      </c>
      <c r="G101" s="201" t="s">
        <v>740</v>
      </c>
      <c r="H101" s="201" t="s">
        <v>698</v>
      </c>
    </row>
    <row r="102">
      <c r="A102" s="965">
        <v>46009.99018815972</v>
      </c>
      <c r="B102" s="201" t="s">
        <v>213</v>
      </c>
      <c r="C102" s="201" t="s">
        <v>651</v>
      </c>
      <c r="D102" s="201" t="s">
        <v>652</v>
      </c>
      <c r="E102" s="201" t="s">
        <v>213</v>
      </c>
      <c r="F102" s="201" t="s">
        <v>213</v>
      </c>
      <c r="G102" s="201" t="s">
        <v>650</v>
      </c>
      <c r="H102" s="201" t="s">
        <v>650</v>
      </c>
    </row>
    <row r="103">
      <c r="A103" s="965">
        <v>46009.99020359953</v>
      </c>
      <c r="B103" s="966">
        <v>1.0</v>
      </c>
      <c r="C103" s="201" t="s">
        <v>279</v>
      </c>
      <c r="D103" s="201" t="s">
        <v>653</v>
      </c>
      <c r="E103" s="201" t="s">
        <v>654</v>
      </c>
      <c r="F103" s="201" t="s">
        <v>213</v>
      </c>
      <c r="G103" s="201" t="s">
        <v>762</v>
      </c>
      <c r="H103" s="201" t="s">
        <v>650</v>
      </c>
    </row>
    <row r="104">
      <c r="A104" s="965">
        <v>46009.990206689814</v>
      </c>
      <c r="B104" s="966">
        <v>1.0</v>
      </c>
      <c r="C104" s="201" t="s">
        <v>281</v>
      </c>
      <c r="D104" s="201" t="s">
        <v>653</v>
      </c>
      <c r="E104" s="201" t="s">
        <v>654</v>
      </c>
      <c r="F104" s="201" t="s">
        <v>213</v>
      </c>
      <c r="G104" s="201" t="s">
        <v>762</v>
      </c>
      <c r="H104" s="201" t="s">
        <v>650</v>
      </c>
    </row>
    <row r="105">
      <c r="A105" s="965">
        <v>46009.990216817125</v>
      </c>
      <c r="B105" s="966">
        <v>1.0</v>
      </c>
      <c r="C105" s="201" t="s">
        <v>283</v>
      </c>
      <c r="D105" s="201" t="s">
        <v>653</v>
      </c>
      <c r="E105" s="201" t="s">
        <v>654</v>
      </c>
      <c r="F105" s="201" t="s">
        <v>213</v>
      </c>
      <c r="G105" s="201" t="s">
        <v>762</v>
      </c>
      <c r="H105" s="201" t="s">
        <v>650</v>
      </c>
    </row>
    <row r="106">
      <c r="A106" s="965">
        <v>46009.99022009259</v>
      </c>
      <c r="B106" s="966">
        <v>1.0</v>
      </c>
      <c r="C106" s="201" t="s">
        <v>284</v>
      </c>
      <c r="D106" s="201" t="s">
        <v>653</v>
      </c>
      <c r="E106" s="201" t="s">
        <v>654</v>
      </c>
      <c r="F106" s="201" t="s">
        <v>213</v>
      </c>
      <c r="G106" s="201" t="s">
        <v>762</v>
      </c>
      <c r="H106" s="201" t="s">
        <v>650</v>
      </c>
    </row>
    <row r="107">
      <c r="A107" s="965">
        <v>46009.990223125</v>
      </c>
      <c r="B107" s="966">
        <v>1.0</v>
      </c>
      <c r="C107" s="201" t="s">
        <v>285</v>
      </c>
      <c r="D107" s="201" t="s">
        <v>653</v>
      </c>
      <c r="E107" s="201" t="s">
        <v>654</v>
      </c>
      <c r="F107" s="201" t="s">
        <v>213</v>
      </c>
      <c r="G107" s="201" t="s">
        <v>762</v>
      </c>
      <c r="H107" s="201" t="s">
        <v>650</v>
      </c>
    </row>
    <row r="108">
      <c r="A108" s="965">
        <v>46009.99022997685</v>
      </c>
      <c r="B108" s="966">
        <v>1.0</v>
      </c>
      <c r="C108" s="201" t="s">
        <v>286</v>
      </c>
      <c r="D108" s="201" t="s">
        <v>653</v>
      </c>
      <c r="E108" s="201" t="s">
        <v>654</v>
      </c>
      <c r="F108" s="201" t="s">
        <v>213</v>
      </c>
      <c r="G108" s="201" t="s">
        <v>762</v>
      </c>
      <c r="H108" s="201" t="s">
        <v>650</v>
      </c>
    </row>
    <row r="109">
      <c r="A109" s="965">
        <v>46009.990233171295</v>
      </c>
      <c r="B109" s="966">
        <v>1.0</v>
      </c>
      <c r="C109" s="201" t="s">
        <v>287</v>
      </c>
      <c r="D109" s="201" t="s">
        <v>653</v>
      </c>
      <c r="E109" s="201" t="s">
        <v>654</v>
      </c>
      <c r="F109" s="201" t="s">
        <v>213</v>
      </c>
      <c r="G109" s="201" t="s">
        <v>762</v>
      </c>
      <c r="H109" s="201" t="s">
        <v>650</v>
      </c>
    </row>
    <row r="110">
      <c r="A110" s="965">
        <v>46009.99023630787</v>
      </c>
      <c r="B110" s="966">
        <v>2.0</v>
      </c>
      <c r="C110" s="201" t="s">
        <v>288</v>
      </c>
      <c r="D110" s="201" t="s">
        <v>653</v>
      </c>
      <c r="E110" s="201" t="s">
        <v>654</v>
      </c>
      <c r="F110" s="201" t="s">
        <v>213</v>
      </c>
      <c r="G110" s="201" t="s">
        <v>762</v>
      </c>
      <c r="H110" s="201" t="s">
        <v>650</v>
      </c>
    </row>
    <row r="111">
      <c r="A111" s="965">
        <v>46009.99023953704</v>
      </c>
      <c r="B111" s="966">
        <v>2.0</v>
      </c>
      <c r="C111" s="201" t="s">
        <v>289</v>
      </c>
      <c r="D111" s="201" t="s">
        <v>653</v>
      </c>
      <c r="E111" s="201" t="s">
        <v>654</v>
      </c>
      <c r="F111" s="201" t="s">
        <v>213</v>
      </c>
      <c r="G111" s="201" t="s">
        <v>762</v>
      </c>
      <c r="H111" s="201" t="s">
        <v>650</v>
      </c>
    </row>
    <row r="112">
      <c r="A112" s="965">
        <v>46009.99024275463</v>
      </c>
      <c r="B112" s="966">
        <v>2.0</v>
      </c>
      <c r="C112" s="201" t="s">
        <v>290</v>
      </c>
      <c r="D112" s="201" t="s">
        <v>653</v>
      </c>
      <c r="E112" s="201" t="s">
        <v>654</v>
      </c>
      <c r="F112" s="201" t="s">
        <v>213</v>
      </c>
      <c r="G112" s="201" t="s">
        <v>762</v>
      </c>
      <c r="H112" s="201" t="s">
        <v>650</v>
      </c>
    </row>
    <row r="113">
      <c r="A113" s="965">
        <v>46009.990245671295</v>
      </c>
      <c r="B113" s="966">
        <v>2.0</v>
      </c>
      <c r="C113" s="201" t="s">
        <v>292</v>
      </c>
      <c r="D113" s="201" t="s">
        <v>653</v>
      </c>
      <c r="E113" s="201" t="s">
        <v>654</v>
      </c>
      <c r="F113" s="201" t="s">
        <v>213</v>
      </c>
      <c r="G113" s="201" t="s">
        <v>762</v>
      </c>
      <c r="H113" s="201" t="s">
        <v>650</v>
      </c>
    </row>
    <row r="114">
      <c r="A114" s="965">
        <v>46009.99024876158</v>
      </c>
      <c r="B114" s="966">
        <v>2.0</v>
      </c>
      <c r="C114" s="201" t="s">
        <v>293</v>
      </c>
      <c r="D114" s="201" t="s">
        <v>653</v>
      </c>
      <c r="E114" s="201" t="s">
        <v>654</v>
      </c>
      <c r="F114" s="201" t="s">
        <v>213</v>
      </c>
      <c r="G114" s="201" t="s">
        <v>762</v>
      </c>
      <c r="H114" s="201" t="s">
        <v>650</v>
      </c>
    </row>
    <row r="115">
      <c r="A115" s="965">
        <v>46009.990251932875</v>
      </c>
      <c r="B115" s="966">
        <v>2.0</v>
      </c>
      <c r="C115" s="201" t="s">
        <v>294</v>
      </c>
      <c r="D115" s="201" t="s">
        <v>653</v>
      </c>
      <c r="E115" s="201" t="s">
        <v>654</v>
      </c>
      <c r="F115" s="201" t="s">
        <v>213</v>
      </c>
      <c r="G115" s="201" t="s">
        <v>762</v>
      </c>
      <c r="H115" s="201" t="s">
        <v>650</v>
      </c>
    </row>
    <row r="116">
      <c r="A116" s="965">
        <v>46009.99025510417</v>
      </c>
      <c r="B116" s="966">
        <v>2.0</v>
      </c>
      <c r="C116" s="201" t="s">
        <v>295</v>
      </c>
      <c r="D116" s="201" t="s">
        <v>653</v>
      </c>
      <c r="E116" s="201" t="s">
        <v>654</v>
      </c>
      <c r="F116" s="201" t="s">
        <v>213</v>
      </c>
      <c r="G116" s="201" t="s">
        <v>762</v>
      </c>
      <c r="H116" s="201" t="s">
        <v>650</v>
      </c>
    </row>
    <row r="117">
      <c r="A117" s="965">
        <v>46009.99025849537</v>
      </c>
      <c r="B117" s="966">
        <v>2.0</v>
      </c>
      <c r="C117" s="201" t="s">
        <v>296</v>
      </c>
      <c r="D117" s="201" t="s">
        <v>653</v>
      </c>
      <c r="E117" s="201" t="s">
        <v>654</v>
      </c>
      <c r="F117" s="201" t="s">
        <v>213</v>
      </c>
      <c r="G117" s="201" t="s">
        <v>762</v>
      </c>
      <c r="H117" s="201" t="s">
        <v>650</v>
      </c>
    </row>
    <row r="118">
      <c r="A118" s="965">
        <v>46009.99026178241</v>
      </c>
      <c r="B118" s="966">
        <v>3.0</v>
      </c>
      <c r="C118" s="201" t="s">
        <v>297</v>
      </c>
      <c r="D118" s="201" t="s">
        <v>653</v>
      </c>
      <c r="E118" s="201" t="s">
        <v>654</v>
      </c>
      <c r="F118" s="201" t="s">
        <v>213</v>
      </c>
      <c r="G118" s="201" t="s">
        <v>762</v>
      </c>
      <c r="H118" s="201" t="s">
        <v>650</v>
      </c>
    </row>
    <row r="119">
      <c r="A119" s="965">
        <v>46009.99026655093</v>
      </c>
      <c r="B119" s="966">
        <v>3.0</v>
      </c>
      <c r="C119" s="201" t="s">
        <v>298</v>
      </c>
      <c r="D119" s="201" t="s">
        <v>653</v>
      </c>
      <c r="E119" s="201" t="s">
        <v>654</v>
      </c>
      <c r="F119" s="201" t="s">
        <v>213</v>
      </c>
      <c r="G119" s="201" t="s">
        <v>762</v>
      </c>
      <c r="H119" s="201" t="s">
        <v>650</v>
      </c>
    </row>
    <row r="120">
      <c r="A120" s="965">
        <v>46009.99026989583</v>
      </c>
      <c r="B120" s="966">
        <v>3.0</v>
      </c>
      <c r="C120" s="201" t="s">
        <v>299</v>
      </c>
      <c r="D120" s="201" t="s">
        <v>653</v>
      </c>
      <c r="E120" s="201" t="s">
        <v>654</v>
      </c>
      <c r="F120" s="201" t="s">
        <v>213</v>
      </c>
      <c r="G120" s="201" t="s">
        <v>762</v>
      </c>
      <c r="H120" s="201" t="s">
        <v>650</v>
      </c>
    </row>
    <row r="121">
      <c r="A121" s="965">
        <v>46009.99028891204</v>
      </c>
      <c r="B121" s="201" t="s">
        <v>213</v>
      </c>
      <c r="C121" s="201" t="s">
        <v>692</v>
      </c>
      <c r="D121" s="201" t="s">
        <v>693</v>
      </c>
      <c r="E121" s="201" t="s">
        <v>213</v>
      </c>
      <c r="F121" s="966">
        <v>18.0</v>
      </c>
      <c r="G121" s="201" t="s">
        <v>762</v>
      </c>
      <c r="H121" s="201" t="s">
        <v>650</v>
      </c>
    </row>
    <row r="122">
      <c r="A122" s="965">
        <v>46009.99033782407</v>
      </c>
      <c r="B122" s="201" t="s">
        <v>213</v>
      </c>
      <c r="C122" s="201" t="s">
        <v>694</v>
      </c>
      <c r="D122" s="201" t="s">
        <v>695</v>
      </c>
      <c r="E122" s="201" t="s">
        <v>213</v>
      </c>
      <c r="F122" s="966">
        <v>18.0</v>
      </c>
      <c r="G122" s="201" t="s">
        <v>762</v>
      </c>
      <c r="H122" s="201" t="s">
        <v>650</v>
      </c>
    </row>
    <row r="123">
      <c r="A123" s="965">
        <v>46009.991046759256</v>
      </c>
      <c r="B123" s="966">
        <v>3.0</v>
      </c>
      <c r="C123" s="201" t="s">
        <v>300</v>
      </c>
      <c r="D123" s="201" t="s">
        <v>653</v>
      </c>
      <c r="E123" s="201" t="s">
        <v>654</v>
      </c>
      <c r="F123" s="966">
        <v>18.0</v>
      </c>
      <c r="G123" s="201" t="s">
        <v>764</v>
      </c>
      <c r="H123" s="201" t="s">
        <v>698</v>
      </c>
    </row>
    <row r="124">
      <c r="A124" s="965">
        <v>46009.99105053241</v>
      </c>
      <c r="B124" s="966">
        <v>3.0</v>
      </c>
      <c r="C124" s="201" t="s">
        <v>301</v>
      </c>
      <c r="D124" s="201" t="s">
        <v>653</v>
      </c>
      <c r="E124" s="201" t="s">
        <v>654</v>
      </c>
      <c r="F124" s="966">
        <v>18.0</v>
      </c>
      <c r="G124" s="201" t="s">
        <v>764</v>
      </c>
      <c r="H124" s="201" t="s">
        <v>698</v>
      </c>
    </row>
    <row r="125">
      <c r="A125" s="965">
        <v>46009.99105386574</v>
      </c>
      <c r="B125" s="966">
        <v>3.0</v>
      </c>
      <c r="C125" s="201" t="s">
        <v>303</v>
      </c>
      <c r="D125" s="201" t="s">
        <v>653</v>
      </c>
      <c r="E125" s="201" t="s">
        <v>654</v>
      </c>
      <c r="F125" s="966">
        <v>18.0</v>
      </c>
      <c r="G125" s="201" t="s">
        <v>764</v>
      </c>
      <c r="H125" s="201" t="s">
        <v>698</v>
      </c>
    </row>
    <row r="126">
      <c r="A126" s="965">
        <v>46009.99105759259</v>
      </c>
      <c r="B126" s="966">
        <v>3.0</v>
      </c>
      <c r="C126" s="201" t="s">
        <v>304</v>
      </c>
      <c r="D126" s="201" t="s">
        <v>653</v>
      </c>
      <c r="E126" s="201" t="s">
        <v>654</v>
      </c>
      <c r="F126" s="966">
        <v>18.0</v>
      </c>
      <c r="G126" s="201" t="s">
        <v>764</v>
      </c>
      <c r="H126" s="201" t="s">
        <v>698</v>
      </c>
    </row>
    <row r="127">
      <c r="A127" s="965">
        <v>46009.991064629634</v>
      </c>
      <c r="B127" s="966">
        <v>3.0</v>
      </c>
      <c r="C127" s="201" t="s">
        <v>305</v>
      </c>
      <c r="D127" s="201" t="s">
        <v>653</v>
      </c>
      <c r="E127" s="201" t="s">
        <v>654</v>
      </c>
      <c r="F127" s="966">
        <v>18.0</v>
      </c>
      <c r="G127" s="201" t="s">
        <v>764</v>
      </c>
      <c r="H127" s="201" t="s">
        <v>698</v>
      </c>
    </row>
    <row r="128">
      <c r="A128" s="965">
        <v>46009.99106861111</v>
      </c>
      <c r="B128" s="966">
        <v>4.0</v>
      </c>
      <c r="C128" s="201" t="s">
        <v>306</v>
      </c>
      <c r="D128" s="201" t="s">
        <v>653</v>
      </c>
      <c r="E128" s="201" t="s">
        <v>654</v>
      </c>
      <c r="F128" s="966">
        <v>18.0</v>
      </c>
      <c r="G128" s="201" t="s">
        <v>764</v>
      </c>
      <c r="H128" s="201" t="s">
        <v>698</v>
      </c>
    </row>
    <row r="129">
      <c r="A129" s="965">
        <v>46009.99107210648</v>
      </c>
      <c r="B129" s="966">
        <v>4.0</v>
      </c>
      <c r="C129" s="201" t="s">
        <v>307</v>
      </c>
      <c r="D129" s="201" t="s">
        <v>653</v>
      </c>
      <c r="E129" s="201" t="s">
        <v>654</v>
      </c>
      <c r="F129" s="966">
        <v>18.0</v>
      </c>
      <c r="G129" s="201" t="s">
        <v>764</v>
      </c>
      <c r="H129" s="201" t="s">
        <v>698</v>
      </c>
    </row>
    <row r="130">
      <c r="A130" s="965">
        <v>46009.99107567129</v>
      </c>
      <c r="B130" s="966">
        <v>4.0</v>
      </c>
      <c r="C130" s="201" t="s">
        <v>308</v>
      </c>
      <c r="D130" s="201" t="s">
        <v>653</v>
      </c>
      <c r="E130" s="201" t="s">
        <v>654</v>
      </c>
      <c r="F130" s="966">
        <v>18.0</v>
      </c>
      <c r="G130" s="201" t="s">
        <v>764</v>
      </c>
      <c r="H130" s="201" t="s">
        <v>698</v>
      </c>
    </row>
    <row r="131">
      <c r="A131" s="965">
        <v>46009.99107909722</v>
      </c>
      <c r="B131" s="966">
        <v>4.0</v>
      </c>
      <c r="C131" s="201" t="s">
        <v>255</v>
      </c>
      <c r="D131" s="201" t="s">
        <v>653</v>
      </c>
      <c r="E131" s="201" t="s">
        <v>654</v>
      </c>
      <c r="F131" s="966">
        <v>18.0</v>
      </c>
      <c r="G131" s="201" t="s">
        <v>764</v>
      </c>
      <c r="H131" s="201" t="s">
        <v>698</v>
      </c>
    </row>
    <row r="132">
      <c r="A132" s="965">
        <v>46009.99108212963</v>
      </c>
      <c r="B132" s="966">
        <v>4.0</v>
      </c>
      <c r="C132" s="201" t="s">
        <v>309</v>
      </c>
      <c r="D132" s="201" t="s">
        <v>653</v>
      </c>
      <c r="E132" s="201" t="s">
        <v>654</v>
      </c>
      <c r="F132" s="966">
        <v>18.0</v>
      </c>
      <c r="G132" s="201" t="s">
        <v>764</v>
      </c>
      <c r="H132" s="201" t="s">
        <v>698</v>
      </c>
    </row>
    <row r="133">
      <c r="A133" s="965">
        <v>46009.99108832176</v>
      </c>
      <c r="B133" s="966">
        <v>4.0</v>
      </c>
      <c r="C133" s="201" t="s">
        <v>310</v>
      </c>
      <c r="D133" s="201" t="s">
        <v>653</v>
      </c>
      <c r="E133" s="201" t="s">
        <v>654</v>
      </c>
      <c r="F133" s="966">
        <v>18.0</v>
      </c>
      <c r="G133" s="201" t="s">
        <v>764</v>
      </c>
      <c r="H133" s="201" t="s">
        <v>698</v>
      </c>
    </row>
    <row r="134">
      <c r="A134" s="965">
        <v>46009.991091793985</v>
      </c>
      <c r="B134" s="966">
        <v>4.0</v>
      </c>
      <c r="C134" s="201" t="s">
        <v>311</v>
      </c>
      <c r="D134" s="201" t="s">
        <v>653</v>
      </c>
      <c r="E134" s="201" t="s">
        <v>654</v>
      </c>
      <c r="F134" s="966">
        <v>18.0</v>
      </c>
      <c r="G134" s="201" t="s">
        <v>764</v>
      </c>
      <c r="H134" s="201" t="s">
        <v>698</v>
      </c>
    </row>
    <row r="135">
      <c r="A135" s="965">
        <v>46009.99109596065</v>
      </c>
      <c r="B135" s="966">
        <v>4.0</v>
      </c>
      <c r="C135" s="201" t="s">
        <v>313</v>
      </c>
      <c r="D135" s="201" t="s">
        <v>653</v>
      </c>
      <c r="E135" s="201" t="s">
        <v>654</v>
      </c>
      <c r="F135" s="966">
        <v>18.0</v>
      </c>
      <c r="G135" s="201" t="s">
        <v>764</v>
      </c>
      <c r="H135" s="201" t="s">
        <v>698</v>
      </c>
    </row>
    <row r="136">
      <c r="A136" s="965">
        <v>46009.99109943287</v>
      </c>
      <c r="B136" s="966">
        <v>5.0</v>
      </c>
      <c r="C136" s="201" t="s">
        <v>314</v>
      </c>
      <c r="D136" s="201" t="s">
        <v>653</v>
      </c>
      <c r="E136" s="201" t="s">
        <v>654</v>
      </c>
      <c r="F136" s="966">
        <v>18.0</v>
      </c>
      <c r="G136" s="201" t="s">
        <v>764</v>
      </c>
      <c r="H136" s="201" t="s">
        <v>698</v>
      </c>
    </row>
    <row r="137">
      <c r="A137" s="965">
        <v>46009.99110291667</v>
      </c>
      <c r="B137" s="966">
        <v>5.0</v>
      </c>
      <c r="C137" s="201" t="s">
        <v>315</v>
      </c>
      <c r="D137" s="201" t="s">
        <v>653</v>
      </c>
      <c r="E137" s="201" t="s">
        <v>654</v>
      </c>
      <c r="F137" s="966">
        <v>18.0</v>
      </c>
      <c r="G137" s="201" t="s">
        <v>764</v>
      </c>
      <c r="H137" s="201" t="s">
        <v>698</v>
      </c>
    </row>
    <row r="138">
      <c r="A138" s="965">
        <v>46009.99110597222</v>
      </c>
      <c r="B138" s="966">
        <v>5.0</v>
      </c>
      <c r="C138" s="201" t="s">
        <v>316</v>
      </c>
      <c r="D138" s="201" t="s">
        <v>653</v>
      </c>
      <c r="E138" s="201" t="s">
        <v>654</v>
      </c>
      <c r="F138" s="966">
        <v>18.0</v>
      </c>
      <c r="G138" s="201" t="s">
        <v>764</v>
      </c>
      <c r="H138" s="201" t="s">
        <v>698</v>
      </c>
    </row>
    <row r="139">
      <c r="A139" s="965">
        <v>46009.991110462965</v>
      </c>
      <c r="B139" s="966">
        <v>5.0</v>
      </c>
      <c r="C139" s="201" t="s">
        <v>317</v>
      </c>
      <c r="D139" s="201" t="s">
        <v>653</v>
      </c>
      <c r="E139" s="201" t="s">
        <v>654</v>
      </c>
      <c r="F139" s="966">
        <v>18.0</v>
      </c>
      <c r="G139" s="201" t="s">
        <v>764</v>
      </c>
      <c r="H139" s="201" t="s">
        <v>698</v>
      </c>
    </row>
    <row r="140">
      <c r="A140" s="965">
        <v>46009.991122430554</v>
      </c>
      <c r="B140" s="966">
        <v>5.0</v>
      </c>
      <c r="C140" s="201" t="s">
        <v>318</v>
      </c>
      <c r="D140" s="201" t="s">
        <v>653</v>
      </c>
      <c r="E140" s="201" t="s">
        <v>654</v>
      </c>
      <c r="F140" s="966">
        <v>18.0</v>
      </c>
      <c r="G140" s="201" t="s">
        <v>764</v>
      </c>
      <c r="H140" s="201" t="s">
        <v>698</v>
      </c>
    </row>
    <row r="141">
      <c r="A141" s="965">
        <v>46009.9911424537</v>
      </c>
      <c r="B141" s="201" t="s">
        <v>213</v>
      </c>
      <c r="C141" s="201" t="s">
        <v>692</v>
      </c>
      <c r="D141" s="201" t="s">
        <v>693</v>
      </c>
      <c r="E141" s="201" t="s">
        <v>213</v>
      </c>
      <c r="F141" s="966">
        <v>36.0</v>
      </c>
      <c r="G141" s="201" t="s">
        <v>764</v>
      </c>
      <c r="H141" s="201" t="s">
        <v>698</v>
      </c>
    </row>
    <row r="142">
      <c r="A142" s="965">
        <v>46009.99116971064</v>
      </c>
      <c r="B142" s="201" t="s">
        <v>213</v>
      </c>
      <c r="C142" s="201" t="s">
        <v>694</v>
      </c>
      <c r="D142" s="201" t="s">
        <v>695</v>
      </c>
      <c r="E142" s="201" t="s">
        <v>213</v>
      </c>
      <c r="F142" s="966">
        <v>36.0</v>
      </c>
      <c r="G142" s="201" t="s">
        <v>764</v>
      </c>
      <c r="H142" s="201" t="s">
        <v>698</v>
      </c>
    </row>
    <row r="143">
      <c r="A143" s="965">
        <v>46009.99128930556</v>
      </c>
      <c r="B143" s="201" t="s">
        <v>213</v>
      </c>
      <c r="C143" s="201" t="s">
        <v>651</v>
      </c>
      <c r="D143" s="201" t="s">
        <v>652</v>
      </c>
      <c r="E143" s="201" t="s">
        <v>213</v>
      </c>
      <c r="F143" s="201" t="s">
        <v>213</v>
      </c>
      <c r="G143" s="201" t="s">
        <v>650</v>
      </c>
      <c r="H143" s="201" t="s">
        <v>650</v>
      </c>
    </row>
    <row r="144">
      <c r="A144" s="965">
        <v>46009.99130172454</v>
      </c>
      <c r="B144" s="966">
        <v>1.0</v>
      </c>
      <c r="C144" s="201" t="s">
        <v>279</v>
      </c>
      <c r="D144" s="201" t="s">
        <v>653</v>
      </c>
      <c r="E144" s="201" t="s">
        <v>654</v>
      </c>
      <c r="F144" s="201" t="s">
        <v>213</v>
      </c>
      <c r="G144" s="201" t="s">
        <v>766</v>
      </c>
      <c r="H144" s="201" t="s">
        <v>650</v>
      </c>
    </row>
    <row r="145">
      <c r="A145" s="965">
        <v>46009.99130555555</v>
      </c>
      <c r="B145" s="966">
        <v>1.0</v>
      </c>
      <c r="C145" s="201" t="s">
        <v>281</v>
      </c>
      <c r="D145" s="201" t="s">
        <v>653</v>
      </c>
      <c r="E145" s="201" t="s">
        <v>654</v>
      </c>
      <c r="F145" s="201" t="s">
        <v>213</v>
      </c>
      <c r="G145" s="201" t="s">
        <v>766</v>
      </c>
      <c r="H145" s="201" t="s">
        <v>650</v>
      </c>
    </row>
    <row r="146">
      <c r="A146" s="965">
        <v>46009.99130951389</v>
      </c>
      <c r="B146" s="966">
        <v>1.0</v>
      </c>
      <c r="C146" s="201" t="s">
        <v>283</v>
      </c>
      <c r="D146" s="201" t="s">
        <v>653</v>
      </c>
      <c r="E146" s="201" t="s">
        <v>654</v>
      </c>
      <c r="F146" s="201" t="s">
        <v>213</v>
      </c>
      <c r="G146" s="201" t="s">
        <v>766</v>
      </c>
      <c r="H146" s="201" t="s">
        <v>650</v>
      </c>
    </row>
    <row r="147">
      <c r="A147" s="965">
        <v>46009.99131456019</v>
      </c>
      <c r="B147" s="966">
        <v>1.0</v>
      </c>
      <c r="C147" s="201" t="s">
        <v>284</v>
      </c>
      <c r="D147" s="201" t="s">
        <v>653</v>
      </c>
      <c r="E147" s="201" t="s">
        <v>654</v>
      </c>
      <c r="F147" s="201" t="s">
        <v>213</v>
      </c>
      <c r="G147" s="201" t="s">
        <v>766</v>
      </c>
      <c r="H147" s="201" t="s">
        <v>650</v>
      </c>
    </row>
    <row r="148">
      <c r="A148" s="965">
        <v>46009.99131858796</v>
      </c>
      <c r="B148" s="966">
        <v>1.0</v>
      </c>
      <c r="C148" s="201" t="s">
        <v>285</v>
      </c>
      <c r="D148" s="201" t="s">
        <v>653</v>
      </c>
      <c r="E148" s="201" t="s">
        <v>654</v>
      </c>
      <c r="F148" s="201" t="s">
        <v>213</v>
      </c>
      <c r="G148" s="201" t="s">
        <v>766</v>
      </c>
      <c r="H148" s="201" t="s">
        <v>650</v>
      </c>
    </row>
    <row r="149">
      <c r="A149" s="965">
        <v>46009.99132236111</v>
      </c>
      <c r="B149" s="966">
        <v>1.0</v>
      </c>
      <c r="C149" s="201" t="s">
        <v>286</v>
      </c>
      <c r="D149" s="201" t="s">
        <v>653</v>
      </c>
      <c r="E149" s="201" t="s">
        <v>654</v>
      </c>
      <c r="F149" s="201" t="s">
        <v>213</v>
      </c>
      <c r="G149" s="201" t="s">
        <v>766</v>
      </c>
      <c r="H149" s="201" t="s">
        <v>650</v>
      </c>
    </row>
    <row r="150">
      <c r="A150" s="965">
        <v>46009.991330439814</v>
      </c>
      <c r="B150" s="966">
        <v>1.0</v>
      </c>
      <c r="C150" s="201" t="s">
        <v>287</v>
      </c>
      <c r="D150" s="201" t="s">
        <v>653</v>
      </c>
      <c r="E150" s="201" t="s">
        <v>654</v>
      </c>
      <c r="F150" s="201" t="s">
        <v>213</v>
      </c>
      <c r="G150" s="201" t="s">
        <v>766</v>
      </c>
      <c r="H150" s="201" t="s">
        <v>650</v>
      </c>
    </row>
    <row r="151">
      <c r="A151" s="965">
        <v>46009.99133445602</v>
      </c>
      <c r="B151" s="966">
        <v>2.0</v>
      </c>
      <c r="C151" s="201" t="s">
        <v>288</v>
      </c>
      <c r="D151" s="201" t="s">
        <v>653</v>
      </c>
      <c r="E151" s="201" t="s">
        <v>654</v>
      </c>
      <c r="F151" s="201" t="s">
        <v>213</v>
      </c>
      <c r="G151" s="201" t="s">
        <v>766</v>
      </c>
      <c r="H151" s="201" t="s">
        <v>650</v>
      </c>
    </row>
    <row r="152">
      <c r="A152" s="965">
        <v>46009.99133783564</v>
      </c>
      <c r="B152" s="966">
        <v>2.0</v>
      </c>
      <c r="C152" s="201" t="s">
        <v>289</v>
      </c>
      <c r="D152" s="201" t="s">
        <v>653</v>
      </c>
      <c r="E152" s="201" t="s">
        <v>654</v>
      </c>
      <c r="F152" s="201" t="s">
        <v>213</v>
      </c>
      <c r="G152" s="201" t="s">
        <v>766</v>
      </c>
      <c r="H152" s="201" t="s">
        <v>650</v>
      </c>
    </row>
    <row r="153">
      <c r="A153" s="965">
        <v>46009.99134190972</v>
      </c>
      <c r="B153" s="966">
        <v>2.0</v>
      </c>
      <c r="C153" s="201" t="s">
        <v>290</v>
      </c>
      <c r="D153" s="201" t="s">
        <v>653</v>
      </c>
      <c r="E153" s="201" t="s">
        <v>654</v>
      </c>
      <c r="F153" s="201" t="s">
        <v>213</v>
      </c>
      <c r="G153" s="201" t="s">
        <v>766</v>
      </c>
      <c r="H153" s="201" t="s">
        <v>650</v>
      </c>
    </row>
    <row r="154">
      <c r="A154" s="965">
        <v>46009.99134604167</v>
      </c>
      <c r="B154" s="966">
        <v>2.0</v>
      </c>
      <c r="C154" s="201" t="s">
        <v>292</v>
      </c>
      <c r="D154" s="201" t="s">
        <v>653</v>
      </c>
      <c r="E154" s="201" t="s">
        <v>654</v>
      </c>
      <c r="F154" s="201" t="s">
        <v>213</v>
      </c>
      <c r="G154" s="201" t="s">
        <v>766</v>
      </c>
      <c r="H154" s="201" t="s">
        <v>650</v>
      </c>
    </row>
    <row r="155">
      <c r="A155" s="965">
        <v>46009.99135027778</v>
      </c>
      <c r="B155" s="966">
        <v>2.0</v>
      </c>
      <c r="C155" s="201" t="s">
        <v>293</v>
      </c>
      <c r="D155" s="201" t="s">
        <v>653</v>
      </c>
      <c r="E155" s="201" t="s">
        <v>654</v>
      </c>
      <c r="F155" s="201" t="s">
        <v>213</v>
      </c>
      <c r="G155" s="201" t="s">
        <v>766</v>
      </c>
      <c r="H155" s="201" t="s">
        <v>650</v>
      </c>
    </row>
    <row r="156">
      <c r="A156" s="965">
        <v>46009.99135430556</v>
      </c>
      <c r="B156" s="966">
        <v>2.0</v>
      </c>
      <c r="C156" s="201" t="s">
        <v>294</v>
      </c>
      <c r="D156" s="201" t="s">
        <v>653</v>
      </c>
      <c r="E156" s="201" t="s">
        <v>654</v>
      </c>
      <c r="F156" s="201" t="s">
        <v>213</v>
      </c>
      <c r="G156" s="201" t="s">
        <v>766</v>
      </c>
      <c r="H156" s="201" t="s">
        <v>650</v>
      </c>
    </row>
    <row r="157">
      <c r="A157" s="965">
        <v>46009.99135965278</v>
      </c>
      <c r="B157" s="966">
        <v>2.0</v>
      </c>
      <c r="C157" s="201" t="s">
        <v>295</v>
      </c>
      <c r="D157" s="201" t="s">
        <v>653</v>
      </c>
      <c r="E157" s="201" t="s">
        <v>654</v>
      </c>
      <c r="F157" s="201" t="s">
        <v>213</v>
      </c>
      <c r="G157" s="201" t="s">
        <v>766</v>
      </c>
      <c r="H157" s="201" t="s">
        <v>650</v>
      </c>
    </row>
    <row r="158">
      <c r="A158" s="965">
        <v>46009.99136332176</v>
      </c>
      <c r="B158" s="966">
        <v>2.0</v>
      </c>
      <c r="C158" s="201" t="s">
        <v>296</v>
      </c>
      <c r="D158" s="201" t="s">
        <v>653</v>
      </c>
      <c r="E158" s="201" t="s">
        <v>654</v>
      </c>
      <c r="F158" s="201" t="s">
        <v>213</v>
      </c>
      <c r="G158" s="201" t="s">
        <v>766</v>
      </c>
      <c r="H158" s="201" t="s">
        <v>650</v>
      </c>
    </row>
    <row r="159">
      <c r="A159" s="965">
        <v>46009.99136716435</v>
      </c>
      <c r="B159" s="966">
        <v>3.0</v>
      </c>
      <c r="C159" s="201" t="s">
        <v>297</v>
      </c>
      <c r="D159" s="201" t="s">
        <v>653</v>
      </c>
      <c r="E159" s="201" t="s">
        <v>654</v>
      </c>
      <c r="F159" s="201" t="s">
        <v>213</v>
      </c>
      <c r="G159" s="201" t="s">
        <v>766</v>
      </c>
      <c r="H159" s="201" t="s">
        <v>650</v>
      </c>
    </row>
    <row r="160">
      <c r="A160" s="965">
        <v>46009.991370856485</v>
      </c>
      <c r="B160" s="966">
        <v>3.0</v>
      </c>
      <c r="C160" s="201" t="s">
        <v>298</v>
      </c>
      <c r="D160" s="201" t="s">
        <v>653</v>
      </c>
      <c r="E160" s="201" t="s">
        <v>654</v>
      </c>
      <c r="F160" s="201" t="s">
        <v>213</v>
      </c>
      <c r="G160" s="201" t="s">
        <v>766</v>
      </c>
      <c r="H160" s="201" t="s">
        <v>650</v>
      </c>
    </row>
    <row r="161">
      <c r="A161" s="965">
        <v>46009.99137472222</v>
      </c>
      <c r="B161" s="966">
        <v>3.0</v>
      </c>
      <c r="C161" s="201" t="s">
        <v>299</v>
      </c>
      <c r="D161" s="201" t="s">
        <v>653</v>
      </c>
      <c r="E161" s="201" t="s">
        <v>654</v>
      </c>
      <c r="F161" s="201" t="s">
        <v>213</v>
      </c>
      <c r="G161" s="201" t="s">
        <v>766</v>
      </c>
      <c r="H161" s="201" t="s">
        <v>650</v>
      </c>
    </row>
    <row r="162">
      <c r="A162" s="965">
        <v>46009.9913946875</v>
      </c>
      <c r="B162" s="201" t="s">
        <v>213</v>
      </c>
      <c r="C162" s="201" t="s">
        <v>692</v>
      </c>
      <c r="D162" s="201" t="s">
        <v>693</v>
      </c>
      <c r="E162" s="201" t="s">
        <v>213</v>
      </c>
      <c r="F162" s="966">
        <v>18.0</v>
      </c>
      <c r="G162" s="201" t="s">
        <v>766</v>
      </c>
      <c r="H162" s="201" t="s">
        <v>650</v>
      </c>
    </row>
    <row r="163">
      <c r="A163" s="965">
        <v>46009.99141336806</v>
      </c>
      <c r="B163" s="201" t="s">
        <v>213</v>
      </c>
      <c r="C163" s="201" t="s">
        <v>694</v>
      </c>
      <c r="D163" s="201" t="s">
        <v>695</v>
      </c>
      <c r="E163" s="201" t="s">
        <v>213</v>
      </c>
      <c r="F163" s="966">
        <v>18.0</v>
      </c>
      <c r="G163" s="201" t="s">
        <v>766</v>
      </c>
      <c r="H163" s="201" t="s">
        <v>650</v>
      </c>
    </row>
    <row r="164">
      <c r="A164" s="965">
        <v>46009.992273564814</v>
      </c>
      <c r="B164" s="966">
        <v>3.0</v>
      </c>
      <c r="C164" s="201" t="s">
        <v>300</v>
      </c>
      <c r="D164" s="201" t="s">
        <v>653</v>
      </c>
      <c r="E164" s="201" t="s">
        <v>654</v>
      </c>
      <c r="F164" s="966">
        <v>18.0</v>
      </c>
      <c r="G164" s="201" t="s">
        <v>768</v>
      </c>
      <c r="H164" s="201" t="s">
        <v>698</v>
      </c>
    </row>
    <row r="165">
      <c r="A165" s="965">
        <v>46009.99227803241</v>
      </c>
      <c r="B165" s="966">
        <v>3.0</v>
      </c>
      <c r="C165" s="201" t="s">
        <v>301</v>
      </c>
      <c r="D165" s="201" t="s">
        <v>653</v>
      </c>
      <c r="E165" s="201" t="s">
        <v>654</v>
      </c>
      <c r="F165" s="966">
        <v>18.0</v>
      </c>
      <c r="G165" s="201" t="s">
        <v>768</v>
      </c>
      <c r="H165" s="201" t="s">
        <v>698</v>
      </c>
    </row>
    <row r="166">
      <c r="A166" s="965">
        <v>46009.992281666666</v>
      </c>
      <c r="B166" s="966">
        <v>3.0</v>
      </c>
      <c r="C166" s="201" t="s">
        <v>303</v>
      </c>
      <c r="D166" s="201" t="s">
        <v>653</v>
      </c>
      <c r="E166" s="201" t="s">
        <v>654</v>
      </c>
      <c r="F166" s="966">
        <v>18.0</v>
      </c>
      <c r="G166" s="201" t="s">
        <v>768</v>
      </c>
      <c r="H166" s="201" t="s">
        <v>698</v>
      </c>
    </row>
    <row r="167">
      <c r="A167" s="965">
        <v>46009.992285138884</v>
      </c>
      <c r="B167" s="966">
        <v>3.0</v>
      </c>
      <c r="C167" s="201" t="s">
        <v>304</v>
      </c>
      <c r="D167" s="201" t="s">
        <v>653</v>
      </c>
      <c r="E167" s="201" t="s">
        <v>654</v>
      </c>
      <c r="F167" s="966">
        <v>18.0</v>
      </c>
      <c r="G167" s="201" t="s">
        <v>768</v>
      </c>
      <c r="H167" s="201" t="s">
        <v>698</v>
      </c>
    </row>
    <row r="168">
      <c r="A168" s="965">
        <v>46009.99228842593</v>
      </c>
      <c r="B168" s="966">
        <v>3.0</v>
      </c>
      <c r="C168" s="201" t="s">
        <v>305</v>
      </c>
      <c r="D168" s="201" t="s">
        <v>653</v>
      </c>
      <c r="E168" s="201" t="s">
        <v>654</v>
      </c>
      <c r="F168" s="966">
        <v>18.0</v>
      </c>
      <c r="G168" s="201" t="s">
        <v>768</v>
      </c>
      <c r="H168" s="201" t="s">
        <v>698</v>
      </c>
    </row>
    <row r="169">
      <c r="A169" s="965">
        <v>46009.9922922338</v>
      </c>
      <c r="B169" s="966">
        <v>4.0</v>
      </c>
      <c r="C169" s="201" t="s">
        <v>306</v>
      </c>
      <c r="D169" s="201" t="s">
        <v>653</v>
      </c>
      <c r="E169" s="201" t="s">
        <v>654</v>
      </c>
      <c r="F169" s="966">
        <v>18.0</v>
      </c>
      <c r="G169" s="201" t="s">
        <v>768</v>
      </c>
      <c r="H169" s="201" t="s">
        <v>698</v>
      </c>
    </row>
    <row r="170">
      <c r="A170" s="965">
        <v>46009.99229576389</v>
      </c>
      <c r="B170" s="966">
        <v>4.0</v>
      </c>
      <c r="C170" s="201" t="s">
        <v>307</v>
      </c>
      <c r="D170" s="201" t="s">
        <v>653</v>
      </c>
      <c r="E170" s="201" t="s">
        <v>654</v>
      </c>
      <c r="F170" s="966">
        <v>18.0</v>
      </c>
      <c r="G170" s="201" t="s">
        <v>768</v>
      </c>
      <c r="H170" s="201" t="s">
        <v>698</v>
      </c>
    </row>
    <row r="171">
      <c r="A171" s="965">
        <v>46009.99229877315</v>
      </c>
      <c r="B171" s="966">
        <v>4.0</v>
      </c>
      <c r="C171" s="201" t="s">
        <v>308</v>
      </c>
      <c r="D171" s="201" t="s">
        <v>653</v>
      </c>
      <c r="E171" s="201" t="s">
        <v>654</v>
      </c>
      <c r="F171" s="966">
        <v>18.0</v>
      </c>
      <c r="G171" s="201" t="s">
        <v>768</v>
      </c>
      <c r="H171" s="201" t="s">
        <v>698</v>
      </c>
    </row>
    <row r="172">
      <c r="A172" s="965">
        <v>46009.99230587963</v>
      </c>
      <c r="B172" s="966">
        <v>4.0</v>
      </c>
      <c r="C172" s="201" t="s">
        <v>255</v>
      </c>
      <c r="D172" s="201" t="s">
        <v>653</v>
      </c>
      <c r="E172" s="201" t="s">
        <v>654</v>
      </c>
      <c r="F172" s="966">
        <v>18.0</v>
      </c>
      <c r="G172" s="201" t="s">
        <v>768</v>
      </c>
      <c r="H172" s="201" t="s">
        <v>698</v>
      </c>
    </row>
    <row r="173">
      <c r="A173" s="965">
        <v>46009.99231376157</v>
      </c>
      <c r="B173" s="966">
        <v>4.0</v>
      </c>
      <c r="C173" s="201" t="s">
        <v>309</v>
      </c>
      <c r="D173" s="201" t="s">
        <v>653</v>
      </c>
      <c r="E173" s="201" t="s">
        <v>654</v>
      </c>
      <c r="F173" s="966">
        <v>18.0</v>
      </c>
      <c r="G173" s="201" t="s">
        <v>768</v>
      </c>
      <c r="H173" s="201" t="s">
        <v>698</v>
      </c>
    </row>
    <row r="174">
      <c r="A174" s="965">
        <v>46009.99231736111</v>
      </c>
      <c r="B174" s="966">
        <v>4.0</v>
      </c>
      <c r="C174" s="201" t="s">
        <v>310</v>
      </c>
      <c r="D174" s="201" t="s">
        <v>653</v>
      </c>
      <c r="E174" s="201" t="s">
        <v>654</v>
      </c>
      <c r="F174" s="966">
        <v>18.0</v>
      </c>
      <c r="G174" s="201" t="s">
        <v>768</v>
      </c>
      <c r="H174" s="201" t="s">
        <v>698</v>
      </c>
    </row>
    <row r="175">
      <c r="A175" s="965">
        <v>46009.99232106481</v>
      </c>
      <c r="B175" s="966">
        <v>4.0</v>
      </c>
      <c r="C175" s="201" t="s">
        <v>311</v>
      </c>
      <c r="D175" s="201" t="s">
        <v>653</v>
      </c>
      <c r="E175" s="201" t="s">
        <v>654</v>
      </c>
      <c r="F175" s="966">
        <v>18.0</v>
      </c>
      <c r="G175" s="201" t="s">
        <v>768</v>
      </c>
      <c r="H175" s="201" t="s">
        <v>698</v>
      </c>
    </row>
    <row r="176">
      <c r="A176" s="965">
        <v>46009.99232488426</v>
      </c>
      <c r="B176" s="966">
        <v>4.0</v>
      </c>
      <c r="C176" s="201" t="s">
        <v>313</v>
      </c>
      <c r="D176" s="201" t="s">
        <v>653</v>
      </c>
      <c r="E176" s="201" t="s">
        <v>654</v>
      </c>
      <c r="F176" s="966">
        <v>18.0</v>
      </c>
      <c r="G176" s="201" t="s">
        <v>768</v>
      </c>
      <c r="H176" s="201" t="s">
        <v>698</v>
      </c>
    </row>
    <row r="177">
      <c r="A177" s="965">
        <v>46009.99232837963</v>
      </c>
      <c r="B177" s="966">
        <v>5.0</v>
      </c>
      <c r="C177" s="201" t="s">
        <v>314</v>
      </c>
      <c r="D177" s="201" t="s">
        <v>653</v>
      </c>
      <c r="E177" s="201" t="s">
        <v>654</v>
      </c>
      <c r="F177" s="966">
        <v>18.0</v>
      </c>
      <c r="G177" s="201" t="s">
        <v>768</v>
      </c>
      <c r="H177" s="201" t="s">
        <v>698</v>
      </c>
    </row>
    <row r="178">
      <c r="A178" s="965">
        <v>46009.99233148148</v>
      </c>
      <c r="B178" s="966">
        <v>5.0</v>
      </c>
      <c r="C178" s="201" t="s">
        <v>315</v>
      </c>
      <c r="D178" s="201" t="s">
        <v>653</v>
      </c>
      <c r="E178" s="201" t="s">
        <v>654</v>
      </c>
      <c r="F178" s="966">
        <v>18.0</v>
      </c>
      <c r="G178" s="201" t="s">
        <v>768</v>
      </c>
      <c r="H178" s="201" t="s">
        <v>698</v>
      </c>
    </row>
    <row r="179">
      <c r="A179" s="965">
        <v>46009.992334849536</v>
      </c>
      <c r="B179" s="966">
        <v>5.0</v>
      </c>
      <c r="C179" s="201" t="s">
        <v>316</v>
      </c>
      <c r="D179" s="201" t="s">
        <v>653</v>
      </c>
      <c r="E179" s="201" t="s">
        <v>654</v>
      </c>
      <c r="F179" s="966">
        <v>18.0</v>
      </c>
      <c r="G179" s="201" t="s">
        <v>768</v>
      </c>
      <c r="H179" s="201" t="s">
        <v>698</v>
      </c>
    </row>
    <row r="180">
      <c r="A180" s="965">
        <v>46009.99233853009</v>
      </c>
      <c r="B180" s="966">
        <v>5.0</v>
      </c>
      <c r="C180" s="201" t="s">
        <v>317</v>
      </c>
      <c r="D180" s="201" t="s">
        <v>653</v>
      </c>
      <c r="E180" s="201" t="s">
        <v>654</v>
      </c>
      <c r="F180" s="966">
        <v>18.0</v>
      </c>
      <c r="G180" s="201" t="s">
        <v>768</v>
      </c>
      <c r="H180" s="201" t="s">
        <v>698</v>
      </c>
    </row>
    <row r="181">
      <c r="A181" s="965">
        <v>46009.99234199074</v>
      </c>
      <c r="B181" s="966">
        <v>5.0</v>
      </c>
      <c r="C181" s="201" t="s">
        <v>318</v>
      </c>
      <c r="D181" s="201" t="s">
        <v>653</v>
      </c>
      <c r="E181" s="201" t="s">
        <v>654</v>
      </c>
      <c r="F181" s="966">
        <v>18.0</v>
      </c>
      <c r="G181" s="201" t="s">
        <v>768</v>
      </c>
      <c r="H181" s="201" t="s">
        <v>698</v>
      </c>
    </row>
    <row r="182">
      <c r="A182" s="965">
        <v>46009.992372962966</v>
      </c>
      <c r="B182" s="201" t="s">
        <v>213</v>
      </c>
      <c r="C182" s="201" t="s">
        <v>692</v>
      </c>
      <c r="D182" s="201" t="s">
        <v>693</v>
      </c>
      <c r="E182" s="201" t="s">
        <v>213</v>
      </c>
      <c r="F182" s="966">
        <v>36.0</v>
      </c>
      <c r="G182" s="201" t="s">
        <v>768</v>
      </c>
      <c r="H182" s="201" t="s">
        <v>698</v>
      </c>
    </row>
    <row r="183">
      <c r="A183" s="965">
        <v>46009.99239695602</v>
      </c>
      <c r="B183" s="201" t="s">
        <v>213</v>
      </c>
      <c r="C183" s="201" t="s">
        <v>694</v>
      </c>
      <c r="D183" s="201" t="s">
        <v>695</v>
      </c>
      <c r="E183" s="201" t="s">
        <v>213</v>
      </c>
      <c r="F183" s="966">
        <v>36.0</v>
      </c>
      <c r="G183" s="201" t="s">
        <v>768</v>
      </c>
      <c r="H183" s="201" t="s">
        <v>698</v>
      </c>
    </row>
    <row r="184">
      <c r="A184" s="965">
        <v>46009.993693807875</v>
      </c>
      <c r="B184" s="966">
        <v>5.0</v>
      </c>
      <c r="C184" s="201" t="s">
        <v>319</v>
      </c>
      <c r="D184" s="201" t="s">
        <v>653</v>
      </c>
      <c r="E184" s="201" t="s">
        <v>654</v>
      </c>
      <c r="F184" s="966">
        <v>36.0</v>
      </c>
      <c r="G184" s="201" t="s">
        <v>770</v>
      </c>
      <c r="H184" s="201" t="s">
        <v>698</v>
      </c>
    </row>
    <row r="185">
      <c r="A185" s="965">
        <v>46009.99369875</v>
      </c>
      <c r="B185" s="966">
        <v>5.0</v>
      </c>
      <c r="C185" s="201" t="s">
        <v>320</v>
      </c>
      <c r="D185" s="201" t="s">
        <v>653</v>
      </c>
      <c r="E185" s="201" t="s">
        <v>654</v>
      </c>
      <c r="F185" s="966">
        <v>36.0</v>
      </c>
      <c r="G185" s="201" t="s">
        <v>770</v>
      </c>
      <c r="H185" s="201" t="s">
        <v>698</v>
      </c>
    </row>
    <row r="186">
      <c r="A186" s="965">
        <v>46009.99370274306</v>
      </c>
      <c r="B186" s="966">
        <v>5.0</v>
      </c>
      <c r="C186" s="201" t="s">
        <v>322</v>
      </c>
      <c r="D186" s="201" t="s">
        <v>653</v>
      </c>
      <c r="E186" s="201" t="s">
        <v>654</v>
      </c>
      <c r="F186" s="966">
        <v>36.0</v>
      </c>
      <c r="G186" s="201" t="s">
        <v>770</v>
      </c>
      <c r="H186" s="201" t="s">
        <v>698</v>
      </c>
    </row>
    <row r="187">
      <c r="A187" s="965">
        <v>46009.99370680556</v>
      </c>
      <c r="B187" s="966">
        <v>6.0</v>
      </c>
      <c r="C187" s="201" t="s">
        <v>323</v>
      </c>
      <c r="D187" s="201" t="s">
        <v>653</v>
      </c>
      <c r="E187" s="201" t="s">
        <v>654</v>
      </c>
      <c r="F187" s="966">
        <v>36.0</v>
      </c>
      <c r="G187" s="201" t="s">
        <v>770</v>
      </c>
      <c r="H187" s="201" t="s">
        <v>698</v>
      </c>
    </row>
    <row r="188">
      <c r="A188" s="965">
        <v>46009.993711296294</v>
      </c>
      <c r="B188" s="966">
        <v>6.0</v>
      </c>
      <c r="C188" s="201" t="s">
        <v>324</v>
      </c>
      <c r="D188" s="201" t="s">
        <v>653</v>
      </c>
      <c r="E188" s="201" t="s">
        <v>654</v>
      </c>
      <c r="F188" s="966">
        <v>36.0</v>
      </c>
      <c r="G188" s="201" t="s">
        <v>770</v>
      </c>
      <c r="H188" s="201" t="s">
        <v>698</v>
      </c>
    </row>
    <row r="189">
      <c r="A189" s="965">
        <v>46009.99371707176</v>
      </c>
      <c r="B189" s="966">
        <v>6.0</v>
      </c>
      <c r="C189" s="201" t="s">
        <v>325</v>
      </c>
      <c r="D189" s="201" t="s">
        <v>653</v>
      </c>
      <c r="E189" s="201" t="s">
        <v>654</v>
      </c>
      <c r="F189" s="966">
        <v>36.0</v>
      </c>
      <c r="G189" s="201" t="s">
        <v>770</v>
      </c>
      <c r="H189" s="201" t="s">
        <v>698</v>
      </c>
    </row>
    <row r="190">
      <c r="A190" s="965">
        <v>46009.99372185185</v>
      </c>
      <c r="B190" s="966">
        <v>6.0</v>
      </c>
      <c r="C190" s="201" t="s">
        <v>326</v>
      </c>
      <c r="D190" s="201" t="s">
        <v>653</v>
      </c>
      <c r="E190" s="201" t="s">
        <v>654</v>
      </c>
      <c r="F190" s="966">
        <v>36.0</v>
      </c>
      <c r="G190" s="201" t="s">
        <v>770</v>
      </c>
      <c r="H190" s="201" t="s">
        <v>698</v>
      </c>
    </row>
    <row r="191">
      <c r="A191" s="965">
        <v>46009.99372604166</v>
      </c>
      <c r="B191" s="966">
        <v>6.0</v>
      </c>
      <c r="C191" s="201" t="s">
        <v>327</v>
      </c>
      <c r="D191" s="201" t="s">
        <v>653</v>
      </c>
      <c r="E191" s="201" t="s">
        <v>654</v>
      </c>
      <c r="F191" s="966">
        <v>36.0</v>
      </c>
      <c r="G191" s="201" t="s">
        <v>770</v>
      </c>
      <c r="H191" s="201" t="s">
        <v>698</v>
      </c>
    </row>
    <row r="192">
      <c r="A192" s="965">
        <v>46009.99372974537</v>
      </c>
      <c r="B192" s="966">
        <v>6.0</v>
      </c>
      <c r="C192" s="201" t="s">
        <v>328</v>
      </c>
      <c r="D192" s="201" t="s">
        <v>653</v>
      </c>
      <c r="E192" s="201" t="s">
        <v>654</v>
      </c>
      <c r="F192" s="966">
        <v>36.0</v>
      </c>
      <c r="G192" s="201" t="s">
        <v>770</v>
      </c>
      <c r="H192" s="201" t="s">
        <v>698</v>
      </c>
    </row>
    <row r="193">
      <c r="A193" s="965">
        <v>46009.993737199075</v>
      </c>
      <c r="B193" s="966">
        <v>6.0</v>
      </c>
      <c r="C193" s="201" t="s">
        <v>329</v>
      </c>
      <c r="D193" s="201" t="s">
        <v>653</v>
      </c>
      <c r="E193" s="201" t="s">
        <v>654</v>
      </c>
      <c r="F193" s="966">
        <v>36.0</v>
      </c>
      <c r="G193" s="201" t="s">
        <v>770</v>
      </c>
      <c r="H193" s="201" t="s">
        <v>698</v>
      </c>
    </row>
    <row r="194">
      <c r="A194" s="965">
        <v>46009.99379828703</v>
      </c>
      <c r="B194" s="201" t="s">
        <v>213</v>
      </c>
      <c r="C194" s="201" t="s">
        <v>692</v>
      </c>
      <c r="D194" s="201" t="s">
        <v>693</v>
      </c>
      <c r="E194" s="201" t="s">
        <v>213</v>
      </c>
      <c r="F194" s="966">
        <v>54.0</v>
      </c>
      <c r="G194" s="201" t="s">
        <v>770</v>
      </c>
      <c r="H194" s="201" t="s">
        <v>698</v>
      </c>
    </row>
    <row r="195">
      <c r="A195" s="965">
        <v>46009.99382952546</v>
      </c>
      <c r="B195" s="201" t="s">
        <v>213</v>
      </c>
      <c r="C195" s="201" t="s">
        <v>760</v>
      </c>
      <c r="D195" s="201" t="s">
        <v>761</v>
      </c>
      <c r="E195" s="201" t="s">
        <v>213</v>
      </c>
      <c r="F195" s="966">
        <v>54.0</v>
      </c>
      <c r="G195" s="201" t="s">
        <v>770</v>
      </c>
      <c r="H195" s="201" t="s">
        <v>698</v>
      </c>
    </row>
    <row r="196">
      <c r="A196" s="965">
        <v>46010.02369462963</v>
      </c>
      <c r="B196" s="201" t="s">
        <v>213</v>
      </c>
      <c r="C196" s="201" t="s">
        <v>651</v>
      </c>
      <c r="D196" s="201" t="s">
        <v>652</v>
      </c>
      <c r="E196" s="201" t="s">
        <v>213</v>
      </c>
      <c r="F196" s="201" t="s">
        <v>213</v>
      </c>
      <c r="G196" s="201" t="s">
        <v>650</v>
      </c>
      <c r="H196" s="201" t="s">
        <v>650</v>
      </c>
    </row>
    <row r="197">
      <c r="A197" s="965">
        <v>46010.02370293981</v>
      </c>
      <c r="B197" s="966">
        <v>1.0</v>
      </c>
      <c r="C197" s="201" t="s">
        <v>279</v>
      </c>
      <c r="D197" s="201" t="s">
        <v>653</v>
      </c>
      <c r="E197" s="201" t="s">
        <v>654</v>
      </c>
      <c r="F197" s="201" t="s">
        <v>213</v>
      </c>
      <c r="G197" s="201" t="s">
        <v>772</v>
      </c>
      <c r="H197" s="201" t="s">
        <v>650</v>
      </c>
    </row>
    <row r="198">
      <c r="A198" s="965">
        <v>46010.02370563657</v>
      </c>
      <c r="B198" s="966">
        <v>1.0</v>
      </c>
      <c r="C198" s="201" t="s">
        <v>281</v>
      </c>
      <c r="D198" s="201" t="s">
        <v>653</v>
      </c>
      <c r="E198" s="201" t="s">
        <v>654</v>
      </c>
      <c r="F198" s="201" t="s">
        <v>213</v>
      </c>
      <c r="G198" s="201" t="s">
        <v>772</v>
      </c>
      <c r="H198" s="201" t="s">
        <v>650</v>
      </c>
    </row>
    <row r="199">
      <c r="A199" s="965">
        <v>46010.02370819444</v>
      </c>
      <c r="B199" s="966">
        <v>1.0</v>
      </c>
      <c r="C199" s="201" t="s">
        <v>283</v>
      </c>
      <c r="D199" s="201" t="s">
        <v>653</v>
      </c>
      <c r="E199" s="201" t="s">
        <v>654</v>
      </c>
      <c r="F199" s="201" t="s">
        <v>213</v>
      </c>
      <c r="G199" s="201" t="s">
        <v>772</v>
      </c>
      <c r="H199" s="201" t="s">
        <v>650</v>
      </c>
    </row>
    <row r="200">
      <c r="A200" s="965">
        <v>46010.02371087963</v>
      </c>
      <c r="B200" s="966">
        <v>1.0</v>
      </c>
      <c r="C200" s="201" t="s">
        <v>284</v>
      </c>
      <c r="D200" s="201" t="s">
        <v>653</v>
      </c>
      <c r="E200" s="201" t="s">
        <v>654</v>
      </c>
      <c r="F200" s="201" t="s">
        <v>213</v>
      </c>
      <c r="G200" s="201" t="s">
        <v>772</v>
      </c>
      <c r="H200" s="201" t="s">
        <v>650</v>
      </c>
    </row>
    <row r="201">
      <c r="A201" s="965">
        <v>46010.02371350695</v>
      </c>
      <c r="B201" s="966">
        <v>1.0</v>
      </c>
      <c r="C201" s="201" t="s">
        <v>285</v>
      </c>
      <c r="D201" s="201" t="s">
        <v>653</v>
      </c>
      <c r="E201" s="201" t="s">
        <v>654</v>
      </c>
      <c r="F201" s="201" t="s">
        <v>213</v>
      </c>
      <c r="G201" s="201" t="s">
        <v>772</v>
      </c>
      <c r="H201" s="201" t="s">
        <v>650</v>
      </c>
    </row>
    <row r="202">
      <c r="A202" s="965">
        <v>46010.02371678241</v>
      </c>
      <c r="B202" s="966">
        <v>1.0</v>
      </c>
      <c r="C202" s="201" t="s">
        <v>286</v>
      </c>
      <c r="D202" s="201" t="s">
        <v>653</v>
      </c>
      <c r="E202" s="201" t="s">
        <v>654</v>
      </c>
      <c r="F202" s="201" t="s">
        <v>213</v>
      </c>
      <c r="G202" s="201" t="s">
        <v>772</v>
      </c>
      <c r="H202" s="201" t="s">
        <v>650</v>
      </c>
    </row>
    <row r="203">
      <c r="A203" s="965">
        <v>46010.02371972222</v>
      </c>
      <c r="B203" s="966">
        <v>1.0</v>
      </c>
      <c r="C203" s="201" t="s">
        <v>287</v>
      </c>
      <c r="D203" s="201" t="s">
        <v>653</v>
      </c>
      <c r="E203" s="201" t="s">
        <v>654</v>
      </c>
      <c r="F203" s="201" t="s">
        <v>213</v>
      </c>
      <c r="G203" s="201" t="s">
        <v>772</v>
      </c>
      <c r="H203" s="201" t="s">
        <v>650</v>
      </c>
    </row>
    <row r="204">
      <c r="A204" s="965">
        <v>46010.02372232639</v>
      </c>
      <c r="B204" s="966">
        <v>2.0</v>
      </c>
      <c r="C204" s="201" t="s">
        <v>288</v>
      </c>
      <c r="D204" s="201" t="s">
        <v>653</v>
      </c>
      <c r="E204" s="201" t="s">
        <v>654</v>
      </c>
      <c r="F204" s="201" t="s">
        <v>213</v>
      </c>
      <c r="G204" s="201" t="s">
        <v>772</v>
      </c>
      <c r="H204" s="201" t="s">
        <v>650</v>
      </c>
    </row>
    <row r="205">
      <c r="A205" s="965">
        <v>46010.0237249537</v>
      </c>
      <c r="B205" s="966">
        <v>2.0</v>
      </c>
      <c r="C205" s="201" t="s">
        <v>289</v>
      </c>
      <c r="D205" s="201" t="s">
        <v>653</v>
      </c>
      <c r="E205" s="201" t="s">
        <v>654</v>
      </c>
      <c r="F205" s="201" t="s">
        <v>213</v>
      </c>
      <c r="G205" s="201" t="s">
        <v>772</v>
      </c>
      <c r="H205" s="201" t="s">
        <v>650</v>
      </c>
    </row>
    <row r="206">
      <c r="A206" s="965">
        <v>46010.02372753472</v>
      </c>
      <c r="B206" s="966">
        <v>2.0</v>
      </c>
      <c r="C206" s="201" t="s">
        <v>290</v>
      </c>
      <c r="D206" s="201" t="s">
        <v>653</v>
      </c>
      <c r="E206" s="201" t="s">
        <v>654</v>
      </c>
      <c r="F206" s="201" t="s">
        <v>213</v>
      </c>
      <c r="G206" s="201" t="s">
        <v>772</v>
      </c>
      <c r="H206" s="201" t="s">
        <v>650</v>
      </c>
    </row>
    <row r="207">
      <c r="A207" s="965">
        <v>46010.0237302662</v>
      </c>
      <c r="B207" s="966">
        <v>2.0</v>
      </c>
      <c r="C207" s="201" t="s">
        <v>292</v>
      </c>
      <c r="D207" s="201" t="s">
        <v>653</v>
      </c>
      <c r="E207" s="201" t="s">
        <v>654</v>
      </c>
      <c r="F207" s="201" t="s">
        <v>213</v>
      </c>
      <c r="G207" s="201" t="s">
        <v>772</v>
      </c>
      <c r="H207" s="201" t="s">
        <v>650</v>
      </c>
    </row>
    <row r="208">
      <c r="A208" s="965">
        <v>46010.023732835645</v>
      </c>
      <c r="B208" s="966">
        <v>2.0</v>
      </c>
      <c r="C208" s="201" t="s">
        <v>293</v>
      </c>
      <c r="D208" s="201" t="s">
        <v>653</v>
      </c>
      <c r="E208" s="201" t="s">
        <v>654</v>
      </c>
      <c r="F208" s="201" t="s">
        <v>213</v>
      </c>
      <c r="G208" s="201" t="s">
        <v>772</v>
      </c>
      <c r="H208" s="201" t="s">
        <v>650</v>
      </c>
    </row>
    <row r="209">
      <c r="A209" s="965">
        <v>46010.02373543981</v>
      </c>
      <c r="B209" s="966">
        <v>2.0</v>
      </c>
      <c r="C209" s="201" t="s">
        <v>294</v>
      </c>
      <c r="D209" s="201" t="s">
        <v>653</v>
      </c>
      <c r="E209" s="201" t="s">
        <v>654</v>
      </c>
      <c r="F209" s="201" t="s">
        <v>213</v>
      </c>
      <c r="G209" s="201" t="s">
        <v>772</v>
      </c>
      <c r="H209" s="201" t="s">
        <v>650</v>
      </c>
    </row>
    <row r="210">
      <c r="A210" s="965">
        <v>46010.023738194446</v>
      </c>
      <c r="B210" s="966">
        <v>2.0</v>
      </c>
      <c r="C210" s="201" t="s">
        <v>295</v>
      </c>
      <c r="D210" s="201" t="s">
        <v>653</v>
      </c>
      <c r="E210" s="201" t="s">
        <v>654</v>
      </c>
      <c r="F210" s="201" t="s">
        <v>213</v>
      </c>
      <c r="G210" s="201" t="s">
        <v>772</v>
      </c>
      <c r="H210" s="201" t="s">
        <v>650</v>
      </c>
    </row>
    <row r="211">
      <c r="A211" s="965">
        <v>46010.023745081024</v>
      </c>
      <c r="B211" s="966">
        <v>2.0</v>
      </c>
      <c r="C211" s="201" t="s">
        <v>296</v>
      </c>
      <c r="D211" s="201" t="s">
        <v>653</v>
      </c>
      <c r="E211" s="201" t="s">
        <v>654</v>
      </c>
      <c r="F211" s="201" t="s">
        <v>213</v>
      </c>
      <c r="G211" s="201" t="s">
        <v>772</v>
      </c>
      <c r="H211" s="201" t="s">
        <v>650</v>
      </c>
    </row>
    <row r="212">
      <c r="A212" s="965">
        <v>46010.02374803241</v>
      </c>
      <c r="B212" s="966">
        <v>3.0</v>
      </c>
      <c r="C212" s="201" t="s">
        <v>297</v>
      </c>
      <c r="D212" s="201" t="s">
        <v>653</v>
      </c>
      <c r="E212" s="201" t="s">
        <v>654</v>
      </c>
      <c r="F212" s="201" t="s">
        <v>213</v>
      </c>
      <c r="G212" s="201" t="s">
        <v>772</v>
      </c>
      <c r="H212" s="201" t="s">
        <v>650</v>
      </c>
    </row>
    <row r="213">
      <c r="A213" s="965">
        <v>46010.02375078703</v>
      </c>
      <c r="B213" s="966">
        <v>3.0</v>
      </c>
      <c r="C213" s="201" t="s">
        <v>298</v>
      </c>
      <c r="D213" s="201" t="s">
        <v>653</v>
      </c>
      <c r="E213" s="201" t="s">
        <v>654</v>
      </c>
      <c r="F213" s="201" t="s">
        <v>213</v>
      </c>
      <c r="G213" s="201" t="s">
        <v>772</v>
      </c>
      <c r="H213" s="201" t="s">
        <v>650</v>
      </c>
    </row>
    <row r="214">
      <c r="A214" s="965">
        <v>46010.02375320602</v>
      </c>
      <c r="B214" s="966">
        <v>3.0</v>
      </c>
      <c r="C214" s="201" t="s">
        <v>299</v>
      </c>
      <c r="D214" s="201" t="s">
        <v>653</v>
      </c>
      <c r="E214" s="201" t="s">
        <v>654</v>
      </c>
      <c r="F214" s="201" t="s">
        <v>213</v>
      </c>
      <c r="G214" s="201" t="s">
        <v>772</v>
      </c>
      <c r="H214" s="201" t="s">
        <v>650</v>
      </c>
    </row>
    <row r="215">
      <c r="A215" s="965">
        <v>46010.02377101852</v>
      </c>
      <c r="B215" s="201" t="s">
        <v>213</v>
      </c>
      <c r="C215" s="201" t="s">
        <v>692</v>
      </c>
      <c r="D215" s="201" t="s">
        <v>693</v>
      </c>
      <c r="E215" s="201" t="s">
        <v>213</v>
      </c>
      <c r="F215" s="966">
        <v>18.0</v>
      </c>
      <c r="G215" s="201" t="s">
        <v>772</v>
      </c>
      <c r="H215" s="201" t="s">
        <v>650</v>
      </c>
    </row>
    <row r="216">
      <c r="A216" s="965">
        <v>46010.02378724537</v>
      </c>
      <c r="B216" s="201" t="s">
        <v>213</v>
      </c>
      <c r="C216" s="201" t="s">
        <v>694</v>
      </c>
      <c r="D216" s="201" t="s">
        <v>695</v>
      </c>
      <c r="E216" s="201" t="s">
        <v>213</v>
      </c>
      <c r="F216" s="966">
        <v>18.0</v>
      </c>
      <c r="G216" s="201" t="s">
        <v>772</v>
      </c>
      <c r="H216" s="201" t="s">
        <v>650</v>
      </c>
    </row>
    <row r="217">
      <c r="A217" s="965">
        <v>46010.02404986111</v>
      </c>
      <c r="B217" s="966">
        <v>3.0</v>
      </c>
      <c r="C217" s="201" t="s">
        <v>300</v>
      </c>
      <c r="D217" s="201" t="s">
        <v>653</v>
      </c>
      <c r="E217" s="201" t="s">
        <v>654</v>
      </c>
      <c r="F217" s="966">
        <v>18.0</v>
      </c>
      <c r="G217" s="201" t="s">
        <v>773</v>
      </c>
      <c r="H217" s="201" t="s">
        <v>698</v>
      </c>
    </row>
    <row r="218">
      <c r="A218" s="965">
        <v>46010.024056469905</v>
      </c>
      <c r="B218" s="966">
        <v>3.0</v>
      </c>
      <c r="C218" s="201" t="s">
        <v>301</v>
      </c>
      <c r="D218" s="201" t="s">
        <v>653</v>
      </c>
      <c r="E218" s="201" t="s">
        <v>654</v>
      </c>
      <c r="F218" s="966">
        <v>18.0</v>
      </c>
      <c r="G218" s="201" t="s">
        <v>773</v>
      </c>
      <c r="H218" s="201" t="s">
        <v>698</v>
      </c>
    </row>
    <row r="219">
      <c r="A219" s="965">
        <v>46010.024067499995</v>
      </c>
      <c r="B219" s="966">
        <v>3.0</v>
      </c>
      <c r="C219" s="201" t="s">
        <v>303</v>
      </c>
      <c r="D219" s="201" t="s">
        <v>653</v>
      </c>
      <c r="E219" s="201" t="s">
        <v>654</v>
      </c>
      <c r="F219" s="966">
        <v>18.0</v>
      </c>
      <c r="G219" s="201" t="s">
        <v>773</v>
      </c>
      <c r="H219" s="201" t="s">
        <v>698</v>
      </c>
    </row>
    <row r="220">
      <c r="A220" s="965">
        <v>46010.02407226852</v>
      </c>
      <c r="B220" s="966">
        <v>3.0</v>
      </c>
      <c r="C220" s="201" t="s">
        <v>304</v>
      </c>
      <c r="D220" s="201" t="s">
        <v>653</v>
      </c>
      <c r="E220" s="201" t="s">
        <v>654</v>
      </c>
      <c r="F220" s="966">
        <v>18.0</v>
      </c>
      <c r="G220" s="201" t="s">
        <v>773</v>
      </c>
      <c r="H220" s="201" t="s">
        <v>698</v>
      </c>
    </row>
    <row r="221">
      <c r="A221" s="965">
        <v>46010.02407861111</v>
      </c>
      <c r="B221" s="966">
        <v>3.0</v>
      </c>
      <c r="C221" s="201" t="s">
        <v>305</v>
      </c>
      <c r="D221" s="201" t="s">
        <v>653</v>
      </c>
      <c r="E221" s="201" t="s">
        <v>654</v>
      </c>
      <c r="F221" s="966">
        <v>18.0</v>
      </c>
      <c r="G221" s="201" t="s">
        <v>773</v>
      </c>
      <c r="H221" s="201" t="s">
        <v>698</v>
      </c>
    </row>
    <row r="222">
      <c r="A222" s="965">
        <v>46010.0240824537</v>
      </c>
      <c r="B222" s="966">
        <v>4.0</v>
      </c>
      <c r="C222" s="201" t="s">
        <v>306</v>
      </c>
      <c r="D222" s="201" t="s">
        <v>653</v>
      </c>
      <c r="E222" s="201" t="s">
        <v>654</v>
      </c>
      <c r="F222" s="966">
        <v>18.0</v>
      </c>
      <c r="G222" s="201" t="s">
        <v>773</v>
      </c>
      <c r="H222" s="201" t="s">
        <v>698</v>
      </c>
    </row>
    <row r="223">
      <c r="A223" s="965">
        <v>46010.02408729166</v>
      </c>
      <c r="B223" s="966">
        <v>4.0</v>
      </c>
      <c r="C223" s="201" t="s">
        <v>307</v>
      </c>
      <c r="D223" s="201" t="s">
        <v>653</v>
      </c>
      <c r="E223" s="201" t="s">
        <v>654</v>
      </c>
      <c r="F223" s="966">
        <v>18.0</v>
      </c>
      <c r="G223" s="201" t="s">
        <v>773</v>
      </c>
      <c r="H223" s="201" t="s">
        <v>698</v>
      </c>
    </row>
    <row r="224">
      <c r="A224" s="965">
        <v>46010.02409107639</v>
      </c>
      <c r="B224" s="966">
        <v>4.0</v>
      </c>
      <c r="C224" s="201" t="s">
        <v>308</v>
      </c>
      <c r="D224" s="201" t="s">
        <v>653</v>
      </c>
      <c r="E224" s="201" t="s">
        <v>654</v>
      </c>
      <c r="F224" s="966">
        <v>18.0</v>
      </c>
      <c r="G224" s="201" t="s">
        <v>773</v>
      </c>
      <c r="H224" s="201" t="s">
        <v>698</v>
      </c>
    </row>
    <row r="225">
      <c r="A225" s="965">
        <v>46010.024095706016</v>
      </c>
      <c r="B225" s="966">
        <v>4.0</v>
      </c>
      <c r="C225" s="201" t="s">
        <v>255</v>
      </c>
      <c r="D225" s="201" t="s">
        <v>653</v>
      </c>
      <c r="E225" s="201" t="s">
        <v>654</v>
      </c>
      <c r="F225" s="966">
        <v>18.0</v>
      </c>
      <c r="G225" s="201" t="s">
        <v>773</v>
      </c>
      <c r="H225" s="201" t="s">
        <v>698</v>
      </c>
    </row>
    <row r="226">
      <c r="A226" s="965">
        <v>46010.02409976852</v>
      </c>
      <c r="B226" s="966">
        <v>4.0</v>
      </c>
      <c r="C226" s="201" t="s">
        <v>309</v>
      </c>
      <c r="D226" s="201" t="s">
        <v>653</v>
      </c>
      <c r="E226" s="201" t="s">
        <v>654</v>
      </c>
      <c r="F226" s="966">
        <v>18.0</v>
      </c>
      <c r="G226" s="201" t="s">
        <v>773</v>
      </c>
      <c r="H226" s="201" t="s">
        <v>698</v>
      </c>
    </row>
    <row r="227">
      <c r="A227" s="965">
        <v>46010.02410405093</v>
      </c>
      <c r="B227" s="966">
        <v>4.0</v>
      </c>
      <c r="C227" s="201" t="s">
        <v>310</v>
      </c>
      <c r="D227" s="201" t="s">
        <v>653</v>
      </c>
      <c r="E227" s="201" t="s">
        <v>654</v>
      </c>
      <c r="F227" s="966">
        <v>18.0</v>
      </c>
      <c r="G227" s="201" t="s">
        <v>773</v>
      </c>
      <c r="H227" s="201" t="s">
        <v>698</v>
      </c>
    </row>
    <row r="228">
      <c r="A228" s="965">
        <v>46010.02410814815</v>
      </c>
      <c r="B228" s="966">
        <v>4.0</v>
      </c>
      <c r="C228" s="201" t="s">
        <v>311</v>
      </c>
      <c r="D228" s="201" t="s">
        <v>653</v>
      </c>
      <c r="E228" s="201" t="s">
        <v>654</v>
      </c>
      <c r="F228" s="966">
        <v>18.0</v>
      </c>
      <c r="G228" s="201" t="s">
        <v>773</v>
      </c>
      <c r="H228" s="201" t="s">
        <v>698</v>
      </c>
    </row>
    <row r="229">
      <c r="A229" s="965">
        <v>46010.02411108796</v>
      </c>
      <c r="B229" s="966">
        <v>4.0</v>
      </c>
      <c r="C229" s="201" t="s">
        <v>313</v>
      </c>
      <c r="D229" s="201" t="s">
        <v>653</v>
      </c>
      <c r="E229" s="201" t="s">
        <v>654</v>
      </c>
      <c r="F229" s="966">
        <v>18.0</v>
      </c>
      <c r="G229" s="201" t="s">
        <v>773</v>
      </c>
      <c r="H229" s="201" t="s">
        <v>698</v>
      </c>
    </row>
    <row r="230">
      <c r="A230" s="965">
        <v>46010.024114872685</v>
      </c>
      <c r="B230" s="966">
        <v>5.0</v>
      </c>
      <c r="C230" s="201" t="s">
        <v>314</v>
      </c>
      <c r="D230" s="201" t="s">
        <v>653</v>
      </c>
      <c r="E230" s="201" t="s">
        <v>654</v>
      </c>
      <c r="F230" s="966">
        <v>18.0</v>
      </c>
      <c r="G230" s="201" t="s">
        <v>773</v>
      </c>
      <c r="H230" s="201" t="s">
        <v>698</v>
      </c>
    </row>
    <row r="231">
      <c r="A231" s="965">
        <v>46010.02411903936</v>
      </c>
      <c r="B231" s="966">
        <v>5.0</v>
      </c>
      <c r="C231" s="201" t="s">
        <v>315</v>
      </c>
      <c r="D231" s="201" t="s">
        <v>653</v>
      </c>
      <c r="E231" s="201" t="s">
        <v>654</v>
      </c>
      <c r="F231" s="966">
        <v>18.0</v>
      </c>
      <c r="G231" s="201" t="s">
        <v>773</v>
      </c>
      <c r="H231" s="201" t="s">
        <v>698</v>
      </c>
    </row>
    <row r="232">
      <c r="A232" s="965">
        <v>46010.02412357639</v>
      </c>
      <c r="B232" s="966">
        <v>5.0</v>
      </c>
      <c r="C232" s="201" t="s">
        <v>316</v>
      </c>
      <c r="D232" s="201" t="s">
        <v>653</v>
      </c>
      <c r="E232" s="201" t="s">
        <v>654</v>
      </c>
      <c r="F232" s="966">
        <v>18.0</v>
      </c>
      <c r="G232" s="201" t="s">
        <v>773</v>
      </c>
      <c r="H232" s="201" t="s">
        <v>698</v>
      </c>
    </row>
    <row r="233">
      <c r="A233" s="965">
        <v>46010.024127384255</v>
      </c>
      <c r="B233" s="966">
        <v>5.0</v>
      </c>
      <c r="C233" s="201" t="s">
        <v>317</v>
      </c>
      <c r="D233" s="201" t="s">
        <v>653</v>
      </c>
      <c r="E233" s="201" t="s">
        <v>654</v>
      </c>
      <c r="F233" s="966">
        <v>18.0</v>
      </c>
      <c r="G233" s="201" t="s">
        <v>773</v>
      </c>
      <c r="H233" s="201" t="s">
        <v>698</v>
      </c>
    </row>
    <row r="234">
      <c r="A234" s="965">
        <v>46010.02413365741</v>
      </c>
      <c r="B234" s="966">
        <v>5.0</v>
      </c>
      <c r="C234" s="201" t="s">
        <v>318</v>
      </c>
      <c r="D234" s="201" t="s">
        <v>653</v>
      </c>
      <c r="E234" s="201" t="s">
        <v>654</v>
      </c>
      <c r="F234" s="966">
        <v>18.0</v>
      </c>
      <c r="G234" s="201" t="s">
        <v>773</v>
      </c>
      <c r="H234" s="201" t="s">
        <v>698</v>
      </c>
    </row>
    <row r="235">
      <c r="A235" s="965">
        <v>46010.02420447917</v>
      </c>
      <c r="B235" s="201" t="s">
        <v>213</v>
      </c>
      <c r="C235" s="201" t="s">
        <v>692</v>
      </c>
      <c r="D235" s="201" t="s">
        <v>693</v>
      </c>
      <c r="E235" s="201" t="s">
        <v>213</v>
      </c>
      <c r="F235" s="966">
        <v>36.0</v>
      </c>
      <c r="G235" s="201" t="s">
        <v>773</v>
      </c>
      <c r="H235" s="201" t="s">
        <v>698</v>
      </c>
    </row>
    <row r="236">
      <c r="A236" s="965">
        <v>46010.024226168985</v>
      </c>
      <c r="B236" s="201" t="s">
        <v>213</v>
      </c>
      <c r="C236" s="201" t="s">
        <v>694</v>
      </c>
      <c r="D236" s="201" t="s">
        <v>695</v>
      </c>
      <c r="E236" s="201" t="s">
        <v>213</v>
      </c>
      <c r="F236" s="966">
        <v>36.0</v>
      </c>
      <c r="G236" s="201" t="s">
        <v>773</v>
      </c>
      <c r="H236" s="201" t="s">
        <v>698</v>
      </c>
    </row>
    <row r="237">
      <c r="A237" s="965">
        <v>46010.02428351852</v>
      </c>
      <c r="B237" s="201" t="s">
        <v>213</v>
      </c>
      <c r="C237" s="201" t="s">
        <v>651</v>
      </c>
      <c r="D237" s="201" t="s">
        <v>652</v>
      </c>
      <c r="E237" s="201" t="s">
        <v>213</v>
      </c>
      <c r="F237" s="201" t="s">
        <v>213</v>
      </c>
      <c r="G237" s="201" t="s">
        <v>650</v>
      </c>
      <c r="H237" s="201" t="s">
        <v>650</v>
      </c>
    </row>
    <row r="238">
      <c r="A238" s="965">
        <v>46010.024296296295</v>
      </c>
      <c r="B238" s="966">
        <v>1.0</v>
      </c>
      <c r="C238" s="201" t="s">
        <v>279</v>
      </c>
      <c r="D238" s="201" t="s">
        <v>653</v>
      </c>
      <c r="E238" s="201" t="s">
        <v>654</v>
      </c>
      <c r="F238" s="201" t="s">
        <v>213</v>
      </c>
      <c r="G238" s="201" t="s">
        <v>775</v>
      </c>
      <c r="H238" s="201" t="s">
        <v>650</v>
      </c>
    </row>
    <row r="239">
      <c r="A239" s="965">
        <v>46010.02429973379</v>
      </c>
      <c r="B239" s="966">
        <v>1.0</v>
      </c>
      <c r="C239" s="201" t="s">
        <v>281</v>
      </c>
      <c r="D239" s="201" t="s">
        <v>653</v>
      </c>
      <c r="E239" s="201" t="s">
        <v>654</v>
      </c>
      <c r="F239" s="201" t="s">
        <v>213</v>
      </c>
      <c r="G239" s="201" t="s">
        <v>775</v>
      </c>
      <c r="H239" s="201" t="s">
        <v>650</v>
      </c>
    </row>
    <row r="240">
      <c r="A240" s="965">
        <v>46010.02430320602</v>
      </c>
      <c r="B240" s="966">
        <v>1.0</v>
      </c>
      <c r="C240" s="201" t="s">
        <v>283</v>
      </c>
      <c r="D240" s="201" t="s">
        <v>653</v>
      </c>
      <c r="E240" s="201" t="s">
        <v>654</v>
      </c>
      <c r="F240" s="201" t="s">
        <v>213</v>
      </c>
      <c r="G240" s="201" t="s">
        <v>775</v>
      </c>
      <c r="H240" s="201" t="s">
        <v>650</v>
      </c>
    </row>
    <row r="241">
      <c r="A241" s="965">
        <v>46010.02430686343</v>
      </c>
      <c r="B241" s="966">
        <v>1.0</v>
      </c>
      <c r="C241" s="201" t="s">
        <v>284</v>
      </c>
      <c r="D241" s="201" t="s">
        <v>653</v>
      </c>
      <c r="E241" s="201" t="s">
        <v>654</v>
      </c>
      <c r="F241" s="201" t="s">
        <v>213</v>
      </c>
      <c r="G241" s="201" t="s">
        <v>775</v>
      </c>
      <c r="H241" s="201" t="s">
        <v>650</v>
      </c>
    </row>
    <row r="242">
      <c r="A242" s="965">
        <v>46010.02431371528</v>
      </c>
      <c r="B242" s="966">
        <v>1.0</v>
      </c>
      <c r="C242" s="201" t="s">
        <v>285</v>
      </c>
      <c r="D242" s="201" t="s">
        <v>653</v>
      </c>
      <c r="E242" s="201" t="s">
        <v>654</v>
      </c>
      <c r="F242" s="201" t="s">
        <v>213</v>
      </c>
      <c r="G242" s="201" t="s">
        <v>775</v>
      </c>
      <c r="H242" s="201" t="s">
        <v>650</v>
      </c>
    </row>
    <row r="243">
      <c r="A243" s="965">
        <v>46010.024317511576</v>
      </c>
      <c r="B243" s="966">
        <v>1.0</v>
      </c>
      <c r="C243" s="201" t="s">
        <v>286</v>
      </c>
      <c r="D243" s="201" t="s">
        <v>653</v>
      </c>
      <c r="E243" s="201" t="s">
        <v>654</v>
      </c>
      <c r="F243" s="201" t="s">
        <v>213</v>
      </c>
      <c r="G243" s="201" t="s">
        <v>775</v>
      </c>
      <c r="H243" s="201" t="s">
        <v>650</v>
      </c>
    </row>
    <row r="244">
      <c r="A244" s="965">
        <v>46010.02432096065</v>
      </c>
      <c r="B244" s="966">
        <v>1.0</v>
      </c>
      <c r="C244" s="201" t="s">
        <v>287</v>
      </c>
      <c r="D244" s="201" t="s">
        <v>653</v>
      </c>
      <c r="E244" s="201" t="s">
        <v>654</v>
      </c>
      <c r="F244" s="201" t="s">
        <v>213</v>
      </c>
      <c r="G244" s="201" t="s">
        <v>775</v>
      </c>
      <c r="H244" s="201" t="s">
        <v>650</v>
      </c>
    </row>
    <row r="245">
      <c r="A245" s="965">
        <v>46010.02432427084</v>
      </c>
      <c r="B245" s="966">
        <v>2.0</v>
      </c>
      <c r="C245" s="201" t="s">
        <v>288</v>
      </c>
      <c r="D245" s="201" t="s">
        <v>653</v>
      </c>
      <c r="E245" s="201" t="s">
        <v>654</v>
      </c>
      <c r="F245" s="201" t="s">
        <v>213</v>
      </c>
      <c r="G245" s="201" t="s">
        <v>775</v>
      </c>
      <c r="H245" s="201" t="s">
        <v>650</v>
      </c>
    </row>
    <row r="246">
      <c r="A246" s="965">
        <v>46010.024328506945</v>
      </c>
      <c r="B246" s="966">
        <v>2.0</v>
      </c>
      <c r="C246" s="201" t="s">
        <v>289</v>
      </c>
      <c r="D246" s="201" t="s">
        <v>653</v>
      </c>
      <c r="E246" s="201" t="s">
        <v>654</v>
      </c>
      <c r="F246" s="201" t="s">
        <v>213</v>
      </c>
      <c r="G246" s="201" t="s">
        <v>775</v>
      </c>
      <c r="H246" s="201" t="s">
        <v>650</v>
      </c>
    </row>
    <row r="247">
      <c r="A247" s="965">
        <v>46010.02433186343</v>
      </c>
      <c r="B247" s="966">
        <v>2.0</v>
      </c>
      <c r="C247" s="201" t="s">
        <v>290</v>
      </c>
      <c r="D247" s="201" t="s">
        <v>653</v>
      </c>
      <c r="E247" s="201" t="s">
        <v>654</v>
      </c>
      <c r="F247" s="201" t="s">
        <v>213</v>
      </c>
      <c r="G247" s="201" t="s">
        <v>775</v>
      </c>
      <c r="H247" s="201" t="s">
        <v>650</v>
      </c>
    </row>
    <row r="248">
      <c r="A248" s="965">
        <v>46010.02433528935</v>
      </c>
      <c r="B248" s="966">
        <v>2.0</v>
      </c>
      <c r="C248" s="201" t="s">
        <v>292</v>
      </c>
      <c r="D248" s="201" t="s">
        <v>653</v>
      </c>
      <c r="E248" s="201" t="s">
        <v>654</v>
      </c>
      <c r="F248" s="201" t="s">
        <v>213</v>
      </c>
      <c r="G248" s="201" t="s">
        <v>775</v>
      </c>
      <c r="H248" s="201" t="s">
        <v>650</v>
      </c>
    </row>
    <row r="249">
      <c r="A249" s="965">
        <v>46010.02433871527</v>
      </c>
      <c r="B249" s="966">
        <v>2.0</v>
      </c>
      <c r="C249" s="201" t="s">
        <v>293</v>
      </c>
      <c r="D249" s="201" t="s">
        <v>653</v>
      </c>
      <c r="E249" s="201" t="s">
        <v>654</v>
      </c>
      <c r="F249" s="201" t="s">
        <v>213</v>
      </c>
      <c r="G249" s="201" t="s">
        <v>775</v>
      </c>
      <c r="H249" s="201" t="s">
        <v>650</v>
      </c>
    </row>
    <row r="250">
      <c r="A250" s="965">
        <v>46010.024351423606</v>
      </c>
      <c r="B250" s="966">
        <v>2.0</v>
      </c>
      <c r="C250" s="201" t="s">
        <v>294</v>
      </c>
      <c r="D250" s="201" t="s">
        <v>653</v>
      </c>
      <c r="E250" s="201" t="s">
        <v>654</v>
      </c>
      <c r="F250" s="201" t="s">
        <v>213</v>
      </c>
      <c r="G250" s="201" t="s">
        <v>775</v>
      </c>
      <c r="H250" s="201" t="s">
        <v>650</v>
      </c>
    </row>
    <row r="251">
      <c r="A251" s="965">
        <v>46010.02435497685</v>
      </c>
      <c r="B251" s="966">
        <v>2.0</v>
      </c>
      <c r="C251" s="201" t="s">
        <v>295</v>
      </c>
      <c r="D251" s="201" t="s">
        <v>653</v>
      </c>
      <c r="E251" s="201" t="s">
        <v>654</v>
      </c>
      <c r="F251" s="201" t="s">
        <v>213</v>
      </c>
      <c r="G251" s="201" t="s">
        <v>775</v>
      </c>
      <c r="H251" s="201" t="s">
        <v>650</v>
      </c>
    </row>
    <row r="252">
      <c r="A252" s="965">
        <v>46010.02435846065</v>
      </c>
      <c r="B252" s="966">
        <v>2.0</v>
      </c>
      <c r="C252" s="201" t="s">
        <v>296</v>
      </c>
      <c r="D252" s="201" t="s">
        <v>653</v>
      </c>
      <c r="E252" s="201" t="s">
        <v>654</v>
      </c>
      <c r="F252" s="201" t="s">
        <v>213</v>
      </c>
      <c r="G252" s="201" t="s">
        <v>775</v>
      </c>
      <c r="H252" s="201" t="s">
        <v>650</v>
      </c>
    </row>
    <row r="253">
      <c r="A253" s="965">
        <v>46010.024361909724</v>
      </c>
      <c r="B253" s="966">
        <v>3.0</v>
      </c>
      <c r="C253" s="201" t="s">
        <v>297</v>
      </c>
      <c r="D253" s="201" t="s">
        <v>653</v>
      </c>
      <c r="E253" s="201" t="s">
        <v>654</v>
      </c>
      <c r="F253" s="201" t="s">
        <v>213</v>
      </c>
      <c r="G253" s="201" t="s">
        <v>775</v>
      </c>
      <c r="H253" s="201" t="s">
        <v>650</v>
      </c>
    </row>
    <row r="254">
      <c r="A254" s="965">
        <v>46010.024365046294</v>
      </c>
      <c r="B254" s="966">
        <v>3.0</v>
      </c>
      <c r="C254" s="201" t="s">
        <v>298</v>
      </c>
      <c r="D254" s="201" t="s">
        <v>653</v>
      </c>
      <c r="E254" s="201" t="s">
        <v>654</v>
      </c>
      <c r="F254" s="201" t="s">
        <v>213</v>
      </c>
      <c r="G254" s="201" t="s">
        <v>775</v>
      </c>
      <c r="H254" s="201" t="s">
        <v>650</v>
      </c>
    </row>
    <row r="255">
      <c r="A255" s="965">
        <v>46010.02436863426</v>
      </c>
      <c r="B255" s="966">
        <v>3.0</v>
      </c>
      <c r="C255" s="201" t="s">
        <v>299</v>
      </c>
      <c r="D255" s="201" t="s">
        <v>653</v>
      </c>
      <c r="E255" s="201" t="s">
        <v>654</v>
      </c>
      <c r="F255" s="201" t="s">
        <v>213</v>
      </c>
      <c r="G255" s="201" t="s">
        <v>775</v>
      </c>
      <c r="H255" s="201" t="s">
        <v>650</v>
      </c>
    </row>
    <row r="256">
      <c r="A256" s="965">
        <v>46010.02438934028</v>
      </c>
      <c r="B256" s="201" t="s">
        <v>213</v>
      </c>
      <c r="C256" s="201" t="s">
        <v>692</v>
      </c>
      <c r="D256" s="201" t="s">
        <v>693</v>
      </c>
      <c r="E256" s="201" t="s">
        <v>213</v>
      </c>
      <c r="F256" s="966">
        <v>18.0</v>
      </c>
      <c r="G256" s="201" t="s">
        <v>775</v>
      </c>
      <c r="H256" s="201" t="s">
        <v>650</v>
      </c>
    </row>
    <row r="257">
      <c r="A257" s="965">
        <v>46010.02440645834</v>
      </c>
      <c r="B257" s="201" t="s">
        <v>213</v>
      </c>
      <c r="C257" s="201" t="s">
        <v>694</v>
      </c>
      <c r="D257" s="201" t="s">
        <v>695</v>
      </c>
      <c r="E257" s="201" t="s">
        <v>213</v>
      </c>
      <c r="F257" s="966">
        <v>18.0</v>
      </c>
      <c r="G257" s="201" t="s">
        <v>775</v>
      </c>
      <c r="H257" s="201" t="s">
        <v>650</v>
      </c>
    </row>
    <row r="258">
      <c r="A258" s="965">
        <v>46010.02476525463</v>
      </c>
      <c r="B258" s="966">
        <v>3.0</v>
      </c>
      <c r="C258" s="201" t="s">
        <v>300</v>
      </c>
      <c r="D258" s="201" t="s">
        <v>653</v>
      </c>
      <c r="E258" s="201" t="s">
        <v>654</v>
      </c>
      <c r="F258" s="966">
        <v>18.0</v>
      </c>
      <c r="G258" s="201" t="s">
        <v>777</v>
      </c>
      <c r="H258" s="201" t="s">
        <v>698</v>
      </c>
    </row>
    <row r="259">
      <c r="A259" s="965">
        <v>46010.02476944444</v>
      </c>
      <c r="B259" s="966">
        <v>3.0</v>
      </c>
      <c r="C259" s="201" t="s">
        <v>301</v>
      </c>
      <c r="D259" s="201" t="s">
        <v>653</v>
      </c>
      <c r="E259" s="201" t="s">
        <v>654</v>
      </c>
      <c r="F259" s="966">
        <v>18.0</v>
      </c>
      <c r="G259" s="201" t="s">
        <v>777</v>
      </c>
      <c r="H259" s="201" t="s">
        <v>698</v>
      </c>
    </row>
    <row r="260">
      <c r="A260" s="965">
        <v>46010.024773819445</v>
      </c>
      <c r="B260" s="966">
        <v>3.0</v>
      </c>
      <c r="C260" s="201" t="s">
        <v>303</v>
      </c>
      <c r="D260" s="201" t="s">
        <v>653</v>
      </c>
      <c r="E260" s="201" t="s">
        <v>654</v>
      </c>
      <c r="F260" s="966">
        <v>18.0</v>
      </c>
      <c r="G260" s="201" t="s">
        <v>777</v>
      </c>
      <c r="H260" s="201" t="s">
        <v>698</v>
      </c>
    </row>
    <row r="261">
      <c r="A261" s="965">
        <v>46010.02478230324</v>
      </c>
      <c r="B261" s="966">
        <v>3.0</v>
      </c>
      <c r="C261" s="201" t="s">
        <v>304</v>
      </c>
      <c r="D261" s="201" t="s">
        <v>653</v>
      </c>
      <c r="E261" s="201" t="s">
        <v>654</v>
      </c>
      <c r="F261" s="966">
        <v>18.0</v>
      </c>
      <c r="G261" s="201" t="s">
        <v>777</v>
      </c>
      <c r="H261" s="201" t="s">
        <v>698</v>
      </c>
    </row>
    <row r="262">
      <c r="A262" s="965">
        <v>46010.02478640046</v>
      </c>
      <c r="B262" s="966">
        <v>3.0</v>
      </c>
      <c r="C262" s="201" t="s">
        <v>305</v>
      </c>
      <c r="D262" s="201" t="s">
        <v>653</v>
      </c>
      <c r="E262" s="201" t="s">
        <v>654</v>
      </c>
      <c r="F262" s="966">
        <v>18.0</v>
      </c>
      <c r="G262" s="201" t="s">
        <v>777</v>
      </c>
      <c r="H262" s="201" t="s">
        <v>698</v>
      </c>
    </row>
    <row r="263">
      <c r="A263" s="965">
        <v>46010.0247903125</v>
      </c>
      <c r="B263" s="966">
        <v>4.0</v>
      </c>
      <c r="C263" s="201" t="s">
        <v>306</v>
      </c>
      <c r="D263" s="201" t="s">
        <v>653</v>
      </c>
      <c r="E263" s="201" t="s">
        <v>654</v>
      </c>
      <c r="F263" s="966">
        <v>18.0</v>
      </c>
      <c r="G263" s="201" t="s">
        <v>777</v>
      </c>
      <c r="H263" s="201" t="s">
        <v>698</v>
      </c>
    </row>
    <row r="264">
      <c r="A264" s="965">
        <v>46010.02479456019</v>
      </c>
      <c r="B264" s="966">
        <v>4.0</v>
      </c>
      <c r="C264" s="201" t="s">
        <v>307</v>
      </c>
      <c r="D264" s="201" t="s">
        <v>653</v>
      </c>
      <c r="E264" s="201" t="s">
        <v>654</v>
      </c>
      <c r="F264" s="966">
        <v>18.0</v>
      </c>
      <c r="G264" s="201" t="s">
        <v>777</v>
      </c>
      <c r="H264" s="201" t="s">
        <v>698</v>
      </c>
    </row>
    <row r="265">
      <c r="A265" s="965">
        <v>46010.02480586806</v>
      </c>
      <c r="B265" s="966">
        <v>4.0</v>
      </c>
      <c r="C265" s="201" t="s">
        <v>308</v>
      </c>
      <c r="D265" s="201" t="s">
        <v>653</v>
      </c>
      <c r="E265" s="201" t="s">
        <v>654</v>
      </c>
      <c r="F265" s="966">
        <v>18.0</v>
      </c>
      <c r="G265" s="201" t="s">
        <v>777</v>
      </c>
      <c r="H265" s="201" t="s">
        <v>698</v>
      </c>
    </row>
    <row r="266">
      <c r="A266" s="965">
        <v>46010.02481520834</v>
      </c>
      <c r="B266" s="966">
        <v>4.0</v>
      </c>
      <c r="C266" s="201" t="s">
        <v>255</v>
      </c>
      <c r="D266" s="201" t="s">
        <v>653</v>
      </c>
      <c r="E266" s="201" t="s">
        <v>654</v>
      </c>
      <c r="F266" s="966">
        <v>18.0</v>
      </c>
      <c r="G266" s="201" t="s">
        <v>777</v>
      </c>
      <c r="H266" s="201" t="s">
        <v>698</v>
      </c>
    </row>
    <row r="267">
      <c r="A267" s="965">
        <v>46010.02481883102</v>
      </c>
      <c r="B267" s="966">
        <v>4.0</v>
      </c>
      <c r="C267" s="201" t="s">
        <v>309</v>
      </c>
      <c r="D267" s="201" t="s">
        <v>653</v>
      </c>
      <c r="E267" s="201" t="s">
        <v>654</v>
      </c>
      <c r="F267" s="966">
        <v>18.0</v>
      </c>
      <c r="G267" s="201" t="s">
        <v>777</v>
      </c>
      <c r="H267" s="201" t="s">
        <v>698</v>
      </c>
    </row>
    <row r="268">
      <c r="A268" s="965">
        <v>46010.024822569445</v>
      </c>
      <c r="B268" s="966">
        <v>4.0</v>
      </c>
      <c r="C268" s="201" t="s">
        <v>310</v>
      </c>
      <c r="D268" s="201" t="s">
        <v>653</v>
      </c>
      <c r="E268" s="201" t="s">
        <v>654</v>
      </c>
      <c r="F268" s="966">
        <v>18.0</v>
      </c>
      <c r="G268" s="201" t="s">
        <v>777</v>
      </c>
      <c r="H268" s="201" t="s">
        <v>698</v>
      </c>
    </row>
    <row r="269">
      <c r="A269" s="965">
        <v>46010.024826574074</v>
      </c>
      <c r="B269" s="966">
        <v>4.0</v>
      </c>
      <c r="C269" s="201" t="s">
        <v>311</v>
      </c>
      <c r="D269" s="201" t="s">
        <v>653</v>
      </c>
      <c r="E269" s="201" t="s">
        <v>654</v>
      </c>
      <c r="F269" s="966">
        <v>18.0</v>
      </c>
      <c r="G269" s="201" t="s">
        <v>777</v>
      </c>
      <c r="H269" s="201" t="s">
        <v>698</v>
      </c>
    </row>
    <row r="270">
      <c r="A270" s="965">
        <v>46010.02483065972</v>
      </c>
      <c r="B270" s="966">
        <v>4.0</v>
      </c>
      <c r="C270" s="201" t="s">
        <v>313</v>
      </c>
      <c r="D270" s="201" t="s">
        <v>653</v>
      </c>
      <c r="E270" s="201" t="s">
        <v>654</v>
      </c>
      <c r="F270" s="966">
        <v>18.0</v>
      </c>
      <c r="G270" s="201" t="s">
        <v>777</v>
      </c>
      <c r="H270" s="201" t="s">
        <v>698</v>
      </c>
    </row>
    <row r="271">
      <c r="A271" s="965">
        <v>46010.02483430556</v>
      </c>
      <c r="B271" s="966">
        <v>5.0</v>
      </c>
      <c r="C271" s="201" t="s">
        <v>314</v>
      </c>
      <c r="D271" s="201" t="s">
        <v>653</v>
      </c>
      <c r="E271" s="201" t="s">
        <v>654</v>
      </c>
      <c r="F271" s="966">
        <v>18.0</v>
      </c>
      <c r="G271" s="201" t="s">
        <v>777</v>
      </c>
      <c r="H271" s="201" t="s">
        <v>698</v>
      </c>
    </row>
    <row r="272">
      <c r="A272" s="965">
        <v>46010.024846319444</v>
      </c>
      <c r="B272" s="201" t="s">
        <v>213</v>
      </c>
      <c r="C272" s="201" t="s">
        <v>778</v>
      </c>
      <c r="D272" s="201" t="s">
        <v>647</v>
      </c>
      <c r="E272" s="201" t="s">
        <v>779</v>
      </c>
      <c r="F272" s="201" t="s">
        <v>213</v>
      </c>
      <c r="G272" s="201" t="s">
        <v>780</v>
      </c>
      <c r="H272" s="201" t="s">
        <v>650</v>
      </c>
    </row>
    <row r="273">
      <c r="A273" s="965">
        <v>46010.024838032405</v>
      </c>
      <c r="B273" s="966">
        <v>5.0</v>
      </c>
      <c r="C273" s="201" t="s">
        <v>315</v>
      </c>
      <c r="D273" s="201" t="s">
        <v>653</v>
      </c>
      <c r="E273" s="201" t="s">
        <v>654</v>
      </c>
      <c r="F273" s="966">
        <v>18.0</v>
      </c>
      <c r="G273" s="201" t="s">
        <v>777</v>
      </c>
      <c r="H273" s="201" t="s">
        <v>698</v>
      </c>
    </row>
    <row r="274">
      <c r="A274" s="965">
        <v>46010.02485307871</v>
      </c>
      <c r="B274" s="966">
        <v>5.0</v>
      </c>
      <c r="C274" s="201" t="s">
        <v>316</v>
      </c>
      <c r="D274" s="201" t="s">
        <v>653</v>
      </c>
      <c r="E274" s="201" t="s">
        <v>654</v>
      </c>
      <c r="F274" s="966">
        <v>18.0</v>
      </c>
      <c r="G274" s="201" t="s">
        <v>777</v>
      </c>
      <c r="H274" s="201" t="s">
        <v>698</v>
      </c>
    </row>
    <row r="275">
      <c r="A275" s="965">
        <v>46010.02485716435</v>
      </c>
      <c r="B275" s="966">
        <v>5.0</v>
      </c>
      <c r="C275" s="201" t="s">
        <v>317</v>
      </c>
      <c r="D275" s="201" t="s">
        <v>653</v>
      </c>
      <c r="E275" s="201" t="s">
        <v>654</v>
      </c>
      <c r="F275" s="966">
        <v>18.0</v>
      </c>
      <c r="G275" s="201" t="s">
        <v>777</v>
      </c>
      <c r="H275" s="201" t="s">
        <v>698</v>
      </c>
    </row>
    <row r="276">
      <c r="A276" s="965">
        <v>46010.02486099537</v>
      </c>
      <c r="B276" s="966">
        <v>5.0</v>
      </c>
      <c r="C276" s="201" t="s">
        <v>318</v>
      </c>
      <c r="D276" s="201" t="s">
        <v>653</v>
      </c>
      <c r="E276" s="201" t="s">
        <v>654</v>
      </c>
      <c r="F276" s="966">
        <v>18.0</v>
      </c>
      <c r="G276" s="201" t="s">
        <v>777</v>
      </c>
      <c r="H276" s="201" t="s">
        <v>698</v>
      </c>
    </row>
    <row r="277">
      <c r="A277" s="965">
        <v>46010.024883923616</v>
      </c>
      <c r="B277" s="201" t="s">
        <v>213</v>
      </c>
      <c r="C277" s="201" t="s">
        <v>692</v>
      </c>
      <c r="D277" s="201" t="s">
        <v>693</v>
      </c>
      <c r="E277" s="201" t="s">
        <v>213</v>
      </c>
      <c r="F277" s="966">
        <v>36.0</v>
      </c>
      <c r="G277" s="201" t="s">
        <v>777</v>
      </c>
      <c r="H277" s="201" t="s">
        <v>698</v>
      </c>
    </row>
    <row r="278">
      <c r="A278" s="965">
        <v>46010.02491040509</v>
      </c>
      <c r="B278" s="201" t="s">
        <v>213</v>
      </c>
      <c r="C278" s="201" t="s">
        <v>694</v>
      </c>
      <c r="D278" s="201" t="s">
        <v>695</v>
      </c>
      <c r="E278" s="201" t="s">
        <v>213</v>
      </c>
      <c r="F278" s="966">
        <v>36.0</v>
      </c>
      <c r="G278" s="201" t="s">
        <v>777</v>
      </c>
      <c r="H278" s="201" t="s">
        <v>698</v>
      </c>
    </row>
    <row r="279">
      <c r="A279" s="965">
        <v>46010.02517540509</v>
      </c>
      <c r="B279" s="201" t="s">
        <v>213</v>
      </c>
      <c r="C279" s="201" t="s">
        <v>778</v>
      </c>
      <c r="D279" s="201" t="s">
        <v>647</v>
      </c>
      <c r="E279" s="201" t="s">
        <v>782</v>
      </c>
      <c r="F279" s="201" t="s">
        <v>213</v>
      </c>
      <c r="G279" s="201" t="s">
        <v>783</v>
      </c>
      <c r="H279" s="201" t="s">
        <v>650</v>
      </c>
    </row>
    <row r="280">
      <c r="A280" s="965">
        <v>46010.02550670139</v>
      </c>
      <c r="B280" s="966">
        <v>5.0</v>
      </c>
      <c r="C280" s="201" t="s">
        <v>319</v>
      </c>
      <c r="D280" s="201" t="s">
        <v>653</v>
      </c>
      <c r="E280" s="201" t="s">
        <v>654</v>
      </c>
      <c r="F280" s="966">
        <v>36.0</v>
      </c>
      <c r="G280" s="201" t="s">
        <v>784</v>
      </c>
      <c r="H280" s="201" t="s">
        <v>698</v>
      </c>
    </row>
    <row r="281">
      <c r="A281" s="965">
        <v>46010.025511203705</v>
      </c>
      <c r="B281" s="966">
        <v>5.0</v>
      </c>
      <c r="C281" s="201" t="s">
        <v>320</v>
      </c>
      <c r="D281" s="201" t="s">
        <v>653</v>
      </c>
      <c r="E281" s="201" t="s">
        <v>654</v>
      </c>
      <c r="F281" s="966">
        <v>36.0</v>
      </c>
      <c r="G281" s="201" t="s">
        <v>784</v>
      </c>
      <c r="H281" s="201" t="s">
        <v>698</v>
      </c>
    </row>
    <row r="282">
      <c r="A282" s="965">
        <v>46010.025514803245</v>
      </c>
      <c r="B282" s="966">
        <v>5.0</v>
      </c>
      <c r="C282" s="201" t="s">
        <v>322</v>
      </c>
      <c r="D282" s="201" t="s">
        <v>653</v>
      </c>
      <c r="E282" s="201" t="s">
        <v>654</v>
      </c>
      <c r="F282" s="966">
        <v>36.0</v>
      </c>
      <c r="G282" s="201" t="s">
        <v>784</v>
      </c>
      <c r="H282" s="201" t="s">
        <v>698</v>
      </c>
    </row>
    <row r="283">
      <c r="A283" s="965">
        <v>46010.025525439814</v>
      </c>
      <c r="B283" s="966">
        <v>6.0</v>
      </c>
      <c r="C283" s="201" t="s">
        <v>323</v>
      </c>
      <c r="D283" s="201" t="s">
        <v>653</v>
      </c>
      <c r="E283" s="201" t="s">
        <v>654</v>
      </c>
      <c r="F283" s="966">
        <v>36.0</v>
      </c>
      <c r="G283" s="201" t="s">
        <v>784</v>
      </c>
      <c r="H283" s="201" t="s">
        <v>698</v>
      </c>
    </row>
    <row r="284">
      <c r="A284" s="965">
        <v>46010.025529189814</v>
      </c>
      <c r="B284" s="966">
        <v>6.0</v>
      </c>
      <c r="C284" s="201" t="s">
        <v>324</v>
      </c>
      <c r="D284" s="201" t="s">
        <v>653</v>
      </c>
      <c r="E284" s="201" t="s">
        <v>654</v>
      </c>
      <c r="F284" s="966">
        <v>36.0</v>
      </c>
      <c r="G284" s="201" t="s">
        <v>784</v>
      </c>
      <c r="H284" s="201" t="s">
        <v>698</v>
      </c>
    </row>
    <row r="285">
      <c r="A285" s="965">
        <v>46010.025533402775</v>
      </c>
      <c r="B285" s="966">
        <v>6.0</v>
      </c>
      <c r="C285" s="201" t="s">
        <v>325</v>
      </c>
      <c r="D285" s="201" t="s">
        <v>653</v>
      </c>
      <c r="E285" s="201" t="s">
        <v>654</v>
      </c>
      <c r="F285" s="966">
        <v>36.0</v>
      </c>
      <c r="G285" s="201" t="s">
        <v>784</v>
      </c>
      <c r="H285" s="201" t="s">
        <v>698</v>
      </c>
    </row>
    <row r="286">
      <c r="A286" s="965">
        <v>46010.02553708333</v>
      </c>
      <c r="B286" s="966">
        <v>6.0</v>
      </c>
      <c r="C286" s="201" t="s">
        <v>326</v>
      </c>
      <c r="D286" s="201" t="s">
        <v>653</v>
      </c>
      <c r="E286" s="201" t="s">
        <v>654</v>
      </c>
      <c r="F286" s="966">
        <v>36.0</v>
      </c>
      <c r="G286" s="201" t="s">
        <v>784</v>
      </c>
      <c r="H286" s="201" t="s">
        <v>698</v>
      </c>
    </row>
    <row r="287">
      <c r="A287" s="965">
        <v>46010.025541423616</v>
      </c>
      <c r="B287" s="966">
        <v>6.0</v>
      </c>
      <c r="C287" s="201" t="s">
        <v>327</v>
      </c>
      <c r="D287" s="201" t="s">
        <v>653</v>
      </c>
      <c r="E287" s="201" t="s">
        <v>654</v>
      </c>
      <c r="F287" s="966">
        <v>36.0</v>
      </c>
      <c r="G287" s="201" t="s">
        <v>784</v>
      </c>
      <c r="H287" s="201" t="s">
        <v>698</v>
      </c>
    </row>
    <row r="288">
      <c r="A288" s="965">
        <v>46010.02554577547</v>
      </c>
      <c r="B288" s="966">
        <v>6.0</v>
      </c>
      <c r="C288" s="201" t="s">
        <v>328</v>
      </c>
      <c r="D288" s="201" t="s">
        <v>653</v>
      </c>
      <c r="E288" s="201" t="s">
        <v>654</v>
      </c>
      <c r="F288" s="966">
        <v>36.0</v>
      </c>
      <c r="G288" s="201" t="s">
        <v>784</v>
      </c>
      <c r="H288" s="201" t="s">
        <v>698</v>
      </c>
    </row>
    <row r="289">
      <c r="A289" s="965">
        <v>46010.025549722224</v>
      </c>
      <c r="B289" s="966">
        <v>6.0</v>
      </c>
      <c r="C289" s="201" t="s">
        <v>329</v>
      </c>
      <c r="D289" s="201" t="s">
        <v>653</v>
      </c>
      <c r="E289" s="201" t="s">
        <v>654</v>
      </c>
      <c r="F289" s="966">
        <v>36.0</v>
      </c>
      <c r="G289" s="201" t="s">
        <v>784</v>
      </c>
      <c r="H289" s="201" t="s">
        <v>698</v>
      </c>
    </row>
    <row r="290">
      <c r="A290" s="965">
        <v>46010.02559053241</v>
      </c>
      <c r="B290" s="201" t="s">
        <v>213</v>
      </c>
      <c r="C290" s="201" t="s">
        <v>692</v>
      </c>
      <c r="D290" s="201" t="s">
        <v>693</v>
      </c>
      <c r="E290" s="201" t="s">
        <v>213</v>
      </c>
      <c r="F290" s="966">
        <v>54.0</v>
      </c>
      <c r="G290" s="201" t="s">
        <v>784</v>
      </c>
      <c r="H290" s="201" t="s">
        <v>698</v>
      </c>
    </row>
    <row r="291">
      <c r="A291" s="965">
        <v>46010.025617719904</v>
      </c>
      <c r="B291" s="201" t="s">
        <v>213</v>
      </c>
      <c r="C291" s="201" t="s">
        <v>778</v>
      </c>
      <c r="D291" s="201" t="s">
        <v>647</v>
      </c>
      <c r="E291" s="201" t="s">
        <v>785</v>
      </c>
      <c r="F291" s="201" t="s">
        <v>213</v>
      </c>
      <c r="G291" s="201" t="s">
        <v>786</v>
      </c>
      <c r="H291" s="201" t="s">
        <v>650</v>
      </c>
    </row>
    <row r="292">
      <c r="A292" s="965">
        <v>46010.025623113426</v>
      </c>
      <c r="B292" s="201" t="s">
        <v>213</v>
      </c>
      <c r="C292" s="201" t="s">
        <v>760</v>
      </c>
      <c r="D292" s="201" t="s">
        <v>761</v>
      </c>
      <c r="E292" s="201" t="s">
        <v>213</v>
      </c>
      <c r="F292" s="966">
        <v>54.0</v>
      </c>
      <c r="G292" s="201" t="s">
        <v>784</v>
      </c>
      <c r="H292" s="201" t="s">
        <v>698</v>
      </c>
    </row>
    <row r="293">
      <c r="A293" s="965">
        <v>46010.025842152776</v>
      </c>
      <c r="B293" s="201" t="s">
        <v>213</v>
      </c>
      <c r="C293" s="201" t="s">
        <v>778</v>
      </c>
      <c r="D293" s="201" t="s">
        <v>647</v>
      </c>
      <c r="E293" s="201" t="s">
        <v>787</v>
      </c>
      <c r="F293" s="201" t="s">
        <v>213</v>
      </c>
      <c r="G293" s="201" t="s">
        <v>788</v>
      </c>
      <c r="H293" s="201" t="s">
        <v>650</v>
      </c>
    </row>
    <row r="294">
      <c r="A294" s="965">
        <v>46010.0263944676</v>
      </c>
      <c r="B294" s="201" t="s">
        <v>213</v>
      </c>
      <c r="C294" s="201" t="s">
        <v>778</v>
      </c>
      <c r="D294" s="201" t="s">
        <v>647</v>
      </c>
      <c r="E294" s="201" t="s">
        <v>789</v>
      </c>
      <c r="F294" s="201" t="s">
        <v>213</v>
      </c>
      <c r="G294" s="201" t="s">
        <v>790</v>
      </c>
      <c r="H294" s="201" t="s">
        <v>650</v>
      </c>
    </row>
    <row r="295">
      <c r="A295" s="965">
        <v>46010.02666333334</v>
      </c>
      <c r="B295" s="201" t="s">
        <v>213</v>
      </c>
      <c r="C295" s="201" t="s">
        <v>778</v>
      </c>
      <c r="D295" s="201" t="s">
        <v>647</v>
      </c>
      <c r="E295" s="201" t="s">
        <v>791</v>
      </c>
      <c r="F295" s="201" t="s">
        <v>213</v>
      </c>
      <c r="G295" s="201" t="s">
        <v>792</v>
      </c>
      <c r="H295" s="201" t="s">
        <v>650</v>
      </c>
    </row>
    <row r="296">
      <c r="A296" s="965">
        <v>46010.026998483794</v>
      </c>
      <c r="B296" s="201" t="s">
        <v>213</v>
      </c>
      <c r="C296" s="201" t="s">
        <v>778</v>
      </c>
      <c r="D296" s="201" t="s">
        <v>647</v>
      </c>
      <c r="E296" s="201" t="s">
        <v>793</v>
      </c>
      <c r="F296" s="201" t="s">
        <v>213</v>
      </c>
      <c r="G296" s="201" t="s">
        <v>794</v>
      </c>
      <c r="H296" s="201" t="s">
        <v>650</v>
      </c>
    </row>
    <row r="297">
      <c r="A297" s="965">
        <v>46010.02739407407</v>
      </c>
      <c r="B297" s="201" t="s">
        <v>213</v>
      </c>
      <c r="C297" s="201" t="s">
        <v>778</v>
      </c>
      <c r="D297" s="201" t="s">
        <v>647</v>
      </c>
      <c r="E297" s="201" t="s">
        <v>795</v>
      </c>
      <c r="F297" s="201" t="s">
        <v>213</v>
      </c>
      <c r="G297" s="201" t="s">
        <v>796</v>
      </c>
      <c r="H297" s="201" t="s">
        <v>650</v>
      </c>
    </row>
    <row r="298">
      <c r="A298" s="965">
        <v>46010.02759377315</v>
      </c>
      <c r="B298" s="201" t="s">
        <v>213</v>
      </c>
      <c r="C298" s="201" t="s">
        <v>778</v>
      </c>
      <c r="D298" s="201" t="s">
        <v>647</v>
      </c>
      <c r="E298" s="201" t="s">
        <v>797</v>
      </c>
      <c r="F298" s="201" t="s">
        <v>213</v>
      </c>
      <c r="G298" s="201" t="s">
        <v>798</v>
      </c>
      <c r="H298" s="201" t="s">
        <v>650</v>
      </c>
    </row>
    <row r="299">
      <c r="A299" s="965">
        <v>46010.0277955787</v>
      </c>
      <c r="B299" s="201" t="s">
        <v>213</v>
      </c>
      <c r="C299" s="201" t="s">
        <v>778</v>
      </c>
      <c r="D299" s="201" t="s">
        <v>647</v>
      </c>
      <c r="E299" s="201" t="s">
        <v>799</v>
      </c>
      <c r="F299" s="201" t="s">
        <v>213</v>
      </c>
      <c r="G299" s="201" t="s">
        <v>800</v>
      </c>
      <c r="H299" s="201" t="s">
        <v>650</v>
      </c>
    </row>
    <row r="300">
      <c r="A300" s="965">
        <v>46010.02800247685</v>
      </c>
      <c r="B300" s="201" t="s">
        <v>213</v>
      </c>
      <c r="C300" s="201" t="s">
        <v>778</v>
      </c>
      <c r="D300" s="201" t="s">
        <v>647</v>
      </c>
      <c r="E300" s="201" t="s">
        <v>801</v>
      </c>
      <c r="F300" s="201" t="s">
        <v>213</v>
      </c>
      <c r="G300" s="201" t="s">
        <v>803</v>
      </c>
      <c r="H300" s="201" t="s">
        <v>650</v>
      </c>
    </row>
    <row r="301">
      <c r="A301" s="965">
        <v>46010.02822298611</v>
      </c>
      <c r="B301" s="201" t="s">
        <v>213</v>
      </c>
      <c r="C301" s="201" t="s">
        <v>778</v>
      </c>
      <c r="D301" s="201" t="s">
        <v>647</v>
      </c>
      <c r="E301" s="201" t="s">
        <v>804</v>
      </c>
      <c r="F301" s="201" t="s">
        <v>213</v>
      </c>
      <c r="G301" s="201" t="s">
        <v>805</v>
      </c>
      <c r="H301" s="201" t="s">
        <v>650</v>
      </c>
    </row>
    <row r="302">
      <c r="A302" s="965">
        <v>46010.028492592595</v>
      </c>
      <c r="B302" s="201" t="s">
        <v>213</v>
      </c>
      <c r="C302" s="201" t="s">
        <v>778</v>
      </c>
      <c r="D302" s="201" t="s">
        <v>647</v>
      </c>
      <c r="E302" s="201" t="s">
        <v>806</v>
      </c>
      <c r="F302" s="201" t="s">
        <v>213</v>
      </c>
      <c r="G302" s="201" t="s">
        <v>807</v>
      </c>
      <c r="H302" s="201" t="s">
        <v>650</v>
      </c>
    </row>
    <row r="303">
      <c r="A303" s="965">
        <v>46010.03188928241</v>
      </c>
      <c r="B303" s="201" t="s">
        <v>213</v>
      </c>
      <c r="C303" s="201" t="s">
        <v>778</v>
      </c>
      <c r="D303" s="201" t="s">
        <v>647</v>
      </c>
      <c r="E303" s="201" t="s">
        <v>808</v>
      </c>
      <c r="F303" s="201" t="s">
        <v>213</v>
      </c>
      <c r="G303" s="201" t="s">
        <v>809</v>
      </c>
      <c r="H303" s="201" t="s">
        <v>650</v>
      </c>
    </row>
    <row r="304">
      <c r="A304" s="965">
        <v>46010.03214284722</v>
      </c>
      <c r="B304" s="201" t="s">
        <v>213</v>
      </c>
      <c r="C304" s="201" t="s">
        <v>778</v>
      </c>
      <c r="D304" s="201" t="s">
        <v>647</v>
      </c>
      <c r="E304" s="201" t="s">
        <v>810</v>
      </c>
      <c r="F304" s="201" t="s">
        <v>213</v>
      </c>
      <c r="G304" s="201" t="s">
        <v>811</v>
      </c>
      <c r="H304" s="201" t="s">
        <v>650</v>
      </c>
    </row>
    <row r="305">
      <c r="A305" s="965">
        <v>46010.03262884259</v>
      </c>
      <c r="B305" s="201" t="s">
        <v>213</v>
      </c>
      <c r="C305" s="201" t="s">
        <v>778</v>
      </c>
      <c r="D305" s="201" t="s">
        <v>647</v>
      </c>
      <c r="E305" s="201" t="s">
        <v>812</v>
      </c>
      <c r="F305" s="201" t="s">
        <v>213</v>
      </c>
      <c r="G305" s="201" t="s">
        <v>813</v>
      </c>
      <c r="H305" s="201" t="s">
        <v>650</v>
      </c>
    </row>
    <row r="306">
      <c r="A306" s="965">
        <v>46010.032974050926</v>
      </c>
      <c r="B306" s="201" t="s">
        <v>213</v>
      </c>
      <c r="C306" s="201" t="s">
        <v>778</v>
      </c>
      <c r="D306" s="201" t="s">
        <v>647</v>
      </c>
      <c r="E306" s="201" t="s">
        <v>814</v>
      </c>
      <c r="F306" s="201" t="s">
        <v>213</v>
      </c>
      <c r="G306" s="201" t="s">
        <v>815</v>
      </c>
      <c r="H306" s="201" t="s">
        <v>650</v>
      </c>
    </row>
    <row r="307">
      <c r="A307" s="965">
        <v>46010.03320797454</v>
      </c>
      <c r="B307" s="201" t="s">
        <v>213</v>
      </c>
      <c r="C307" s="201" t="s">
        <v>778</v>
      </c>
      <c r="D307" s="201" t="s">
        <v>647</v>
      </c>
      <c r="E307" s="201" t="s">
        <v>816</v>
      </c>
      <c r="F307" s="201" t="s">
        <v>213</v>
      </c>
      <c r="G307" s="201" t="s">
        <v>817</v>
      </c>
      <c r="H307" s="201" t="s">
        <v>650</v>
      </c>
    </row>
    <row r="308">
      <c r="A308" s="965">
        <v>46010.03340302083</v>
      </c>
      <c r="B308" s="201" t="s">
        <v>213</v>
      </c>
      <c r="C308" s="201" t="s">
        <v>778</v>
      </c>
      <c r="D308" s="201" t="s">
        <v>647</v>
      </c>
      <c r="E308" s="201" t="s">
        <v>818</v>
      </c>
      <c r="F308" s="201" t="s">
        <v>213</v>
      </c>
      <c r="G308" s="201" t="s">
        <v>819</v>
      </c>
      <c r="H308" s="201" t="s">
        <v>650</v>
      </c>
    </row>
    <row r="309">
      <c r="A309" s="965">
        <v>46010.033799490746</v>
      </c>
      <c r="B309" s="201" t="s">
        <v>213</v>
      </c>
      <c r="C309" s="201" t="s">
        <v>778</v>
      </c>
      <c r="D309" s="201" t="s">
        <v>647</v>
      </c>
      <c r="E309" s="201" t="s">
        <v>820</v>
      </c>
      <c r="F309" s="201" t="s">
        <v>213</v>
      </c>
      <c r="G309" s="201" t="s">
        <v>821</v>
      </c>
      <c r="H309" s="201" t="s">
        <v>650</v>
      </c>
    </row>
    <row r="310">
      <c r="A310" s="965">
        <v>46010.03403203704</v>
      </c>
      <c r="B310" s="201" t="s">
        <v>213</v>
      </c>
      <c r="C310" s="201" t="s">
        <v>778</v>
      </c>
      <c r="D310" s="201" t="s">
        <v>647</v>
      </c>
      <c r="E310" s="201" t="s">
        <v>822</v>
      </c>
      <c r="F310" s="201" t="s">
        <v>213</v>
      </c>
      <c r="G310" s="201" t="s">
        <v>823</v>
      </c>
      <c r="H310" s="201" t="s">
        <v>650</v>
      </c>
    </row>
    <row r="311">
      <c r="A311" s="965">
        <v>46010.03423752315</v>
      </c>
      <c r="B311" s="201" t="s">
        <v>213</v>
      </c>
      <c r="C311" s="201" t="s">
        <v>778</v>
      </c>
      <c r="D311" s="201" t="s">
        <v>647</v>
      </c>
      <c r="E311" s="201" t="s">
        <v>824</v>
      </c>
      <c r="F311" s="201" t="s">
        <v>213</v>
      </c>
      <c r="G311" s="201" t="s">
        <v>825</v>
      </c>
      <c r="H311" s="201" t="s">
        <v>650</v>
      </c>
    </row>
    <row r="312">
      <c r="A312" s="965">
        <v>46010.03454569445</v>
      </c>
      <c r="B312" s="201" t="s">
        <v>213</v>
      </c>
      <c r="C312" s="201" t="s">
        <v>778</v>
      </c>
      <c r="D312" s="201" t="s">
        <v>647</v>
      </c>
      <c r="E312" s="201" t="s">
        <v>826</v>
      </c>
      <c r="F312" s="201" t="s">
        <v>213</v>
      </c>
      <c r="G312" s="201" t="s">
        <v>827</v>
      </c>
      <c r="H312" s="201" t="s">
        <v>650</v>
      </c>
    </row>
    <row r="313">
      <c r="A313" s="965">
        <v>46010.034983854166</v>
      </c>
      <c r="B313" s="201" t="s">
        <v>213</v>
      </c>
      <c r="C313" s="201" t="s">
        <v>778</v>
      </c>
      <c r="D313" s="201" t="s">
        <v>647</v>
      </c>
      <c r="E313" s="201" t="s">
        <v>828</v>
      </c>
      <c r="F313" s="201" t="s">
        <v>213</v>
      </c>
      <c r="G313" s="201" t="s">
        <v>829</v>
      </c>
      <c r="H313" s="201" t="s">
        <v>650</v>
      </c>
    </row>
    <row r="314">
      <c r="A314" s="965">
        <v>46010.035290011576</v>
      </c>
      <c r="B314" s="201" t="s">
        <v>213</v>
      </c>
      <c r="C314" s="201" t="s">
        <v>778</v>
      </c>
      <c r="D314" s="201" t="s">
        <v>647</v>
      </c>
      <c r="E314" s="201" t="s">
        <v>830</v>
      </c>
      <c r="F314" s="201" t="s">
        <v>213</v>
      </c>
      <c r="G314" s="201" t="s">
        <v>831</v>
      </c>
      <c r="H314" s="201" t="s">
        <v>650</v>
      </c>
    </row>
    <row r="315">
      <c r="A315" s="965">
        <v>46010.035562812496</v>
      </c>
      <c r="B315" s="201" t="s">
        <v>213</v>
      </c>
      <c r="C315" s="201" t="s">
        <v>778</v>
      </c>
      <c r="D315" s="201" t="s">
        <v>647</v>
      </c>
      <c r="E315" s="201" t="s">
        <v>832</v>
      </c>
      <c r="F315" s="201" t="s">
        <v>213</v>
      </c>
      <c r="G315" s="201" t="s">
        <v>833</v>
      </c>
      <c r="H315" s="201" t="s">
        <v>650</v>
      </c>
    </row>
    <row r="316">
      <c r="A316" s="965">
        <v>46010.035996493054</v>
      </c>
      <c r="B316" s="201" t="s">
        <v>213</v>
      </c>
      <c r="C316" s="201" t="s">
        <v>778</v>
      </c>
      <c r="D316" s="201" t="s">
        <v>647</v>
      </c>
      <c r="E316" s="201" t="s">
        <v>834</v>
      </c>
      <c r="F316" s="201" t="s">
        <v>213</v>
      </c>
      <c r="G316" s="201" t="s">
        <v>835</v>
      </c>
      <c r="H316" s="201" t="s">
        <v>650</v>
      </c>
    </row>
    <row r="317">
      <c r="A317" s="965">
        <v>46010.0367752662</v>
      </c>
      <c r="B317" s="201" t="s">
        <v>213</v>
      </c>
      <c r="C317" s="201" t="s">
        <v>778</v>
      </c>
      <c r="D317" s="201" t="s">
        <v>647</v>
      </c>
      <c r="E317" s="201" t="s">
        <v>836</v>
      </c>
      <c r="F317" s="201" t="s">
        <v>213</v>
      </c>
      <c r="G317" s="201" t="s">
        <v>837</v>
      </c>
      <c r="H317" s="201" t="s">
        <v>650</v>
      </c>
    </row>
    <row r="318">
      <c r="A318" s="965">
        <v>46010.03696881945</v>
      </c>
      <c r="B318" s="201" t="s">
        <v>213</v>
      </c>
      <c r="C318" s="201" t="s">
        <v>778</v>
      </c>
      <c r="D318" s="201" t="s">
        <v>647</v>
      </c>
      <c r="E318" s="201" t="s">
        <v>838</v>
      </c>
      <c r="F318" s="201" t="s">
        <v>213</v>
      </c>
      <c r="G318" s="201" t="s">
        <v>839</v>
      </c>
      <c r="H318" s="201" t="s">
        <v>650</v>
      </c>
    </row>
    <row r="319">
      <c r="A319" s="965">
        <v>46010.03734207176</v>
      </c>
      <c r="B319" s="201" t="s">
        <v>213</v>
      </c>
      <c r="C319" s="201" t="s">
        <v>778</v>
      </c>
      <c r="D319" s="201" t="s">
        <v>647</v>
      </c>
      <c r="E319" s="201" t="s">
        <v>840</v>
      </c>
      <c r="F319" s="201" t="s">
        <v>213</v>
      </c>
      <c r="G319" s="201" t="s">
        <v>841</v>
      </c>
      <c r="H319" s="201" t="s">
        <v>650</v>
      </c>
    </row>
    <row r="320">
      <c r="A320" s="965">
        <v>46010.03815354167</v>
      </c>
      <c r="B320" s="201" t="s">
        <v>213</v>
      </c>
      <c r="C320" s="201" t="s">
        <v>778</v>
      </c>
      <c r="D320" s="201" t="s">
        <v>647</v>
      </c>
      <c r="E320" s="201" t="s">
        <v>842</v>
      </c>
      <c r="F320" s="201" t="s">
        <v>213</v>
      </c>
      <c r="G320" s="201" t="s">
        <v>843</v>
      </c>
      <c r="H320" s="201" t="s">
        <v>650</v>
      </c>
    </row>
    <row r="321">
      <c r="A321" s="965">
        <v>46010.03858795139</v>
      </c>
      <c r="B321" s="201" t="s">
        <v>213</v>
      </c>
      <c r="C321" s="201" t="s">
        <v>778</v>
      </c>
      <c r="D321" s="201" t="s">
        <v>647</v>
      </c>
      <c r="E321" s="201" t="s">
        <v>844</v>
      </c>
      <c r="F321" s="201" t="s">
        <v>213</v>
      </c>
      <c r="G321" s="201" t="s">
        <v>845</v>
      </c>
      <c r="H321" s="201" t="s">
        <v>650</v>
      </c>
    </row>
    <row r="322">
      <c r="A322" s="965">
        <v>46010.03890796297</v>
      </c>
      <c r="B322" s="201" t="s">
        <v>213</v>
      </c>
      <c r="C322" s="201" t="s">
        <v>778</v>
      </c>
      <c r="D322" s="201" t="s">
        <v>647</v>
      </c>
      <c r="E322" s="201" t="s">
        <v>846</v>
      </c>
      <c r="F322" s="201" t="s">
        <v>213</v>
      </c>
      <c r="G322" s="201" t="s">
        <v>847</v>
      </c>
      <c r="H322" s="201" t="s">
        <v>650</v>
      </c>
    </row>
    <row r="323">
      <c r="A323" s="965">
        <v>46010.03913664352</v>
      </c>
      <c r="B323" s="201" t="s">
        <v>213</v>
      </c>
      <c r="C323" s="201" t="s">
        <v>778</v>
      </c>
      <c r="D323" s="201" t="s">
        <v>647</v>
      </c>
      <c r="E323" s="201" t="s">
        <v>849</v>
      </c>
      <c r="F323" s="201" t="s">
        <v>213</v>
      </c>
      <c r="G323" s="201" t="s">
        <v>850</v>
      </c>
      <c r="H323" s="201" t="s">
        <v>650</v>
      </c>
    </row>
    <row r="324">
      <c r="A324" s="965">
        <v>46010.0395234375</v>
      </c>
      <c r="B324" s="201" t="s">
        <v>213</v>
      </c>
      <c r="C324" s="201" t="s">
        <v>778</v>
      </c>
      <c r="D324" s="201" t="s">
        <v>647</v>
      </c>
      <c r="E324" s="201" t="s">
        <v>851</v>
      </c>
      <c r="F324" s="201" t="s">
        <v>213</v>
      </c>
      <c r="G324" s="201" t="s">
        <v>852</v>
      </c>
      <c r="H324" s="201" t="s">
        <v>650</v>
      </c>
    </row>
    <row r="325">
      <c r="A325" s="965">
        <v>46010.039811712966</v>
      </c>
      <c r="B325" s="201" t="s">
        <v>213</v>
      </c>
      <c r="C325" s="201" t="s">
        <v>778</v>
      </c>
      <c r="D325" s="201" t="s">
        <v>647</v>
      </c>
      <c r="E325" s="201" t="s">
        <v>853</v>
      </c>
      <c r="F325" s="201" t="s">
        <v>213</v>
      </c>
      <c r="G325" s="201" t="s">
        <v>854</v>
      </c>
      <c r="H325" s="201" t="s">
        <v>650</v>
      </c>
    </row>
    <row r="326">
      <c r="A326" s="965">
        <v>46010.04050178241</v>
      </c>
      <c r="B326" s="201" t="s">
        <v>213</v>
      </c>
      <c r="C326" s="201" t="s">
        <v>778</v>
      </c>
      <c r="D326" s="201" t="s">
        <v>647</v>
      </c>
      <c r="E326" s="201" t="s">
        <v>855</v>
      </c>
      <c r="F326" s="201" t="s">
        <v>213</v>
      </c>
      <c r="G326" s="201" t="s">
        <v>856</v>
      </c>
      <c r="H326" s="201" t="s">
        <v>650</v>
      </c>
    </row>
    <row r="327">
      <c r="A327" s="965">
        <v>46010.04128255787</v>
      </c>
      <c r="B327" s="201" t="s">
        <v>213</v>
      </c>
      <c r="C327" s="201" t="s">
        <v>778</v>
      </c>
      <c r="D327" s="201" t="s">
        <v>647</v>
      </c>
      <c r="E327" s="201" t="s">
        <v>857</v>
      </c>
      <c r="F327" s="201" t="s">
        <v>213</v>
      </c>
      <c r="G327" s="201" t="s">
        <v>858</v>
      </c>
      <c r="H327" s="201" t="s">
        <v>650</v>
      </c>
    </row>
    <row r="328">
      <c r="A328" s="965">
        <v>46010.04155013889</v>
      </c>
      <c r="B328" s="201" t="s">
        <v>213</v>
      </c>
      <c r="C328" s="201" t="s">
        <v>778</v>
      </c>
      <c r="D328" s="201" t="s">
        <v>647</v>
      </c>
      <c r="E328" s="201" t="s">
        <v>859</v>
      </c>
      <c r="F328" s="201" t="s">
        <v>213</v>
      </c>
      <c r="G328" s="201" t="s">
        <v>861</v>
      </c>
      <c r="H328" s="201" t="s">
        <v>650</v>
      </c>
    </row>
    <row r="329">
      <c r="A329" s="965">
        <v>46010.04181925926</v>
      </c>
      <c r="B329" s="201" t="s">
        <v>213</v>
      </c>
      <c r="C329" s="201" t="s">
        <v>778</v>
      </c>
      <c r="D329" s="201" t="s">
        <v>647</v>
      </c>
      <c r="E329" s="201" t="s">
        <v>862</v>
      </c>
      <c r="F329" s="201" t="s">
        <v>213</v>
      </c>
      <c r="G329" s="201" t="s">
        <v>863</v>
      </c>
      <c r="H329" s="201" t="s">
        <v>650</v>
      </c>
    </row>
    <row r="330">
      <c r="A330" s="965">
        <v>46010.042082604166</v>
      </c>
      <c r="B330" s="201" t="s">
        <v>213</v>
      </c>
      <c r="C330" s="201" t="s">
        <v>778</v>
      </c>
      <c r="D330" s="201" t="s">
        <v>647</v>
      </c>
      <c r="E330" s="201" t="s">
        <v>864</v>
      </c>
      <c r="F330" s="201" t="s">
        <v>213</v>
      </c>
      <c r="G330" s="201" t="s">
        <v>865</v>
      </c>
      <c r="H330" s="201" t="s">
        <v>650</v>
      </c>
    </row>
    <row r="331">
      <c r="A331" s="965">
        <v>46010.04267916667</v>
      </c>
      <c r="B331" s="201" t="s">
        <v>213</v>
      </c>
      <c r="C331" s="201" t="s">
        <v>778</v>
      </c>
      <c r="D331" s="201" t="s">
        <v>647</v>
      </c>
      <c r="E331" s="201" t="s">
        <v>866</v>
      </c>
      <c r="F331" s="201" t="s">
        <v>213</v>
      </c>
      <c r="G331" s="201" t="s">
        <v>867</v>
      </c>
      <c r="H331" s="201" t="s">
        <v>650</v>
      </c>
    </row>
    <row r="332">
      <c r="A332" s="965">
        <v>46010.06503532408</v>
      </c>
      <c r="B332" s="201" t="s">
        <v>213</v>
      </c>
      <c r="C332" s="201" t="s">
        <v>868</v>
      </c>
      <c r="D332" s="201" t="s">
        <v>647</v>
      </c>
      <c r="E332" s="201" t="s">
        <v>869</v>
      </c>
      <c r="F332" s="201" t="s">
        <v>213</v>
      </c>
      <c r="G332" s="201" t="s">
        <v>870</v>
      </c>
      <c r="H332" s="201" t="s">
        <v>650</v>
      </c>
    </row>
    <row r="333">
      <c r="A333" s="965">
        <v>46010.06546869213</v>
      </c>
      <c r="B333" s="201" t="s">
        <v>213</v>
      </c>
      <c r="C333" s="201" t="s">
        <v>868</v>
      </c>
      <c r="D333" s="201" t="s">
        <v>647</v>
      </c>
      <c r="E333" s="201" t="s">
        <v>871</v>
      </c>
      <c r="F333" s="201" t="s">
        <v>213</v>
      </c>
      <c r="G333" s="201" t="s">
        <v>872</v>
      </c>
      <c r="H333" s="201" t="s">
        <v>650</v>
      </c>
    </row>
    <row r="334">
      <c r="A334" s="965">
        <v>46010.0656212037</v>
      </c>
      <c r="B334" s="201" t="s">
        <v>213</v>
      </c>
      <c r="C334" s="201" t="s">
        <v>868</v>
      </c>
      <c r="D334" s="201" t="s">
        <v>647</v>
      </c>
      <c r="E334" s="201" t="s">
        <v>594</v>
      </c>
      <c r="F334" s="201" t="s">
        <v>213</v>
      </c>
      <c r="G334" s="201" t="s">
        <v>873</v>
      </c>
      <c r="H334" s="201" t="s">
        <v>650</v>
      </c>
    </row>
    <row r="335">
      <c r="A335" s="965">
        <v>46010.0657484838</v>
      </c>
      <c r="B335" s="201" t="s">
        <v>213</v>
      </c>
      <c r="C335" s="201" t="s">
        <v>868</v>
      </c>
      <c r="D335" s="201" t="s">
        <v>647</v>
      </c>
      <c r="E335" s="201" t="s">
        <v>860</v>
      </c>
      <c r="F335" s="201" t="s">
        <v>213</v>
      </c>
      <c r="G335" s="201" t="s">
        <v>874</v>
      </c>
      <c r="H335" s="201" t="s">
        <v>650</v>
      </c>
    </row>
    <row r="336">
      <c r="A336" s="965">
        <v>46010.06593924768</v>
      </c>
      <c r="B336" s="201" t="s">
        <v>213</v>
      </c>
      <c r="C336" s="201" t="s">
        <v>868</v>
      </c>
      <c r="D336" s="201" t="s">
        <v>647</v>
      </c>
      <c r="E336" s="201" t="s">
        <v>802</v>
      </c>
      <c r="F336" s="201" t="s">
        <v>213</v>
      </c>
      <c r="G336" s="201" t="s">
        <v>875</v>
      </c>
      <c r="H336" s="201" t="s">
        <v>650</v>
      </c>
    </row>
    <row r="337">
      <c r="A337" s="965">
        <v>46010.066222187495</v>
      </c>
      <c r="B337" s="201" t="s">
        <v>213</v>
      </c>
      <c r="C337" s="201" t="s">
        <v>868</v>
      </c>
      <c r="D337" s="201" t="s">
        <v>647</v>
      </c>
      <c r="E337" s="201" t="s">
        <v>781</v>
      </c>
      <c r="F337" s="201" t="s">
        <v>213</v>
      </c>
      <c r="G337" s="201" t="s">
        <v>876</v>
      </c>
      <c r="H337" s="201" t="s">
        <v>650</v>
      </c>
    </row>
    <row r="338">
      <c r="A338" s="965">
        <v>46010.06649133102</v>
      </c>
      <c r="B338" s="201" t="s">
        <v>213</v>
      </c>
      <c r="C338" s="201" t="s">
        <v>868</v>
      </c>
      <c r="D338" s="201" t="s">
        <v>647</v>
      </c>
      <c r="E338" s="201" t="s">
        <v>591</v>
      </c>
      <c r="F338" s="201" t="s">
        <v>213</v>
      </c>
      <c r="G338" s="201" t="s">
        <v>877</v>
      </c>
      <c r="H338" s="201" t="s">
        <v>650</v>
      </c>
    </row>
    <row r="339">
      <c r="A339" s="965">
        <v>46010.066619618054</v>
      </c>
      <c r="B339" s="201" t="s">
        <v>213</v>
      </c>
      <c r="C339" s="201" t="s">
        <v>868</v>
      </c>
      <c r="D339" s="201" t="s">
        <v>647</v>
      </c>
      <c r="E339" s="201" t="s">
        <v>776</v>
      </c>
      <c r="F339" s="201" t="s">
        <v>213</v>
      </c>
      <c r="G339" s="201" t="s">
        <v>878</v>
      </c>
      <c r="H339" s="201" t="s">
        <v>650</v>
      </c>
    </row>
    <row r="340">
      <c r="A340" s="965">
        <v>46010.06694803241</v>
      </c>
      <c r="B340" s="201" t="s">
        <v>213</v>
      </c>
      <c r="C340" s="201" t="s">
        <v>868</v>
      </c>
      <c r="D340" s="201" t="s">
        <v>647</v>
      </c>
      <c r="E340" s="201" t="s">
        <v>774</v>
      </c>
      <c r="F340" s="201" t="s">
        <v>213</v>
      </c>
      <c r="G340" s="201" t="s">
        <v>879</v>
      </c>
      <c r="H340" s="201" t="s">
        <v>650</v>
      </c>
    </row>
    <row r="341">
      <c r="A341" s="965">
        <v>46010.06727320602</v>
      </c>
      <c r="B341" s="201" t="s">
        <v>213</v>
      </c>
      <c r="C341" s="201" t="s">
        <v>868</v>
      </c>
      <c r="D341" s="201" t="s">
        <v>647</v>
      </c>
      <c r="E341" s="201" t="s">
        <v>588</v>
      </c>
      <c r="F341" s="201" t="s">
        <v>213</v>
      </c>
      <c r="G341" s="201" t="s">
        <v>880</v>
      </c>
      <c r="H341" s="201" t="s">
        <v>650</v>
      </c>
    </row>
    <row r="342">
      <c r="A342" s="965">
        <v>46010.067471574075</v>
      </c>
      <c r="B342" s="201" t="s">
        <v>213</v>
      </c>
      <c r="C342" s="201" t="s">
        <v>868</v>
      </c>
      <c r="D342" s="201" t="s">
        <v>647</v>
      </c>
      <c r="E342" s="201" t="s">
        <v>771</v>
      </c>
      <c r="F342" s="201" t="s">
        <v>213</v>
      </c>
      <c r="G342" s="201" t="s">
        <v>881</v>
      </c>
      <c r="H342" s="201" t="s">
        <v>650</v>
      </c>
    </row>
    <row r="343">
      <c r="A343" s="965">
        <v>46010.068113761576</v>
      </c>
      <c r="B343" s="201" t="s">
        <v>213</v>
      </c>
      <c r="C343" s="201" t="s">
        <v>868</v>
      </c>
      <c r="D343" s="201" t="s">
        <v>647</v>
      </c>
      <c r="E343" s="201" t="s">
        <v>769</v>
      </c>
      <c r="F343" s="201" t="s">
        <v>213</v>
      </c>
      <c r="G343" s="201" t="s">
        <v>882</v>
      </c>
      <c r="H343" s="201" t="s">
        <v>650</v>
      </c>
    </row>
    <row r="344">
      <c r="A344" s="965">
        <v>46010.06828173611</v>
      </c>
      <c r="B344" s="201" t="s">
        <v>213</v>
      </c>
      <c r="C344" s="201" t="s">
        <v>868</v>
      </c>
      <c r="D344" s="201" t="s">
        <v>647</v>
      </c>
      <c r="E344" s="201" t="s">
        <v>765</v>
      </c>
      <c r="F344" s="201" t="s">
        <v>213</v>
      </c>
      <c r="G344" s="201" t="s">
        <v>883</v>
      </c>
      <c r="H344" s="201" t="s">
        <v>650</v>
      </c>
    </row>
    <row r="345">
      <c r="A345" s="965">
        <v>46010.06845491898</v>
      </c>
      <c r="B345" s="201" t="s">
        <v>213</v>
      </c>
      <c r="C345" s="201" t="s">
        <v>868</v>
      </c>
      <c r="D345" s="201" t="s">
        <v>647</v>
      </c>
      <c r="E345" s="201" t="s">
        <v>763</v>
      </c>
      <c r="F345" s="201" t="s">
        <v>213</v>
      </c>
      <c r="G345" s="201" t="s">
        <v>884</v>
      </c>
      <c r="H345" s="201" t="s">
        <v>650</v>
      </c>
    </row>
    <row r="346">
      <c r="A346" s="965">
        <v>46010.068615682874</v>
      </c>
      <c r="B346" s="201" t="s">
        <v>213</v>
      </c>
      <c r="C346" s="201" t="s">
        <v>868</v>
      </c>
      <c r="D346" s="201" t="s">
        <v>647</v>
      </c>
      <c r="E346" s="201" t="s">
        <v>745</v>
      </c>
      <c r="F346" s="201" t="s">
        <v>213</v>
      </c>
      <c r="G346" s="201" t="s">
        <v>885</v>
      </c>
      <c r="H346" s="201" t="s">
        <v>650</v>
      </c>
    </row>
    <row r="347">
      <c r="A347" s="965">
        <v>46010.06886760417</v>
      </c>
      <c r="B347" s="201" t="s">
        <v>213</v>
      </c>
      <c r="C347" s="201" t="s">
        <v>868</v>
      </c>
      <c r="D347" s="201" t="s">
        <v>647</v>
      </c>
      <c r="E347" s="201" t="s">
        <v>714</v>
      </c>
      <c r="F347" s="201" t="s">
        <v>213</v>
      </c>
      <c r="G347" s="201" t="s">
        <v>886</v>
      </c>
      <c r="H347" s="201" t="s">
        <v>650</v>
      </c>
    </row>
    <row r="348">
      <c r="A348" s="965">
        <v>46010.06905049768</v>
      </c>
      <c r="B348" s="201" t="s">
        <v>213</v>
      </c>
      <c r="C348" s="201" t="s">
        <v>868</v>
      </c>
      <c r="D348" s="201" t="s">
        <v>647</v>
      </c>
      <c r="E348" s="201" t="s">
        <v>674</v>
      </c>
      <c r="F348" s="201" t="s">
        <v>213</v>
      </c>
      <c r="G348" s="201" t="s">
        <v>887</v>
      </c>
      <c r="H348" s="201" t="s">
        <v>650</v>
      </c>
    </row>
    <row r="349">
      <c r="A349" s="965">
        <v>46010.06928564815</v>
      </c>
      <c r="B349" s="201" t="s">
        <v>213</v>
      </c>
      <c r="C349" s="201" t="s">
        <v>868</v>
      </c>
      <c r="D349" s="201" t="s">
        <v>647</v>
      </c>
      <c r="E349" s="201" t="s">
        <v>645</v>
      </c>
      <c r="F349" s="201" t="s">
        <v>213</v>
      </c>
      <c r="G349" s="201" t="s">
        <v>888</v>
      </c>
      <c r="H349" s="201" t="s">
        <v>650</v>
      </c>
    </row>
    <row r="350">
      <c r="A350" s="965">
        <v>46010.06950795139</v>
      </c>
      <c r="B350" s="201" t="s">
        <v>213</v>
      </c>
      <c r="C350" s="201" t="s">
        <v>868</v>
      </c>
      <c r="D350" s="201" t="s">
        <v>647</v>
      </c>
      <c r="E350" s="201" t="s">
        <v>634</v>
      </c>
      <c r="F350" s="201" t="s">
        <v>213</v>
      </c>
      <c r="G350" s="201" t="s">
        <v>889</v>
      </c>
      <c r="H350" s="201" t="s">
        <v>650</v>
      </c>
    </row>
    <row r="351">
      <c r="A351" s="965">
        <v>46010.06975505787</v>
      </c>
      <c r="B351" s="201" t="s">
        <v>213</v>
      </c>
      <c r="C351" s="201" t="s">
        <v>868</v>
      </c>
      <c r="D351" s="201" t="s">
        <v>647</v>
      </c>
      <c r="E351" s="201" t="s">
        <v>581</v>
      </c>
      <c r="F351" s="201" t="s">
        <v>213</v>
      </c>
      <c r="G351" s="201" t="s">
        <v>890</v>
      </c>
      <c r="H351" s="201" t="s">
        <v>650</v>
      </c>
    </row>
    <row r="352">
      <c r="A352" s="965">
        <v>46010.06994585648</v>
      </c>
      <c r="B352" s="201" t="s">
        <v>213</v>
      </c>
      <c r="C352" s="201" t="s">
        <v>868</v>
      </c>
      <c r="D352" s="201" t="s">
        <v>647</v>
      </c>
      <c r="E352" s="201" t="s">
        <v>632</v>
      </c>
      <c r="F352" s="201" t="s">
        <v>213</v>
      </c>
      <c r="G352" s="201" t="s">
        <v>891</v>
      </c>
      <c r="H352" s="201" t="s">
        <v>650</v>
      </c>
    </row>
    <row r="353">
      <c r="A353" s="965">
        <v>46010.07017413195</v>
      </c>
      <c r="B353" s="201" t="s">
        <v>213</v>
      </c>
      <c r="C353" s="201" t="s">
        <v>868</v>
      </c>
      <c r="D353" s="201" t="s">
        <v>647</v>
      </c>
      <c r="E353" s="201" t="s">
        <v>631</v>
      </c>
      <c r="F353" s="201" t="s">
        <v>213</v>
      </c>
      <c r="G353" s="201" t="s">
        <v>892</v>
      </c>
      <c r="H353" s="201" t="s">
        <v>650</v>
      </c>
    </row>
    <row r="354">
      <c r="A354" s="965">
        <v>46010.0703793287</v>
      </c>
      <c r="B354" s="201" t="s">
        <v>213</v>
      </c>
      <c r="C354" s="201" t="s">
        <v>868</v>
      </c>
      <c r="D354" s="201" t="s">
        <v>647</v>
      </c>
      <c r="E354" s="201" t="s">
        <v>630</v>
      </c>
      <c r="F354" s="201" t="s">
        <v>213</v>
      </c>
      <c r="G354" s="201" t="s">
        <v>893</v>
      </c>
      <c r="H354" s="201" t="s">
        <v>650</v>
      </c>
    </row>
    <row r="355">
      <c r="A355" s="965">
        <v>46010.07060784722</v>
      </c>
      <c r="B355" s="201" t="s">
        <v>213</v>
      </c>
      <c r="C355" s="201" t="s">
        <v>868</v>
      </c>
      <c r="D355" s="201" t="s">
        <v>647</v>
      </c>
      <c r="E355" s="201" t="s">
        <v>629</v>
      </c>
      <c r="F355" s="201" t="s">
        <v>213</v>
      </c>
      <c r="G355" s="201" t="s">
        <v>894</v>
      </c>
      <c r="H355" s="201" t="s">
        <v>650</v>
      </c>
    </row>
    <row r="356">
      <c r="A356" s="965">
        <v>46010.0708825926</v>
      </c>
      <c r="B356" s="201" t="s">
        <v>213</v>
      </c>
      <c r="C356" s="201" t="s">
        <v>868</v>
      </c>
      <c r="D356" s="201" t="s">
        <v>647</v>
      </c>
      <c r="E356" s="201" t="s">
        <v>628</v>
      </c>
      <c r="F356" s="201" t="s">
        <v>213</v>
      </c>
      <c r="G356" s="201" t="s">
        <v>895</v>
      </c>
      <c r="H356" s="201" t="s">
        <v>650</v>
      </c>
    </row>
    <row r="357">
      <c r="A357" s="965">
        <v>46010.07119971065</v>
      </c>
      <c r="B357" s="201" t="s">
        <v>213</v>
      </c>
      <c r="C357" s="201" t="s">
        <v>868</v>
      </c>
      <c r="D357" s="201" t="s">
        <v>647</v>
      </c>
      <c r="E357" s="201" t="s">
        <v>624</v>
      </c>
      <c r="F357" s="201" t="s">
        <v>213</v>
      </c>
      <c r="G357" s="201" t="s">
        <v>896</v>
      </c>
      <c r="H357" s="201" t="s">
        <v>650</v>
      </c>
    </row>
    <row r="358">
      <c r="A358" s="965">
        <v>46010.07142222222</v>
      </c>
      <c r="B358" s="201" t="s">
        <v>213</v>
      </c>
      <c r="C358" s="201" t="s">
        <v>868</v>
      </c>
      <c r="D358" s="201" t="s">
        <v>647</v>
      </c>
      <c r="E358" s="201" t="s">
        <v>623</v>
      </c>
      <c r="F358" s="201" t="s">
        <v>213</v>
      </c>
      <c r="G358" s="201" t="s">
        <v>897</v>
      </c>
      <c r="H358" s="201" t="s">
        <v>650</v>
      </c>
    </row>
    <row r="359">
      <c r="A359" s="965">
        <v>46010.072039872684</v>
      </c>
      <c r="B359" s="201" t="s">
        <v>213</v>
      </c>
      <c r="C359" s="201" t="s">
        <v>868</v>
      </c>
      <c r="D359" s="201" t="s">
        <v>647</v>
      </c>
      <c r="E359" s="201" t="s">
        <v>622</v>
      </c>
      <c r="F359" s="201" t="s">
        <v>213</v>
      </c>
      <c r="G359" s="201" t="s">
        <v>898</v>
      </c>
      <c r="H359" s="201" t="s">
        <v>650</v>
      </c>
    </row>
    <row r="360">
      <c r="A360" s="965">
        <v>46010.07228797454</v>
      </c>
      <c r="B360" s="201" t="s">
        <v>213</v>
      </c>
      <c r="C360" s="201" t="s">
        <v>868</v>
      </c>
      <c r="D360" s="201" t="s">
        <v>647</v>
      </c>
      <c r="E360" s="201" t="s">
        <v>619</v>
      </c>
      <c r="F360" s="201" t="s">
        <v>213</v>
      </c>
      <c r="G360" s="201" t="s">
        <v>899</v>
      </c>
      <c r="H360" s="201" t="s">
        <v>650</v>
      </c>
    </row>
    <row r="361">
      <c r="A361" s="965">
        <v>46010.0725475</v>
      </c>
      <c r="B361" s="201" t="s">
        <v>213</v>
      </c>
      <c r="C361" s="201" t="s">
        <v>868</v>
      </c>
      <c r="D361" s="201" t="s">
        <v>647</v>
      </c>
      <c r="E361" s="201" t="s">
        <v>617</v>
      </c>
      <c r="F361" s="201" t="s">
        <v>213</v>
      </c>
      <c r="G361" s="201" t="s">
        <v>900</v>
      </c>
      <c r="H361" s="201" t="s">
        <v>650</v>
      </c>
    </row>
    <row r="362">
      <c r="A362" s="965">
        <v>46010.07279519676</v>
      </c>
      <c r="B362" s="201" t="s">
        <v>213</v>
      </c>
      <c r="C362" s="201" t="s">
        <v>868</v>
      </c>
      <c r="D362" s="201" t="s">
        <v>647</v>
      </c>
      <c r="E362" s="201" t="s">
        <v>577</v>
      </c>
      <c r="F362" s="201" t="s">
        <v>213</v>
      </c>
      <c r="G362" s="201" t="s">
        <v>901</v>
      </c>
      <c r="H362" s="201" t="s">
        <v>650</v>
      </c>
    </row>
    <row r="363">
      <c r="A363" s="965">
        <v>46010.072961990736</v>
      </c>
      <c r="B363" s="201" t="s">
        <v>213</v>
      </c>
      <c r="C363" s="201" t="s">
        <v>868</v>
      </c>
      <c r="D363" s="201" t="s">
        <v>647</v>
      </c>
      <c r="E363" s="201" t="s">
        <v>615</v>
      </c>
      <c r="F363" s="201" t="s">
        <v>213</v>
      </c>
      <c r="G363" s="201" t="s">
        <v>902</v>
      </c>
      <c r="H363" s="201" t="s">
        <v>650</v>
      </c>
    </row>
    <row r="364">
      <c r="A364" s="965">
        <v>46010.07313355324</v>
      </c>
      <c r="B364" s="201" t="s">
        <v>213</v>
      </c>
      <c r="C364" s="201" t="s">
        <v>868</v>
      </c>
      <c r="D364" s="201" t="s">
        <v>647</v>
      </c>
      <c r="E364" s="201" t="s">
        <v>614</v>
      </c>
      <c r="F364" s="201" t="s">
        <v>213</v>
      </c>
      <c r="G364" s="201" t="s">
        <v>903</v>
      </c>
      <c r="H364" s="201" t="s">
        <v>650</v>
      </c>
    </row>
    <row r="365">
      <c r="A365" s="965">
        <v>46010.07331244213</v>
      </c>
      <c r="B365" s="201" t="s">
        <v>213</v>
      </c>
      <c r="C365" s="201" t="s">
        <v>868</v>
      </c>
      <c r="D365" s="201" t="s">
        <v>647</v>
      </c>
      <c r="E365" s="201" t="s">
        <v>612</v>
      </c>
      <c r="F365" s="201" t="s">
        <v>213</v>
      </c>
      <c r="G365" s="201" t="s">
        <v>904</v>
      </c>
      <c r="H365" s="201" t="s">
        <v>650</v>
      </c>
    </row>
    <row r="366">
      <c r="A366" s="965">
        <v>46010.073477303245</v>
      </c>
      <c r="B366" s="201" t="s">
        <v>213</v>
      </c>
      <c r="C366" s="201" t="s">
        <v>868</v>
      </c>
      <c r="D366" s="201" t="s">
        <v>647</v>
      </c>
      <c r="E366" s="201" t="s">
        <v>608</v>
      </c>
      <c r="F366" s="201" t="s">
        <v>213</v>
      </c>
      <c r="G366" s="201" t="s">
        <v>905</v>
      </c>
      <c r="H366" s="201" t="s">
        <v>650</v>
      </c>
    </row>
    <row r="367">
      <c r="A367" s="965">
        <v>46010.07367696759</v>
      </c>
      <c r="B367" s="201" t="s">
        <v>213</v>
      </c>
      <c r="C367" s="201" t="s">
        <v>868</v>
      </c>
      <c r="D367" s="201" t="s">
        <v>647</v>
      </c>
      <c r="E367" s="201" t="s">
        <v>606</v>
      </c>
      <c r="F367" s="201" t="s">
        <v>213</v>
      </c>
      <c r="G367" s="201" t="s">
        <v>906</v>
      </c>
      <c r="H367" s="201" t="s">
        <v>650</v>
      </c>
    </row>
    <row r="368">
      <c r="A368" s="965">
        <v>46010.07396810185</v>
      </c>
      <c r="B368" s="201" t="s">
        <v>213</v>
      </c>
      <c r="C368" s="201" t="s">
        <v>868</v>
      </c>
      <c r="D368" s="201" t="s">
        <v>647</v>
      </c>
      <c r="E368" s="201" t="s">
        <v>604</v>
      </c>
      <c r="F368" s="201" t="s">
        <v>213</v>
      </c>
      <c r="G368" s="201" t="s">
        <v>907</v>
      </c>
      <c r="H368" s="201" t="s">
        <v>650</v>
      </c>
    </row>
    <row r="369">
      <c r="A369" s="965">
        <v>46010.07420979167</v>
      </c>
      <c r="B369" s="201" t="s">
        <v>213</v>
      </c>
      <c r="C369" s="201" t="s">
        <v>868</v>
      </c>
      <c r="D369" s="201" t="s">
        <v>647</v>
      </c>
      <c r="E369" s="201" t="s">
        <v>602</v>
      </c>
      <c r="F369" s="201" t="s">
        <v>213</v>
      </c>
      <c r="G369" s="201" t="s">
        <v>908</v>
      </c>
      <c r="H369" s="201" t="s">
        <v>650</v>
      </c>
    </row>
    <row r="370">
      <c r="A370" s="965">
        <v>46010.07445310186</v>
      </c>
      <c r="B370" s="201" t="s">
        <v>213</v>
      </c>
      <c r="C370" s="201" t="s">
        <v>868</v>
      </c>
      <c r="D370" s="201" t="s">
        <v>647</v>
      </c>
      <c r="E370" s="201" t="s">
        <v>575</v>
      </c>
      <c r="F370" s="201" t="s">
        <v>213</v>
      </c>
      <c r="G370" s="201" t="s">
        <v>909</v>
      </c>
      <c r="H370" s="201" t="s">
        <v>650</v>
      </c>
    </row>
    <row r="371">
      <c r="A371" s="965">
        <v>46010.07462309027</v>
      </c>
      <c r="B371" s="201" t="s">
        <v>213</v>
      </c>
      <c r="C371" s="201" t="s">
        <v>868</v>
      </c>
      <c r="D371" s="201" t="s">
        <v>647</v>
      </c>
      <c r="E371" s="201" t="s">
        <v>573</v>
      </c>
      <c r="F371" s="201" t="s">
        <v>213</v>
      </c>
      <c r="G371" s="201" t="s">
        <v>910</v>
      </c>
      <c r="H371" s="201" t="s">
        <v>650</v>
      </c>
    </row>
    <row r="372">
      <c r="A372" s="965">
        <v>46010.074789502316</v>
      </c>
      <c r="B372" s="201" t="s">
        <v>213</v>
      </c>
      <c r="C372" s="201" t="s">
        <v>868</v>
      </c>
      <c r="D372" s="201" t="s">
        <v>647</v>
      </c>
      <c r="E372" s="201" t="s">
        <v>601</v>
      </c>
      <c r="F372" s="201" t="s">
        <v>213</v>
      </c>
      <c r="G372" s="201" t="s">
        <v>911</v>
      </c>
      <c r="H372" s="201" t="s">
        <v>650</v>
      </c>
    </row>
    <row r="373">
      <c r="A373" s="965">
        <v>46010.07498479167</v>
      </c>
      <c r="B373" s="201" t="s">
        <v>213</v>
      </c>
      <c r="C373" s="201" t="s">
        <v>868</v>
      </c>
      <c r="D373" s="201" t="s">
        <v>647</v>
      </c>
      <c r="E373" s="201" t="s">
        <v>597</v>
      </c>
      <c r="F373" s="201" t="s">
        <v>213</v>
      </c>
      <c r="G373" s="201" t="s">
        <v>912</v>
      </c>
      <c r="H373" s="201" t="s">
        <v>650</v>
      </c>
    </row>
    <row r="374">
      <c r="A374" s="965">
        <v>46010.07670145833</v>
      </c>
      <c r="B374" s="201" t="s">
        <v>213</v>
      </c>
      <c r="C374" s="201" t="s">
        <v>868</v>
      </c>
      <c r="D374" s="201" t="s">
        <v>913</v>
      </c>
      <c r="E374" s="201" t="s">
        <v>594</v>
      </c>
      <c r="F374" s="201" t="s">
        <v>213</v>
      </c>
      <c r="G374" s="201" t="s">
        <v>914</v>
      </c>
      <c r="H374" s="201" t="s">
        <v>650</v>
      </c>
    </row>
    <row r="375">
      <c r="A375" s="965">
        <v>46010.07676689815</v>
      </c>
      <c r="B375" s="201" t="s">
        <v>213</v>
      </c>
      <c r="C375" s="201" t="s">
        <v>868</v>
      </c>
      <c r="D375" s="201" t="s">
        <v>647</v>
      </c>
      <c r="E375" s="201" t="s">
        <v>594</v>
      </c>
      <c r="F375" s="201" t="s">
        <v>213</v>
      </c>
      <c r="G375" s="201" t="s">
        <v>914</v>
      </c>
      <c r="H375" s="201" t="s">
        <v>650</v>
      </c>
    </row>
    <row r="376">
      <c r="A376" s="965">
        <v>46010.07833722222</v>
      </c>
      <c r="B376" s="201" t="s">
        <v>213</v>
      </c>
      <c r="C376" s="201" t="s">
        <v>868</v>
      </c>
      <c r="D376" s="201" t="s">
        <v>913</v>
      </c>
      <c r="E376" s="201" t="s">
        <v>591</v>
      </c>
      <c r="F376" s="201" t="s">
        <v>213</v>
      </c>
      <c r="G376" s="201" t="s">
        <v>915</v>
      </c>
      <c r="H376" s="201" t="s">
        <v>650</v>
      </c>
    </row>
    <row r="377">
      <c r="A377" s="965">
        <v>46010.07839743055</v>
      </c>
      <c r="B377" s="201" t="s">
        <v>213</v>
      </c>
      <c r="C377" s="201" t="s">
        <v>868</v>
      </c>
      <c r="D377" s="201" t="s">
        <v>647</v>
      </c>
      <c r="E377" s="201" t="s">
        <v>591</v>
      </c>
      <c r="F377" s="201" t="s">
        <v>213</v>
      </c>
      <c r="G377" s="201" t="s">
        <v>915</v>
      </c>
      <c r="H377" s="201" t="s">
        <v>650</v>
      </c>
    </row>
    <row r="378">
      <c r="A378" s="965">
        <v>46010.07957135417</v>
      </c>
      <c r="B378" s="201" t="s">
        <v>213</v>
      </c>
      <c r="C378" s="201" t="s">
        <v>868</v>
      </c>
      <c r="D378" s="201" t="s">
        <v>913</v>
      </c>
      <c r="E378" s="201" t="s">
        <v>588</v>
      </c>
      <c r="F378" s="201" t="s">
        <v>213</v>
      </c>
      <c r="G378" s="201" t="s">
        <v>916</v>
      </c>
      <c r="H378" s="201" t="s">
        <v>650</v>
      </c>
    </row>
    <row r="379">
      <c r="A379" s="965">
        <v>46010.0796281713</v>
      </c>
      <c r="B379" s="201" t="s">
        <v>213</v>
      </c>
      <c r="C379" s="201" t="s">
        <v>868</v>
      </c>
      <c r="D379" s="201" t="s">
        <v>647</v>
      </c>
      <c r="E379" s="201" t="s">
        <v>588</v>
      </c>
      <c r="F379" s="201" t="s">
        <v>213</v>
      </c>
      <c r="G379" s="201" t="s">
        <v>916</v>
      </c>
      <c r="H379" s="201" t="s">
        <v>650</v>
      </c>
    </row>
    <row r="380">
      <c r="A380" s="965">
        <v>46010.08438201388</v>
      </c>
      <c r="B380" s="201" t="s">
        <v>213</v>
      </c>
      <c r="C380" s="201" t="s">
        <v>868</v>
      </c>
      <c r="D380" s="201" t="s">
        <v>913</v>
      </c>
      <c r="E380" s="201" t="s">
        <v>581</v>
      </c>
      <c r="F380" s="201" t="s">
        <v>213</v>
      </c>
      <c r="G380" s="201" t="s">
        <v>917</v>
      </c>
      <c r="H380" s="201" t="s">
        <v>650</v>
      </c>
    </row>
    <row r="381">
      <c r="A381" s="965">
        <v>46010.08445212963</v>
      </c>
      <c r="B381" s="201" t="s">
        <v>213</v>
      </c>
      <c r="C381" s="201" t="s">
        <v>868</v>
      </c>
      <c r="D381" s="201" t="s">
        <v>647</v>
      </c>
      <c r="E381" s="201" t="s">
        <v>581</v>
      </c>
      <c r="F381" s="201" t="s">
        <v>213</v>
      </c>
      <c r="G381" s="201" t="s">
        <v>917</v>
      </c>
      <c r="H381" s="201" t="s">
        <v>650</v>
      </c>
    </row>
    <row r="382">
      <c r="A382" s="965">
        <v>46010.087379895835</v>
      </c>
      <c r="B382" s="201" t="s">
        <v>213</v>
      </c>
      <c r="C382" s="201" t="s">
        <v>868</v>
      </c>
      <c r="D382" s="201" t="s">
        <v>913</v>
      </c>
      <c r="E382" s="201" t="s">
        <v>577</v>
      </c>
      <c r="F382" s="201" t="s">
        <v>213</v>
      </c>
      <c r="G382" s="201" t="s">
        <v>918</v>
      </c>
      <c r="H382" s="201" t="s">
        <v>650</v>
      </c>
    </row>
    <row r="383">
      <c r="A383" s="965">
        <v>46010.08742471065</v>
      </c>
      <c r="B383" s="201" t="s">
        <v>213</v>
      </c>
      <c r="C383" s="201" t="s">
        <v>868</v>
      </c>
      <c r="D383" s="201" t="s">
        <v>647</v>
      </c>
      <c r="E383" s="201" t="s">
        <v>577</v>
      </c>
      <c r="F383" s="201" t="s">
        <v>213</v>
      </c>
      <c r="G383" s="201" t="s">
        <v>918</v>
      </c>
      <c r="H383" s="201" t="s">
        <v>650</v>
      </c>
    </row>
    <row r="384">
      <c r="A384" s="965">
        <v>46010.089697881944</v>
      </c>
      <c r="B384" s="201" t="s">
        <v>213</v>
      </c>
      <c r="C384" s="201" t="s">
        <v>868</v>
      </c>
      <c r="D384" s="201" t="s">
        <v>913</v>
      </c>
      <c r="E384" s="201" t="s">
        <v>575</v>
      </c>
      <c r="F384" s="201" t="s">
        <v>213</v>
      </c>
      <c r="G384" s="201" t="s">
        <v>919</v>
      </c>
      <c r="H384" s="201" t="s">
        <v>650</v>
      </c>
    </row>
    <row r="385">
      <c r="A385" s="965">
        <v>46010.089771388884</v>
      </c>
      <c r="B385" s="201" t="s">
        <v>213</v>
      </c>
      <c r="C385" s="201" t="s">
        <v>868</v>
      </c>
      <c r="D385" s="201" t="s">
        <v>647</v>
      </c>
      <c r="E385" s="201" t="s">
        <v>575</v>
      </c>
      <c r="F385" s="201" t="s">
        <v>213</v>
      </c>
      <c r="G385" s="201" t="s">
        <v>919</v>
      </c>
      <c r="H385" s="201" t="s">
        <v>650</v>
      </c>
    </row>
    <row r="386">
      <c r="A386" s="965">
        <v>46010.09037222222</v>
      </c>
      <c r="B386" s="201" t="s">
        <v>213</v>
      </c>
      <c r="C386" s="201" t="s">
        <v>868</v>
      </c>
      <c r="D386" s="201" t="s">
        <v>913</v>
      </c>
      <c r="E386" s="201" t="s">
        <v>573</v>
      </c>
      <c r="F386" s="201" t="s">
        <v>213</v>
      </c>
      <c r="G386" s="201" t="s">
        <v>920</v>
      </c>
      <c r="H386" s="201" t="s">
        <v>650</v>
      </c>
    </row>
    <row r="387">
      <c r="A387" s="965">
        <v>46010.090427442134</v>
      </c>
      <c r="B387" s="201" t="s">
        <v>213</v>
      </c>
      <c r="C387" s="201" t="s">
        <v>868</v>
      </c>
      <c r="D387" s="201" t="s">
        <v>647</v>
      </c>
      <c r="E387" s="201" t="s">
        <v>573</v>
      </c>
      <c r="F387" s="201" t="s">
        <v>213</v>
      </c>
      <c r="G387" s="201" t="s">
        <v>920</v>
      </c>
      <c r="H387" s="201" t="s">
        <v>650</v>
      </c>
    </row>
    <row r="388">
      <c r="A388" s="965">
        <v>46010.1079458912</v>
      </c>
      <c r="B388" s="201" t="s">
        <v>213</v>
      </c>
      <c r="C388" s="201" t="s">
        <v>725</v>
      </c>
      <c r="D388" s="201" t="s">
        <v>647</v>
      </c>
      <c r="E388" s="201" t="s">
        <v>572</v>
      </c>
      <c r="F388" s="201" t="s">
        <v>213</v>
      </c>
      <c r="G388" s="201" t="s">
        <v>921</v>
      </c>
      <c r="H388" s="201" t="s">
        <v>650</v>
      </c>
    </row>
    <row r="389">
      <c r="A389" s="965">
        <v>46010.14930388889</v>
      </c>
      <c r="B389" s="201" t="s">
        <v>213</v>
      </c>
      <c r="C389" s="201" t="s">
        <v>922</v>
      </c>
      <c r="D389" s="201" t="s">
        <v>647</v>
      </c>
      <c r="E389" s="201" t="s">
        <v>571</v>
      </c>
      <c r="F389" s="201" t="s">
        <v>213</v>
      </c>
      <c r="G389" s="201" t="s">
        <v>923</v>
      </c>
      <c r="H389" s="201" t="s">
        <v>650</v>
      </c>
    </row>
    <row r="390">
      <c r="A390" s="965">
        <v>46012.935051215274</v>
      </c>
      <c r="B390" s="201" t="s">
        <v>213</v>
      </c>
      <c r="C390" s="201" t="s">
        <v>651</v>
      </c>
      <c r="D390" s="201" t="s">
        <v>652</v>
      </c>
      <c r="E390" s="201" t="s">
        <v>213</v>
      </c>
      <c r="F390" s="201" t="s">
        <v>213</v>
      </c>
      <c r="G390" s="201" t="s">
        <v>650</v>
      </c>
      <c r="H390" s="201" t="s">
        <v>650</v>
      </c>
    </row>
    <row r="391">
      <c r="A391" s="965">
        <v>46012.93506459491</v>
      </c>
      <c r="B391" s="201">
        <v>1.0</v>
      </c>
      <c r="C391" s="201" t="s">
        <v>279</v>
      </c>
      <c r="D391" s="201" t="s">
        <v>653</v>
      </c>
      <c r="E391" s="201" t="s">
        <v>654</v>
      </c>
      <c r="F391" s="201" t="s">
        <v>213</v>
      </c>
      <c r="G391" s="201" t="s">
        <v>924</v>
      </c>
      <c r="H391" s="201" t="s">
        <v>650</v>
      </c>
    </row>
    <row r="392">
      <c r="A392" s="965">
        <v>46012.935069259256</v>
      </c>
      <c r="B392" s="201">
        <v>1.0</v>
      </c>
      <c r="C392" s="201" t="s">
        <v>281</v>
      </c>
      <c r="D392" s="201" t="s">
        <v>653</v>
      </c>
      <c r="E392" s="201" t="s">
        <v>654</v>
      </c>
      <c r="F392" s="201" t="s">
        <v>213</v>
      </c>
      <c r="G392" s="201" t="s">
        <v>924</v>
      </c>
      <c r="H392" s="201" t="s">
        <v>650</v>
      </c>
    </row>
    <row r="393">
      <c r="A393" s="965">
        <v>46012.93507923611</v>
      </c>
      <c r="B393" s="201">
        <v>1.0</v>
      </c>
      <c r="C393" s="201" t="s">
        <v>283</v>
      </c>
      <c r="D393" s="201" t="s">
        <v>653</v>
      </c>
      <c r="E393" s="201" t="s">
        <v>654</v>
      </c>
      <c r="F393" s="201" t="s">
        <v>213</v>
      </c>
      <c r="G393" s="201" t="s">
        <v>924</v>
      </c>
      <c r="H393" s="201" t="s">
        <v>650</v>
      </c>
    </row>
    <row r="394">
      <c r="A394" s="965">
        <v>46012.93508365741</v>
      </c>
      <c r="B394" s="201">
        <v>1.0</v>
      </c>
      <c r="C394" s="201" t="s">
        <v>284</v>
      </c>
      <c r="D394" s="201" t="s">
        <v>653</v>
      </c>
      <c r="E394" s="201" t="s">
        <v>654</v>
      </c>
      <c r="F394" s="201" t="s">
        <v>213</v>
      </c>
      <c r="G394" s="201" t="s">
        <v>924</v>
      </c>
      <c r="H394" s="201" t="s">
        <v>650</v>
      </c>
    </row>
    <row r="395">
      <c r="A395" s="965">
        <v>46012.935088819446</v>
      </c>
      <c r="B395" s="201">
        <v>1.0</v>
      </c>
      <c r="C395" s="201" t="s">
        <v>285</v>
      </c>
      <c r="D395" s="201" t="s">
        <v>653</v>
      </c>
      <c r="E395" s="201" t="s">
        <v>654</v>
      </c>
      <c r="F395" s="201" t="s">
        <v>213</v>
      </c>
      <c r="G395" s="201" t="s">
        <v>924</v>
      </c>
      <c r="H395" s="201" t="s">
        <v>650</v>
      </c>
    </row>
    <row r="396">
      <c r="A396" s="965">
        <v>46012.93509413194</v>
      </c>
      <c r="B396" s="201">
        <v>1.0</v>
      </c>
      <c r="C396" s="201" t="s">
        <v>286</v>
      </c>
      <c r="D396" s="201" t="s">
        <v>653</v>
      </c>
      <c r="E396" s="201" t="s">
        <v>654</v>
      </c>
      <c r="F396" s="201" t="s">
        <v>213</v>
      </c>
      <c r="G396" s="201" t="s">
        <v>924</v>
      </c>
      <c r="H396" s="201" t="s">
        <v>650</v>
      </c>
    </row>
    <row r="397">
      <c r="A397" s="965">
        <v>46012.93510336806</v>
      </c>
      <c r="B397" s="201">
        <v>1.0</v>
      </c>
      <c r="C397" s="201" t="s">
        <v>287</v>
      </c>
      <c r="D397" s="201" t="s">
        <v>653</v>
      </c>
      <c r="E397" s="201" t="s">
        <v>654</v>
      </c>
      <c r="F397" s="201" t="s">
        <v>213</v>
      </c>
      <c r="G397" s="201" t="s">
        <v>924</v>
      </c>
      <c r="H397" s="201" t="s">
        <v>650</v>
      </c>
    </row>
    <row r="398">
      <c r="A398" s="965">
        <v>46012.93510834491</v>
      </c>
      <c r="B398" s="201">
        <v>2.0</v>
      </c>
      <c r="C398" s="201" t="s">
        <v>288</v>
      </c>
      <c r="D398" s="201" t="s">
        <v>653</v>
      </c>
      <c r="E398" s="201" t="s">
        <v>654</v>
      </c>
      <c r="F398" s="201" t="s">
        <v>213</v>
      </c>
      <c r="G398" s="201" t="s">
        <v>924</v>
      </c>
      <c r="H398" s="201" t="s">
        <v>650</v>
      </c>
    </row>
    <row r="399">
      <c r="A399" s="965">
        <v>46012.93511372685</v>
      </c>
      <c r="B399" s="201">
        <v>2.0</v>
      </c>
      <c r="C399" s="201" t="s">
        <v>289</v>
      </c>
      <c r="D399" s="201" t="s">
        <v>653</v>
      </c>
      <c r="E399" s="201" t="s">
        <v>654</v>
      </c>
      <c r="F399" s="201" t="s">
        <v>213</v>
      </c>
      <c r="G399" s="201" t="s">
        <v>924</v>
      </c>
      <c r="H399" s="201" t="s">
        <v>650</v>
      </c>
    </row>
    <row r="400">
      <c r="A400" s="965">
        <v>46012.9351224537</v>
      </c>
      <c r="B400" s="201">
        <v>2.0</v>
      </c>
      <c r="C400" s="201" t="s">
        <v>290</v>
      </c>
      <c r="D400" s="201" t="s">
        <v>653</v>
      </c>
      <c r="E400" s="201" t="s">
        <v>654</v>
      </c>
      <c r="F400" s="201" t="s">
        <v>213</v>
      </c>
      <c r="G400" s="201" t="s">
        <v>924</v>
      </c>
      <c r="H400" s="201" t="s">
        <v>650</v>
      </c>
    </row>
    <row r="401">
      <c r="A401" s="965">
        <v>46012.93512783565</v>
      </c>
      <c r="B401" s="201">
        <v>2.0</v>
      </c>
      <c r="C401" s="201" t="s">
        <v>292</v>
      </c>
      <c r="D401" s="201" t="s">
        <v>653</v>
      </c>
      <c r="E401" s="201" t="s">
        <v>654</v>
      </c>
      <c r="F401" s="201" t="s">
        <v>213</v>
      </c>
      <c r="G401" s="201" t="s">
        <v>924</v>
      </c>
      <c r="H401" s="201" t="s">
        <v>650</v>
      </c>
    </row>
    <row r="402">
      <c r="A402" s="965">
        <v>46012.935132812505</v>
      </c>
      <c r="B402" s="201">
        <v>2.0</v>
      </c>
      <c r="C402" s="201" t="s">
        <v>293</v>
      </c>
      <c r="D402" s="201" t="s">
        <v>653</v>
      </c>
      <c r="E402" s="201" t="s">
        <v>654</v>
      </c>
      <c r="F402" s="201" t="s">
        <v>213</v>
      </c>
      <c r="G402" s="201" t="s">
        <v>924</v>
      </c>
      <c r="H402" s="201" t="s">
        <v>650</v>
      </c>
    </row>
    <row r="403">
      <c r="A403" s="965">
        <v>46012.93513806713</v>
      </c>
      <c r="B403" s="201">
        <v>2.0</v>
      </c>
      <c r="C403" s="201" t="s">
        <v>294</v>
      </c>
      <c r="D403" s="201" t="s">
        <v>653</v>
      </c>
      <c r="E403" s="201" t="s">
        <v>654</v>
      </c>
      <c r="F403" s="201" t="s">
        <v>213</v>
      </c>
      <c r="G403" s="201" t="s">
        <v>924</v>
      </c>
      <c r="H403" s="201" t="s">
        <v>650</v>
      </c>
    </row>
    <row r="404">
      <c r="A404" s="965">
        <v>46012.93514261574</v>
      </c>
      <c r="B404" s="201">
        <v>2.0</v>
      </c>
      <c r="C404" s="201" t="s">
        <v>295</v>
      </c>
      <c r="D404" s="201" t="s">
        <v>653</v>
      </c>
      <c r="E404" s="201" t="s">
        <v>654</v>
      </c>
      <c r="F404" s="201" t="s">
        <v>213</v>
      </c>
      <c r="G404" s="201" t="s">
        <v>924</v>
      </c>
      <c r="H404" s="201" t="s">
        <v>650</v>
      </c>
    </row>
    <row r="405">
      <c r="A405" s="965">
        <v>46012.93514740741</v>
      </c>
      <c r="B405" s="201">
        <v>2.0</v>
      </c>
      <c r="C405" s="201" t="s">
        <v>296</v>
      </c>
      <c r="D405" s="201" t="s">
        <v>653</v>
      </c>
      <c r="E405" s="201" t="s">
        <v>654</v>
      </c>
      <c r="F405" s="201" t="s">
        <v>213</v>
      </c>
      <c r="G405" s="201" t="s">
        <v>924</v>
      </c>
      <c r="H405" s="201" t="s">
        <v>650</v>
      </c>
    </row>
    <row r="406">
      <c r="A406" s="965">
        <v>46012.935152164355</v>
      </c>
      <c r="B406" s="201">
        <v>3.0</v>
      </c>
      <c r="C406" s="201" t="s">
        <v>297</v>
      </c>
      <c r="D406" s="201" t="s">
        <v>653</v>
      </c>
      <c r="E406" s="201" t="s">
        <v>654</v>
      </c>
      <c r="F406" s="201" t="s">
        <v>213</v>
      </c>
      <c r="G406" s="201" t="s">
        <v>924</v>
      </c>
      <c r="H406" s="201" t="s">
        <v>650</v>
      </c>
    </row>
    <row r="407">
      <c r="A407" s="965">
        <v>46012.9351578125</v>
      </c>
      <c r="B407" s="201">
        <v>3.0</v>
      </c>
      <c r="C407" s="201" t="s">
        <v>298</v>
      </c>
      <c r="D407" s="201" t="s">
        <v>653</v>
      </c>
      <c r="E407" s="201" t="s">
        <v>654</v>
      </c>
      <c r="F407" s="201" t="s">
        <v>213</v>
      </c>
      <c r="G407" s="201" t="s">
        <v>924</v>
      </c>
      <c r="H407" s="201" t="s">
        <v>650</v>
      </c>
    </row>
    <row r="408">
      <c r="A408" s="965">
        <v>46012.93516278935</v>
      </c>
      <c r="B408" s="201">
        <v>3.0</v>
      </c>
      <c r="C408" s="201" t="s">
        <v>299</v>
      </c>
      <c r="D408" s="201" t="s">
        <v>653</v>
      </c>
      <c r="E408" s="201" t="s">
        <v>654</v>
      </c>
      <c r="F408" s="201" t="s">
        <v>213</v>
      </c>
      <c r="G408" s="201" t="s">
        <v>924</v>
      </c>
      <c r="H408" s="201" t="s">
        <v>650</v>
      </c>
    </row>
    <row r="409">
      <c r="A409" s="965">
        <v>46012.93520357639</v>
      </c>
      <c r="B409" s="201" t="s">
        <v>213</v>
      </c>
      <c r="C409" s="201" t="s">
        <v>692</v>
      </c>
      <c r="D409" s="201" t="s">
        <v>693</v>
      </c>
      <c r="E409" s="201" t="s">
        <v>213</v>
      </c>
      <c r="F409" s="201">
        <v>18.0</v>
      </c>
      <c r="G409" s="201" t="s">
        <v>924</v>
      </c>
      <c r="H409" s="201" t="s">
        <v>650</v>
      </c>
    </row>
    <row r="410">
      <c r="A410" s="965">
        <v>46012.93523481481</v>
      </c>
      <c r="B410" s="201" t="s">
        <v>213</v>
      </c>
      <c r="C410" s="201" t="s">
        <v>694</v>
      </c>
      <c r="D410" s="201" t="s">
        <v>695</v>
      </c>
      <c r="E410" s="201" t="s">
        <v>213</v>
      </c>
      <c r="F410" s="201">
        <v>18.0</v>
      </c>
      <c r="G410" s="201" t="s">
        <v>924</v>
      </c>
      <c r="H410" s="201" t="s">
        <v>650</v>
      </c>
    </row>
    <row r="411">
      <c r="A411" s="965">
        <v>46012.93584315972</v>
      </c>
      <c r="B411" s="201" t="s">
        <v>213</v>
      </c>
      <c r="C411" s="201" t="s">
        <v>925</v>
      </c>
      <c r="D411" s="201" t="s">
        <v>647</v>
      </c>
      <c r="E411" s="201" t="s">
        <v>570</v>
      </c>
      <c r="F411" s="201" t="s">
        <v>213</v>
      </c>
      <c r="G411" s="201" t="s">
        <v>926</v>
      </c>
      <c r="H411" s="201" t="s">
        <v>650</v>
      </c>
    </row>
    <row r="412">
      <c r="A412" s="965">
        <v>46012.9361446875</v>
      </c>
      <c r="B412" s="201">
        <v>3.0</v>
      </c>
      <c r="C412" s="201" t="s">
        <v>300</v>
      </c>
      <c r="D412" s="201" t="s">
        <v>653</v>
      </c>
      <c r="E412" s="201" t="s">
        <v>654</v>
      </c>
      <c r="F412" s="201">
        <v>18.0</v>
      </c>
      <c r="G412" s="201" t="s">
        <v>927</v>
      </c>
      <c r="H412" s="201" t="s">
        <v>698</v>
      </c>
    </row>
    <row r="413">
      <c r="A413" s="965">
        <v>46012.93614913194</v>
      </c>
      <c r="B413" s="201">
        <v>3.0</v>
      </c>
      <c r="C413" s="201" t="s">
        <v>301</v>
      </c>
      <c r="D413" s="201" t="s">
        <v>653</v>
      </c>
      <c r="E413" s="201" t="s">
        <v>654</v>
      </c>
      <c r="F413" s="201">
        <v>18.0</v>
      </c>
      <c r="G413" s="201" t="s">
        <v>927</v>
      </c>
      <c r="H413" s="201" t="s">
        <v>698</v>
      </c>
    </row>
    <row r="414">
      <c r="A414" s="965">
        <v>46012.93615912037</v>
      </c>
      <c r="B414" s="201">
        <v>3.0</v>
      </c>
      <c r="C414" s="201" t="s">
        <v>303</v>
      </c>
      <c r="D414" s="201" t="s">
        <v>653</v>
      </c>
      <c r="E414" s="201" t="s">
        <v>654</v>
      </c>
      <c r="F414" s="201">
        <v>18.0</v>
      </c>
      <c r="G414" s="201" t="s">
        <v>927</v>
      </c>
      <c r="H414" s="201" t="s">
        <v>698</v>
      </c>
    </row>
    <row r="415">
      <c r="A415" s="965">
        <v>46012.936162453705</v>
      </c>
      <c r="B415" s="201">
        <v>3.0</v>
      </c>
      <c r="C415" s="201" t="s">
        <v>304</v>
      </c>
      <c r="D415" s="201" t="s">
        <v>653</v>
      </c>
      <c r="E415" s="201" t="s">
        <v>654</v>
      </c>
      <c r="F415" s="201">
        <v>18.0</v>
      </c>
      <c r="G415" s="201" t="s">
        <v>927</v>
      </c>
      <c r="H415" s="201" t="s">
        <v>698</v>
      </c>
    </row>
    <row r="416">
      <c r="A416" s="965">
        <v>46012.93616641204</v>
      </c>
      <c r="B416" s="201">
        <v>3.0</v>
      </c>
      <c r="C416" s="201" t="s">
        <v>305</v>
      </c>
      <c r="D416" s="201" t="s">
        <v>653</v>
      </c>
      <c r="E416" s="201" t="s">
        <v>654</v>
      </c>
      <c r="F416" s="201">
        <v>18.0</v>
      </c>
      <c r="G416" s="201" t="s">
        <v>927</v>
      </c>
      <c r="H416" s="201" t="s">
        <v>698</v>
      </c>
    </row>
    <row r="417">
      <c r="A417" s="965">
        <v>46012.936170810186</v>
      </c>
      <c r="B417" s="201">
        <v>4.0</v>
      </c>
      <c r="C417" s="201" t="s">
        <v>306</v>
      </c>
      <c r="D417" s="201" t="s">
        <v>653</v>
      </c>
      <c r="E417" s="201" t="s">
        <v>654</v>
      </c>
      <c r="F417" s="201">
        <v>18.0</v>
      </c>
      <c r="G417" s="201" t="s">
        <v>927</v>
      </c>
      <c r="H417" s="201" t="s">
        <v>698</v>
      </c>
    </row>
    <row r="418">
      <c r="A418" s="965">
        <v>46012.93617547453</v>
      </c>
      <c r="B418" s="201">
        <v>4.0</v>
      </c>
      <c r="C418" s="201" t="s">
        <v>307</v>
      </c>
      <c r="D418" s="201" t="s">
        <v>653</v>
      </c>
      <c r="E418" s="201" t="s">
        <v>654</v>
      </c>
      <c r="F418" s="201">
        <v>18.0</v>
      </c>
      <c r="G418" s="201" t="s">
        <v>927</v>
      </c>
      <c r="H418" s="201" t="s">
        <v>698</v>
      </c>
    </row>
    <row r="419">
      <c r="A419" s="965">
        <v>46012.93618009259</v>
      </c>
      <c r="B419" s="201">
        <v>4.0</v>
      </c>
      <c r="C419" s="201" t="s">
        <v>308</v>
      </c>
      <c r="D419" s="201" t="s">
        <v>653</v>
      </c>
      <c r="E419" s="201" t="s">
        <v>654</v>
      </c>
      <c r="F419" s="201">
        <v>18.0</v>
      </c>
      <c r="G419" s="201" t="s">
        <v>927</v>
      </c>
      <c r="H419" s="201" t="s">
        <v>698</v>
      </c>
    </row>
    <row r="420">
      <c r="A420" s="965">
        <v>46012.93618547454</v>
      </c>
      <c r="B420" s="201">
        <v>4.0</v>
      </c>
      <c r="C420" s="201" t="s">
        <v>255</v>
      </c>
      <c r="D420" s="201" t="s">
        <v>653</v>
      </c>
      <c r="E420" s="201" t="s">
        <v>654</v>
      </c>
      <c r="F420" s="201">
        <v>18.0</v>
      </c>
      <c r="G420" s="201" t="s">
        <v>927</v>
      </c>
      <c r="H420" s="201" t="s">
        <v>698</v>
      </c>
    </row>
    <row r="421">
      <c r="A421" s="965">
        <v>46012.9361933912</v>
      </c>
      <c r="B421" s="201">
        <v>4.0</v>
      </c>
      <c r="C421" s="201" t="s">
        <v>309</v>
      </c>
      <c r="D421" s="201" t="s">
        <v>653</v>
      </c>
      <c r="E421" s="201" t="s">
        <v>654</v>
      </c>
      <c r="F421" s="201">
        <v>18.0</v>
      </c>
      <c r="G421" s="201" t="s">
        <v>927</v>
      </c>
      <c r="H421" s="201" t="s">
        <v>698</v>
      </c>
    </row>
    <row r="422">
      <c r="A422" s="965">
        <v>46012.936198854164</v>
      </c>
      <c r="B422" s="201">
        <v>4.0</v>
      </c>
      <c r="C422" s="201" t="s">
        <v>310</v>
      </c>
      <c r="D422" s="201" t="s">
        <v>653</v>
      </c>
      <c r="E422" s="201" t="s">
        <v>654</v>
      </c>
      <c r="F422" s="201">
        <v>18.0</v>
      </c>
      <c r="G422" s="201" t="s">
        <v>927</v>
      </c>
      <c r="H422" s="201" t="s">
        <v>698</v>
      </c>
    </row>
    <row r="423">
      <c r="A423" s="965">
        <v>46012.93620423611</v>
      </c>
      <c r="B423" s="201">
        <v>4.0</v>
      </c>
      <c r="C423" s="201" t="s">
        <v>311</v>
      </c>
      <c r="D423" s="201" t="s">
        <v>653</v>
      </c>
      <c r="E423" s="201" t="s">
        <v>654</v>
      </c>
      <c r="F423" s="201">
        <v>18.0</v>
      </c>
      <c r="G423" s="201" t="s">
        <v>927</v>
      </c>
      <c r="H423" s="201" t="s">
        <v>698</v>
      </c>
    </row>
    <row r="424">
      <c r="A424" s="965">
        <v>46012.936203923615</v>
      </c>
      <c r="B424" s="201" t="s">
        <v>213</v>
      </c>
      <c r="C424" s="201" t="s">
        <v>925</v>
      </c>
      <c r="D424" s="201" t="s">
        <v>647</v>
      </c>
      <c r="E424" s="201" t="s">
        <v>568</v>
      </c>
      <c r="F424" s="201" t="s">
        <v>213</v>
      </c>
      <c r="G424" s="201" t="s">
        <v>928</v>
      </c>
      <c r="H424" s="201" t="s">
        <v>650</v>
      </c>
    </row>
    <row r="425">
      <c r="A425" s="965">
        <v>46012.936216030095</v>
      </c>
      <c r="B425" s="201">
        <v>4.0</v>
      </c>
      <c r="C425" s="201" t="s">
        <v>313</v>
      </c>
      <c r="D425" s="201" t="s">
        <v>653</v>
      </c>
      <c r="E425" s="201" t="s">
        <v>654</v>
      </c>
      <c r="F425" s="201">
        <v>18.0</v>
      </c>
      <c r="G425" s="201" t="s">
        <v>927</v>
      </c>
      <c r="H425" s="201" t="s">
        <v>698</v>
      </c>
    </row>
    <row r="426">
      <c r="A426" s="965">
        <v>46012.93622445602</v>
      </c>
      <c r="B426" s="201">
        <v>5.0</v>
      </c>
      <c r="C426" s="201" t="s">
        <v>314</v>
      </c>
      <c r="D426" s="201" t="s">
        <v>653</v>
      </c>
      <c r="E426" s="201" t="s">
        <v>654</v>
      </c>
      <c r="F426" s="201">
        <v>18.0</v>
      </c>
      <c r="G426" s="201" t="s">
        <v>927</v>
      </c>
      <c r="H426" s="201" t="s">
        <v>698</v>
      </c>
    </row>
    <row r="427">
      <c r="A427" s="965">
        <v>46012.93623280093</v>
      </c>
      <c r="B427" s="201">
        <v>5.0</v>
      </c>
      <c r="C427" s="201" t="s">
        <v>315</v>
      </c>
      <c r="D427" s="201" t="s">
        <v>653</v>
      </c>
      <c r="E427" s="201" t="s">
        <v>654</v>
      </c>
      <c r="F427" s="201">
        <v>18.0</v>
      </c>
      <c r="G427" s="201" t="s">
        <v>927</v>
      </c>
      <c r="H427" s="201" t="s">
        <v>698</v>
      </c>
    </row>
    <row r="428">
      <c r="A428" s="965">
        <v>46012.9362371875</v>
      </c>
      <c r="B428" s="201">
        <v>5.0</v>
      </c>
      <c r="C428" s="201" t="s">
        <v>316</v>
      </c>
      <c r="D428" s="201" t="s">
        <v>653</v>
      </c>
      <c r="E428" s="201" t="s">
        <v>654</v>
      </c>
      <c r="F428" s="201">
        <v>18.0</v>
      </c>
      <c r="G428" s="201" t="s">
        <v>927</v>
      </c>
      <c r="H428" s="201" t="s">
        <v>698</v>
      </c>
    </row>
    <row r="429">
      <c r="A429" s="965">
        <v>46012.936242372685</v>
      </c>
      <c r="B429" s="201">
        <v>5.0</v>
      </c>
      <c r="C429" s="201" t="s">
        <v>317</v>
      </c>
      <c r="D429" s="201" t="s">
        <v>653</v>
      </c>
      <c r="E429" s="201" t="s">
        <v>654</v>
      </c>
      <c r="F429" s="201">
        <v>18.0</v>
      </c>
      <c r="G429" s="201" t="s">
        <v>927</v>
      </c>
      <c r="H429" s="201" t="s">
        <v>698</v>
      </c>
    </row>
    <row r="430">
      <c r="A430" s="965">
        <v>46012.936247453705</v>
      </c>
      <c r="B430" s="201">
        <v>5.0</v>
      </c>
      <c r="C430" s="201" t="s">
        <v>318</v>
      </c>
      <c r="D430" s="201" t="s">
        <v>653</v>
      </c>
      <c r="E430" s="201" t="s">
        <v>654</v>
      </c>
      <c r="F430" s="201">
        <v>18.0</v>
      </c>
      <c r="G430" s="201" t="s">
        <v>927</v>
      </c>
      <c r="H430" s="201" t="s">
        <v>698</v>
      </c>
    </row>
    <row r="431">
      <c r="A431" s="965">
        <v>46012.936289942125</v>
      </c>
      <c r="B431" s="201" t="s">
        <v>213</v>
      </c>
      <c r="C431" s="201" t="s">
        <v>692</v>
      </c>
      <c r="D431" s="201" t="s">
        <v>693</v>
      </c>
      <c r="E431" s="201" t="s">
        <v>213</v>
      </c>
      <c r="F431" s="201">
        <v>36.0</v>
      </c>
      <c r="G431" s="201" t="s">
        <v>927</v>
      </c>
      <c r="H431" s="201" t="s">
        <v>698</v>
      </c>
    </row>
    <row r="432">
      <c r="A432" s="965">
        <v>46012.936316481486</v>
      </c>
      <c r="B432" s="201" t="s">
        <v>213</v>
      </c>
      <c r="C432" s="201" t="s">
        <v>694</v>
      </c>
      <c r="D432" s="201" t="s">
        <v>695</v>
      </c>
      <c r="E432" s="201" t="s">
        <v>213</v>
      </c>
      <c r="F432" s="201">
        <v>36.0</v>
      </c>
      <c r="G432" s="201" t="s">
        <v>927</v>
      </c>
      <c r="H432" s="201" t="s">
        <v>698</v>
      </c>
    </row>
    <row r="433">
      <c r="A433" s="965">
        <v>46012.93744003472</v>
      </c>
      <c r="B433" s="201">
        <v>5.0</v>
      </c>
      <c r="C433" s="201" t="s">
        <v>319</v>
      </c>
      <c r="D433" s="201" t="s">
        <v>653</v>
      </c>
      <c r="E433" s="201" t="s">
        <v>654</v>
      </c>
      <c r="F433" s="201">
        <v>36.0</v>
      </c>
      <c r="G433" s="201" t="s">
        <v>929</v>
      </c>
      <c r="H433" s="201" t="s">
        <v>698</v>
      </c>
    </row>
    <row r="434">
      <c r="A434" s="965">
        <v>46012.93744505787</v>
      </c>
      <c r="B434" s="201">
        <v>5.0</v>
      </c>
      <c r="C434" s="201" t="s">
        <v>320</v>
      </c>
      <c r="D434" s="201" t="s">
        <v>653</v>
      </c>
      <c r="E434" s="201" t="s">
        <v>654</v>
      </c>
      <c r="F434" s="201">
        <v>36.0</v>
      </c>
      <c r="G434" s="201" t="s">
        <v>929</v>
      </c>
      <c r="H434" s="201" t="s">
        <v>698</v>
      </c>
    </row>
    <row r="435">
      <c r="A435" s="965">
        <v>46012.93745121528</v>
      </c>
      <c r="B435" s="201">
        <v>5.0</v>
      </c>
      <c r="C435" s="201" t="s">
        <v>322</v>
      </c>
      <c r="D435" s="201" t="s">
        <v>653</v>
      </c>
      <c r="E435" s="201" t="s">
        <v>654</v>
      </c>
      <c r="F435" s="201">
        <v>36.0</v>
      </c>
      <c r="G435" s="201" t="s">
        <v>929</v>
      </c>
      <c r="H435" s="201" t="s">
        <v>698</v>
      </c>
    </row>
    <row r="436">
      <c r="A436" s="965">
        <v>46012.937456388885</v>
      </c>
      <c r="B436" s="201">
        <v>6.0</v>
      </c>
      <c r="C436" s="201" t="s">
        <v>323</v>
      </c>
      <c r="D436" s="201" t="s">
        <v>653</v>
      </c>
      <c r="E436" s="201" t="s">
        <v>654</v>
      </c>
      <c r="F436" s="201">
        <v>36.0</v>
      </c>
      <c r="G436" s="201" t="s">
        <v>929</v>
      </c>
      <c r="H436" s="201" t="s">
        <v>698</v>
      </c>
    </row>
    <row r="437">
      <c r="A437" s="965">
        <v>46012.937461423615</v>
      </c>
      <c r="B437" s="201">
        <v>6.0</v>
      </c>
      <c r="C437" s="201" t="s">
        <v>324</v>
      </c>
      <c r="D437" s="201" t="s">
        <v>653</v>
      </c>
      <c r="E437" s="201" t="s">
        <v>654</v>
      </c>
      <c r="F437" s="201">
        <v>36.0</v>
      </c>
      <c r="G437" s="201" t="s">
        <v>929</v>
      </c>
      <c r="H437" s="201" t="s">
        <v>698</v>
      </c>
    </row>
    <row r="438">
      <c r="A438" s="965">
        <v>46012.93746585648</v>
      </c>
      <c r="B438" s="201">
        <v>6.0</v>
      </c>
      <c r="C438" s="201" t="s">
        <v>325</v>
      </c>
      <c r="D438" s="201" t="s">
        <v>653</v>
      </c>
      <c r="E438" s="201" t="s">
        <v>654</v>
      </c>
      <c r="F438" s="201">
        <v>36.0</v>
      </c>
      <c r="G438" s="201" t="s">
        <v>929</v>
      </c>
      <c r="H438" s="201" t="s">
        <v>698</v>
      </c>
    </row>
    <row r="439">
      <c r="A439" s="965">
        <v>46012.93747094907</v>
      </c>
      <c r="B439" s="201">
        <v>6.0</v>
      </c>
      <c r="C439" s="201" t="s">
        <v>326</v>
      </c>
      <c r="D439" s="201" t="s">
        <v>653</v>
      </c>
      <c r="E439" s="201" t="s">
        <v>654</v>
      </c>
      <c r="F439" s="201">
        <v>36.0</v>
      </c>
      <c r="G439" s="201" t="s">
        <v>929</v>
      </c>
      <c r="H439" s="201" t="s">
        <v>698</v>
      </c>
    </row>
    <row r="440">
      <c r="A440" s="965">
        <v>46012.93747621527</v>
      </c>
      <c r="B440" s="201">
        <v>6.0</v>
      </c>
      <c r="C440" s="201" t="s">
        <v>327</v>
      </c>
      <c r="D440" s="201" t="s">
        <v>653</v>
      </c>
      <c r="E440" s="201" t="s">
        <v>654</v>
      </c>
      <c r="F440" s="201">
        <v>36.0</v>
      </c>
      <c r="G440" s="201" t="s">
        <v>929</v>
      </c>
      <c r="H440" s="201" t="s">
        <v>698</v>
      </c>
    </row>
    <row r="441">
      <c r="A441" s="965">
        <v>46012.937481354165</v>
      </c>
      <c r="B441" s="201">
        <v>6.0</v>
      </c>
      <c r="C441" s="201" t="s">
        <v>328</v>
      </c>
      <c r="D441" s="201" t="s">
        <v>653</v>
      </c>
      <c r="E441" s="201" t="s">
        <v>654</v>
      </c>
      <c r="F441" s="201">
        <v>36.0</v>
      </c>
      <c r="G441" s="201" t="s">
        <v>929</v>
      </c>
      <c r="H441" s="201" t="s">
        <v>698</v>
      </c>
    </row>
    <row r="442">
      <c r="A442" s="965">
        <v>46012.93748648148</v>
      </c>
      <c r="B442" s="201">
        <v>6.0</v>
      </c>
      <c r="C442" s="201" t="s">
        <v>329</v>
      </c>
      <c r="D442" s="201" t="s">
        <v>653</v>
      </c>
      <c r="E442" s="201" t="s">
        <v>654</v>
      </c>
      <c r="F442" s="201">
        <v>36.0</v>
      </c>
      <c r="G442" s="201" t="s">
        <v>929</v>
      </c>
      <c r="H442" s="201" t="s">
        <v>698</v>
      </c>
    </row>
    <row r="443">
      <c r="A443" s="965">
        <v>46012.93752658565</v>
      </c>
      <c r="B443" s="201" t="s">
        <v>213</v>
      </c>
      <c r="C443" s="201" t="s">
        <v>692</v>
      </c>
      <c r="D443" s="201" t="s">
        <v>693</v>
      </c>
      <c r="E443" s="201" t="s">
        <v>213</v>
      </c>
      <c r="F443" s="201">
        <v>54.0</v>
      </c>
      <c r="G443" s="201" t="s">
        <v>929</v>
      </c>
      <c r="H443" s="201" t="s">
        <v>698</v>
      </c>
    </row>
    <row r="444">
      <c r="A444" s="965">
        <v>46012.93756677084</v>
      </c>
      <c r="B444" s="201" t="s">
        <v>213</v>
      </c>
      <c r="C444" s="201" t="s">
        <v>760</v>
      </c>
      <c r="D444" s="201" t="s">
        <v>761</v>
      </c>
      <c r="E444" s="201" t="s">
        <v>213</v>
      </c>
      <c r="F444" s="201">
        <v>54.0</v>
      </c>
      <c r="G444" s="201" t="s">
        <v>929</v>
      </c>
      <c r="H444" s="201" t="s">
        <v>698</v>
      </c>
    </row>
    <row r="445">
      <c r="A445" s="965">
        <v>46012.93806615741</v>
      </c>
      <c r="B445" s="201" t="s">
        <v>213</v>
      </c>
      <c r="C445" s="201" t="s">
        <v>925</v>
      </c>
      <c r="D445" s="201" t="s">
        <v>647</v>
      </c>
      <c r="E445" s="201" t="s">
        <v>931</v>
      </c>
      <c r="F445" s="201" t="s">
        <v>213</v>
      </c>
      <c r="G445" s="201" t="s">
        <v>932</v>
      </c>
      <c r="H445" s="201" t="s">
        <v>650</v>
      </c>
    </row>
    <row r="446">
      <c r="A446" s="965">
        <v>46012.938580312504</v>
      </c>
      <c r="B446" s="201" t="s">
        <v>213</v>
      </c>
      <c r="C446" s="201" t="s">
        <v>925</v>
      </c>
      <c r="D446" s="201" t="s">
        <v>647</v>
      </c>
      <c r="E446" s="201" t="s">
        <v>933</v>
      </c>
      <c r="F446" s="201" t="s">
        <v>213</v>
      </c>
      <c r="G446" s="201" t="s">
        <v>934</v>
      </c>
      <c r="H446" s="201" t="s">
        <v>650</v>
      </c>
    </row>
    <row r="447">
      <c r="A447" s="965">
        <v>46012.93943608797</v>
      </c>
      <c r="B447" s="201" t="s">
        <v>213</v>
      </c>
      <c r="C447" s="201" t="s">
        <v>925</v>
      </c>
      <c r="D447" s="201" t="s">
        <v>647</v>
      </c>
      <c r="E447" s="201" t="s">
        <v>935</v>
      </c>
      <c r="F447" s="201" t="s">
        <v>213</v>
      </c>
      <c r="G447" s="201" t="s">
        <v>936</v>
      </c>
      <c r="H447" s="201" t="s">
        <v>650</v>
      </c>
    </row>
    <row r="448">
      <c r="A448" s="965">
        <v>46012.93965724537</v>
      </c>
      <c r="B448" s="201" t="s">
        <v>213</v>
      </c>
      <c r="C448" s="201" t="s">
        <v>925</v>
      </c>
      <c r="D448" s="201" t="s">
        <v>647</v>
      </c>
      <c r="E448" s="201" t="s">
        <v>937</v>
      </c>
      <c r="F448" s="201" t="s">
        <v>213</v>
      </c>
      <c r="G448" s="201" t="s">
        <v>938</v>
      </c>
      <c r="H448" s="201" t="s">
        <v>650</v>
      </c>
    </row>
    <row r="449">
      <c r="A449" s="965">
        <v>46012.93984414352</v>
      </c>
      <c r="B449" s="201" t="s">
        <v>213</v>
      </c>
      <c r="C449" s="201" t="s">
        <v>925</v>
      </c>
      <c r="D449" s="201" t="s">
        <v>647</v>
      </c>
      <c r="E449" s="201" t="s">
        <v>939</v>
      </c>
      <c r="F449" s="201" t="s">
        <v>213</v>
      </c>
      <c r="G449" s="201" t="s">
        <v>940</v>
      </c>
      <c r="H449" s="201" t="s">
        <v>650</v>
      </c>
    </row>
    <row r="450">
      <c r="A450" s="965">
        <v>46012.94168217592</v>
      </c>
      <c r="B450" s="201" t="s">
        <v>213</v>
      </c>
      <c r="C450" s="201" t="s">
        <v>925</v>
      </c>
      <c r="D450" s="201" t="s">
        <v>913</v>
      </c>
      <c r="E450" s="201" t="s">
        <v>935</v>
      </c>
      <c r="F450" s="201" t="s">
        <v>213</v>
      </c>
      <c r="G450" s="201" t="s">
        <v>941</v>
      </c>
      <c r="H450" s="201" t="s">
        <v>650</v>
      </c>
    </row>
    <row r="451">
      <c r="A451" s="965">
        <v>46012.94174892361</v>
      </c>
      <c r="B451" s="201" t="s">
        <v>213</v>
      </c>
      <c r="C451" s="201" t="s">
        <v>925</v>
      </c>
      <c r="D451" s="201" t="s">
        <v>647</v>
      </c>
      <c r="E451" s="201" t="s">
        <v>935</v>
      </c>
      <c r="F451" s="201" t="s">
        <v>213</v>
      </c>
      <c r="G451" s="201" t="s">
        <v>941</v>
      </c>
      <c r="H451" s="201" t="s">
        <v>650</v>
      </c>
    </row>
    <row r="452">
      <c r="A452" s="965">
        <v>46012.944125995375</v>
      </c>
      <c r="B452" s="201" t="s">
        <v>213</v>
      </c>
      <c r="C452" s="201" t="s">
        <v>925</v>
      </c>
      <c r="D452" s="201" t="s">
        <v>647</v>
      </c>
      <c r="E452" s="201" t="s">
        <v>942</v>
      </c>
      <c r="F452" s="201" t="s">
        <v>213</v>
      </c>
      <c r="G452" s="201" t="s">
        <v>943</v>
      </c>
      <c r="H452" s="201" t="s">
        <v>650</v>
      </c>
    </row>
    <row r="453">
      <c r="A453" s="965">
        <v>46012.94464035879</v>
      </c>
      <c r="B453" s="201" t="s">
        <v>213</v>
      </c>
      <c r="C453" s="201" t="s">
        <v>925</v>
      </c>
      <c r="D453" s="201" t="s">
        <v>647</v>
      </c>
      <c r="E453" s="201" t="s">
        <v>944</v>
      </c>
      <c r="F453" s="201" t="s">
        <v>213</v>
      </c>
      <c r="G453" s="201" t="s">
        <v>945</v>
      </c>
      <c r="H453" s="201" t="s">
        <v>650</v>
      </c>
    </row>
    <row r="454">
      <c r="A454" s="965">
        <v>46012.944840173615</v>
      </c>
      <c r="B454" s="201" t="s">
        <v>213</v>
      </c>
      <c r="C454" s="201" t="s">
        <v>925</v>
      </c>
      <c r="D454" s="201" t="s">
        <v>647</v>
      </c>
      <c r="E454" s="201" t="s">
        <v>946</v>
      </c>
      <c r="F454" s="201" t="s">
        <v>213</v>
      </c>
      <c r="G454" s="201" t="s">
        <v>947</v>
      </c>
      <c r="H454" s="201" t="s">
        <v>650</v>
      </c>
    </row>
    <row r="455">
      <c r="A455" s="965">
        <v>46012.9460353125</v>
      </c>
      <c r="B455" s="201" t="s">
        <v>213</v>
      </c>
      <c r="C455" s="201" t="s">
        <v>925</v>
      </c>
      <c r="D455" s="201" t="s">
        <v>647</v>
      </c>
      <c r="E455" s="201" t="s">
        <v>948</v>
      </c>
      <c r="F455" s="201" t="s">
        <v>213</v>
      </c>
      <c r="G455" s="201" t="s">
        <v>949</v>
      </c>
      <c r="H455" s="201" t="s">
        <v>650</v>
      </c>
    </row>
    <row r="456">
      <c r="A456" s="965">
        <v>46012.94627027778</v>
      </c>
      <c r="B456" s="201" t="s">
        <v>213</v>
      </c>
      <c r="C456" s="201" t="s">
        <v>925</v>
      </c>
      <c r="D456" s="201" t="s">
        <v>647</v>
      </c>
      <c r="E456" s="201" t="s">
        <v>950</v>
      </c>
      <c r="F456" s="201" t="s">
        <v>213</v>
      </c>
      <c r="G456" s="201" t="s">
        <v>951</v>
      </c>
      <c r="H456" s="201" t="s">
        <v>650</v>
      </c>
    </row>
    <row r="457">
      <c r="A457" s="965">
        <v>46012.94646946759</v>
      </c>
      <c r="B457" s="201" t="s">
        <v>213</v>
      </c>
      <c r="C457" s="201" t="s">
        <v>925</v>
      </c>
      <c r="D457" s="201" t="s">
        <v>647</v>
      </c>
      <c r="E457" s="201" t="s">
        <v>952</v>
      </c>
      <c r="F457" s="201" t="s">
        <v>213</v>
      </c>
      <c r="G457" s="201" t="s">
        <v>953</v>
      </c>
      <c r="H457" s="201" t="s">
        <v>650</v>
      </c>
    </row>
    <row r="458">
      <c r="A458" s="965">
        <v>46012.948342083335</v>
      </c>
      <c r="B458" s="201" t="s">
        <v>213</v>
      </c>
      <c r="C458" s="201" t="s">
        <v>925</v>
      </c>
      <c r="D458" s="201" t="s">
        <v>647</v>
      </c>
      <c r="E458" s="201" t="s">
        <v>954</v>
      </c>
      <c r="F458" s="201" t="s">
        <v>213</v>
      </c>
      <c r="G458" s="201" t="s">
        <v>955</v>
      </c>
      <c r="H458" s="201" t="s">
        <v>650</v>
      </c>
    </row>
    <row r="459">
      <c r="A459" s="965">
        <v>46012.9485672338</v>
      </c>
      <c r="B459" s="201" t="s">
        <v>213</v>
      </c>
      <c r="C459" s="201" t="s">
        <v>925</v>
      </c>
      <c r="D459" s="201" t="s">
        <v>647</v>
      </c>
      <c r="E459" s="201" t="s">
        <v>956</v>
      </c>
      <c r="F459" s="201" t="s">
        <v>213</v>
      </c>
      <c r="G459" s="201" t="s">
        <v>957</v>
      </c>
      <c r="H459" s="201" t="s">
        <v>650</v>
      </c>
    </row>
    <row r="460">
      <c r="A460" s="965">
        <v>46012.94883486111</v>
      </c>
      <c r="B460" s="201" t="s">
        <v>213</v>
      </c>
      <c r="C460" s="201" t="s">
        <v>925</v>
      </c>
      <c r="D460" s="201" t="s">
        <v>647</v>
      </c>
      <c r="E460" s="201" t="s">
        <v>958</v>
      </c>
      <c r="F460" s="201" t="s">
        <v>213</v>
      </c>
      <c r="G460" s="201" t="s">
        <v>959</v>
      </c>
      <c r="H460" s="201" t="s">
        <v>650</v>
      </c>
    </row>
    <row r="461">
      <c r="A461" s="965">
        <v>46012.950345370366</v>
      </c>
      <c r="B461" s="201" t="s">
        <v>213</v>
      </c>
      <c r="C461" s="201" t="s">
        <v>925</v>
      </c>
      <c r="D461" s="201" t="s">
        <v>647</v>
      </c>
      <c r="E461" s="201" t="s">
        <v>960</v>
      </c>
      <c r="F461" s="201" t="s">
        <v>213</v>
      </c>
      <c r="G461" s="201" t="s">
        <v>961</v>
      </c>
      <c r="H461" s="201" t="s">
        <v>650</v>
      </c>
    </row>
    <row r="462">
      <c r="A462" s="965">
        <v>46012.95047054398</v>
      </c>
      <c r="B462" s="201" t="s">
        <v>213</v>
      </c>
      <c r="C462" s="201" t="s">
        <v>925</v>
      </c>
      <c r="D462" s="201" t="s">
        <v>647</v>
      </c>
      <c r="E462" s="201" t="s">
        <v>962</v>
      </c>
      <c r="F462" s="201" t="s">
        <v>213</v>
      </c>
      <c r="G462" s="201" t="s">
        <v>963</v>
      </c>
      <c r="H462" s="201" t="s">
        <v>650</v>
      </c>
    </row>
    <row r="463">
      <c r="A463" s="965">
        <v>46012.9506591088</v>
      </c>
      <c r="B463" s="201" t="s">
        <v>213</v>
      </c>
      <c r="C463" s="201" t="s">
        <v>925</v>
      </c>
      <c r="D463" s="201" t="s">
        <v>647</v>
      </c>
      <c r="E463" s="201" t="s">
        <v>964</v>
      </c>
      <c r="F463" s="201" t="s">
        <v>213</v>
      </c>
      <c r="G463" s="201" t="s">
        <v>965</v>
      </c>
      <c r="H463" s="201" t="s">
        <v>650</v>
      </c>
    </row>
    <row r="464">
      <c r="A464" s="965">
        <v>46012.95081601852</v>
      </c>
      <c r="B464" s="201" t="s">
        <v>213</v>
      </c>
      <c r="C464" s="201" t="s">
        <v>925</v>
      </c>
      <c r="D464" s="201" t="s">
        <v>647</v>
      </c>
      <c r="E464" s="201" t="s">
        <v>966</v>
      </c>
      <c r="F464" s="201" t="s">
        <v>213</v>
      </c>
      <c r="G464" s="201" t="s">
        <v>967</v>
      </c>
      <c r="H464" s="201" t="s">
        <v>650</v>
      </c>
    </row>
    <row r="465">
      <c r="A465" s="965">
        <v>46012.95128671297</v>
      </c>
      <c r="B465" s="201" t="s">
        <v>213</v>
      </c>
      <c r="C465" s="201" t="s">
        <v>925</v>
      </c>
      <c r="D465" s="201" t="s">
        <v>913</v>
      </c>
      <c r="E465" s="201" t="s">
        <v>960</v>
      </c>
      <c r="F465" s="201" t="s">
        <v>213</v>
      </c>
      <c r="G465" s="201" t="s">
        <v>968</v>
      </c>
      <c r="H465" s="201" t="s">
        <v>650</v>
      </c>
    </row>
    <row r="466">
      <c r="A466" s="965">
        <v>46012.95134528935</v>
      </c>
      <c r="B466" s="201" t="s">
        <v>213</v>
      </c>
      <c r="C466" s="201" t="s">
        <v>925</v>
      </c>
      <c r="D466" s="201" t="s">
        <v>647</v>
      </c>
      <c r="E466" s="201" t="s">
        <v>960</v>
      </c>
      <c r="F466" s="201" t="s">
        <v>213</v>
      </c>
      <c r="G466" s="201" t="s">
        <v>968</v>
      </c>
      <c r="H466" s="201" t="s">
        <v>650</v>
      </c>
    </row>
    <row r="467">
      <c r="A467" s="965">
        <v>46012.95305851852</v>
      </c>
      <c r="B467" s="201" t="s">
        <v>213</v>
      </c>
      <c r="C467" s="201" t="s">
        <v>925</v>
      </c>
      <c r="D467" s="201" t="s">
        <v>647</v>
      </c>
      <c r="E467" s="201" t="s">
        <v>969</v>
      </c>
      <c r="F467" s="201" t="s">
        <v>213</v>
      </c>
      <c r="G467" s="201" t="s">
        <v>970</v>
      </c>
      <c r="H467" s="201" t="s">
        <v>650</v>
      </c>
    </row>
    <row r="468">
      <c r="A468" s="965">
        <v>46012.95323460648</v>
      </c>
      <c r="B468" s="201" t="s">
        <v>213</v>
      </c>
      <c r="C468" s="201" t="s">
        <v>925</v>
      </c>
      <c r="D468" s="201" t="s">
        <v>647</v>
      </c>
      <c r="E468" s="201" t="s">
        <v>971</v>
      </c>
      <c r="F468" s="201" t="s">
        <v>213</v>
      </c>
      <c r="G468" s="201" t="s">
        <v>972</v>
      </c>
      <c r="H468" s="201" t="s">
        <v>650</v>
      </c>
    </row>
    <row r="469">
      <c r="A469" s="965">
        <v>46012.95352414352</v>
      </c>
      <c r="B469" s="201" t="s">
        <v>213</v>
      </c>
      <c r="C469" s="201" t="s">
        <v>925</v>
      </c>
      <c r="D469" s="201" t="s">
        <v>647</v>
      </c>
      <c r="E469" s="201" t="s">
        <v>973</v>
      </c>
      <c r="F469" s="201" t="s">
        <v>213</v>
      </c>
      <c r="G469" s="201" t="s">
        <v>974</v>
      </c>
      <c r="H469" s="201" t="s">
        <v>650</v>
      </c>
    </row>
    <row r="470">
      <c r="A470" s="965">
        <v>46012.95382008102</v>
      </c>
      <c r="B470" s="201" t="s">
        <v>213</v>
      </c>
      <c r="C470" s="201" t="s">
        <v>925</v>
      </c>
      <c r="D470" s="201" t="s">
        <v>647</v>
      </c>
      <c r="E470" s="201" t="s">
        <v>975</v>
      </c>
      <c r="F470" s="201" t="s">
        <v>213</v>
      </c>
      <c r="G470" s="201" t="s">
        <v>976</v>
      </c>
      <c r="H470" s="201" t="s">
        <v>650</v>
      </c>
    </row>
    <row r="471">
      <c r="A471" s="965">
        <v>46012.95727509259</v>
      </c>
      <c r="B471" s="201" t="s">
        <v>213</v>
      </c>
      <c r="C471" s="201" t="s">
        <v>925</v>
      </c>
      <c r="D471" s="201" t="s">
        <v>647</v>
      </c>
      <c r="E471" s="201" t="s">
        <v>977</v>
      </c>
      <c r="F471" s="201" t="s">
        <v>213</v>
      </c>
      <c r="G471" s="201" t="s">
        <v>978</v>
      </c>
      <c r="H471" s="201" t="s">
        <v>650</v>
      </c>
    </row>
    <row r="472">
      <c r="A472" s="965">
        <v>46012.95747384259</v>
      </c>
      <c r="B472" s="201" t="s">
        <v>213</v>
      </c>
      <c r="C472" s="201" t="s">
        <v>925</v>
      </c>
      <c r="D472" s="201" t="s">
        <v>647</v>
      </c>
      <c r="E472" s="201" t="s">
        <v>979</v>
      </c>
      <c r="F472" s="201" t="s">
        <v>213</v>
      </c>
      <c r="G472" s="201" t="s">
        <v>980</v>
      </c>
      <c r="H472" s="201" t="s">
        <v>650</v>
      </c>
    </row>
    <row r="473">
      <c r="A473" s="965">
        <v>46012.95779486111</v>
      </c>
      <c r="B473" s="201" t="s">
        <v>213</v>
      </c>
      <c r="C473" s="201" t="s">
        <v>925</v>
      </c>
      <c r="D473" s="201" t="s">
        <v>647</v>
      </c>
      <c r="E473" s="201" t="s">
        <v>981</v>
      </c>
      <c r="F473" s="201" t="s">
        <v>213</v>
      </c>
      <c r="G473" s="201" t="s">
        <v>982</v>
      </c>
      <c r="H473" s="201" t="s">
        <v>650</v>
      </c>
    </row>
    <row r="474">
      <c r="A474" s="965">
        <v>46012.958015358796</v>
      </c>
      <c r="B474" s="201" t="s">
        <v>213</v>
      </c>
      <c r="C474" s="201" t="s">
        <v>925</v>
      </c>
      <c r="D474" s="201" t="s">
        <v>647</v>
      </c>
      <c r="E474" s="201" t="s">
        <v>983</v>
      </c>
      <c r="F474" s="201" t="s">
        <v>213</v>
      </c>
      <c r="G474" s="201" t="s">
        <v>984</v>
      </c>
      <c r="H474" s="201" t="s">
        <v>650</v>
      </c>
    </row>
    <row r="475">
      <c r="A475" s="965">
        <v>46012.95956503472</v>
      </c>
      <c r="B475" s="201" t="s">
        <v>213</v>
      </c>
      <c r="C475" s="201" t="s">
        <v>925</v>
      </c>
      <c r="D475" s="201" t="s">
        <v>647</v>
      </c>
      <c r="E475" s="201" t="s">
        <v>985</v>
      </c>
      <c r="F475" s="201" t="s">
        <v>213</v>
      </c>
      <c r="G475" s="201" t="s">
        <v>986</v>
      </c>
      <c r="H475" s="201" t="s">
        <v>650</v>
      </c>
    </row>
    <row r="476">
      <c r="A476" s="965">
        <v>46012.95983627315</v>
      </c>
      <c r="B476" s="201" t="s">
        <v>213</v>
      </c>
      <c r="C476" s="201" t="s">
        <v>925</v>
      </c>
      <c r="D476" s="201" t="s">
        <v>647</v>
      </c>
      <c r="E476" s="201" t="s">
        <v>987</v>
      </c>
      <c r="F476" s="201" t="s">
        <v>213</v>
      </c>
      <c r="G476" s="201" t="s">
        <v>988</v>
      </c>
      <c r="H476" s="201" t="s">
        <v>650</v>
      </c>
    </row>
    <row r="477">
      <c r="A477" s="965">
        <v>46012.96002564815</v>
      </c>
      <c r="B477" s="201" t="s">
        <v>213</v>
      </c>
      <c r="C477" s="201" t="s">
        <v>925</v>
      </c>
      <c r="D477" s="201" t="s">
        <v>647</v>
      </c>
      <c r="E477" s="201" t="s">
        <v>989</v>
      </c>
      <c r="F477" s="201" t="s">
        <v>213</v>
      </c>
      <c r="G477" s="201" t="s">
        <v>990</v>
      </c>
      <c r="H477" s="201" t="s">
        <v>650</v>
      </c>
    </row>
    <row r="478">
      <c r="A478" s="965">
        <v>46012.96040804398</v>
      </c>
      <c r="B478" s="201" t="s">
        <v>213</v>
      </c>
      <c r="C478" s="201" t="s">
        <v>925</v>
      </c>
      <c r="D478" s="201" t="s">
        <v>647</v>
      </c>
      <c r="E478" s="201" t="s">
        <v>991</v>
      </c>
      <c r="F478" s="201" t="s">
        <v>213</v>
      </c>
      <c r="G478" s="201" t="s">
        <v>992</v>
      </c>
      <c r="H478" s="201" t="s">
        <v>650</v>
      </c>
    </row>
    <row r="479">
      <c r="A479" s="965">
        <v>46012.96216486111</v>
      </c>
      <c r="B479" s="201" t="s">
        <v>213</v>
      </c>
      <c r="C479" s="201" t="s">
        <v>925</v>
      </c>
      <c r="D479" s="201" t="s">
        <v>647</v>
      </c>
      <c r="E479" s="201" t="s">
        <v>993</v>
      </c>
      <c r="F479" s="201" t="s">
        <v>213</v>
      </c>
      <c r="G479" s="201" t="s">
        <v>994</v>
      </c>
      <c r="H479" s="201" t="s">
        <v>650</v>
      </c>
    </row>
    <row r="480">
      <c r="A480" s="965">
        <v>46012.96240050926</v>
      </c>
      <c r="B480" s="201" t="s">
        <v>213</v>
      </c>
      <c r="C480" s="201" t="s">
        <v>925</v>
      </c>
      <c r="D480" s="201" t="s">
        <v>647</v>
      </c>
      <c r="E480" s="201" t="s">
        <v>995</v>
      </c>
      <c r="F480" s="201" t="s">
        <v>213</v>
      </c>
      <c r="G480" s="201" t="s">
        <v>996</v>
      </c>
      <c r="H480" s="201" t="s">
        <v>650</v>
      </c>
    </row>
    <row r="481">
      <c r="A481" s="965">
        <v>46012.96267221065</v>
      </c>
      <c r="B481" s="201" t="s">
        <v>213</v>
      </c>
      <c r="C481" s="201" t="s">
        <v>925</v>
      </c>
      <c r="D481" s="201" t="s">
        <v>647</v>
      </c>
      <c r="E481" s="201" t="s">
        <v>997</v>
      </c>
      <c r="F481" s="201" t="s">
        <v>213</v>
      </c>
      <c r="G481" s="201" t="s">
        <v>998</v>
      </c>
      <c r="H481" s="201" t="s">
        <v>650</v>
      </c>
    </row>
    <row r="482">
      <c r="A482" s="965">
        <v>46012.96464096065</v>
      </c>
      <c r="B482" s="201" t="s">
        <v>213</v>
      </c>
      <c r="C482" s="201" t="s">
        <v>925</v>
      </c>
      <c r="D482" s="201" t="s">
        <v>647</v>
      </c>
      <c r="E482" s="201" t="s">
        <v>999</v>
      </c>
      <c r="F482" s="201" t="s">
        <v>213</v>
      </c>
      <c r="G482" s="201" t="s">
        <v>1000</v>
      </c>
      <c r="H482" s="201" t="s">
        <v>650</v>
      </c>
    </row>
    <row r="483">
      <c r="A483" s="965">
        <v>46012.96491015046</v>
      </c>
      <c r="B483" s="201" t="s">
        <v>213</v>
      </c>
      <c r="C483" s="201" t="s">
        <v>925</v>
      </c>
      <c r="D483" s="201" t="s">
        <v>647</v>
      </c>
      <c r="E483" s="201" t="s">
        <v>1001</v>
      </c>
      <c r="F483" s="201" t="s">
        <v>213</v>
      </c>
      <c r="G483" s="201" t="s">
        <v>1002</v>
      </c>
      <c r="H483" s="201" t="s">
        <v>650</v>
      </c>
    </row>
    <row r="484">
      <c r="A484" s="965">
        <v>46012.96515765046</v>
      </c>
      <c r="B484" s="201" t="s">
        <v>213</v>
      </c>
      <c r="C484" s="201" t="s">
        <v>925</v>
      </c>
      <c r="D484" s="201" t="s">
        <v>647</v>
      </c>
      <c r="E484" s="201" t="s">
        <v>1003</v>
      </c>
      <c r="F484" s="201" t="s">
        <v>213</v>
      </c>
      <c r="G484" s="201" t="s">
        <v>1004</v>
      </c>
      <c r="H484" s="201" t="s">
        <v>650</v>
      </c>
    </row>
    <row r="485">
      <c r="A485" s="965">
        <v>46012.965776620375</v>
      </c>
      <c r="B485" s="201" t="s">
        <v>213</v>
      </c>
      <c r="C485" s="201" t="s">
        <v>925</v>
      </c>
      <c r="D485" s="201" t="s">
        <v>647</v>
      </c>
      <c r="E485" s="201" t="s">
        <v>1005</v>
      </c>
      <c r="F485" s="201" t="s">
        <v>213</v>
      </c>
      <c r="G485" s="201" t="s">
        <v>1006</v>
      </c>
      <c r="H485" s="201" t="s">
        <v>650</v>
      </c>
    </row>
    <row r="486">
      <c r="A486" s="965">
        <v>46012.96869944445</v>
      </c>
      <c r="B486" s="201" t="s">
        <v>213</v>
      </c>
      <c r="C486" s="201" t="s">
        <v>925</v>
      </c>
      <c r="D486" s="201" t="s">
        <v>647</v>
      </c>
      <c r="E486" s="201" t="s">
        <v>1007</v>
      </c>
      <c r="F486" s="201" t="s">
        <v>213</v>
      </c>
      <c r="G486" s="201" t="s">
        <v>1008</v>
      </c>
      <c r="H486" s="201" t="s">
        <v>650</v>
      </c>
    </row>
    <row r="487">
      <c r="A487" s="965">
        <v>46012.96967438658</v>
      </c>
      <c r="B487" s="201" t="s">
        <v>213</v>
      </c>
      <c r="C487" s="201" t="s">
        <v>925</v>
      </c>
      <c r="D487" s="201" t="s">
        <v>647</v>
      </c>
      <c r="E487" s="201" t="s">
        <v>1009</v>
      </c>
      <c r="F487" s="201" t="s">
        <v>213</v>
      </c>
      <c r="G487" s="201" t="s">
        <v>1010</v>
      </c>
      <c r="H487" s="201" t="s">
        <v>650</v>
      </c>
    </row>
    <row r="488">
      <c r="A488" s="965">
        <v>46012.9698227662</v>
      </c>
      <c r="B488" s="201" t="s">
        <v>213</v>
      </c>
      <c r="C488" s="201" t="s">
        <v>925</v>
      </c>
      <c r="D488" s="201" t="s">
        <v>647</v>
      </c>
      <c r="E488" s="201" t="s">
        <v>1011</v>
      </c>
      <c r="F488" s="201" t="s">
        <v>213</v>
      </c>
      <c r="G488" s="201" t="s">
        <v>1012</v>
      </c>
      <c r="H488" s="201" t="s">
        <v>650</v>
      </c>
    </row>
    <row r="489">
      <c r="A489" s="965">
        <v>46040.80515840278</v>
      </c>
      <c r="B489" s="201" t="s">
        <v>213</v>
      </c>
      <c r="C489" s="201" t="s">
        <v>925</v>
      </c>
      <c r="D489" s="201" t="s">
        <v>913</v>
      </c>
      <c r="E489" s="201" t="s">
        <v>1009</v>
      </c>
      <c r="F489" s="201" t="s">
        <v>213</v>
      </c>
      <c r="G489" s="201" t="s">
        <v>1013</v>
      </c>
      <c r="H489" s="201" t="s">
        <v>650</v>
      </c>
    </row>
    <row r="490">
      <c r="A490" s="965">
        <v>46040.805213009255</v>
      </c>
      <c r="B490" s="201" t="s">
        <v>213</v>
      </c>
      <c r="C490" s="201" t="s">
        <v>925</v>
      </c>
      <c r="D490" s="201" t="s">
        <v>647</v>
      </c>
      <c r="E490" s="201" t="s">
        <v>1009</v>
      </c>
      <c r="F490" s="201" t="s">
        <v>213</v>
      </c>
      <c r="G490" s="201" t="s">
        <v>1013</v>
      </c>
      <c r="H490" s="201" t="s">
        <v>650</v>
      </c>
    </row>
    <row r="491">
      <c r="A491" s="965">
        <v>46076.81781528935</v>
      </c>
      <c r="B491" s="201" t="s">
        <v>213</v>
      </c>
      <c r="C491" s="201" t="s">
        <v>925</v>
      </c>
      <c r="D491" s="201" t="s">
        <v>913</v>
      </c>
      <c r="E491" s="201" t="s">
        <v>989</v>
      </c>
      <c r="F491" s="201" t="s">
        <v>213</v>
      </c>
      <c r="G491" s="201" t="s">
        <v>1014</v>
      </c>
      <c r="H491" s="201" t="s">
        <v>650</v>
      </c>
    </row>
    <row r="492">
      <c r="A492" s="965">
        <v>46076.817885972225</v>
      </c>
      <c r="B492" s="201" t="s">
        <v>213</v>
      </c>
      <c r="C492" s="201" t="s">
        <v>925</v>
      </c>
      <c r="D492" s="201" t="s">
        <v>647</v>
      </c>
      <c r="E492" s="201" t="s">
        <v>989</v>
      </c>
      <c r="F492" s="201" t="s">
        <v>213</v>
      </c>
      <c r="G492" s="201" t="s">
        <v>1014</v>
      </c>
      <c r="H492" s="201" t="s">
        <v>650</v>
      </c>
    </row>
    <row r="493">
      <c r="A493" s="965">
        <v>46112.769666168984</v>
      </c>
      <c r="B493" s="201" t="s">
        <v>213</v>
      </c>
      <c r="C493" s="201" t="s">
        <v>925</v>
      </c>
      <c r="D493" s="201" t="s">
        <v>647</v>
      </c>
      <c r="E493" s="201" t="s">
        <v>1015</v>
      </c>
      <c r="F493" s="201" t="s">
        <v>213</v>
      </c>
      <c r="G493" s="201" t="s">
        <v>1016</v>
      </c>
      <c r="H493" s="201" t="s">
        <v>650</v>
      </c>
    </row>
    <row r="494">
      <c r="A494" s="965">
        <v>46112.77019325232</v>
      </c>
      <c r="B494" s="201" t="s">
        <v>213</v>
      </c>
      <c r="C494" s="201" t="s">
        <v>725</v>
      </c>
      <c r="D494" s="201" t="s">
        <v>647</v>
      </c>
      <c r="E494" s="201" t="s">
        <v>1017</v>
      </c>
      <c r="F494" s="201" t="s">
        <v>213</v>
      </c>
      <c r="G494" s="201" t="s">
        <v>1018</v>
      </c>
      <c r="H494" s="201" t="s">
        <v>650</v>
      </c>
    </row>
    <row r="495">
      <c r="A495" s="965">
        <v>46112.77029623842</v>
      </c>
      <c r="B495" s="201" t="s">
        <v>213</v>
      </c>
      <c r="C495" s="201" t="s">
        <v>778</v>
      </c>
      <c r="D495" s="201" t="s">
        <v>647</v>
      </c>
      <c r="E495" s="201" t="s">
        <v>1019</v>
      </c>
      <c r="F495" s="201" t="s">
        <v>213</v>
      </c>
      <c r="G495" s="201" t="s">
        <v>1020</v>
      </c>
      <c r="H495" s="201" t="s">
        <v>650</v>
      </c>
    </row>
    <row r="496">
      <c r="A496" s="965">
        <v>46112.798418819446</v>
      </c>
      <c r="B496" s="201" t="s">
        <v>213</v>
      </c>
      <c r="C496" s="201" t="s">
        <v>925</v>
      </c>
      <c r="D496" s="201" t="s">
        <v>913</v>
      </c>
      <c r="E496" s="201" t="s">
        <v>1015</v>
      </c>
      <c r="F496" s="201" t="s">
        <v>213</v>
      </c>
      <c r="G496" s="201" t="s">
        <v>1021</v>
      </c>
      <c r="H496" s="201" t="s">
        <v>650</v>
      </c>
    </row>
    <row r="497">
      <c r="A497" s="965">
        <v>46112.79848715277</v>
      </c>
      <c r="B497" s="201" t="s">
        <v>213</v>
      </c>
      <c r="C497" s="201" t="s">
        <v>925</v>
      </c>
      <c r="D497" s="201" t="s">
        <v>647</v>
      </c>
      <c r="E497" s="201" t="s">
        <v>1015</v>
      </c>
      <c r="F497" s="201" t="s">
        <v>213</v>
      </c>
      <c r="G497" s="201" t="s">
        <v>1021</v>
      </c>
      <c r="H497" s="201" t="s">
        <v>650</v>
      </c>
    </row>
    <row r="498">
      <c r="A498" s="965">
        <v>46112.799697696755</v>
      </c>
      <c r="B498" s="201" t="s">
        <v>213</v>
      </c>
      <c r="C498" s="201" t="s">
        <v>925</v>
      </c>
      <c r="D498" s="201" t="s">
        <v>913</v>
      </c>
      <c r="E498" s="201" t="s">
        <v>1015</v>
      </c>
      <c r="F498" s="201" t="s">
        <v>213</v>
      </c>
      <c r="G498" s="201" t="s">
        <v>1022</v>
      </c>
      <c r="H498" s="201" t="s">
        <v>650</v>
      </c>
    </row>
    <row r="499">
      <c r="A499" s="965">
        <v>46112.79976896991</v>
      </c>
      <c r="B499" s="201" t="s">
        <v>213</v>
      </c>
      <c r="C499" s="201" t="s">
        <v>925</v>
      </c>
      <c r="D499" s="201" t="s">
        <v>647</v>
      </c>
      <c r="E499" s="201" t="s">
        <v>1015</v>
      </c>
      <c r="F499" s="201" t="s">
        <v>213</v>
      </c>
      <c r="G499" s="201" t="s">
        <v>1022</v>
      </c>
      <c r="H499" s="201" t="s">
        <v>650</v>
      </c>
    </row>
    <row r="500">
      <c r="A500" s="965">
        <v>46112.80000703703</v>
      </c>
      <c r="B500" s="201" t="s">
        <v>213</v>
      </c>
      <c r="C500" s="201" t="s">
        <v>868</v>
      </c>
      <c r="D500" s="201" t="s">
        <v>647</v>
      </c>
      <c r="E500" s="201" t="s">
        <v>1023</v>
      </c>
      <c r="F500" s="201" t="s">
        <v>213</v>
      </c>
      <c r="G500" s="201" t="s">
        <v>1024</v>
      </c>
      <c r="H500" s="201" t="s">
        <v>650</v>
      </c>
    </row>
  </sheetData>
  <drawing r:id="rId1"/>
</worksheet>
</file>